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9.xml" ContentType="application/vnd.openxmlformats-officedocument.drawing+xml"/>
  <Override PartName="/xl/tables/table1.xml" ContentType="application/vnd.openxmlformats-officedocument.spreadsheetml.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dean/Downloads/"/>
    </mc:Choice>
  </mc:AlternateContent>
  <xr:revisionPtr revIDLastSave="0" documentId="13_ncr:1_{7F744931-3CE5-4944-A69A-2F857C92D6AA}" xr6:coauthVersionLast="47" xr6:coauthVersionMax="47" xr10:uidLastSave="{00000000-0000-0000-0000-000000000000}"/>
  <bookViews>
    <workbookView xWindow="-4640" yWindow="-20860" windowWidth="37220" windowHeight="19900" tabRatio="500" activeTab="5" xr2:uid="{00000000-000D-0000-FFFF-FFFF00000000}"/>
  </bookViews>
  <sheets>
    <sheet name="Company Overview" sheetId="1" r:id="rId1"/>
    <sheet name="Chart of Accounts" sheetId="2" state="hidden" r:id="rId2"/>
    <sheet name="Cost Centers" sheetId="3" state="hidden" r:id="rId3"/>
    <sheet name="Variance by Department" sheetId="10" r:id="rId4"/>
    <sheet name="Variance by Program" sheetId="11" r:id="rId5"/>
    <sheet name="Statement of Activities" sheetId="17" r:id="rId6"/>
    <sheet name="Cash Flow Forecast" sheetId="15" r:id="rId7"/>
    <sheet name="Trial Balance" sheetId="16" r:id="rId8"/>
    <sheet name="Insurance Amortization" sheetId="5" r:id="rId9"/>
    <sheet name="Allocated Transactions" sheetId="7" state="hidden" r:id="rId10"/>
    <sheet name="Indirect Pool" sheetId="12" r:id="rId11"/>
    <sheet name="Revenue Allocation" sheetId="8" state="hidden" r:id="rId12"/>
    <sheet name="Personnel &amp; Rent Allocation" sheetId="9" r:id="rId13"/>
    <sheet name="Employee Headcount" sheetId="4" state="hidden" r:id="rId14"/>
    <sheet name="Salary Information" sheetId="6" r:id="rId15"/>
    <sheet name="PTO Accrual" sheetId="18" r:id="rId16"/>
    <sheet name="Indirect Pool - Budget" sheetId="13" state="hidden" r:id="rId17"/>
    <sheet name="Budget Data" sheetId="14" state="hidden" r:id="rId18"/>
    <sheet name="Revenue Pipeline" sheetId="19" state="hidden" r:id="rId19"/>
    <sheet name="Fixed Asset List" sheetId="22" r:id="rId20"/>
  </sheets>
  <externalReferences>
    <externalReference r:id="rId21"/>
  </externalReferences>
  <definedNames>
    <definedName name="_xlnm._FilterDatabase" localSheetId="9" hidden="1">'Allocated Transactions'!$A$1:$K$1932</definedName>
    <definedName name="_xlnm._FilterDatabase" localSheetId="17" hidden="1">'Budget Data'!$A$1:$K$2461</definedName>
    <definedName name="_xlnm._FilterDatabase" localSheetId="6" hidden="1">'Cash Flow Forecast'!$B$6:$N$25</definedName>
    <definedName name="_xlnm._FilterDatabase" localSheetId="15" hidden="1">'PTO Accrual'!$B$9:$K$327</definedName>
    <definedName name="_xlnm._FilterDatabase" localSheetId="7" hidden="1">'Trial Balance'!$B$6:$H$49</definedName>
    <definedName name="ACTUAL_INCOME">#REF!</definedName>
    <definedName name="Goal_Amount">#REF!</definedName>
    <definedName name="_xlnm.Print_Area" localSheetId="6">'Cash Flow Forecast'!$B$3:$Q$55</definedName>
    <definedName name="TOTAL_EXPENDITURES">#REF!</definedName>
    <definedName name="TOTAL_INCOME">#REF!</definedName>
  </definedNames>
  <calcPr calcId="191029" iterateDelta="1E-4"/>
  <pivotCaches>
    <pivotCache cacheId="92" r:id="rId22"/>
    <pivotCache cacheId="98" r:id="rId2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10" l="1"/>
  <c r="B2" i="10" a="1"/>
  <c r="O29" i="22"/>
  <c r="N29" i="22"/>
  <c r="M29" i="22"/>
  <c r="L29" i="22"/>
  <c r="K29" i="22"/>
  <c r="J29" i="22"/>
  <c r="I29" i="22"/>
  <c r="H29" i="22"/>
  <c r="G29" i="22"/>
  <c r="F29" i="22"/>
  <c r="E29" i="22"/>
  <c r="D29" i="22"/>
  <c r="O28" i="22"/>
  <c r="N28" i="22"/>
  <c r="M28" i="22"/>
  <c r="L28" i="22"/>
  <c r="K28" i="22"/>
  <c r="J28" i="22"/>
  <c r="I28" i="22"/>
  <c r="H28" i="22"/>
  <c r="G28" i="22"/>
  <c r="F28" i="22"/>
  <c r="E28" i="22"/>
  <c r="D28" i="22"/>
  <c r="O27" i="22"/>
  <c r="N27" i="22"/>
  <c r="M27" i="22"/>
  <c r="L27" i="22"/>
  <c r="K27" i="22"/>
  <c r="J27" i="22"/>
  <c r="I27" i="22"/>
  <c r="H27" i="22"/>
  <c r="G27" i="22"/>
  <c r="F27" i="22"/>
  <c r="E27" i="22"/>
  <c r="D27" i="22"/>
  <c r="O26" i="22"/>
  <c r="N26" i="22"/>
  <c r="M26" i="22"/>
  <c r="L26" i="22"/>
  <c r="K26" i="22"/>
  <c r="J26" i="22"/>
  <c r="I26" i="22"/>
  <c r="H26" i="22"/>
  <c r="G26" i="22"/>
  <c r="F26" i="22"/>
  <c r="E26" i="22"/>
  <c r="D26" i="22"/>
  <c r="O25" i="22"/>
  <c r="N25" i="22"/>
  <c r="M25" i="22"/>
  <c r="L25" i="22"/>
  <c r="K25" i="22"/>
  <c r="J25" i="22"/>
  <c r="I25" i="22"/>
  <c r="H25" i="22"/>
  <c r="G25" i="22"/>
  <c r="F25" i="22"/>
  <c r="E25" i="22"/>
  <c r="D25" i="22"/>
  <c r="O24" i="22"/>
  <c r="N24" i="22"/>
  <c r="M24" i="22"/>
  <c r="L24" i="22"/>
  <c r="K24" i="22"/>
  <c r="J24" i="22"/>
  <c r="I24" i="22"/>
  <c r="H24" i="22"/>
  <c r="G24" i="22"/>
  <c r="F24" i="22"/>
  <c r="E24" i="22"/>
  <c r="D24" i="22"/>
  <c r="O23" i="22"/>
  <c r="O30" i="22" s="1"/>
  <c r="N23" i="22"/>
  <c r="N30" i="22" s="1"/>
  <c r="M23" i="22"/>
  <c r="M30" i="22" s="1"/>
  <c r="L23" i="22"/>
  <c r="L30" i="22" s="1"/>
  <c r="K23" i="22"/>
  <c r="K30" i="22" s="1"/>
  <c r="J23" i="22"/>
  <c r="J30" i="22" s="1"/>
  <c r="I23" i="22"/>
  <c r="I30" i="22" s="1"/>
  <c r="H23" i="22"/>
  <c r="H30" i="22" s="1"/>
  <c r="G23" i="22"/>
  <c r="G30" i="22" s="1"/>
  <c r="F23" i="22"/>
  <c r="F30" i="22" s="1"/>
  <c r="E23" i="22"/>
  <c r="E30" i="22" s="1"/>
  <c r="D23" i="22"/>
  <c r="D30" i="22" s="1"/>
  <c r="H9" i="22"/>
  <c r="H8" i="22"/>
  <c r="E16" i="22"/>
  <c r="L15" i="22"/>
  <c r="H14" i="22"/>
  <c r="H13" i="22"/>
  <c r="H12" i="22"/>
  <c r="H11" i="22"/>
  <c r="H10" i="22"/>
  <c r="I10" i="11"/>
  <c r="K10" i="11"/>
  <c r="M10" i="11"/>
  <c r="O10" i="11"/>
  <c r="Q10" i="11"/>
  <c r="S10" i="11"/>
  <c r="U10" i="11"/>
  <c r="W10" i="11"/>
  <c r="Y10" i="11"/>
  <c r="AA10" i="11"/>
  <c r="E10" i="11"/>
  <c r="G10" i="11"/>
  <c r="C56" i="16"/>
  <c r="C55" i="16"/>
  <c r="C54" i="16"/>
  <c r="C53" i="16"/>
  <c r="C52" i="16"/>
  <c r="C60" i="16"/>
  <c r="C59" i="16"/>
  <c r="C58" i="16"/>
  <c r="D57" i="6"/>
  <c r="D87" i="6" s="1"/>
  <c r="G18" i="19"/>
  <c r="E18" i="19"/>
  <c r="G17" i="19"/>
  <c r="G16" i="19"/>
  <c r="G15" i="19"/>
  <c r="G14" i="19"/>
  <c r="G13" i="19"/>
  <c r="G12" i="19"/>
  <c r="G11" i="19"/>
  <c r="G10" i="19"/>
  <c r="G9" i="19"/>
  <c r="G8" i="19"/>
  <c r="G7" i="19"/>
  <c r="G6" i="19"/>
  <c r="M93" i="6"/>
  <c r="N93" i="6"/>
  <c r="O93" i="6"/>
  <c r="E93" i="6"/>
  <c r="F93" i="6"/>
  <c r="G93" i="6"/>
  <c r="H93" i="6"/>
  <c r="I93" i="6"/>
  <c r="J93" i="6"/>
  <c r="K93" i="6"/>
  <c r="L93" i="6"/>
  <c r="D93" i="6"/>
  <c r="N86" i="6"/>
  <c r="O86" i="6"/>
  <c r="M85" i="6"/>
  <c r="M122" i="6" s="1"/>
  <c r="J323" i="18" s="1"/>
  <c r="N85" i="6"/>
  <c r="O85" i="6"/>
  <c r="L85" i="6"/>
  <c r="L122" i="6" s="1"/>
  <c r="J322" i="18" s="1"/>
  <c r="L83" i="6"/>
  <c r="L120" i="6" s="1"/>
  <c r="J309" i="18" s="1"/>
  <c r="M83" i="6"/>
  <c r="M120" i="6" s="1"/>
  <c r="J310" i="18" s="1"/>
  <c r="N83" i="6"/>
  <c r="N120" i="6" s="1"/>
  <c r="J311" i="18" s="1"/>
  <c r="O83" i="6"/>
  <c r="O120" i="6" s="1"/>
  <c r="J312" i="18" s="1"/>
  <c r="L84" i="6"/>
  <c r="L121" i="6" s="1"/>
  <c r="J318" i="18" s="1"/>
  <c r="M84" i="6"/>
  <c r="M121" i="6" s="1"/>
  <c r="J319" i="18" s="1"/>
  <c r="N84" i="6"/>
  <c r="N121" i="6" s="1"/>
  <c r="J320" i="18" s="1"/>
  <c r="O84" i="6"/>
  <c r="O121" i="6" s="1"/>
  <c r="J321" i="18" s="1"/>
  <c r="K83" i="6"/>
  <c r="K120" i="6" s="1"/>
  <c r="J308" i="18" s="1"/>
  <c r="K84" i="6"/>
  <c r="K121" i="6" s="1"/>
  <c r="J317" i="18" s="1"/>
  <c r="I82" i="6"/>
  <c r="I119" i="6" s="1"/>
  <c r="J301" i="18" s="1"/>
  <c r="J82" i="6"/>
  <c r="J119" i="6" s="1"/>
  <c r="J302" i="18" s="1"/>
  <c r="K82" i="6"/>
  <c r="K119" i="6" s="1"/>
  <c r="J303" i="18" s="1"/>
  <c r="L82" i="6"/>
  <c r="L119" i="6" s="1"/>
  <c r="J304" i="18" s="1"/>
  <c r="M82" i="6"/>
  <c r="M119" i="6" s="1"/>
  <c r="J305" i="18" s="1"/>
  <c r="N82" i="6"/>
  <c r="N119" i="6" s="1"/>
  <c r="J306" i="18" s="1"/>
  <c r="O82" i="6"/>
  <c r="O119" i="6" s="1"/>
  <c r="J307" i="18" s="1"/>
  <c r="L60" i="6"/>
  <c r="L97" i="6" s="1"/>
  <c r="J54" i="18" s="1"/>
  <c r="L57" i="6"/>
  <c r="M57" i="6"/>
  <c r="N57" i="6"/>
  <c r="O57" i="6"/>
  <c r="L58" i="6"/>
  <c r="L95" i="6" s="1"/>
  <c r="J30" i="18" s="1"/>
  <c r="M58" i="6"/>
  <c r="M95" i="6" s="1"/>
  <c r="J31" i="18" s="1"/>
  <c r="N58" i="6"/>
  <c r="N95" i="6" s="1"/>
  <c r="J32" i="18" s="1"/>
  <c r="O58" i="6"/>
  <c r="O95" i="6" s="1"/>
  <c r="J33" i="18" s="1"/>
  <c r="L59" i="6"/>
  <c r="L96" i="6" s="1"/>
  <c r="J42" i="18" s="1"/>
  <c r="M59" i="6"/>
  <c r="M96" i="6" s="1"/>
  <c r="J43" i="18" s="1"/>
  <c r="N59" i="6"/>
  <c r="N96" i="6" s="1"/>
  <c r="J44" i="18" s="1"/>
  <c r="O59" i="6"/>
  <c r="O96" i="6" s="1"/>
  <c r="J45" i="18" s="1"/>
  <c r="M60" i="6"/>
  <c r="M97" i="6" s="1"/>
  <c r="J55" i="18" s="1"/>
  <c r="N60" i="6"/>
  <c r="N97" i="6" s="1"/>
  <c r="J56" i="18" s="1"/>
  <c r="O60" i="6"/>
  <c r="O97" i="6" s="1"/>
  <c r="J57" i="18" s="1"/>
  <c r="L61" i="6"/>
  <c r="L98" i="6" s="1"/>
  <c r="J66" i="18" s="1"/>
  <c r="M61" i="6"/>
  <c r="M98" i="6" s="1"/>
  <c r="J67" i="18" s="1"/>
  <c r="N61" i="6"/>
  <c r="N98" i="6" s="1"/>
  <c r="J68" i="18" s="1"/>
  <c r="O61" i="6"/>
  <c r="O98" i="6" s="1"/>
  <c r="J69" i="18" s="1"/>
  <c r="L63" i="6"/>
  <c r="L100" i="6" s="1"/>
  <c r="J86" i="18" s="1"/>
  <c r="M63" i="6"/>
  <c r="M100" i="6" s="1"/>
  <c r="J87" i="18" s="1"/>
  <c r="N63" i="6"/>
  <c r="N100" i="6" s="1"/>
  <c r="J88" i="18" s="1"/>
  <c r="O63" i="6"/>
  <c r="O100" i="6" s="1"/>
  <c r="J89" i="18" s="1"/>
  <c r="L64" i="6"/>
  <c r="L101" i="6" s="1"/>
  <c r="J98" i="18" s="1"/>
  <c r="M64" i="6"/>
  <c r="M101" i="6" s="1"/>
  <c r="J99" i="18" s="1"/>
  <c r="N64" i="6"/>
  <c r="N101" i="6" s="1"/>
  <c r="J100" i="18" s="1"/>
  <c r="O64" i="6"/>
  <c r="O101" i="6" s="1"/>
  <c r="J101" i="18" s="1"/>
  <c r="L65" i="6"/>
  <c r="L102" i="6" s="1"/>
  <c r="M65" i="6"/>
  <c r="M102" i="6" s="1"/>
  <c r="N65" i="6"/>
  <c r="N102" i="6" s="1"/>
  <c r="O65" i="6"/>
  <c r="O102" i="6" s="1"/>
  <c r="N67" i="6"/>
  <c r="N104" i="6" s="1"/>
  <c r="J139" i="18" s="1"/>
  <c r="O67" i="6"/>
  <c r="O104" i="6" s="1"/>
  <c r="J140" i="18" s="1"/>
  <c r="N68" i="6"/>
  <c r="N105" i="6" s="1"/>
  <c r="J151" i="18" s="1"/>
  <c r="O68" i="6"/>
  <c r="O105" i="6" s="1"/>
  <c r="J152" i="18" s="1"/>
  <c r="N69" i="6"/>
  <c r="N106" i="6" s="1"/>
  <c r="J163" i="18" s="1"/>
  <c r="O69" i="6"/>
  <c r="O106" i="6" s="1"/>
  <c r="J164" i="18" s="1"/>
  <c r="N70" i="6"/>
  <c r="N107" i="6" s="1"/>
  <c r="J175" i="18" s="1"/>
  <c r="O70" i="6"/>
  <c r="O107" i="6" s="1"/>
  <c r="J176" i="18" s="1"/>
  <c r="N71" i="6"/>
  <c r="N108" i="6" s="1"/>
  <c r="J187" i="18" s="1"/>
  <c r="O71" i="6"/>
  <c r="O108" i="6" s="1"/>
  <c r="J188" i="18" s="1"/>
  <c r="N72" i="6"/>
  <c r="N109" i="6" s="1"/>
  <c r="J199" i="18" s="1"/>
  <c r="O72" i="6"/>
  <c r="O109" i="6" s="1"/>
  <c r="J200" i="18" s="1"/>
  <c r="L67" i="6"/>
  <c r="L104" i="6" s="1"/>
  <c r="J137" i="18" s="1"/>
  <c r="M67" i="6"/>
  <c r="M104" i="6" s="1"/>
  <c r="J138" i="18" s="1"/>
  <c r="L68" i="6"/>
  <c r="L105" i="6" s="1"/>
  <c r="J149" i="18" s="1"/>
  <c r="M68" i="6"/>
  <c r="M105" i="6" s="1"/>
  <c r="J150" i="18" s="1"/>
  <c r="L69" i="6"/>
  <c r="L106" i="6" s="1"/>
  <c r="J161" i="18" s="1"/>
  <c r="M69" i="6"/>
  <c r="M106" i="6" s="1"/>
  <c r="J162" i="18" s="1"/>
  <c r="L70" i="6"/>
  <c r="L107" i="6" s="1"/>
  <c r="J173" i="18" s="1"/>
  <c r="M70" i="6"/>
  <c r="M107" i="6" s="1"/>
  <c r="J174" i="18" s="1"/>
  <c r="L71" i="6"/>
  <c r="L108" i="6" s="1"/>
  <c r="J185" i="18" s="1"/>
  <c r="M71" i="6"/>
  <c r="M108" i="6" s="1"/>
  <c r="J186" i="18" s="1"/>
  <c r="L72" i="6"/>
  <c r="L109" i="6" s="1"/>
  <c r="J197" i="18" s="1"/>
  <c r="M72" i="6"/>
  <c r="M109" i="6" s="1"/>
  <c r="J198" i="18" s="1"/>
  <c r="L73" i="6"/>
  <c r="L110" i="6" s="1"/>
  <c r="J209" i="18" s="1"/>
  <c r="M73" i="6"/>
  <c r="M110" i="6" s="1"/>
  <c r="J210" i="18" s="1"/>
  <c r="K75" i="6"/>
  <c r="K112" i="6" s="1"/>
  <c r="J224" i="18" s="1"/>
  <c r="L75" i="6"/>
  <c r="L112" i="6" s="1"/>
  <c r="J225" i="18" s="1"/>
  <c r="M75" i="6"/>
  <c r="M112" i="6" s="1"/>
  <c r="J226" i="18" s="1"/>
  <c r="N75" i="6"/>
  <c r="N112" i="6" s="1"/>
  <c r="J227" i="18" s="1"/>
  <c r="O75" i="6"/>
  <c r="O112" i="6" s="1"/>
  <c r="J228" i="18" s="1"/>
  <c r="K76" i="6"/>
  <c r="K113" i="6" s="1"/>
  <c r="J236" i="18" s="1"/>
  <c r="L76" i="6"/>
  <c r="L113" i="6" s="1"/>
  <c r="J237" i="18" s="1"/>
  <c r="M76" i="6"/>
  <c r="M113" i="6" s="1"/>
  <c r="J238" i="18" s="1"/>
  <c r="N76" i="6"/>
  <c r="N113" i="6" s="1"/>
  <c r="J239" i="18" s="1"/>
  <c r="O76" i="6"/>
  <c r="O113" i="6" s="1"/>
  <c r="J240" i="18" s="1"/>
  <c r="K77" i="6"/>
  <c r="K114" i="6" s="1"/>
  <c r="J248" i="18" s="1"/>
  <c r="L77" i="6"/>
  <c r="L114" i="6" s="1"/>
  <c r="J249" i="18" s="1"/>
  <c r="M77" i="6"/>
  <c r="M114" i="6" s="1"/>
  <c r="J250" i="18" s="1"/>
  <c r="N77" i="6"/>
  <c r="N114" i="6" s="1"/>
  <c r="J251" i="18" s="1"/>
  <c r="O77" i="6"/>
  <c r="O114" i="6" s="1"/>
  <c r="J252" i="18" s="1"/>
  <c r="K78" i="6"/>
  <c r="K115" i="6" s="1"/>
  <c r="J260" i="18" s="1"/>
  <c r="L78" i="6"/>
  <c r="L115" i="6" s="1"/>
  <c r="J261" i="18" s="1"/>
  <c r="M78" i="6"/>
  <c r="M115" i="6" s="1"/>
  <c r="J262" i="18" s="1"/>
  <c r="N78" i="6"/>
  <c r="N115" i="6" s="1"/>
  <c r="J263" i="18" s="1"/>
  <c r="O78" i="6"/>
  <c r="O115" i="6" s="1"/>
  <c r="J264" i="18" s="1"/>
  <c r="K79" i="6"/>
  <c r="K116" i="6" s="1"/>
  <c r="J272" i="18" s="1"/>
  <c r="L79" i="6"/>
  <c r="L116" i="6" s="1"/>
  <c r="J273" i="18" s="1"/>
  <c r="M79" i="6"/>
  <c r="M116" i="6" s="1"/>
  <c r="J274" i="18" s="1"/>
  <c r="N79" i="6"/>
  <c r="N116" i="6" s="1"/>
  <c r="J275" i="18" s="1"/>
  <c r="O79" i="6"/>
  <c r="O116" i="6" s="1"/>
  <c r="J276" i="18" s="1"/>
  <c r="K80" i="6"/>
  <c r="K117" i="6" s="1"/>
  <c r="J284" i="18" s="1"/>
  <c r="L80" i="6"/>
  <c r="L117" i="6" s="1"/>
  <c r="J285" i="18" s="1"/>
  <c r="M80" i="6"/>
  <c r="M117" i="6" s="1"/>
  <c r="J286" i="18" s="1"/>
  <c r="N80" i="6"/>
  <c r="N117" i="6" s="1"/>
  <c r="J287" i="18" s="1"/>
  <c r="O80" i="6"/>
  <c r="O117" i="6" s="1"/>
  <c r="J288" i="18" s="1"/>
  <c r="K81" i="6"/>
  <c r="K118" i="6" s="1"/>
  <c r="J296" i="18" s="1"/>
  <c r="L81" i="6"/>
  <c r="L118" i="6" s="1"/>
  <c r="J297" i="18" s="1"/>
  <c r="M81" i="6"/>
  <c r="M118" i="6" s="1"/>
  <c r="J298" i="18" s="1"/>
  <c r="N81" i="6"/>
  <c r="N118" i="6" s="1"/>
  <c r="J299" i="18" s="1"/>
  <c r="O81" i="6"/>
  <c r="O118" i="6" s="1"/>
  <c r="J84" i="6"/>
  <c r="J121" i="6" s="1"/>
  <c r="J316" i="18" s="1"/>
  <c r="J75" i="6"/>
  <c r="J112" i="6" s="1"/>
  <c r="J223" i="18" s="1"/>
  <c r="J76" i="6"/>
  <c r="J113" i="6" s="1"/>
  <c r="J235" i="18" s="1"/>
  <c r="J77" i="6"/>
  <c r="J114" i="6" s="1"/>
  <c r="J247" i="18" s="1"/>
  <c r="J78" i="6"/>
  <c r="J115" i="6" s="1"/>
  <c r="J259" i="18" s="1"/>
  <c r="J79" i="6"/>
  <c r="J116" i="6" s="1"/>
  <c r="J271" i="18" s="1"/>
  <c r="J80" i="6"/>
  <c r="J117" i="6" s="1"/>
  <c r="J283" i="18" s="1"/>
  <c r="J81" i="6"/>
  <c r="J118" i="6" s="1"/>
  <c r="J295" i="18" s="1"/>
  <c r="J67" i="6"/>
  <c r="J104" i="6" s="1"/>
  <c r="J135" i="18" s="1"/>
  <c r="K67" i="6"/>
  <c r="K104" i="6" s="1"/>
  <c r="J136" i="18" s="1"/>
  <c r="J68" i="6"/>
  <c r="J105" i="6" s="1"/>
  <c r="J147" i="18" s="1"/>
  <c r="K68" i="6"/>
  <c r="K105" i="6" s="1"/>
  <c r="J148" i="18" s="1"/>
  <c r="J69" i="6"/>
  <c r="J106" i="6" s="1"/>
  <c r="J159" i="18" s="1"/>
  <c r="K69" i="6"/>
  <c r="K106" i="6" s="1"/>
  <c r="J160" i="18" s="1"/>
  <c r="J70" i="6"/>
  <c r="J107" i="6" s="1"/>
  <c r="J171" i="18" s="1"/>
  <c r="K70" i="6"/>
  <c r="K107" i="6" s="1"/>
  <c r="J172" i="18" s="1"/>
  <c r="J71" i="6"/>
  <c r="J108" i="6" s="1"/>
  <c r="J183" i="18" s="1"/>
  <c r="K71" i="6"/>
  <c r="K108" i="6" s="1"/>
  <c r="J184" i="18" s="1"/>
  <c r="J72" i="6"/>
  <c r="J109" i="6" s="1"/>
  <c r="J195" i="18" s="1"/>
  <c r="K72" i="6"/>
  <c r="K109" i="6" s="1"/>
  <c r="J196" i="18" s="1"/>
  <c r="J73" i="6"/>
  <c r="J110" i="6" s="1"/>
  <c r="J207" i="18" s="1"/>
  <c r="K73" i="6"/>
  <c r="K110" i="6" s="1"/>
  <c r="J208" i="18" s="1"/>
  <c r="J57" i="6"/>
  <c r="K57" i="6"/>
  <c r="K94" i="6" s="1"/>
  <c r="J17" i="18" s="1"/>
  <c r="J58" i="6"/>
  <c r="J95" i="6" s="1"/>
  <c r="J28" i="18" s="1"/>
  <c r="K58" i="6"/>
  <c r="K95" i="6" s="1"/>
  <c r="J29" i="18" s="1"/>
  <c r="J59" i="6"/>
  <c r="J96" i="6" s="1"/>
  <c r="J40" i="18" s="1"/>
  <c r="K59" i="6"/>
  <c r="K96" i="6" s="1"/>
  <c r="J41" i="18" s="1"/>
  <c r="J60" i="6"/>
  <c r="J97" i="6" s="1"/>
  <c r="J52" i="18" s="1"/>
  <c r="K60" i="6"/>
  <c r="K97" i="6" s="1"/>
  <c r="J53" i="18" s="1"/>
  <c r="J61" i="6"/>
  <c r="J98" i="6" s="1"/>
  <c r="J64" i="18" s="1"/>
  <c r="K61" i="6"/>
  <c r="K98" i="6" s="1"/>
  <c r="J65" i="18" s="1"/>
  <c r="J62" i="6"/>
  <c r="J99" i="6" s="1"/>
  <c r="J76" i="18" s="1"/>
  <c r="K62" i="6"/>
  <c r="K99" i="6" s="1"/>
  <c r="J77" i="18" s="1"/>
  <c r="J63" i="6"/>
  <c r="J100" i="6" s="1"/>
  <c r="J84" i="18" s="1"/>
  <c r="K63" i="6"/>
  <c r="K100" i="6" s="1"/>
  <c r="J85" i="18" s="1"/>
  <c r="J64" i="6"/>
  <c r="J101" i="6" s="1"/>
  <c r="J96" i="18" s="1"/>
  <c r="K64" i="6"/>
  <c r="K101" i="6" s="1"/>
  <c r="J97" i="18" s="1"/>
  <c r="J65" i="6"/>
  <c r="J102" i="6" s="1"/>
  <c r="K65" i="6"/>
  <c r="K102" i="6" s="1"/>
  <c r="I84" i="6"/>
  <c r="I121" i="6" s="1"/>
  <c r="J315" i="18" s="1"/>
  <c r="I73" i="6"/>
  <c r="I110" i="6" s="1"/>
  <c r="J206" i="18" s="1"/>
  <c r="H84" i="6"/>
  <c r="H121" i="6" s="1"/>
  <c r="J314" i="18" s="1"/>
  <c r="G84" i="6"/>
  <c r="G121" i="6" s="1"/>
  <c r="J313" i="18" s="1"/>
  <c r="H82" i="6"/>
  <c r="H119" i="6" s="1"/>
  <c r="J300" i="18" s="1"/>
  <c r="G67" i="6"/>
  <c r="G104" i="6" s="1"/>
  <c r="J132" i="18" s="1"/>
  <c r="H67" i="6"/>
  <c r="H104" i="6" s="1"/>
  <c r="J133" i="18" s="1"/>
  <c r="I67" i="6"/>
  <c r="I104" i="6" s="1"/>
  <c r="J134" i="18" s="1"/>
  <c r="G68" i="6"/>
  <c r="G105" i="6" s="1"/>
  <c r="J144" i="18" s="1"/>
  <c r="H68" i="6"/>
  <c r="H105" i="6" s="1"/>
  <c r="J145" i="18" s="1"/>
  <c r="I68" i="6"/>
  <c r="I105" i="6" s="1"/>
  <c r="J146" i="18" s="1"/>
  <c r="G69" i="6"/>
  <c r="G106" i="6" s="1"/>
  <c r="J156" i="18" s="1"/>
  <c r="H69" i="6"/>
  <c r="H106" i="6" s="1"/>
  <c r="J157" i="18" s="1"/>
  <c r="I69" i="6"/>
  <c r="I106" i="6" s="1"/>
  <c r="J158" i="18" s="1"/>
  <c r="G70" i="6"/>
  <c r="G107" i="6" s="1"/>
  <c r="J168" i="18" s="1"/>
  <c r="H70" i="6"/>
  <c r="H107" i="6" s="1"/>
  <c r="J169" i="18" s="1"/>
  <c r="I70" i="6"/>
  <c r="I107" i="6" s="1"/>
  <c r="J170" i="18" s="1"/>
  <c r="G71" i="6"/>
  <c r="G108" i="6" s="1"/>
  <c r="J180" i="18" s="1"/>
  <c r="H71" i="6"/>
  <c r="H108" i="6" s="1"/>
  <c r="J181" i="18" s="1"/>
  <c r="I71" i="6"/>
  <c r="I108" i="6" s="1"/>
  <c r="J182" i="18" s="1"/>
  <c r="G72" i="6"/>
  <c r="G109" i="6" s="1"/>
  <c r="J192" i="18" s="1"/>
  <c r="H72" i="6"/>
  <c r="H109" i="6" s="1"/>
  <c r="J193" i="18" s="1"/>
  <c r="I72" i="6"/>
  <c r="I109" i="6" s="1"/>
  <c r="J194" i="18" s="1"/>
  <c r="G73" i="6"/>
  <c r="G110" i="6" s="1"/>
  <c r="J204" i="18" s="1"/>
  <c r="H73" i="6"/>
  <c r="H110" i="6" s="1"/>
  <c r="J205" i="18" s="1"/>
  <c r="G74" i="6"/>
  <c r="G111" i="6" s="1"/>
  <c r="J214" i="18" s="1"/>
  <c r="H74" i="6"/>
  <c r="H111" i="6" s="1"/>
  <c r="J215" i="18" s="1"/>
  <c r="I74" i="6"/>
  <c r="I111" i="6" s="1"/>
  <c r="J216" i="18" s="1"/>
  <c r="G75" i="6"/>
  <c r="G112" i="6" s="1"/>
  <c r="J220" i="18" s="1"/>
  <c r="H75" i="6"/>
  <c r="H112" i="6" s="1"/>
  <c r="J221" i="18" s="1"/>
  <c r="I75" i="6"/>
  <c r="I112" i="6" s="1"/>
  <c r="J222" i="18" s="1"/>
  <c r="G76" i="6"/>
  <c r="G113" i="6" s="1"/>
  <c r="J232" i="18" s="1"/>
  <c r="H76" i="6"/>
  <c r="H113" i="6" s="1"/>
  <c r="J233" i="18" s="1"/>
  <c r="I76" i="6"/>
  <c r="I113" i="6" s="1"/>
  <c r="J234" i="18" s="1"/>
  <c r="G77" i="6"/>
  <c r="G114" i="6" s="1"/>
  <c r="J244" i="18" s="1"/>
  <c r="H77" i="6"/>
  <c r="H114" i="6" s="1"/>
  <c r="J245" i="18" s="1"/>
  <c r="I77" i="6"/>
  <c r="I114" i="6" s="1"/>
  <c r="J246" i="18" s="1"/>
  <c r="G78" i="6"/>
  <c r="G115" i="6" s="1"/>
  <c r="J256" i="18" s="1"/>
  <c r="H78" i="6"/>
  <c r="H115" i="6" s="1"/>
  <c r="J257" i="18" s="1"/>
  <c r="I78" i="6"/>
  <c r="I115" i="6" s="1"/>
  <c r="J258" i="18" s="1"/>
  <c r="G79" i="6"/>
  <c r="G116" i="6" s="1"/>
  <c r="J268" i="18" s="1"/>
  <c r="H79" i="6"/>
  <c r="H116" i="6" s="1"/>
  <c r="J269" i="18" s="1"/>
  <c r="I79" i="6"/>
  <c r="I116" i="6" s="1"/>
  <c r="J270" i="18" s="1"/>
  <c r="G80" i="6"/>
  <c r="G117" i="6" s="1"/>
  <c r="J280" i="18" s="1"/>
  <c r="H80" i="6"/>
  <c r="H117" i="6" s="1"/>
  <c r="J281" i="18" s="1"/>
  <c r="I80" i="6"/>
  <c r="I117" i="6" s="1"/>
  <c r="J282" i="18" s="1"/>
  <c r="G81" i="6"/>
  <c r="G118" i="6" s="1"/>
  <c r="J292" i="18" s="1"/>
  <c r="H81" i="6"/>
  <c r="H118" i="6" s="1"/>
  <c r="J293" i="18" s="1"/>
  <c r="I81" i="6"/>
  <c r="I118" i="6" s="1"/>
  <c r="J294" i="18" s="1"/>
  <c r="G57" i="6"/>
  <c r="G94" i="6" s="1"/>
  <c r="J13" i="18" s="1"/>
  <c r="H57" i="6"/>
  <c r="H94" i="6" s="1"/>
  <c r="J14" i="18" s="1"/>
  <c r="I57" i="6"/>
  <c r="I94" i="6" s="1"/>
  <c r="J15" i="18" s="1"/>
  <c r="G58" i="6"/>
  <c r="G95" i="6" s="1"/>
  <c r="J25" i="18" s="1"/>
  <c r="H58" i="6"/>
  <c r="H95" i="6" s="1"/>
  <c r="J26" i="18" s="1"/>
  <c r="I58" i="6"/>
  <c r="I95" i="6" s="1"/>
  <c r="J27" i="18" s="1"/>
  <c r="G59" i="6"/>
  <c r="G96" i="6" s="1"/>
  <c r="J37" i="18" s="1"/>
  <c r="H59" i="6"/>
  <c r="H96" i="6" s="1"/>
  <c r="J38" i="18" s="1"/>
  <c r="I59" i="6"/>
  <c r="I96" i="6" s="1"/>
  <c r="J39" i="18" s="1"/>
  <c r="G60" i="6"/>
  <c r="G97" i="6" s="1"/>
  <c r="J49" i="18" s="1"/>
  <c r="H60" i="6"/>
  <c r="H97" i="6" s="1"/>
  <c r="J50" i="18" s="1"/>
  <c r="I60" i="6"/>
  <c r="I97" i="6" s="1"/>
  <c r="J51" i="18" s="1"/>
  <c r="G61" i="6"/>
  <c r="G98" i="6" s="1"/>
  <c r="J61" i="18" s="1"/>
  <c r="H61" i="6"/>
  <c r="H98" i="6" s="1"/>
  <c r="J62" i="18" s="1"/>
  <c r="I61" i="6"/>
  <c r="I98" i="6" s="1"/>
  <c r="J63" i="18" s="1"/>
  <c r="G62" i="6"/>
  <c r="G99" i="6" s="1"/>
  <c r="J73" i="18" s="1"/>
  <c r="H62" i="6"/>
  <c r="H99" i="6" s="1"/>
  <c r="J74" i="18" s="1"/>
  <c r="I62" i="6"/>
  <c r="I99" i="6" s="1"/>
  <c r="J75" i="18" s="1"/>
  <c r="G63" i="6"/>
  <c r="G100" i="6" s="1"/>
  <c r="J81" i="18" s="1"/>
  <c r="H63" i="6"/>
  <c r="H100" i="6" s="1"/>
  <c r="J82" i="18" s="1"/>
  <c r="I63" i="6"/>
  <c r="I100" i="6" s="1"/>
  <c r="J83" i="18" s="1"/>
  <c r="G64" i="6"/>
  <c r="G101" i="6" s="1"/>
  <c r="J93" i="18" s="1"/>
  <c r="H64" i="6"/>
  <c r="H101" i="6" s="1"/>
  <c r="J94" i="18" s="1"/>
  <c r="I64" i="6"/>
  <c r="I101" i="6" s="1"/>
  <c r="J95" i="18" s="1"/>
  <c r="G65" i="6"/>
  <c r="G102" i="6" s="1"/>
  <c r="H65" i="6"/>
  <c r="H102" i="6" s="1"/>
  <c r="I65" i="6"/>
  <c r="I102" i="6" s="1"/>
  <c r="E57" i="6"/>
  <c r="F57" i="6"/>
  <c r="E58" i="6"/>
  <c r="E95" i="6" s="1"/>
  <c r="J23" i="18" s="1"/>
  <c r="F58" i="6"/>
  <c r="F95" i="6" s="1"/>
  <c r="J24" i="18" s="1"/>
  <c r="E59" i="6"/>
  <c r="E96" i="6" s="1"/>
  <c r="J35" i="18" s="1"/>
  <c r="F59" i="6"/>
  <c r="F96" i="6" s="1"/>
  <c r="J36" i="18" s="1"/>
  <c r="E60" i="6"/>
  <c r="E97" i="6" s="1"/>
  <c r="J47" i="18" s="1"/>
  <c r="F60" i="6"/>
  <c r="F97" i="6" s="1"/>
  <c r="J48" i="18" s="1"/>
  <c r="E61" i="6"/>
  <c r="E98" i="6" s="1"/>
  <c r="J59" i="18" s="1"/>
  <c r="F61" i="6"/>
  <c r="F98" i="6" s="1"/>
  <c r="J60" i="18" s="1"/>
  <c r="E62" i="6"/>
  <c r="E99" i="6" s="1"/>
  <c r="J71" i="18" s="1"/>
  <c r="F62" i="6"/>
  <c r="F99" i="6" s="1"/>
  <c r="J72" i="18" s="1"/>
  <c r="E63" i="6"/>
  <c r="E100" i="6" s="1"/>
  <c r="J79" i="18" s="1"/>
  <c r="F63" i="6"/>
  <c r="F100" i="6" s="1"/>
  <c r="J80" i="18" s="1"/>
  <c r="E64" i="6"/>
  <c r="E101" i="6" s="1"/>
  <c r="J91" i="18" s="1"/>
  <c r="F64" i="6"/>
  <c r="F101" i="6" s="1"/>
  <c r="J92" i="18" s="1"/>
  <c r="E65" i="6"/>
  <c r="E102" i="6" s="1"/>
  <c r="F65" i="6"/>
  <c r="F102" i="6" s="1"/>
  <c r="E66" i="6"/>
  <c r="E103" i="6" s="1"/>
  <c r="J127" i="18" s="1"/>
  <c r="F66" i="6"/>
  <c r="F103" i="6" s="1"/>
  <c r="J128" i="18" s="1"/>
  <c r="E67" i="6"/>
  <c r="E104" i="6" s="1"/>
  <c r="J130" i="18" s="1"/>
  <c r="F67" i="6"/>
  <c r="F104" i="6" s="1"/>
  <c r="J131" i="18" s="1"/>
  <c r="E68" i="6"/>
  <c r="E105" i="6" s="1"/>
  <c r="J142" i="18" s="1"/>
  <c r="F68" i="6"/>
  <c r="F105" i="6" s="1"/>
  <c r="J143" i="18" s="1"/>
  <c r="E69" i="6"/>
  <c r="E106" i="6" s="1"/>
  <c r="J154" i="18" s="1"/>
  <c r="F69" i="6"/>
  <c r="F106" i="6" s="1"/>
  <c r="J155" i="18" s="1"/>
  <c r="E70" i="6"/>
  <c r="E107" i="6" s="1"/>
  <c r="J166" i="18" s="1"/>
  <c r="F70" i="6"/>
  <c r="F107" i="6" s="1"/>
  <c r="J167" i="18" s="1"/>
  <c r="E71" i="6"/>
  <c r="E108" i="6" s="1"/>
  <c r="J178" i="18" s="1"/>
  <c r="F71" i="6"/>
  <c r="F108" i="6" s="1"/>
  <c r="J179" i="18" s="1"/>
  <c r="E72" i="6"/>
  <c r="E109" i="6" s="1"/>
  <c r="J190" i="18" s="1"/>
  <c r="F72" i="6"/>
  <c r="F109" i="6" s="1"/>
  <c r="J191" i="18" s="1"/>
  <c r="E73" i="6"/>
  <c r="E110" i="6" s="1"/>
  <c r="J202" i="18" s="1"/>
  <c r="F73" i="6"/>
  <c r="F110" i="6" s="1"/>
  <c r="J203" i="18" s="1"/>
  <c r="E74" i="6"/>
  <c r="E111" i="6" s="1"/>
  <c r="J212" i="18" s="1"/>
  <c r="F74" i="6"/>
  <c r="F111" i="6" s="1"/>
  <c r="J213" i="18" s="1"/>
  <c r="E75" i="6"/>
  <c r="E112" i="6" s="1"/>
  <c r="J218" i="18" s="1"/>
  <c r="F75" i="6"/>
  <c r="F112" i="6" s="1"/>
  <c r="J219" i="18" s="1"/>
  <c r="E76" i="6"/>
  <c r="E113" i="6" s="1"/>
  <c r="J230" i="18" s="1"/>
  <c r="F76" i="6"/>
  <c r="F113" i="6" s="1"/>
  <c r="J231" i="18" s="1"/>
  <c r="E77" i="6"/>
  <c r="E114" i="6" s="1"/>
  <c r="J242" i="18" s="1"/>
  <c r="F77" i="6"/>
  <c r="F114" i="6" s="1"/>
  <c r="J243" i="18" s="1"/>
  <c r="E78" i="6"/>
  <c r="E115" i="6" s="1"/>
  <c r="J254" i="18" s="1"/>
  <c r="F78" i="6"/>
  <c r="F115" i="6" s="1"/>
  <c r="J255" i="18" s="1"/>
  <c r="E79" i="6"/>
  <c r="E116" i="6" s="1"/>
  <c r="J266" i="18" s="1"/>
  <c r="F79" i="6"/>
  <c r="F116" i="6" s="1"/>
  <c r="J267" i="18" s="1"/>
  <c r="E80" i="6"/>
  <c r="E117" i="6" s="1"/>
  <c r="J278" i="18" s="1"/>
  <c r="F80" i="6"/>
  <c r="F117" i="6" s="1"/>
  <c r="J279" i="18" s="1"/>
  <c r="E81" i="6"/>
  <c r="E118" i="6" s="1"/>
  <c r="J290" i="18" s="1"/>
  <c r="F81" i="6"/>
  <c r="F118" i="6" s="1"/>
  <c r="J291" i="18" s="1"/>
  <c r="D81" i="6"/>
  <c r="D118" i="6" s="1"/>
  <c r="J289" i="18" s="1"/>
  <c r="D59" i="6"/>
  <c r="D96" i="6" s="1"/>
  <c r="J34" i="18" s="1"/>
  <c r="D60" i="6"/>
  <c r="D97" i="6" s="1"/>
  <c r="J46" i="18" s="1"/>
  <c r="D61" i="6"/>
  <c r="D98" i="6" s="1"/>
  <c r="J58" i="18" s="1"/>
  <c r="D62" i="6"/>
  <c r="D99" i="6" s="1"/>
  <c r="J70" i="18" s="1"/>
  <c r="D63" i="6"/>
  <c r="D100" i="6" s="1"/>
  <c r="J78" i="18" s="1"/>
  <c r="D64" i="6"/>
  <c r="D101" i="6" s="1"/>
  <c r="J90" i="18" s="1"/>
  <c r="D65" i="6"/>
  <c r="D102" i="6" s="1"/>
  <c r="D66" i="6"/>
  <c r="D103" i="6" s="1"/>
  <c r="J126" i="18" s="1"/>
  <c r="D67" i="6"/>
  <c r="D104" i="6" s="1"/>
  <c r="J129" i="18" s="1"/>
  <c r="D68" i="6"/>
  <c r="D105" i="6" s="1"/>
  <c r="J141" i="18" s="1"/>
  <c r="D69" i="6"/>
  <c r="D106" i="6" s="1"/>
  <c r="J153" i="18" s="1"/>
  <c r="D70" i="6"/>
  <c r="D107" i="6" s="1"/>
  <c r="J165" i="18" s="1"/>
  <c r="D71" i="6"/>
  <c r="D108" i="6" s="1"/>
  <c r="J177" i="18" s="1"/>
  <c r="D72" i="6"/>
  <c r="D109" i="6" s="1"/>
  <c r="J189" i="18" s="1"/>
  <c r="D73" i="6"/>
  <c r="D110" i="6" s="1"/>
  <c r="J201" i="18" s="1"/>
  <c r="D74" i="6"/>
  <c r="D111" i="6" s="1"/>
  <c r="J211" i="18" s="1"/>
  <c r="D75" i="6"/>
  <c r="D112" i="6" s="1"/>
  <c r="J217" i="18" s="1"/>
  <c r="D76" i="6"/>
  <c r="D113" i="6" s="1"/>
  <c r="J229" i="18" s="1"/>
  <c r="D77" i="6"/>
  <c r="D114" i="6" s="1"/>
  <c r="J241" i="18" s="1"/>
  <c r="D78" i="6"/>
  <c r="D115" i="6" s="1"/>
  <c r="J253" i="18" s="1"/>
  <c r="D79" i="6"/>
  <c r="D116" i="6" s="1"/>
  <c r="J265" i="18" s="1"/>
  <c r="D80" i="6"/>
  <c r="D117" i="6" s="1"/>
  <c r="J277" i="18" s="1"/>
  <c r="D58" i="6"/>
  <c r="D95" i="6" s="1"/>
  <c r="J22" i="18" s="1"/>
  <c r="H128" i="18"/>
  <c r="H113" i="18"/>
  <c r="H125" i="18" s="1"/>
  <c r="H112" i="18"/>
  <c r="H124" i="18" s="1"/>
  <c r="H111" i="18"/>
  <c r="H123" i="18" s="1"/>
  <c r="H110" i="18"/>
  <c r="H122" i="18" s="1"/>
  <c r="H109" i="18"/>
  <c r="H121" i="18" s="1"/>
  <c r="H108" i="18"/>
  <c r="H120" i="18" s="1"/>
  <c r="H107" i="18"/>
  <c r="H119" i="18" s="1"/>
  <c r="H106" i="18"/>
  <c r="H118" i="18" s="1"/>
  <c r="H105" i="18"/>
  <c r="H104" i="18"/>
  <c r="H116" i="18" s="1"/>
  <c r="H103" i="18"/>
  <c r="H102" i="18"/>
  <c r="H114" i="18" s="1"/>
  <c r="H115" i="18"/>
  <c r="H117" i="18"/>
  <c r="G114" i="18"/>
  <c r="G115" i="18"/>
  <c r="G116" i="18"/>
  <c r="G117" i="18"/>
  <c r="G118" i="18"/>
  <c r="G119" i="18"/>
  <c r="G120" i="18"/>
  <c r="G121" i="18"/>
  <c r="G122" i="18"/>
  <c r="G123" i="18"/>
  <c r="G124" i="18"/>
  <c r="G125" i="18"/>
  <c r="F114" i="18"/>
  <c r="O10" i="18"/>
  <c r="I22" i="18"/>
  <c r="I34" i="18"/>
  <c r="I46" i="18"/>
  <c r="I58" i="18"/>
  <c r="I70" i="18"/>
  <c r="I78" i="18"/>
  <c r="I90" i="18"/>
  <c r="I102" i="18"/>
  <c r="I126" i="18"/>
  <c r="I129" i="18"/>
  <c r="I141" i="18"/>
  <c r="I153" i="18"/>
  <c r="I165" i="18"/>
  <c r="F166" i="18" s="1"/>
  <c r="I166" i="18" s="1"/>
  <c r="I177" i="18"/>
  <c r="F178" i="18"/>
  <c r="I178" i="18" s="1"/>
  <c r="I189" i="18"/>
  <c r="F190" i="18"/>
  <c r="I190" i="18" s="1"/>
  <c r="I201" i="18"/>
  <c r="I211" i="18"/>
  <c r="I217" i="18"/>
  <c r="I229" i="18"/>
  <c r="I241" i="18"/>
  <c r="I253" i="18"/>
  <c r="I265" i="18"/>
  <c r="I277" i="18"/>
  <c r="I289" i="18"/>
  <c r="I10" i="18"/>
  <c r="F3" i="7"/>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8" i="7"/>
  <c r="F139" i="7"/>
  <c r="F140" i="7"/>
  <c r="F141" i="7"/>
  <c r="F142" i="7"/>
  <c r="F143" i="7"/>
  <c r="F144" i="7"/>
  <c r="F145" i="7"/>
  <c r="F146" i="7"/>
  <c r="F147" i="7"/>
  <c r="F148" i="7"/>
  <c r="F149" i="7"/>
  <c r="F150" i="7"/>
  <c r="F151" i="7"/>
  <c r="F152" i="7"/>
  <c r="F153" i="7"/>
  <c r="F154" i="7"/>
  <c r="F155" i="7"/>
  <c r="F156" i="7"/>
  <c r="F157" i="7"/>
  <c r="F158" i="7"/>
  <c r="F159" i="7"/>
  <c r="F160" i="7"/>
  <c r="F161" i="7"/>
  <c r="F162" i="7"/>
  <c r="F163"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1" i="7"/>
  <c r="F212" i="7"/>
  <c r="F213" i="7"/>
  <c r="F214" i="7"/>
  <c r="F215" i="7"/>
  <c r="F216" i="7"/>
  <c r="F217" i="7"/>
  <c r="F218" i="7"/>
  <c r="F219" i="7"/>
  <c r="F220" i="7"/>
  <c r="F221" i="7"/>
  <c r="F222"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3"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1" i="7"/>
  <c r="F282" i="7"/>
  <c r="F283" i="7"/>
  <c r="F284" i="7"/>
  <c r="F285" i="7"/>
  <c r="F286" i="7"/>
  <c r="F287" i="7"/>
  <c r="F288" i="7"/>
  <c r="F289" i="7"/>
  <c r="F290" i="7"/>
  <c r="F291" i="7"/>
  <c r="F292" i="7"/>
  <c r="F293" i="7"/>
  <c r="F294" i="7"/>
  <c r="F295" i="7"/>
  <c r="F296" i="7"/>
  <c r="F297" i="7"/>
  <c r="F298" i="7"/>
  <c r="F299" i="7"/>
  <c r="F300" i="7"/>
  <c r="F301" i="7"/>
  <c r="F302" i="7"/>
  <c r="F303" i="7"/>
  <c r="F304" i="7"/>
  <c r="F305" i="7"/>
  <c r="F306" i="7"/>
  <c r="F307" i="7"/>
  <c r="F308" i="7"/>
  <c r="F309" i="7"/>
  <c r="F310" i="7"/>
  <c r="F311" i="7"/>
  <c r="F312" i="7"/>
  <c r="F313" i="7"/>
  <c r="F314" i="7"/>
  <c r="F315" i="7"/>
  <c r="F316" i="7"/>
  <c r="F317" i="7"/>
  <c r="F318" i="7"/>
  <c r="F319" i="7"/>
  <c r="F320" i="7"/>
  <c r="F321" i="7"/>
  <c r="F322" i="7"/>
  <c r="F323" i="7"/>
  <c r="F324" i="7"/>
  <c r="F325" i="7"/>
  <c r="F326" i="7"/>
  <c r="F327" i="7"/>
  <c r="F328" i="7"/>
  <c r="F329" i="7"/>
  <c r="F330" i="7"/>
  <c r="F331" i="7"/>
  <c r="F332" i="7"/>
  <c r="F333" i="7"/>
  <c r="F334" i="7"/>
  <c r="F335" i="7"/>
  <c r="F336" i="7"/>
  <c r="F337" i="7"/>
  <c r="F338" i="7"/>
  <c r="F339" i="7"/>
  <c r="F340" i="7"/>
  <c r="F341" i="7"/>
  <c r="F342" i="7"/>
  <c r="F343" i="7"/>
  <c r="F344" i="7"/>
  <c r="F345" i="7"/>
  <c r="F346" i="7"/>
  <c r="F347" i="7"/>
  <c r="F348" i="7"/>
  <c r="F349" i="7"/>
  <c r="F350" i="7"/>
  <c r="F351" i="7"/>
  <c r="F352" i="7"/>
  <c r="F353" i="7"/>
  <c r="F354" i="7"/>
  <c r="F355" i="7"/>
  <c r="F356" i="7"/>
  <c r="F357" i="7"/>
  <c r="F358" i="7"/>
  <c r="F359" i="7"/>
  <c r="F360" i="7"/>
  <c r="F361" i="7"/>
  <c r="F362" i="7"/>
  <c r="F363" i="7"/>
  <c r="F364" i="7"/>
  <c r="F365" i="7"/>
  <c r="F366" i="7"/>
  <c r="F367" i="7"/>
  <c r="F368" i="7"/>
  <c r="F369" i="7"/>
  <c r="F370" i="7"/>
  <c r="F371" i="7"/>
  <c r="F372" i="7"/>
  <c r="F373" i="7"/>
  <c r="F374" i="7"/>
  <c r="F375" i="7"/>
  <c r="F376" i="7"/>
  <c r="F377" i="7"/>
  <c r="F378" i="7"/>
  <c r="F379" i="7"/>
  <c r="F380" i="7"/>
  <c r="F381" i="7"/>
  <c r="F382" i="7"/>
  <c r="F383" i="7"/>
  <c r="F384" i="7"/>
  <c r="F385" i="7"/>
  <c r="F386" i="7"/>
  <c r="F387" i="7"/>
  <c r="F388" i="7"/>
  <c r="F389" i="7"/>
  <c r="F390" i="7"/>
  <c r="F391" i="7"/>
  <c r="F392" i="7"/>
  <c r="F393" i="7"/>
  <c r="F394" i="7"/>
  <c r="F395" i="7"/>
  <c r="F396" i="7"/>
  <c r="F397" i="7"/>
  <c r="F398" i="7"/>
  <c r="F399" i="7"/>
  <c r="F400" i="7"/>
  <c r="F401" i="7"/>
  <c r="F402" i="7"/>
  <c r="F403" i="7"/>
  <c r="F404" i="7"/>
  <c r="F405" i="7"/>
  <c r="F406" i="7"/>
  <c r="F407" i="7"/>
  <c r="F408" i="7"/>
  <c r="F409" i="7"/>
  <c r="F410" i="7"/>
  <c r="F411" i="7"/>
  <c r="F412" i="7"/>
  <c r="F413" i="7"/>
  <c r="F414" i="7"/>
  <c r="F415" i="7"/>
  <c r="F416" i="7"/>
  <c r="F417" i="7"/>
  <c r="F418" i="7"/>
  <c r="F419" i="7"/>
  <c r="F420" i="7"/>
  <c r="F421" i="7"/>
  <c r="F422" i="7"/>
  <c r="F423" i="7"/>
  <c r="F424" i="7"/>
  <c r="F425" i="7"/>
  <c r="F426" i="7"/>
  <c r="F427" i="7"/>
  <c r="F428" i="7"/>
  <c r="F429" i="7"/>
  <c r="F430" i="7"/>
  <c r="F431" i="7"/>
  <c r="F432" i="7"/>
  <c r="F433" i="7"/>
  <c r="F434" i="7"/>
  <c r="F435" i="7"/>
  <c r="F436" i="7"/>
  <c r="F437" i="7"/>
  <c r="F438" i="7"/>
  <c r="F439" i="7"/>
  <c r="F440" i="7"/>
  <c r="F441" i="7"/>
  <c r="F442" i="7"/>
  <c r="F443" i="7"/>
  <c r="F444" i="7"/>
  <c r="F445" i="7"/>
  <c r="F446" i="7"/>
  <c r="F447" i="7"/>
  <c r="F448" i="7"/>
  <c r="F449" i="7"/>
  <c r="F450" i="7"/>
  <c r="F451" i="7"/>
  <c r="F452" i="7"/>
  <c r="F453" i="7"/>
  <c r="F454" i="7"/>
  <c r="F455" i="7"/>
  <c r="F456" i="7"/>
  <c r="F457" i="7"/>
  <c r="F458" i="7"/>
  <c r="F459" i="7"/>
  <c r="F460" i="7"/>
  <c r="F461" i="7"/>
  <c r="F462" i="7"/>
  <c r="F463" i="7"/>
  <c r="F464" i="7"/>
  <c r="F465" i="7"/>
  <c r="F466" i="7"/>
  <c r="F467" i="7"/>
  <c r="F468" i="7"/>
  <c r="F469" i="7"/>
  <c r="F470" i="7"/>
  <c r="F471" i="7"/>
  <c r="F472" i="7"/>
  <c r="F473" i="7"/>
  <c r="F474" i="7"/>
  <c r="F475" i="7"/>
  <c r="F476" i="7"/>
  <c r="F477" i="7"/>
  <c r="F478" i="7"/>
  <c r="F479" i="7"/>
  <c r="F480" i="7"/>
  <c r="F481" i="7"/>
  <c r="F482" i="7"/>
  <c r="F483" i="7"/>
  <c r="F484" i="7"/>
  <c r="F485" i="7"/>
  <c r="F486" i="7"/>
  <c r="F487" i="7"/>
  <c r="F488" i="7"/>
  <c r="F489" i="7"/>
  <c r="F490" i="7"/>
  <c r="F491" i="7"/>
  <c r="F492" i="7"/>
  <c r="F493" i="7"/>
  <c r="F494" i="7"/>
  <c r="F495" i="7"/>
  <c r="F496" i="7"/>
  <c r="F497" i="7"/>
  <c r="F498" i="7"/>
  <c r="F499" i="7"/>
  <c r="F500" i="7"/>
  <c r="F501" i="7"/>
  <c r="F502" i="7"/>
  <c r="F503" i="7"/>
  <c r="F504" i="7"/>
  <c r="F505" i="7"/>
  <c r="F506" i="7"/>
  <c r="F507" i="7"/>
  <c r="F508" i="7"/>
  <c r="F509" i="7"/>
  <c r="F510" i="7"/>
  <c r="F511" i="7"/>
  <c r="F512" i="7"/>
  <c r="F513" i="7"/>
  <c r="F514" i="7"/>
  <c r="F515" i="7"/>
  <c r="F516" i="7"/>
  <c r="F517" i="7"/>
  <c r="F518" i="7"/>
  <c r="F519" i="7"/>
  <c r="F520" i="7"/>
  <c r="F521" i="7"/>
  <c r="F522" i="7"/>
  <c r="F523" i="7"/>
  <c r="F524" i="7"/>
  <c r="F525" i="7"/>
  <c r="F526" i="7"/>
  <c r="F527" i="7"/>
  <c r="F528" i="7"/>
  <c r="F529" i="7"/>
  <c r="F530" i="7"/>
  <c r="F531" i="7"/>
  <c r="F532" i="7"/>
  <c r="F533" i="7"/>
  <c r="F534" i="7"/>
  <c r="F535" i="7"/>
  <c r="F536" i="7"/>
  <c r="F537" i="7"/>
  <c r="F538" i="7"/>
  <c r="F539" i="7"/>
  <c r="F540" i="7"/>
  <c r="F541" i="7"/>
  <c r="F542" i="7"/>
  <c r="F543" i="7"/>
  <c r="F544" i="7"/>
  <c r="F545" i="7"/>
  <c r="F546" i="7"/>
  <c r="F547" i="7"/>
  <c r="F548" i="7"/>
  <c r="F549" i="7"/>
  <c r="F550" i="7"/>
  <c r="F551" i="7"/>
  <c r="F552" i="7"/>
  <c r="F553" i="7"/>
  <c r="F554" i="7"/>
  <c r="F555" i="7"/>
  <c r="F556" i="7"/>
  <c r="F557" i="7"/>
  <c r="F558" i="7"/>
  <c r="F559" i="7"/>
  <c r="F560" i="7"/>
  <c r="F561" i="7"/>
  <c r="F562" i="7"/>
  <c r="F563" i="7"/>
  <c r="F564" i="7"/>
  <c r="F565" i="7"/>
  <c r="F566" i="7"/>
  <c r="F567" i="7"/>
  <c r="F568" i="7"/>
  <c r="F569" i="7"/>
  <c r="F570" i="7"/>
  <c r="F571" i="7"/>
  <c r="F572" i="7"/>
  <c r="F573" i="7"/>
  <c r="F574" i="7"/>
  <c r="F575" i="7"/>
  <c r="F576" i="7"/>
  <c r="F577" i="7"/>
  <c r="F578" i="7"/>
  <c r="F579" i="7"/>
  <c r="F580" i="7"/>
  <c r="F581" i="7"/>
  <c r="F582" i="7"/>
  <c r="F583" i="7"/>
  <c r="F584" i="7"/>
  <c r="F585" i="7"/>
  <c r="F586" i="7"/>
  <c r="F587" i="7"/>
  <c r="F588" i="7"/>
  <c r="F589" i="7"/>
  <c r="F590" i="7"/>
  <c r="F591" i="7"/>
  <c r="F592" i="7"/>
  <c r="F593" i="7"/>
  <c r="F594" i="7"/>
  <c r="F595" i="7"/>
  <c r="F596" i="7"/>
  <c r="F597" i="7"/>
  <c r="F598" i="7"/>
  <c r="F599" i="7"/>
  <c r="F600" i="7"/>
  <c r="F601" i="7"/>
  <c r="F602" i="7"/>
  <c r="F603" i="7"/>
  <c r="F604" i="7"/>
  <c r="F605" i="7"/>
  <c r="F606" i="7"/>
  <c r="F607" i="7"/>
  <c r="F608" i="7"/>
  <c r="F609" i="7"/>
  <c r="F610" i="7"/>
  <c r="F611" i="7"/>
  <c r="F612" i="7"/>
  <c r="F613" i="7"/>
  <c r="F614" i="7"/>
  <c r="F615" i="7"/>
  <c r="F616" i="7"/>
  <c r="F617" i="7"/>
  <c r="F618" i="7"/>
  <c r="F619" i="7"/>
  <c r="F620" i="7"/>
  <c r="F621" i="7"/>
  <c r="F622" i="7"/>
  <c r="F623" i="7"/>
  <c r="F624" i="7"/>
  <c r="F625" i="7"/>
  <c r="F626" i="7"/>
  <c r="F627" i="7"/>
  <c r="F628" i="7"/>
  <c r="F629" i="7"/>
  <c r="F630" i="7"/>
  <c r="F631" i="7"/>
  <c r="F632" i="7"/>
  <c r="F633" i="7"/>
  <c r="F634" i="7"/>
  <c r="F635" i="7"/>
  <c r="F636" i="7"/>
  <c r="F637" i="7"/>
  <c r="F638" i="7"/>
  <c r="F639" i="7"/>
  <c r="F640" i="7"/>
  <c r="F641" i="7"/>
  <c r="F642" i="7"/>
  <c r="F643" i="7"/>
  <c r="F644" i="7"/>
  <c r="F645" i="7"/>
  <c r="F646" i="7"/>
  <c r="F647" i="7"/>
  <c r="F648" i="7"/>
  <c r="F649" i="7"/>
  <c r="F650" i="7"/>
  <c r="F651" i="7"/>
  <c r="F652" i="7"/>
  <c r="F653" i="7"/>
  <c r="F654" i="7"/>
  <c r="F655" i="7"/>
  <c r="F656" i="7"/>
  <c r="F657" i="7"/>
  <c r="F658" i="7"/>
  <c r="F659" i="7"/>
  <c r="F660" i="7"/>
  <c r="F661" i="7"/>
  <c r="F662" i="7"/>
  <c r="F663" i="7"/>
  <c r="F664" i="7"/>
  <c r="F665" i="7"/>
  <c r="F666" i="7"/>
  <c r="F667" i="7"/>
  <c r="F668" i="7"/>
  <c r="F669" i="7"/>
  <c r="F670" i="7"/>
  <c r="F671" i="7"/>
  <c r="F672" i="7"/>
  <c r="F673" i="7"/>
  <c r="F674" i="7"/>
  <c r="F675" i="7"/>
  <c r="F676" i="7"/>
  <c r="F677" i="7"/>
  <c r="F678" i="7"/>
  <c r="F679" i="7"/>
  <c r="F680" i="7"/>
  <c r="F681" i="7"/>
  <c r="F682" i="7"/>
  <c r="F683" i="7"/>
  <c r="F684" i="7"/>
  <c r="F685" i="7"/>
  <c r="F686" i="7"/>
  <c r="F687" i="7"/>
  <c r="F688" i="7"/>
  <c r="F689" i="7"/>
  <c r="F690" i="7"/>
  <c r="F691" i="7"/>
  <c r="F692" i="7"/>
  <c r="F693" i="7"/>
  <c r="F694" i="7"/>
  <c r="F695" i="7"/>
  <c r="F696" i="7"/>
  <c r="F697" i="7"/>
  <c r="F698" i="7"/>
  <c r="F699" i="7"/>
  <c r="F700" i="7"/>
  <c r="F701" i="7"/>
  <c r="F702" i="7"/>
  <c r="F703" i="7"/>
  <c r="F704" i="7"/>
  <c r="F705" i="7"/>
  <c r="F706" i="7"/>
  <c r="F707" i="7"/>
  <c r="F708" i="7"/>
  <c r="F709" i="7"/>
  <c r="F710" i="7"/>
  <c r="F711" i="7"/>
  <c r="F712" i="7"/>
  <c r="F713" i="7"/>
  <c r="F714" i="7"/>
  <c r="F715" i="7"/>
  <c r="F716" i="7"/>
  <c r="F717" i="7"/>
  <c r="F718" i="7"/>
  <c r="F719" i="7"/>
  <c r="F720" i="7"/>
  <c r="F721" i="7"/>
  <c r="F722" i="7"/>
  <c r="F723" i="7"/>
  <c r="F724" i="7"/>
  <c r="F725" i="7"/>
  <c r="F726" i="7"/>
  <c r="F727" i="7"/>
  <c r="F728" i="7"/>
  <c r="F729" i="7"/>
  <c r="F730" i="7"/>
  <c r="F731" i="7"/>
  <c r="F732" i="7"/>
  <c r="F733" i="7"/>
  <c r="F734" i="7"/>
  <c r="F735" i="7"/>
  <c r="F736" i="7"/>
  <c r="F737" i="7"/>
  <c r="F738" i="7"/>
  <c r="F739" i="7"/>
  <c r="F740" i="7"/>
  <c r="F741" i="7"/>
  <c r="F742" i="7"/>
  <c r="F743" i="7"/>
  <c r="F744" i="7"/>
  <c r="F745" i="7"/>
  <c r="F746" i="7"/>
  <c r="F747" i="7"/>
  <c r="F748" i="7"/>
  <c r="F749" i="7"/>
  <c r="F750" i="7"/>
  <c r="F751" i="7"/>
  <c r="F752" i="7"/>
  <c r="F753" i="7"/>
  <c r="F754" i="7"/>
  <c r="F755" i="7"/>
  <c r="F756" i="7"/>
  <c r="F757" i="7"/>
  <c r="F758" i="7"/>
  <c r="F759" i="7"/>
  <c r="F760" i="7"/>
  <c r="F761" i="7"/>
  <c r="F762" i="7"/>
  <c r="F763" i="7"/>
  <c r="F764" i="7"/>
  <c r="F765" i="7"/>
  <c r="F766" i="7"/>
  <c r="F767" i="7"/>
  <c r="F768" i="7"/>
  <c r="F769" i="7"/>
  <c r="F770" i="7"/>
  <c r="F771" i="7"/>
  <c r="F772" i="7"/>
  <c r="F773" i="7"/>
  <c r="F774" i="7"/>
  <c r="F775" i="7"/>
  <c r="F776" i="7"/>
  <c r="F777" i="7"/>
  <c r="F778" i="7"/>
  <c r="F779" i="7"/>
  <c r="F780" i="7"/>
  <c r="F781" i="7"/>
  <c r="F782" i="7"/>
  <c r="F783" i="7"/>
  <c r="F784" i="7"/>
  <c r="F785" i="7"/>
  <c r="F786" i="7"/>
  <c r="F787" i="7"/>
  <c r="F788" i="7"/>
  <c r="F789" i="7"/>
  <c r="F790" i="7"/>
  <c r="F791" i="7"/>
  <c r="F792" i="7"/>
  <c r="F793" i="7"/>
  <c r="F794" i="7"/>
  <c r="F795" i="7"/>
  <c r="F796" i="7"/>
  <c r="F797" i="7"/>
  <c r="F798" i="7"/>
  <c r="F799" i="7"/>
  <c r="F800" i="7"/>
  <c r="F801" i="7"/>
  <c r="F802" i="7"/>
  <c r="F803" i="7"/>
  <c r="F804" i="7"/>
  <c r="F805" i="7"/>
  <c r="F806" i="7"/>
  <c r="F807" i="7"/>
  <c r="F808" i="7"/>
  <c r="F809" i="7"/>
  <c r="F810" i="7"/>
  <c r="F811" i="7"/>
  <c r="F812" i="7"/>
  <c r="F813" i="7"/>
  <c r="F814" i="7"/>
  <c r="F815" i="7"/>
  <c r="F816" i="7"/>
  <c r="F817" i="7"/>
  <c r="F818" i="7"/>
  <c r="F819" i="7"/>
  <c r="F820" i="7"/>
  <c r="F821" i="7"/>
  <c r="F822" i="7"/>
  <c r="F823" i="7"/>
  <c r="F824" i="7"/>
  <c r="F825" i="7"/>
  <c r="F826" i="7"/>
  <c r="F827" i="7"/>
  <c r="F828" i="7"/>
  <c r="F829" i="7"/>
  <c r="F830" i="7"/>
  <c r="F831" i="7"/>
  <c r="F832" i="7"/>
  <c r="F833" i="7"/>
  <c r="F834" i="7"/>
  <c r="F835" i="7"/>
  <c r="F836" i="7"/>
  <c r="F837" i="7"/>
  <c r="F838" i="7"/>
  <c r="F839" i="7"/>
  <c r="F840" i="7"/>
  <c r="F841" i="7"/>
  <c r="F842" i="7"/>
  <c r="F843" i="7"/>
  <c r="F844" i="7"/>
  <c r="F845" i="7"/>
  <c r="F846" i="7"/>
  <c r="F847" i="7"/>
  <c r="F848" i="7"/>
  <c r="F849" i="7"/>
  <c r="F850" i="7"/>
  <c r="F851" i="7"/>
  <c r="F852" i="7"/>
  <c r="F853" i="7"/>
  <c r="F854" i="7"/>
  <c r="F855" i="7"/>
  <c r="F856" i="7"/>
  <c r="F857" i="7"/>
  <c r="F858" i="7"/>
  <c r="F859" i="7"/>
  <c r="F860" i="7"/>
  <c r="F861" i="7"/>
  <c r="F862" i="7"/>
  <c r="F863" i="7"/>
  <c r="F864" i="7"/>
  <c r="F865" i="7"/>
  <c r="F866" i="7"/>
  <c r="F867" i="7"/>
  <c r="F868" i="7"/>
  <c r="F869" i="7"/>
  <c r="F870" i="7"/>
  <c r="F871" i="7"/>
  <c r="F872" i="7"/>
  <c r="F873" i="7"/>
  <c r="F874" i="7"/>
  <c r="F875" i="7"/>
  <c r="F876" i="7"/>
  <c r="F877" i="7"/>
  <c r="F878" i="7"/>
  <c r="F879" i="7"/>
  <c r="F880" i="7"/>
  <c r="F881" i="7"/>
  <c r="F882" i="7"/>
  <c r="F883" i="7"/>
  <c r="F884" i="7"/>
  <c r="F885" i="7"/>
  <c r="F886" i="7"/>
  <c r="F887" i="7"/>
  <c r="F888" i="7"/>
  <c r="F889" i="7"/>
  <c r="F890" i="7"/>
  <c r="F891" i="7"/>
  <c r="F892" i="7"/>
  <c r="F893" i="7"/>
  <c r="F894" i="7"/>
  <c r="F895" i="7"/>
  <c r="F896" i="7"/>
  <c r="F897" i="7"/>
  <c r="F898" i="7"/>
  <c r="F899" i="7"/>
  <c r="F900" i="7"/>
  <c r="F901" i="7"/>
  <c r="F902" i="7"/>
  <c r="F903" i="7"/>
  <c r="F904" i="7"/>
  <c r="F905" i="7"/>
  <c r="F906" i="7"/>
  <c r="F907" i="7"/>
  <c r="F908" i="7"/>
  <c r="F909" i="7"/>
  <c r="F910" i="7"/>
  <c r="F911" i="7"/>
  <c r="F912" i="7"/>
  <c r="F913" i="7"/>
  <c r="F914" i="7"/>
  <c r="F915" i="7"/>
  <c r="F916" i="7"/>
  <c r="F917" i="7"/>
  <c r="F918" i="7"/>
  <c r="F919" i="7"/>
  <c r="F920" i="7"/>
  <c r="F921" i="7"/>
  <c r="F922" i="7"/>
  <c r="F923" i="7"/>
  <c r="F924" i="7"/>
  <c r="F925" i="7"/>
  <c r="F926" i="7"/>
  <c r="F927" i="7"/>
  <c r="F928" i="7"/>
  <c r="F929" i="7"/>
  <c r="F930" i="7"/>
  <c r="F931" i="7"/>
  <c r="F932" i="7"/>
  <c r="F933" i="7"/>
  <c r="F934" i="7"/>
  <c r="F935" i="7"/>
  <c r="F936" i="7"/>
  <c r="F937" i="7"/>
  <c r="F938" i="7"/>
  <c r="F939" i="7"/>
  <c r="F940" i="7"/>
  <c r="F941" i="7"/>
  <c r="F942" i="7"/>
  <c r="F943" i="7"/>
  <c r="F944" i="7"/>
  <c r="F945" i="7"/>
  <c r="F946" i="7"/>
  <c r="F947" i="7"/>
  <c r="F948" i="7"/>
  <c r="F949" i="7"/>
  <c r="F950" i="7"/>
  <c r="F951" i="7"/>
  <c r="F952" i="7"/>
  <c r="F953" i="7"/>
  <c r="F954" i="7"/>
  <c r="F955" i="7"/>
  <c r="F956" i="7"/>
  <c r="F957" i="7"/>
  <c r="F958" i="7"/>
  <c r="F959" i="7"/>
  <c r="F960" i="7"/>
  <c r="F961" i="7"/>
  <c r="F962" i="7"/>
  <c r="F963" i="7"/>
  <c r="F964" i="7"/>
  <c r="F965" i="7"/>
  <c r="F966" i="7"/>
  <c r="F967" i="7"/>
  <c r="F968" i="7"/>
  <c r="F969" i="7"/>
  <c r="F970" i="7"/>
  <c r="F971" i="7"/>
  <c r="F972" i="7"/>
  <c r="F973" i="7"/>
  <c r="F974" i="7"/>
  <c r="F975" i="7"/>
  <c r="F976" i="7"/>
  <c r="F977" i="7"/>
  <c r="F978" i="7"/>
  <c r="F979" i="7"/>
  <c r="F980" i="7"/>
  <c r="F981" i="7"/>
  <c r="F982" i="7"/>
  <c r="F983" i="7"/>
  <c r="F984" i="7"/>
  <c r="F985" i="7"/>
  <c r="F986" i="7"/>
  <c r="F987" i="7"/>
  <c r="F988" i="7"/>
  <c r="F989" i="7"/>
  <c r="F990" i="7"/>
  <c r="F991" i="7"/>
  <c r="F992" i="7"/>
  <c r="F993" i="7"/>
  <c r="F994" i="7"/>
  <c r="F995" i="7"/>
  <c r="F996" i="7"/>
  <c r="F997" i="7"/>
  <c r="F998" i="7"/>
  <c r="F999" i="7"/>
  <c r="F1000" i="7"/>
  <c r="F1001" i="7"/>
  <c r="F1002" i="7"/>
  <c r="F1003" i="7"/>
  <c r="F1004" i="7"/>
  <c r="F1005" i="7"/>
  <c r="F1006" i="7"/>
  <c r="F1007" i="7"/>
  <c r="F1008" i="7"/>
  <c r="F1009" i="7"/>
  <c r="F1010" i="7"/>
  <c r="F1011" i="7"/>
  <c r="F1012" i="7"/>
  <c r="F1013" i="7"/>
  <c r="F1014" i="7"/>
  <c r="F1015" i="7"/>
  <c r="F1016" i="7"/>
  <c r="F1017" i="7"/>
  <c r="F1018" i="7"/>
  <c r="F1019" i="7"/>
  <c r="F1020" i="7"/>
  <c r="F1021" i="7"/>
  <c r="F1022" i="7"/>
  <c r="F1023" i="7"/>
  <c r="F1024" i="7"/>
  <c r="F1025" i="7"/>
  <c r="F1026" i="7"/>
  <c r="F1027" i="7"/>
  <c r="F1028" i="7"/>
  <c r="F1029" i="7"/>
  <c r="F1030" i="7"/>
  <c r="F1031" i="7"/>
  <c r="F1032" i="7"/>
  <c r="F1033" i="7"/>
  <c r="F1034" i="7"/>
  <c r="F1035" i="7"/>
  <c r="F1036" i="7"/>
  <c r="F1037" i="7"/>
  <c r="F1038" i="7"/>
  <c r="F1039" i="7"/>
  <c r="F1040" i="7"/>
  <c r="F1041" i="7"/>
  <c r="F1042" i="7"/>
  <c r="F1043" i="7"/>
  <c r="F1044" i="7"/>
  <c r="F1045" i="7"/>
  <c r="F1046" i="7"/>
  <c r="F1047" i="7"/>
  <c r="F1048" i="7"/>
  <c r="F1049" i="7"/>
  <c r="F1050" i="7"/>
  <c r="F1051" i="7"/>
  <c r="F1052" i="7"/>
  <c r="F1053" i="7"/>
  <c r="F1054" i="7"/>
  <c r="F1055" i="7"/>
  <c r="F1056" i="7"/>
  <c r="F1057" i="7"/>
  <c r="F1058" i="7"/>
  <c r="F1059" i="7"/>
  <c r="F1060" i="7"/>
  <c r="F1061" i="7"/>
  <c r="F1062" i="7"/>
  <c r="F1063" i="7"/>
  <c r="F1064" i="7"/>
  <c r="F1065" i="7"/>
  <c r="F1066" i="7"/>
  <c r="F1067" i="7"/>
  <c r="F1068" i="7"/>
  <c r="F1069" i="7"/>
  <c r="F1070" i="7"/>
  <c r="F1071" i="7"/>
  <c r="F1072" i="7"/>
  <c r="F1073" i="7"/>
  <c r="F1074" i="7"/>
  <c r="F1075" i="7"/>
  <c r="F1076" i="7"/>
  <c r="F1077" i="7"/>
  <c r="F1078" i="7"/>
  <c r="F1079" i="7"/>
  <c r="F1080" i="7"/>
  <c r="F1081" i="7"/>
  <c r="F1082" i="7"/>
  <c r="F1083" i="7"/>
  <c r="F1084" i="7"/>
  <c r="F1085" i="7"/>
  <c r="F1086" i="7"/>
  <c r="F1087" i="7"/>
  <c r="F1088" i="7"/>
  <c r="F1089" i="7"/>
  <c r="F1090" i="7"/>
  <c r="F1091" i="7"/>
  <c r="F1092" i="7"/>
  <c r="F1093" i="7"/>
  <c r="F1094" i="7"/>
  <c r="F1095" i="7"/>
  <c r="F1096" i="7"/>
  <c r="F1097" i="7"/>
  <c r="F1098" i="7"/>
  <c r="F1099" i="7"/>
  <c r="F1100" i="7"/>
  <c r="F1101" i="7"/>
  <c r="F1102" i="7"/>
  <c r="F1103" i="7"/>
  <c r="F1104" i="7"/>
  <c r="F1105" i="7"/>
  <c r="F1106" i="7"/>
  <c r="F1107" i="7"/>
  <c r="F1108" i="7"/>
  <c r="F1109" i="7"/>
  <c r="F1110" i="7"/>
  <c r="F1111" i="7"/>
  <c r="F1112" i="7"/>
  <c r="F1113" i="7"/>
  <c r="F1114" i="7"/>
  <c r="F1115" i="7"/>
  <c r="F1116" i="7"/>
  <c r="F1117" i="7"/>
  <c r="F1118" i="7"/>
  <c r="F1119" i="7"/>
  <c r="F1120" i="7"/>
  <c r="F1121" i="7"/>
  <c r="F1122" i="7"/>
  <c r="F1123" i="7"/>
  <c r="F1124" i="7"/>
  <c r="F1125" i="7"/>
  <c r="F1126" i="7"/>
  <c r="F1127" i="7"/>
  <c r="F1128" i="7"/>
  <c r="F1129" i="7"/>
  <c r="F1130" i="7"/>
  <c r="F1131" i="7"/>
  <c r="F1132" i="7"/>
  <c r="F1133" i="7"/>
  <c r="F1134" i="7"/>
  <c r="F1135" i="7"/>
  <c r="F1136" i="7"/>
  <c r="F1137" i="7"/>
  <c r="F1138" i="7"/>
  <c r="F1139" i="7"/>
  <c r="F1140" i="7"/>
  <c r="F1141" i="7"/>
  <c r="F1142" i="7"/>
  <c r="F1143" i="7"/>
  <c r="F1144" i="7"/>
  <c r="F1145" i="7"/>
  <c r="F1146" i="7"/>
  <c r="F1147" i="7"/>
  <c r="F1148" i="7"/>
  <c r="F1149" i="7"/>
  <c r="F1150" i="7"/>
  <c r="F1151" i="7"/>
  <c r="F1152" i="7"/>
  <c r="F1153" i="7"/>
  <c r="F1154" i="7"/>
  <c r="F1155" i="7"/>
  <c r="F1156" i="7"/>
  <c r="F1157" i="7"/>
  <c r="F1158" i="7"/>
  <c r="F1159" i="7"/>
  <c r="F1160" i="7"/>
  <c r="F1161" i="7"/>
  <c r="F1162" i="7"/>
  <c r="F1163" i="7"/>
  <c r="F1164" i="7"/>
  <c r="F1165" i="7"/>
  <c r="F1166" i="7"/>
  <c r="F1167" i="7"/>
  <c r="F1168" i="7"/>
  <c r="F1169" i="7"/>
  <c r="F1170" i="7"/>
  <c r="F1171" i="7"/>
  <c r="F1172" i="7"/>
  <c r="F1173" i="7"/>
  <c r="F1174" i="7"/>
  <c r="F1175" i="7"/>
  <c r="F1176" i="7"/>
  <c r="F1177" i="7"/>
  <c r="F1178" i="7"/>
  <c r="F1179" i="7"/>
  <c r="F1180" i="7"/>
  <c r="F1181" i="7"/>
  <c r="F1182" i="7"/>
  <c r="F1183" i="7"/>
  <c r="F1184" i="7"/>
  <c r="F1185" i="7"/>
  <c r="F1186" i="7"/>
  <c r="F1187" i="7"/>
  <c r="F1188" i="7"/>
  <c r="F1189" i="7"/>
  <c r="F1190" i="7"/>
  <c r="F1191" i="7"/>
  <c r="F1192" i="7"/>
  <c r="F1193" i="7"/>
  <c r="F1194" i="7"/>
  <c r="F1195" i="7"/>
  <c r="F1196" i="7"/>
  <c r="F1197" i="7"/>
  <c r="F1198" i="7"/>
  <c r="F1199" i="7"/>
  <c r="F1200" i="7"/>
  <c r="F1201" i="7"/>
  <c r="F1202" i="7"/>
  <c r="F1203" i="7"/>
  <c r="F1204" i="7"/>
  <c r="F1205" i="7"/>
  <c r="F1206" i="7"/>
  <c r="F1207" i="7"/>
  <c r="F1208" i="7"/>
  <c r="F1209" i="7"/>
  <c r="F1210" i="7"/>
  <c r="F1211" i="7"/>
  <c r="F1212" i="7"/>
  <c r="F1213" i="7"/>
  <c r="F1214" i="7"/>
  <c r="F1215" i="7"/>
  <c r="F1216" i="7"/>
  <c r="F1217" i="7"/>
  <c r="F1218" i="7"/>
  <c r="F1219" i="7"/>
  <c r="F1220" i="7"/>
  <c r="F1221" i="7"/>
  <c r="F1222" i="7"/>
  <c r="F1223" i="7"/>
  <c r="F1224" i="7"/>
  <c r="F1225" i="7"/>
  <c r="F1226" i="7"/>
  <c r="F1227" i="7"/>
  <c r="F1228" i="7"/>
  <c r="F1229" i="7"/>
  <c r="F1230" i="7"/>
  <c r="F1231" i="7"/>
  <c r="F1232" i="7"/>
  <c r="F1233" i="7"/>
  <c r="F1234" i="7"/>
  <c r="F1235" i="7"/>
  <c r="F1236" i="7"/>
  <c r="F1237" i="7"/>
  <c r="F1238" i="7"/>
  <c r="F1239" i="7"/>
  <c r="F1240" i="7"/>
  <c r="F1241" i="7"/>
  <c r="F1242" i="7"/>
  <c r="F1243" i="7"/>
  <c r="F1244" i="7"/>
  <c r="F1245" i="7"/>
  <c r="F1246" i="7"/>
  <c r="F1247" i="7"/>
  <c r="F1248" i="7"/>
  <c r="F1249" i="7"/>
  <c r="F1250" i="7"/>
  <c r="F1251" i="7"/>
  <c r="F1252" i="7"/>
  <c r="F1253" i="7"/>
  <c r="F1254" i="7"/>
  <c r="F1255" i="7"/>
  <c r="F1256" i="7"/>
  <c r="F1257" i="7"/>
  <c r="F1258" i="7"/>
  <c r="F1259" i="7"/>
  <c r="F1260" i="7"/>
  <c r="F1261" i="7"/>
  <c r="F1262" i="7"/>
  <c r="F1263" i="7"/>
  <c r="F1264" i="7"/>
  <c r="F1265" i="7"/>
  <c r="F1266" i="7"/>
  <c r="F1267" i="7"/>
  <c r="F1268" i="7"/>
  <c r="F1269" i="7"/>
  <c r="F1270" i="7"/>
  <c r="F1271" i="7"/>
  <c r="F1272" i="7"/>
  <c r="F1273" i="7"/>
  <c r="F1274" i="7"/>
  <c r="F1275" i="7"/>
  <c r="F1276" i="7"/>
  <c r="F1277" i="7"/>
  <c r="F1278" i="7"/>
  <c r="F1279" i="7"/>
  <c r="F1280" i="7"/>
  <c r="F1281" i="7"/>
  <c r="F1282" i="7"/>
  <c r="F1283" i="7"/>
  <c r="F1284" i="7"/>
  <c r="F1285" i="7"/>
  <c r="F1286" i="7"/>
  <c r="F1287" i="7"/>
  <c r="F1288" i="7"/>
  <c r="F1289" i="7"/>
  <c r="F1290" i="7"/>
  <c r="F1291" i="7"/>
  <c r="F1292" i="7"/>
  <c r="F1293" i="7"/>
  <c r="F1294" i="7"/>
  <c r="F1295" i="7"/>
  <c r="F1296" i="7"/>
  <c r="F1297" i="7"/>
  <c r="F1298" i="7"/>
  <c r="F1299" i="7"/>
  <c r="F1300" i="7"/>
  <c r="F1301" i="7"/>
  <c r="F1302" i="7"/>
  <c r="F1303" i="7"/>
  <c r="F1304" i="7"/>
  <c r="F1305" i="7"/>
  <c r="F1306" i="7"/>
  <c r="F1307" i="7"/>
  <c r="F1308" i="7"/>
  <c r="F1309" i="7"/>
  <c r="F1310" i="7"/>
  <c r="F1311" i="7"/>
  <c r="F1312" i="7"/>
  <c r="F1313" i="7"/>
  <c r="F1314" i="7"/>
  <c r="F1315" i="7"/>
  <c r="F1316" i="7"/>
  <c r="F1317" i="7"/>
  <c r="F1318" i="7"/>
  <c r="F1319" i="7"/>
  <c r="F1320" i="7"/>
  <c r="F1321" i="7"/>
  <c r="F1322" i="7"/>
  <c r="F1323" i="7"/>
  <c r="F1324" i="7"/>
  <c r="F1325" i="7"/>
  <c r="F1326" i="7"/>
  <c r="F1327" i="7"/>
  <c r="F1328" i="7"/>
  <c r="F1329" i="7"/>
  <c r="F1330" i="7"/>
  <c r="F1331" i="7"/>
  <c r="F1332" i="7"/>
  <c r="F1333" i="7"/>
  <c r="F1334" i="7"/>
  <c r="F1335" i="7"/>
  <c r="F1336" i="7"/>
  <c r="F1337" i="7"/>
  <c r="F1338" i="7"/>
  <c r="F1339" i="7"/>
  <c r="F1340" i="7"/>
  <c r="F1341" i="7"/>
  <c r="F1342" i="7"/>
  <c r="F1343" i="7"/>
  <c r="F1344" i="7"/>
  <c r="F1345" i="7"/>
  <c r="F1346" i="7"/>
  <c r="F1347" i="7"/>
  <c r="F1348" i="7"/>
  <c r="F1349" i="7"/>
  <c r="F1350" i="7"/>
  <c r="F1351" i="7"/>
  <c r="F1352" i="7"/>
  <c r="F1353" i="7"/>
  <c r="F1354" i="7"/>
  <c r="F1355" i="7"/>
  <c r="F1356" i="7"/>
  <c r="F1357" i="7"/>
  <c r="F1358" i="7"/>
  <c r="F1359" i="7"/>
  <c r="F1360" i="7"/>
  <c r="F1361" i="7"/>
  <c r="F1362" i="7"/>
  <c r="F1363" i="7"/>
  <c r="F1364" i="7"/>
  <c r="F1365" i="7"/>
  <c r="F1366" i="7"/>
  <c r="F1367" i="7"/>
  <c r="F1368" i="7"/>
  <c r="F1369" i="7"/>
  <c r="F1370" i="7"/>
  <c r="F1371" i="7"/>
  <c r="F1372" i="7"/>
  <c r="F1373" i="7"/>
  <c r="F1374" i="7"/>
  <c r="F1375" i="7"/>
  <c r="F1376" i="7"/>
  <c r="F1377" i="7"/>
  <c r="F1378" i="7"/>
  <c r="F1379" i="7"/>
  <c r="F1380" i="7"/>
  <c r="F1381" i="7"/>
  <c r="F1382" i="7"/>
  <c r="F1383" i="7"/>
  <c r="F1384" i="7"/>
  <c r="F1385" i="7"/>
  <c r="F1386" i="7"/>
  <c r="F1387" i="7"/>
  <c r="F1388" i="7"/>
  <c r="F1389" i="7"/>
  <c r="F1390" i="7"/>
  <c r="F1391" i="7"/>
  <c r="F1392" i="7"/>
  <c r="F1393" i="7"/>
  <c r="F1394" i="7"/>
  <c r="F1395" i="7"/>
  <c r="F1396" i="7"/>
  <c r="F1397" i="7"/>
  <c r="F1398" i="7"/>
  <c r="F1399" i="7"/>
  <c r="F1400" i="7"/>
  <c r="F1401" i="7"/>
  <c r="F1402" i="7"/>
  <c r="F1403" i="7"/>
  <c r="F1404" i="7"/>
  <c r="F1405" i="7"/>
  <c r="F1406" i="7"/>
  <c r="F1407" i="7"/>
  <c r="F1408" i="7"/>
  <c r="F1409" i="7"/>
  <c r="F1410" i="7"/>
  <c r="F1411" i="7"/>
  <c r="F1412" i="7"/>
  <c r="F1413" i="7"/>
  <c r="F1414" i="7"/>
  <c r="F1415" i="7"/>
  <c r="F1416" i="7"/>
  <c r="F1417" i="7"/>
  <c r="F1418" i="7"/>
  <c r="F1419" i="7"/>
  <c r="F1420" i="7"/>
  <c r="F1421" i="7"/>
  <c r="F1422" i="7"/>
  <c r="F1423" i="7"/>
  <c r="F1424" i="7"/>
  <c r="F1425" i="7"/>
  <c r="F1426" i="7"/>
  <c r="F1427" i="7"/>
  <c r="F1428" i="7"/>
  <c r="F1429" i="7"/>
  <c r="F1430" i="7"/>
  <c r="F1431" i="7"/>
  <c r="F1432" i="7"/>
  <c r="F1433" i="7"/>
  <c r="F1434" i="7"/>
  <c r="F1435" i="7"/>
  <c r="F1436" i="7"/>
  <c r="F1437" i="7"/>
  <c r="F1438" i="7"/>
  <c r="F1439" i="7"/>
  <c r="F1440" i="7"/>
  <c r="F1441" i="7"/>
  <c r="F1442" i="7"/>
  <c r="F1443" i="7"/>
  <c r="F1444" i="7"/>
  <c r="F1445" i="7"/>
  <c r="F1446" i="7"/>
  <c r="F1447" i="7"/>
  <c r="F1448" i="7"/>
  <c r="F1449" i="7"/>
  <c r="F1450" i="7"/>
  <c r="F1451" i="7"/>
  <c r="F1452" i="7"/>
  <c r="F1453" i="7"/>
  <c r="F1454" i="7"/>
  <c r="F1455" i="7"/>
  <c r="F1456" i="7"/>
  <c r="F1457" i="7"/>
  <c r="F1458" i="7"/>
  <c r="F1459" i="7"/>
  <c r="F1460" i="7"/>
  <c r="F1461" i="7"/>
  <c r="F1462" i="7"/>
  <c r="F1463" i="7"/>
  <c r="F1464" i="7"/>
  <c r="F1465" i="7"/>
  <c r="F1466" i="7"/>
  <c r="F1467" i="7"/>
  <c r="F1468" i="7"/>
  <c r="F1469" i="7"/>
  <c r="F1470" i="7"/>
  <c r="F1471" i="7"/>
  <c r="F1472" i="7"/>
  <c r="F1473" i="7"/>
  <c r="F1474" i="7"/>
  <c r="F1475" i="7"/>
  <c r="F1476" i="7"/>
  <c r="F1477" i="7"/>
  <c r="F1478" i="7"/>
  <c r="F1479" i="7"/>
  <c r="F1480" i="7"/>
  <c r="F1481" i="7"/>
  <c r="F1482" i="7"/>
  <c r="F1483" i="7"/>
  <c r="F1484" i="7"/>
  <c r="F1485" i="7"/>
  <c r="F1486" i="7"/>
  <c r="F1487" i="7"/>
  <c r="F1488" i="7"/>
  <c r="F1489" i="7"/>
  <c r="F1490" i="7"/>
  <c r="F1491" i="7"/>
  <c r="F1492" i="7"/>
  <c r="F1493" i="7"/>
  <c r="F1494" i="7"/>
  <c r="F1495" i="7"/>
  <c r="F1496" i="7"/>
  <c r="F1497" i="7"/>
  <c r="F1498" i="7"/>
  <c r="F1499" i="7"/>
  <c r="F1500" i="7"/>
  <c r="F1501" i="7"/>
  <c r="F1502" i="7"/>
  <c r="F1503" i="7"/>
  <c r="F1504" i="7"/>
  <c r="F1505" i="7"/>
  <c r="F1506" i="7"/>
  <c r="F1507" i="7"/>
  <c r="F1508" i="7"/>
  <c r="F1509" i="7"/>
  <c r="F1510" i="7"/>
  <c r="F1511" i="7"/>
  <c r="F1512" i="7"/>
  <c r="F1513" i="7"/>
  <c r="F1514" i="7"/>
  <c r="F1515" i="7"/>
  <c r="F1516" i="7"/>
  <c r="F1517" i="7"/>
  <c r="F1518" i="7"/>
  <c r="F1519" i="7"/>
  <c r="F1520" i="7"/>
  <c r="F1521" i="7"/>
  <c r="F1522" i="7"/>
  <c r="F1523" i="7"/>
  <c r="F1524" i="7"/>
  <c r="F1525" i="7"/>
  <c r="F1526" i="7"/>
  <c r="F1527" i="7"/>
  <c r="F1528" i="7"/>
  <c r="F1529" i="7"/>
  <c r="F1530" i="7"/>
  <c r="F1531" i="7"/>
  <c r="F1532" i="7"/>
  <c r="F1533" i="7"/>
  <c r="F1534" i="7"/>
  <c r="F1535" i="7"/>
  <c r="F1536" i="7"/>
  <c r="F1537" i="7"/>
  <c r="F1538" i="7"/>
  <c r="F1539" i="7"/>
  <c r="F1540" i="7"/>
  <c r="F1541" i="7"/>
  <c r="F1542" i="7"/>
  <c r="F1543" i="7"/>
  <c r="F1544" i="7"/>
  <c r="F1545" i="7"/>
  <c r="F1546" i="7"/>
  <c r="F1547" i="7"/>
  <c r="F1548" i="7"/>
  <c r="F1549" i="7"/>
  <c r="F1550" i="7"/>
  <c r="F1551" i="7"/>
  <c r="F1552" i="7"/>
  <c r="F1553" i="7"/>
  <c r="F1554" i="7"/>
  <c r="F1555" i="7"/>
  <c r="F1556" i="7"/>
  <c r="F1557" i="7"/>
  <c r="F1558" i="7"/>
  <c r="F1559" i="7"/>
  <c r="F1560" i="7"/>
  <c r="F1561" i="7"/>
  <c r="F1562" i="7"/>
  <c r="F1563" i="7"/>
  <c r="F1564" i="7"/>
  <c r="F1565" i="7"/>
  <c r="F1566" i="7"/>
  <c r="F1567" i="7"/>
  <c r="F1568" i="7"/>
  <c r="F1569" i="7"/>
  <c r="F1570" i="7"/>
  <c r="F1571" i="7"/>
  <c r="F1572" i="7"/>
  <c r="F1573" i="7"/>
  <c r="F1574" i="7"/>
  <c r="F1575" i="7"/>
  <c r="F1576" i="7"/>
  <c r="F1577" i="7"/>
  <c r="F1578" i="7"/>
  <c r="F1579" i="7"/>
  <c r="F1580" i="7"/>
  <c r="F1581" i="7"/>
  <c r="F1582" i="7"/>
  <c r="F1583" i="7"/>
  <c r="F1584" i="7"/>
  <c r="F1585" i="7"/>
  <c r="F1586" i="7"/>
  <c r="F1587" i="7"/>
  <c r="F1588" i="7"/>
  <c r="F1589" i="7"/>
  <c r="F1590" i="7"/>
  <c r="F1591" i="7"/>
  <c r="F1592" i="7"/>
  <c r="F1593" i="7"/>
  <c r="F1594" i="7"/>
  <c r="F1595" i="7"/>
  <c r="F1596" i="7"/>
  <c r="F1597" i="7"/>
  <c r="F1598" i="7"/>
  <c r="F1599" i="7"/>
  <c r="F1600" i="7"/>
  <c r="F1601" i="7"/>
  <c r="F1602" i="7"/>
  <c r="F1603" i="7"/>
  <c r="F1604" i="7"/>
  <c r="F1605" i="7"/>
  <c r="F1606" i="7"/>
  <c r="F1607" i="7"/>
  <c r="F1608" i="7"/>
  <c r="F1609" i="7"/>
  <c r="F1610" i="7"/>
  <c r="F1611" i="7"/>
  <c r="F1612" i="7"/>
  <c r="F1613" i="7"/>
  <c r="F1614" i="7"/>
  <c r="F1615" i="7"/>
  <c r="F1616" i="7"/>
  <c r="F1617" i="7"/>
  <c r="F1618" i="7"/>
  <c r="F1619" i="7"/>
  <c r="F1620" i="7"/>
  <c r="F1621" i="7"/>
  <c r="F1622" i="7"/>
  <c r="F1623" i="7"/>
  <c r="F1624" i="7"/>
  <c r="F1625" i="7"/>
  <c r="F1626" i="7"/>
  <c r="F1627" i="7"/>
  <c r="F1628" i="7"/>
  <c r="F1629" i="7"/>
  <c r="F1630" i="7"/>
  <c r="F1631" i="7"/>
  <c r="F1632" i="7"/>
  <c r="F1633" i="7"/>
  <c r="F1634" i="7"/>
  <c r="F1635" i="7"/>
  <c r="F1636" i="7"/>
  <c r="F1637" i="7"/>
  <c r="F1638" i="7"/>
  <c r="F1639" i="7"/>
  <c r="F1640" i="7"/>
  <c r="F1641" i="7"/>
  <c r="F1642" i="7"/>
  <c r="F1643" i="7"/>
  <c r="F1644" i="7"/>
  <c r="F1645" i="7"/>
  <c r="F1646" i="7"/>
  <c r="F1647" i="7"/>
  <c r="F1648" i="7"/>
  <c r="F1649" i="7"/>
  <c r="F1650" i="7"/>
  <c r="F1651" i="7"/>
  <c r="F1652" i="7"/>
  <c r="F1653" i="7"/>
  <c r="F1654" i="7"/>
  <c r="F1655" i="7"/>
  <c r="F1656" i="7"/>
  <c r="F1657" i="7"/>
  <c r="F1658" i="7"/>
  <c r="F1659" i="7"/>
  <c r="F1660" i="7"/>
  <c r="F1661" i="7"/>
  <c r="F1662" i="7"/>
  <c r="F1663" i="7"/>
  <c r="F1664" i="7"/>
  <c r="F1665" i="7"/>
  <c r="F1666" i="7"/>
  <c r="F1667" i="7"/>
  <c r="F1668" i="7"/>
  <c r="F1669" i="7"/>
  <c r="F1670" i="7"/>
  <c r="F1671" i="7"/>
  <c r="F1672" i="7"/>
  <c r="F1673" i="7"/>
  <c r="F1674" i="7"/>
  <c r="F1675" i="7"/>
  <c r="F1676" i="7"/>
  <c r="F1677" i="7"/>
  <c r="F1678" i="7"/>
  <c r="F1679" i="7"/>
  <c r="F1680" i="7"/>
  <c r="F1681" i="7"/>
  <c r="F1682" i="7"/>
  <c r="F1683" i="7"/>
  <c r="F1684" i="7"/>
  <c r="F1685" i="7"/>
  <c r="F1686" i="7"/>
  <c r="F1687" i="7"/>
  <c r="F1688" i="7"/>
  <c r="F1689" i="7"/>
  <c r="F1690" i="7"/>
  <c r="F1691" i="7"/>
  <c r="F1692" i="7"/>
  <c r="F1693" i="7"/>
  <c r="F1694" i="7"/>
  <c r="F1695" i="7"/>
  <c r="F1696" i="7"/>
  <c r="F1697" i="7"/>
  <c r="F1698" i="7"/>
  <c r="F1699" i="7"/>
  <c r="F1700" i="7"/>
  <c r="F1701" i="7"/>
  <c r="F1702" i="7"/>
  <c r="F1703" i="7"/>
  <c r="F1704" i="7"/>
  <c r="F1705" i="7"/>
  <c r="F1706" i="7"/>
  <c r="F1707" i="7"/>
  <c r="F1708" i="7"/>
  <c r="F1709" i="7"/>
  <c r="F1710" i="7"/>
  <c r="F1711" i="7"/>
  <c r="F1712" i="7"/>
  <c r="F1713" i="7"/>
  <c r="F1714" i="7"/>
  <c r="F1715" i="7"/>
  <c r="F1716" i="7"/>
  <c r="F1717" i="7"/>
  <c r="F1718" i="7"/>
  <c r="F1719" i="7"/>
  <c r="F1720" i="7"/>
  <c r="F1721" i="7"/>
  <c r="F1722" i="7"/>
  <c r="F1723" i="7"/>
  <c r="F1724" i="7"/>
  <c r="F1725" i="7"/>
  <c r="F1726" i="7"/>
  <c r="F1727" i="7"/>
  <c r="F1728" i="7"/>
  <c r="F1729" i="7"/>
  <c r="F1730" i="7"/>
  <c r="F1731" i="7"/>
  <c r="F1732" i="7"/>
  <c r="F1733" i="7"/>
  <c r="F1734" i="7"/>
  <c r="F1735" i="7"/>
  <c r="F1736" i="7"/>
  <c r="F1737" i="7"/>
  <c r="F1738" i="7"/>
  <c r="F1739" i="7"/>
  <c r="F1740" i="7"/>
  <c r="F1741" i="7"/>
  <c r="F1742" i="7"/>
  <c r="F1743" i="7"/>
  <c r="F1744" i="7"/>
  <c r="F1745" i="7"/>
  <c r="F1746" i="7"/>
  <c r="F1747" i="7"/>
  <c r="F1748" i="7"/>
  <c r="F1749" i="7"/>
  <c r="F1750" i="7"/>
  <c r="F1751" i="7"/>
  <c r="F1752" i="7"/>
  <c r="F1753" i="7"/>
  <c r="F1754" i="7"/>
  <c r="F1755" i="7"/>
  <c r="F1756" i="7"/>
  <c r="F1757" i="7"/>
  <c r="F1758" i="7"/>
  <c r="F1759" i="7"/>
  <c r="F1760" i="7"/>
  <c r="F1761" i="7"/>
  <c r="F1762" i="7"/>
  <c r="F1763" i="7"/>
  <c r="F1764" i="7"/>
  <c r="F1765" i="7"/>
  <c r="F1766" i="7"/>
  <c r="F1767" i="7"/>
  <c r="F1768" i="7"/>
  <c r="F1769" i="7"/>
  <c r="F1770" i="7"/>
  <c r="F1771" i="7"/>
  <c r="F1772" i="7"/>
  <c r="F1773" i="7"/>
  <c r="F1774" i="7"/>
  <c r="F1775" i="7"/>
  <c r="F1776" i="7"/>
  <c r="F1777" i="7"/>
  <c r="F1778" i="7"/>
  <c r="F1779" i="7"/>
  <c r="F1780" i="7"/>
  <c r="F1781" i="7"/>
  <c r="F1782" i="7"/>
  <c r="F1783" i="7"/>
  <c r="F1784" i="7"/>
  <c r="F1785" i="7"/>
  <c r="F1786" i="7"/>
  <c r="F1787" i="7"/>
  <c r="F1788" i="7"/>
  <c r="F1789" i="7"/>
  <c r="F1790" i="7"/>
  <c r="F1791" i="7"/>
  <c r="F1792" i="7"/>
  <c r="F1793" i="7"/>
  <c r="F1794" i="7"/>
  <c r="F1795" i="7"/>
  <c r="F1796" i="7"/>
  <c r="F1797" i="7"/>
  <c r="F1798" i="7"/>
  <c r="F1799" i="7"/>
  <c r="F1800" i="7"/>
  <c r="F1801" i="7"/>
  <c r="F1802" i="7"/>
  <c r="F1803" i="7"/>
  <c r="F1804" i="7"/>
  <c r="F1805" i="7"/>
  <c r="F1806" i="7"/>
  <c r="F1807" i="7"/>
  <c r="F1808" i="7"/>
  <c r="F1809" i="7"/>
  <c r="F1810" i="7"/>
  <c r="F1811" i="7"/>
  <c r="F1812" i="7"/>
  <c r="F1813" i="7"/>
  <c r="F1814" i="7"/>
  <c r="F1815" i="7"/>
  <c r="F1816" i="7"/>
  <c r="F1817" i="7"/>
  <c r="F1818" i="7"/>
  <c r="F1819" i="7"/>
  <c r="F1820" i="7"/>
  <c r="F1821" i="7"/>
  <c r="F1822" i="7"/>
  <c r="F1823" i="7"/>
  <c r="F1824" i="7"/>
  <c r="F1825" i="7"/>
  <c r="F1826" i="7"/>
  <c r="F1827" i="7"/>
  <c r="F1828" i="7"/>
  <c r="F1829" i="7"/>
  <c r="F1830" i="7"/>
  <c r="F1831" i="7"/>
  <c r="F1832" i="7"/>
  <c r="F1833" i="7"/>
  <c r="F1834" i="7"/>
  <c r="F1835" i="7"/>
  <c r="F1836" i="7"/>
  <c r="F1837" i="7"/>
  <c r="F1838" i="7"/>
  <c r="F1839" i="7"/>
  <c r="F1840" i="7"/>
  <c r="F1841" i="7"/>
  <c r="F1842" i="7"/>
  <c r="F1843" i="7"/>
  <c r="F1844" i="7"/>
  <c r="F1845" i="7"/>
  <c r="F1846" i="7"/>
  <c r="F1847" i="7"/>
  <c r="F1848" i="7"/>
  <c r="F1849" i="7"/>
  <c r="F1850" i="7"/>
  <c r="F1851" i="7"/>
  <c r="F1852" i="7"/>
  <c r="F1853" i="7"/>
  <c r="F1854" i="7"/>
  <c r="F1855" i="7"/>
  <c r="F1856" i="7"/>
  <c r="F1857" i="7"/>
  <c r="F1858" i="7"/>
  <c r="F1859" i="7"/>
  <c r="F1860" i="7"/>
  <c r="F1861" i="7"/>
  <c r="F1862" i="7"/>
  <c r="F1863" i="7"/>
  <c r="F1864" i="7"/>
  <c r="F1865" i="7"/>
  <c r="F1866" i="7"/>
  <c r="F1867" i="7"/>
  <c r="F1868" i="7"/>
  <c r="F1869" i="7"/>
  <c r="F1870" i="7"/>
  <c r="F1871" i="7"/>
  <c r="F1872" i="7"/>
  <c r="F1873" i="7"/>
  <c r="F1874" i="7"/>
  <c r="F1875" i="7"/>
  <c r="F1876" i="7"/>
  <c r="F1877" i="7"/>
  <c r="F1878" i="7"/>
  <c r="F1879" i="7"/>
  <c r="F1880" i="7"/>
  <c r="F1881" i="7"/>
  <c r="F1882" i="7"/>
  <c r="F1883" i="7"/>
  <c r="F1884" i="7"/>
  <c r="F1885" i="7"/>
  <c r="F1886" i="7"/>
  <c r="F1887" i="7"/>
  <c r="F1888" i="7"/>
  <c r="F1889" i="7"/>
  <c r="F1890" i="7"/>
  <c r="F1891" i="7"/>
  <c r="F1892" i="7"/>
  <c r="F1893" i="7"/>
  <c r="F1894" i="7"/>
  <c r="F1895" i="7"/>
  <c r="F1896" i="7"/>
  <c r="F1897" i="7"/>
  <c r="F1898" i="7"/>
  <c r="F1899" i="7"/>
  <c r="F1900" i="7"/>
  <c r="F1901" i="7"/>
  <c r="F1902" i="7"/>
  <c r="F1903" i="7"/>
  <c r="F1904" i="7"/>
  <c r="F1905" i="7"/>
  <c r="F1906" i="7"/>
  <c r="F1907" i="7"/>
  <c r="F1908" i="7"/>
  <c r="F1909" i="7"/>
  <c r="F1910" i="7"/>
  <c r="F1911" i="7"/>
  <c r="F1912" i="7"/>
  <c r="F1913" i="7"/>
  <c r="F1914" i="7"/>
  <c r="F1915" i="7"/>
  <c r="F1916" i="7"/>
  <c r="F1917" i="7"/>
  <c r="F1918" i="7"/>
  <c r="F1919" i="7"/>
  <c r="F1920" i="7"/>
  <c r="F1921" i="7"/>
  <c r="F1922" i="7"/>
  <c r="F1923" i="7"/>
  <c r="F1924" i="7"/>
  <c r="F1925" i="7"/>
  <c r="F1926" i="7"/>
  <c r="F1927" i="7"/>
  <c r="F1928" i="7"/>
  <c r="F1929" i="7"/>
  <c r="F1930" i="7"/>
  <c r="F1931" i="7"/>
  <c r="F1932" i="7"/>
  <c r="F2" i="7"/>
  <c r="E3" i="7"/>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101" i="7"/>
  <c r="E102" i="7"/>
  <c r="E103" i="7"/>
  <c r="E104" i="7"/>
  <c r="E105" i="7"/>
  <c r="E106" i="7"/>
  <c r="E107" i="7"/>
  <c r="E108" i="7"/>
  <c r="E109" i="7"/>
  <c r="E110" i="7"/>
  <c r="E111" i="7"/>
  <c r="E112" i="7"/>
  <c r="E113" i="7"/>
  <c r="E114" i="7"/>
  <c r="E115" i="7"/>
  <c r="E116" i="7"/>
  <c r="E117" i="7"/>
  <c r="E118" i="7"/>
  <c r="E119" i="7"/>
  <c r="E120" i="7"/>
  <c r="E121" i="7"/>
  <c r="E122" i="7"/>
  <c r="E123" i="7"/>
  <c r="E124" i="7"/>
  <c r="E125" i="7"/>
  <c r="E126" i="7"/>
  <c r="E127" i="7"/>
  <c r="E128" i="7"/>
  <c r="E129" i="7"/>
  <c r="E130" i="7"/>
  <c r="E131" i="7"/>
  <c r="E132" i="7"/>
  <c r="E133" i="7"/>
  <c r="E134" i="7"/>
  <c r="E135" i="7"/>
  <c r="E136" i="7"/>
  <c r="E137" i="7"/>
  <c r="E138" i="7"/>
  <c r="E139" i="7"/>
  <c r="E140" i="7"/>
  <c r="E141" i="7"/>
  <c r="E142" i="7"/>
  <c r="E143" i="7"/>
  <c r="E144" i="7"/>
  <c r="E145" i="7"/>
  <c r="E146" i="7"/>
  <c r="E147" i="7"/>
  <c r="E148" i="7"/>
  <c r="E149" i="7"/>
  <c r="E150" i="7"/>
  <c r="E151" i="7"/>
  <c r="E152" i="7"/>
  <c r="E153" i="7"/>
  <c r="E154" i="7"/>
  <c r="E155" i="7"/>
  <c r="E156" i="7"/>
  <c r="E157" i="7"/>
  <c r="E158" i="7"/>
  <c r="E159" i="7"/>
  <c r="E160" i="7"/>
  <c r="E161" i="7"/>
  <c r="E162" i="7"/>
  <c r="E163" i="7"/>
  <c r="E164" i="7"/>
  <c r="E165" i="7"/>
  <c r="E166" i="7"/>
  <c r="E167" i="7"/>
  <c r="E168" i="7"/>
  <c r="E169" i="7"/>
  <c r="E170" i="7"/>
  <c r="E171" i="7"/>
  <c r="E172" i="7"/>
  <c r="E173" i="7"/>
  <c r="E174" i="7"/>
  <c r="E175" i="7"/>
  <c r="E176" i="7"/>
  <c r="E177" i="7"/>
  <c r="E178" i="7"/>
  <c r="E179" i="7"/>
  <c r="E180" i="7"/>
  <c r="E181" i="7"/>
  <c r="E182" i="7"/>
  <c r="E183" i="7"/>
  <c r="E184" i="7"/>
  <c r="E185" i="7"/>
  <c r="E186" i="7"/>
  <c r="E187" i="7"/>
  <c r="E188" i="7"/>
  <c r="E189" i="7"/>
  <c r="E190" i="7"/>
  <c r="E191" i="7"/>
  <c r="E192" i="7"/>
  <c r="E193" i="7"/>
  <c r="E194" i="7"/>
  <c r="E195" i="7"/>
  <c r="E196" i="7"/>
  <c r="E197" i="7"/>
  <c r="E198" i="7"/>
  <c r="E199" i="7"/>
  <c r="E200" i="7"/>
  <c r="E201" i="7"/>
  <c r="E202" i="7"/>
  <c r="E203" i="7"/>
  <c r="E204" i="7"/>
  <c r="E205" i="7"/>
  <c r="E206" i="7"/>
  <c r="E207" i="7"/>
  <c r="E208" i="7"/>
  <c r="E209" i="7"/>
  <c r="E210" i="7"/>
  <c r="E211" i="7"/>
  <c r="E212" i="7"/>
  <c r="E213" i="7"/>
  <c r="E214" i="7"/>
  <c r="E215" i="7"/>
  <c r="E216" i="7"/>
  <c r="E217" i="7"/>
  <c r="E218" i="7"/>
  <c r="E219" i="7"/>
  <c r="E220" i="7"/>
  <c r="E221" i="7"/>
  <c r="E222" i="7"/>
  <c r="E223" i="7"/>
  <c r="E224" i="7"/>
  <c r="E225" i="7"/>
  <c r="E226" i="7"/>
  <c r="E227" i="7"/>
  <c r="E228" i="7"/>
  <c r="E229" i="7"/>
  <c r="E230" i="7"/>
  <c r="E231" i="7"/>
  <c r="E232" i="7"/>
  <c r="E233" i="7"/>
  <c r="E234" i="7"/>
  <c r="E235" i="7"/>
  <c r="E236" i="7"/>
  <c r="E237" i="7"/>
  <c r="E238" i="7"/>
  <c r="E239" i="7"/>
  <c r="E240" i="7"/>
  <c r="E241" i="7"/>
  <c r="E242" i="7"/>
  <c r="E243" i="7"/>
  <c r="E244" i="7"/>
  <c r="E245" i="7"/>
  <c r="E246" i="7"/>
  <c r="E247" i="7"/>
  <c r="E248" i="7"/>
  <c r="E249" i="7"/>
  <c r="E250" i="7"/>
  <c r="E251" i="7"/>
  <c r="E252" i="7"/>
  <c r="E253" i="7"/>
  <c r="E254" i="7"/>
  <c r="E255" i="7"/>
  <c r="E256" i="7"/>
  <c r="E257" i="7"/>
  <c r="E258" i="7"/>
  <c r="E259" i="7"/>
  <c r="E260" i="7"/>
  <c r="E261" i="7"/>
  <c r="E262" i="7"/>
  <c r="E263" i="7"/>
  <c r="E264" i="7"/>
  <c r="E265" i="7"/>
  <c r="E266" i="7"/>
  <c r="E267" i="7"/>
  <c r="E268" i="7"/>
  <c r="E269" i="7"/>
  <c r="E270" i="7"/>
  <c r="E271" i="7"/>
  <c r="E272" i="7"/>
  <c r="E273" i="7"/>
  <c r="E274" i="7"/>
  <c r="E275" i="7"/>
  <c r="E276" i="7"/>
  <c r="E277" i="7"/>
  <c r="E278" i="7"/>
  <c r="E279" i="7"/>
  <c r="E280" i="7"/>
  <c r="E281" i="7"/>
  <c r="E282" i="7"/>
  <c r="E283" i="7"/>
  <c r="E284" i="7"/>
  <c r="E285" i="7"/>
  <c r="E286" i="7"/>
  <c r="E287" i="7"/>
  <c r="E288" i="7"/>
  <c r="E289" i="7"/>
  <c r="E290" i="7"/>
  <c r="E291" i="7"/>
  <c r="E292" i="7"/>
  <c r="E293" i="7"/>
  <c r="E294" i="7"/>
  <c r="E295" i="7"/>
  <c r="E296" i="7"/>
  <c r="E297" i="7"/>
  <c r="E298" i="7"/>
  <c r="E299" i="7"/>
  <c r="E300" i="7"/>
  <c r="E301" i="7"/>
  <c r="E302" i="7"/>
  <c r="E303" i="7"/>
  <c r="E304" i="7"/>
  <c r="E305" i="7"/>
  <c r="E306" i="7"/>
  <c r="E307" i="7"/>
  <c r="E308" i="7"/>
  <c r="E309" i="7"/>
  <c r="E310" i="7"/>
  <c r="E311" i="7"/>
  <c r="E312" i="7"/>
  <c r="E313" i="7"/>
  <c r="E314" i="7"/>
  <c r="E315" i="7"/>
  <c r="E316" i="7"/>
  <c r="E317" i="7"/>
  <c r="E318" i="7"/>
  <c r="E319" i="7"/>
  <c r="E320" i="7"/>
  <c r="E321" i="7"/>
  <c r="E322" i="7"/>
  <c r="E323" i="7"/>
  <c r="E324" i="7"/>
  <c r="E325" i="7"/>
  <c r="E326" i="7"/>
  <c r="E327" i="7"/>
  <c r="E328" i="7"/>
  <c r="E329" i="7"/>
  <c r="E330" i="7"/>
  <c r="E331" i="7"/>
  <c r="E332" i="7"/>
  <c r="E333" i="7"/>
  <c r="E334" i="7"/>
  <c r="E335" i="7"/>
  <c r="E336" i="7"/>
  <c r="E337" i="7"/>
  <c r="E338" i="7"/>
  <c r="E339" i="7"/>
  <c r="E340" i="7"/>
  <c r="E341" i="7"/>
  <c r="E342" i="7"/>
  <c r="E343" i="7"/>
  <c r="E344" i="7"/>
  <c r="E345" i="7"/>
  <c r="E346" i="7"/>
  <c r="E347" i="7"/>
  <c r="E348" i="7"/>
  <c r="E349" i="7"/>
  <c r="E350" i="7"/>
  <c r="E351" i="7"/>
  <c r="E352" i="7"/>
  <c r="E353" i="7"/>
  <c r="E354" i="7"/>
  <c r="E355" i="7"/>
  <c r="E356" i="7"/>
  <c r="E357" i="7"/>
  <c r="E358" i="7"/>
  <c r="E359" i="7"/>
  <c r="E360" i="7"/>
  <c r="E361" i="7"/>
  <c r="E362" i="7"/>
  <c r="E363" i="7"/>
  <c r="E364" i="7"/>
  <c r="E365" i="7"/>
  <c r="E366" i="7"/>
  <c r="E367" i="7"/>
  <c r="E368" i="7"/>
  <c r="E369" i="7"/>
  <c r="E370" i="7"/>
  <c r="E371" i="7"/>
  <c r="E372" i="7"/>
  <c r="E373" i="7"/>
  <c r="E374" i="7"/>
  <c r="E375" i="7"/>
  <c r="E376" i="7"/>
  <c r="E377" i="7"/>
  <c r="E378" i="7"/>
  <c r="E379" i="7"/>
  <c r="E380" i="7"/>
  <c r="E381" i="7"/>
  <c r="E382" i="7"/>
  <c r="E383" i="7"/>
  <c r="E384" i="7"/>
  <c r="E385" i="7"/>
  <c r="E386" i="7"/>
  <c r="E387" i="7"/>
  <c r="E388" i="7"/>
  <c r="E389" i="7"/>
  <c r="E390" i="7"/>
  <c r="E391" i="7"/>
  <c r="E392" i="7"/>
  <c r="E393" i="7"/>
  <c r="E394" i="7"/>
  <c r="E395" i="7"/>
  <c r="E396" i="7"/>
  <c r="E397" i="7"/>
  <c r="E398" i="7"/>
  <c r="E399" i="7"/>
  <c r="E400" i="7"/>
  <c r="E401" i="7"/>
  <c r="E402" i="7"/>
  <c r="E403" i="7"/>
  <c r="E404" i="7"/>
  <c r="E405" i="7"/>
  <c r="E406" i="7"/>
  <c r="E407" i="7"/>
  <c r="E408" i="7"/>
  <c r="E409" i="7"/>
  <c r="E410" i="7"/>
  <c r="E411" i="7"/>
  <c r="E412" i="7"/>
  <c r="E413" i="7"/>
  <c r="E414" i="7"/>
  <c r="E415" i="7"/>
  <c r="E416" i="7"/>
  <c r="E417" i="7"/>
  <c r="E418" i="7"/>
  <c r="E419" i="7"/>
  <c r="E420" i="7"/>
  <c r="E421" i="7"/>
  <c r="E422" i="7"/>
  <c r="E423" i="7"/>
  <c r="E424" i="7"/>
  <c r="E425" i="7"/>
  <c r="E426" i="7"/>
  <c r="E427" i="7"/>
  <c r="E428" i="7"/>
  <c r="E429" i="7"/>
  <c r="E430" i="7"/>
  <c r="E431" i="7"/>
  <c r="E432" i="7"/>
  <c r="E433" i="7"/>
  <c r="E434" i="7"/>
  <c r="E435" i="7"/>
  <c r="E436" i="7"/>
  <c r="E437" i="7"/>
  <c r="E438" i="7"/>
  <c r="E439" i="7"/>
  <c r="E440" i="7"/>
  <c r="E441" i="7"/>
  <c r="E442" i="7"/>
  <c r="E443" i="7"/>
  <c r="E444" i="7"/>
  <c r="E445" i="7"/>
  <c r="E446" i="7"/>
  <c r="E447" i="7"/>
  <c r="E448" i="7"/>
  <c r="E449" i="7"/>
  <c r="E450" i="7"/>
  <c r="E451" i="7"/>
  <c r="E452" i="7"/>
  <c r="E453" i="7"/>
  <c r="E454" i="7"/>
  <c r="E455" i="7"/>
  <c r="E456" i="7"/>
  <c r="E457" i="7"/>
  <c r="E458" i="7"/>
  <c r="E459" i="7"/>
  <c r="E460" i="7"/>
  <c r="E461" i="7"/>
  <c r="E462" i="7"/>
  <c r="E463" i="7"/>
  <c r="E464" i="7"/>
  <c r="E465" i="7"/>
  <c r="E466" i="7"/>
  <c r="E467" i="7"/>
  <c r="E468" i="7"/>
  <c r="E469" i="7"/>
  <c r="E470" i="7"/>
  <c r="E471" i="7"/>
  <c r="E472" i="7"/>
  <c r="E473" i="7"/>
  <c r="E474" i="7"/>
  <c r="E475" i="7"/>
  <c r="E476" i="7"/>
  <c r="E477" i="7"/>
  <c r="E478" i="7"/>
  <c r="E479" i="7"/>
  <c r="E480" i="7"/>
  <c r="E481" i="7"/>
  <c r="E482" i="7"/>
  <c r="E483" i="7"/>
  <c r="E484" i="7"/>
  <c r="E485" i="7"/>
  <c r="E486" i="7"/>
  <c r="E487" i="7"/>
  <c r="E488" i="7"/>
  <c r="E489" i="7"/>
  <c r="E490" i="7"/>
  <c r="E491" i="7"/>
  <c r="E492" i="7"/>
  <c r="E493" i="7"/>
  <c r="E494" i="7"/>
  <c r="E495" i="7"/>
  <c r="E496" i="7"/>
  <c r="E497" i="7"/>
  <c r="E498" i="7"/>
  <c r="E499" i="7"/>
  <c r="E500" i="7"/>
  <c r="E501" i="7"/>
  <c r="E502" i="7"/>
  <c r="E503" i="7"/>
  <c r="E504" i="7"/>
  <c r="E505" i="7"/>
  <c r="E506" i="7"/>
  <c r="E507" i="7"/>
  <c r="E508" i="7"/>
  <c r="E509" i="7"/>
  <c r="E510" i="7"/>
  <c r="E511" i="7"/>
  <c r="E512" i="7"/>
  <c r="E513" i="7"/>
  <c r="E514" i="7"/>
  <c r="E515" i="7"/>
  <c r="E516" i="7"/>
  <c r="E517" i="7"/>
  <c r="E518" i="7"/>
  <c r="E519" i="7"/>
  <c r="E520" i="7"/>
  <c r="E521" i="7"/>
  <c r="E522" i="7"/>
  <c r="E523" i="7"/>
  <c r="E524" i="7"/>
  <c r="E525" i="7"/>
  <c r="E526" i="7"/>
  <c r="E527" i="7"/>
  <c r="E528" i="7"/>
  <c r="E529" i="7"/>
  <c r="E530" i="7"/>
  <c r="E531" i="7"/>
  <c r="E532" i="7"/>
  <c r="E533" i="7"/>
  <c r="E534" i="7"/>
  <c r="E535" i="7"/>
  <c r="E536" i="7"/>
  <c r="E537" i="7"/>
  <c r="E538" i="7"/>
  <c r="E539" i="7"/>
  <c r="E540" i="7"/>
  <c r="E541" i="7"/>
  <c r="E542" i="7"/>
  <c r="E543" i="7"/>
  <c r="E544" i="7"/>
  <c r="E545" i="7"/>
  <c r="E546" i="7"/>
  <c r="E547" i="7"/>
  <c r="E548" i="7"/>
  <c r="E549" i="7"/>
  <c r="E550" i="7"/>
  <c r="E551" i="7"/>
  <c r="E552" i="7"/>
  <c r="E553" i="7"/>
  <c r="E554" i="7"/>
  <c r="E555" i="7"/>
  <c r="E556" i="7"/>
  <c r="E557" i="7"/>
  <c r="E558" i="7"/>
  <c r="E559" i="7"/>
  <c r="E560" i="7"/>
  <c r="E561" i="7"/>
  <c r="E562" i="7"/>
  <c r="E563" i="7"/>
  <c r="E564" i="7"/>
  <c r="E565" i="7"/>
  <c r="E566" i="7"/>
  <c r="E567" i="7"/>
  <c r="E568" i="7"/>
  <c r="E569" i="7"/>
  <c r="E570" i="7"/>
  <c r="E571" i="7"/>
  <c r="E572" i="7"/>
  <c r="E573" i="7"/>
  <c r="E574" i="7"/>
  <c r="E575" i="7"/>
  <c r="E576" i="7"/>
  <c r="E577" i="7"/>
  <c r="E578" i="7"/>
  <c r="E579" i="7"/>
  <c r="E580" i="7"/>
  <c r="E581" i="7"/>
  <c r="E582" i="7"/>
  <c r="E583" i="7"/>
  <c r="E584" i="7"/>
  <c r="E585" i="7"/>
  <c r="E586" i="7"/>
  <c r="E587" i="7"/>
  <c r="E588" i="7"/>
  <c r="E589" i="7"/>
  <c r="E590" i="7"/>
  <c r="E591" i="7"/>
  <c r="E592" i="7"/>
  <c r="E593" i="7"/>
  <c r="E594" i="7"/>
  <c r="E595" i="7"/>
  <c r="E596" i="7"/>
  <c r="E597" i="7"/>
  <c r="E598" i="7"/>
  <c r="E599" i="7"/>
  <c r="E600" i="7"/>
  <c r="E601" i="7"/>
  <c r="E602" i="7"/>
  <c r="E603" i="7"/>
  <c r="E604" i="7"/>
  <c r="E605" i="7"/>
  <c r="E606" i="7"/>
  <c r="E607" i="7"/>
  <c r="E608" i="7"/>
  <c r="E609" i="7"/>
  <c r="E610" i="7"/>
  <c r="E611" i="7"/>
  <c r="E612" i="7"/>
  <c r="E613" i="7"/>
  <c r="E614" i="7"/>
  <c r="E615" i="7"/>
  <c r="E616" i="7"/>
  <c r="E617" i="7"/>
  <c r="E618" i="7"/>
  <c r="E619" i="7"/>
  <c r="E620" i="7"/>
  <c r="E621" i="7"/>
  <c r="E622" i="7"/>
  <c r="E623" i="7"/>
  <c r="E624" i="7"/>
  <c r="E625" i="7"/>
  <c r="E626" i="7"/>
  <c r="E627" i="7"/>
  <c r="E628" i="7"/>
  <c r="E629" i="7"/>
  <c r="E630" i="7"/>
  <c r="E631" i="7"/>
  <c r="E632" i="7"/>
  <c r="E633" i="7"/>
  <c r="E634" i="7"/>
  <c r="E635" i="7"/>
  <c r="E636" i="7"/>
  <c r="E637" i="7"/>
  <c r="E638" i="7"/>
  <c r="E639" i="7"/>
  <c r="E640" i="7"/>
  <c r="E641" i="7"/>
  <c r="E642" i="7"/>
  <c r="E643" i="7"/>
  <c r="E644" i="7"/>
  <c r="E645" i="7"/>
  <c r="E646" i="7"/>
  <c r="E647" i="7"/>
  <c r="E648" i="7"/>
  <c r="E649" i="7"/>
  <c r="E650" i="7"/>
  <c r="E651" i="7"/>
  <c r="E652" i="7"/>
  <c r="E653" i="7"/>
  <c r="E654" i="7"/>
  <c r="E655" i="7"/>
  <c r="E656" i="7"/>
  <c r="E657" i="7"/>
  <c r="E658" i="7"/>
  <c r="E659" i="7"/>
  <c r="E660" i="7"/>
  <c r="E661" i="7"/>
  <c r="E662" i="7"/>
  <c r="E663" i="7"/>
  <c r="E664" i="7"/>
  <c r="E665" i="7"/>
  <c r="E666" i="7"/>
  <c r="E667" i="7"/>
  <c r="E668" i="7"/>
  <c r="E669" i="7"/>
  <c r="E670" i="7"/>
  <c r="E671" i="7"/>
  <c r="E672" i="7"/>
  <c r="E673" i="7"/>
  <c r="E674" i="7"/>
  <c r="E675" i="7"/>
  <c r="E676" i="7"/>
  <c r="E677" i="7"/>
  <c r="E678" i="7"/>
  <c r="E679" i="7"/>
  <c r="E680" i="7"/>
  <c r="E681" i="7"/>
  <c r="E682" i="7"/>
  <c r="E683" i="7"/>
  <c r="E684" i="7"/>
  <c r="E685" i="7"/>
  <c r="E686" i="7"/>
  <c r="E687" i="7"/>
  <c r="E688" i="7"/>
  <c r="E689" i="7"/>
  <c r="E690" i="7"/>
  <c r="E691" i="7"/>
  <c r="E692" i="7"/>
  <c r="E693" i="7"/>
  <c r="E694" i="7"/>
  <c r="E695" i="7"/>
  <c r="E696" i="7"/>
  <c r="E697" i="7"/>
  <c r="E698" i="7"/>
  <c r="E699" i="7"/>
  <c r="E700" i="7"/>
  <c r="E701" i="7"/>
  <c r="E702" i="7"/>
  <c r="E703" i="7"/>
  <c r="F94" i="14" s="1"/>
  <c r="E704" i="7"/>
  <c r="E705" i="7"/>
  <c r="E706" i="7"/>
  <c r="E707" i="7"/>
  <c r="E708" i="7"/>
  <c r="E709" i="7"/>
  <c r="E710" i="7"/>
  <c r="E711" i="7"/>
  <c r="E712" i="7"/>
  <c r="E713" i="7"/>
  <c r="E714" i="7"/>
  <c r="E715" i="7"/>
  <c r="E716" i="7"/>
  <c r="E717" i="7"/>
  <c r="E718" i="7"/>
  <c r="E719" i="7"/>
  <c r="E720" i="7"/>
  <c r="E721" i="7"/>
  <c r="E722" i="7"/>
  <c r="E723" i="7"/>
  <c r="E724" i="7"/>
  <c r="E725" i="7"/>
  <c r="E726" i="7"/>
  <c r="E727" i="7"/>
  <c r="E728" i="7"/>
  <c r="E729" i="7"/>
  <c r="E730" i="7"/>
  <c r="E731" i="7"/>
  <c r="E732" i="7"/>
  <c r="E733" i="7"/>
  <c r="E734" i="7"/>
  <c r="E735" i="7"/>
  <c r="E736" i="7"/>
  <c r="E737" i="7"/>
  <c r="E738" i="7"/>
  <c r="E739" i="7"/>
  <c r="E740" i="7"/>
  <c r="E741" i="7"/>
  <c r="E742" i="7"/>
  <c r="E743" i="7"/>
  <c r="E744" i="7"/>
  <c r="E745" i="7"/>
  <c r="E746" i="7"/>
  <c r="E747" i="7"/>
  <c r="E748" i="7"/>
  <c r="E749" i="7"/>
  <c r="E750" i="7"/>
  <c r="E751" i="7"/>
  <c r="E752" i="7"/>
  <c r="E753" i="7"/>
  <c r="E754" i="7"/>
  <c r="E755" i="7"/>
  <c r="E756" i="7"/>
  <c r="E757" i="7"/>
  <c r="E758" i="7"/>
  <c r="E759" i="7"/>
  <c r="E760" i="7"/>
  <c r="E761" i="7"/>
  <c r="E762" i="7"/>
  <c r="E763" i="7"/>
  <c r="E764" i="7"/>
  <c r="E765" i="7"/>
  <c r="E766" i="7"/>
  <c r="E767" i="7"/>
  <c r="E768" i="7"/>
  <c r="E769" i="7"/>
  <c r="E770" i="7"/>
  <c r="E771" i="7"/>
  <c r="E772" i="7"/>
  <c r="E773" i="7"/>
  <c r="E774" i="7"/>
  <c r="E775" i="7"/>
  <c r="E776" i="7"/>
  <c r="E777" i="7"/>
  <c r="E778" i="7"/>
  <c r="E779" i="7"/>
  <c r="E780" i="7"/>
  <c r="E781" i="7"/>
  <c r="E782" i="7"/>
  <c r="E783" i="7"/>
  <c r="E784" i="7"/>
  <c r="E785" i="7"/>
  <c r="E786" i="7"/>
  <c r="E787" i="7"/>
  <c r="E788" i="7"/>
  <c r="E789" i="7"/>
  <c r="E790" i="7"/>
  <c r="E791" i="7"/>
  <c r="E792" i="7"/>
  <c r="E793" i="7"/>
  <c r="E794" i="7"/>
  <c r="E795" i="7"/>
  <c r="E796" i="7"/>
  <c r="E797" i="7"/>
  <c r="E798" i="7"/>
  <c r="E799" i="7"/>
  <c r="E800" i="7"/>
  <c r="E801" i="7"/>
  <c r="E802" i="7"/>
  <c r="E803" i="7"/>
  <c r="E804" i="7"/>
  <c r="E805" i="7"/>
  <c r="E806" i="7"/>
  <c r="E807" i="7"/>
  <c r="E808" i="7"/>
  <c r="E809" i="7"/>
  <c r="E810" i="7"/>
  <c r="E811" i="7"/>
  <c r="F93" i="14" s="1"/>
  <c r="E812" i="7"/>
  <c r="E813" i="7"/>
  <c r="E814" i="7"/>
  <c r="E815" i="7"/>
  <c r="E816" i="7"/>
  <c r="E817" i="7"/>
  <c r="E818" i="7"/>
  <c r="E819" i="7"/>
  <c r="E820" i="7"/>
  <c r="E821" i="7"/>
  <c r="E822" i="7"/>
  <c r="E823" i="7"/>
  <c r="E824" i="7"/>
  <c r="E825" i="7"/>
  <c r="E826" i="7"/>
  <c r="E827" i="7"/>
  <c r="E828" i="7"/>
  <c r="E829" i="7"/>
  <c r="E830" i="7"/>
  <c r="E831" i="7"/>
  <c r="E832" i="7"/>
  <c r="E833" i="7"/>
  <c r="E834" i="7"/>
  <c r="E835" i="7"/>
  <c r="E836" i="7"/>
  <c r="E837" i="7"/>
  <c r="E838" i="7"/>
  <c r="E839" i="7"/>
  <c r="E840" i="7"/>
  <c r="E841" i="7"/>
  <c r="E842" i="7"/>
  <c r="E843" i="7"/>
  <c r="E844" i="7"/>
  <c r="E845" i="7"/>
  <c r="E846" i="7"/>
  <c r="E847" i="7"/>
  <c r="E848" i="7"/>
  <c r="E849" i="7"/>
  <c r="E850" i="7"/>
  <c r="E851" i="7"/>
  <c r="E852" i="7"/>
  <c r="E853" i="7"/>
  <c r="E854" i="7"/>
  <c r="E855" i="7"/>
  <c r="E856" i="7"/>
  <c r="E857" i="7"/>
  <c r="E858" i="7"/>
  <c r="E859" i="7"/>
  <c r="E860" i="7"/>
  <c r="E861" i="7"/>
  <c r="E862" i="7"/>
  <c r="E863" i="7"/>
  <c r="E864" i="7"/>
  <c r="E865" i="7"/>
  <c r="E866" i="7"/>
  <c r="E867" i="7"/>
  <c r="E868" i="7"/>
  <c r="E869" i="7"/>
  <c r="E870" i="7"/>
  <c r="E871" i="7"/>
  <c r="E872" i="7"/>
  <c r="E873" i="7"/>
  <c r="E874" i="7"/>
  <c r="E875" i="7"/>
  <c r="E876" i="7"/>
  <c r="E877" i="7"/>
  <c r="E878" i="7"/>
  <c r="E879" i="7"/>
  <c r="E880" i="7"/>
  <c r="E881" i="7"/>
  <c r="E882" i="7"/>
  <c r="E883" i="7"/>
  <c r="E884" i="7"/>
  <c r="E885" i="7"/>
  <c r="E886" i="7"/>
  <c r="E887" i="7"/>
  <c r="E888" i="7"/>
  <c r="E889" i="7"/>
  <c r="E890" i="7"/>
  <c r="E891" i="7"/>
  <c r="E892" i="7"/>
  <c r="E893" i="7"/>
  <c r="E894" i="7"/>
  <c r="E895" i="7"/>
  <c r="E896" i="7"/>
  <c r="E897" i="7"/>
  <c r="E898" i="7"/>
  <c r="E899" i="7"/>
  <c r="E900" i="7"/>
  <c r="E901" i="7"/>
  <c r="E902" i="7"/>
  <c r="E903" i="7"/>
  <c r="E904" i="7"/>
  <c r="E905" i="7"/>
  <c r="E906" i="7"/>
  <c r="E907" i="7"/>
  <c r="E908" i="7"/>
  <c r="E909" i="7"/>
  <c r="E910" i="7"/>
  <c r="E911" i="7"/>
  <c r="E912" i="7"/>
  <c r="E913" i="7"/>
  <c r="E914" i="7"/>
  <c r="E915" i="7"/>
  <c r="E916" i="7"/>
  <c r="E917" i="7"/>
  <c r="E918" i="7"/>
  <c r="E919" i="7"/>
  <c r="E920" i="7"/>
  <c r="E921" i="7"/>
  <c r="E922" i="7"/>
  <c r="E923" i="7"/>
  <c r="E924" i="7"/>
  <c r="E925" i="7"/>
  <c r="E926" i="7"/>
  <c r="E927" i="7"/>
  <c r="E928" i="7"/>
  <c r="E929" i="7"/>
  <c r="E930" i="7"/>
  <c r="E931" i="7"/>
  <c r="E932" i="7"/>
  <c r="E933" i="7"/>
  <c r="E934" i="7"/>
  <c r="E935" i="7"/>
  <c r="E936" i="7"/>
  <c r="E937" i="7"/>
  <c r="E938" i="7"/>
  <c r="E939" i="7"/>
  <c r="E940" i="7"/>
  <c r="E941" i="7"/>
  <c r="E942" i="7"/>
  <c r="E943" i="7"/>
  <c r="E944" i="7"/>
  <c r="E945" i="7"/>
  <c r="E946" i="7"/>
  <c r="E947" i="7"/>
  <c r="E948" i="7"/>
  <c r="E949" i="7"/>
  <c r="E950" i="7"/>
  <c r="E951" i="7"/>
  <c r="E952" i="7"/>
  <c r="E953" i="7"/>
  <c r="E954" i="7"/>
  <c r="E955" i="7"/>
  <c r="E956" i="7"/>
  <c r="E957" i="7"/>
  <c r="E958" i="7"/>
  <c r="E959" i="7"/>
  <c r="E960" i="7"/>
  <c r="E961" i="7"/>
  <c r="E962" i="7"/>
  <c r="E963" i="7"/>
  <c r="E964" i="7"/>
  <c r="E965" i="7"/>
  <c r="E966" i="7"/>
  <c r="E967" i="7"/>
  <c r="E968" i="7"/>
  <c r="E969" i="7"/>
  <c r="E970" i="7"/>
  <c r="E971" i="7"/>
  <c r="E972" i="7"/>
  <c r="E973" i="7"/>
  <c r="E974" i="7"/>
  <c r="E975" i="7"/>
  <c r="E976" i="7"/>
  <c r="E977" i="7"/>
  <c r="E978" i="7"/>
  <c r="E979" i="7"/>
  <c r="E980" i="7"/>
  <c r="E981" i="7"/>
  <c r="E982" i="7"/>
  <c r="E983" i="7"/>
  <c r="E984" i="7"/>
  <c r="E985" i="7"/>
  <c r="E986" i="7"/>
  <c r="E987" i="7"/>
  <c r="E988" i="7"/>
  <c r="E989" i="7"/>
  <c r="E990" i="7"/>
  <c r="E991" i="7"/>
  <c r="E992" i="7"/>
  <c r="E993" i="7"/>
  <c r="E994" i="7"/>
  <c r="E995" i="7"/>
  <c r="E996" i="7"/>
  <c r="E997" i="7"/>
  <c r="E998" i="7"/>
  <c r="E999" i="7"/>
  <c r="E1000" i="7"/>
  <c r="E1001" i="7"/>
  <c r="E1002" i="7"/>
  <c r="E1003" i="7"/>
  <c r="E1004" i="7"/>
  <c r="E1005" i="7"/>
  <c r="E1006" i="7"/>
  <c r="E1007" i="7"/>
  <c r="E1008" i="7"/>
  <c r="E1009" i="7"/>
  <c r="E1010" i="7"/>
  <c r="E1011" i="7"/>
  <c r="E1012" i="7"/>
  <c r="E1013" i="7"/>
  <c r="E1014" i="7"/>
  <c r="E1015" i="7"/>
  <c r="E1016" i="7"/>
  <c r="E1017" i="7"/>
  <c r="E1018" i="7"/>
  <c r="E1019" i="7"/>
  <c r="E1020" i="7"/>
  <c r="E1021" i="7"/>
  <c r="E1022" i="7"/>
  <c r="E1023" i="7"/>
  <c r="E1024" i="7"/>
  <c r="E1025" i="7"/>
  <c r="E1026" i="7"/>
  <c r="E1027" i="7"/>
  <c r="E1028" i="7"/>
  <c r="E1029" i="7"/>
  <c r="E1030" i="7"/>
  <c r="E1031" i="7"/>
  <c r="E1032" i="7"/>
  <c r="E1033" i="7"/>
  <c r="E1034" i="7"/>
  <c r="E1035" i="7"/>
  <c r="E1036" i="7"/>
  <c r="E1037" i="7"/>
  <c r="E1038" i="7"/>
  <c r="E1039" i="7"/>
  <c r="E1040" i="7"/>
  <c r="E1041" i="7"/>
  <c r="E1042" i="7"/>
  <c r="E1043" i="7"/>
  <c r="E1044" i="7"/>
  <c r="E1045" i="7"/>
  <c r="E1046" i="7"/>
  <c r="E1047" i="7"/>
  <c r="E1048" i="7"/>
  <c r="E1049" i="7"/>
  <c r="E1050" i="7"/>
  <c r="E1051" i="7"/>
  <c r="E1052" i="7"/>
  <c r="E1053" i="7"/>
  <c r="E1054" i="7"/>
  <c r="E1055" i="7"/>
  <c r="E1056" i="7"/>
  <c r="E1057" i="7"/>
  <c r="E1058" i="7"/>
  <c r="E1059" i="7"/>
  <c r="E1060" i="7"/>
  <c r="E1061" i="7"/>
  <c r="E1062" i="7"/>
  <c r="E1063" i="7"/>
  <c r="E1064" i="7"/>
  <c r="E1065" i="7"/>
  <c r="E1066" i="7"/>
  <c r="E1067" i="7"/>
  <c r="E1068" i="7"/>
  <c r="E1069" i="7"/>
  <c r="E1070" i="7"/>
  <c r="E1071" i="7"/>
  <c r="E1072" i="7"/>
  <c r="E1073" i="7"/>
  <c r="E1074" i="7"/>
  <c r="E1075" i="7"/>
  <c r="E1076" i="7"/>
  <c r="E1077" i="7"/>
  <c r="E1078" i="7"/>
  <c r="E1079" i="7"/>
  <c r="E1080" i="7"/>
  <c r="E1081" i="7"/>
  <c r="E1082" i="7"/>
  <c r="E1083" i="7"/>
  <c r="E1084" i="7"/>
  <c r="E1085" i="7"/>
  <c r="E1086" i="7"/>
  <c r="E1087" i="7"/>
  <c r="E1088" i="7"/>
  <c r="E1089" i="7"/>
  <c r="F1041" i="14" s="1"/>
  <c r="E1090" i="7"/>
  <c r="E1091" i="7"/>
  <c r="E1092" i="7"/>
  <c r="E1093" i="7"/>
  <c r="E1094" i="7"/>
  <c r="E1095" i="7"/>
  <c r="E1096" i="7"/>
  <c r="E1097" i="7"/>
  <c r="E1098" i="7"/>
  <c r="E1099" i="7"/>
  <c r="E1100" i="7"/>
  <c r="E1101" i="7"/>
  <c r="E1102" i="7"/>
  <c r="E1103" i="7"/>
  <c r="E1104" i="7"/>
  <c r="E1105" i="7"/>
  <c r="E1106" i="7"/>
  <c r="E1107" i="7"/>
  <c r="E1108" i="7"/>
  <c r="E1109" i="7"/>
  <c r="E1110" i="7"/>
  <c r="E1111" i="7"/>
  <c r="E1112" i="7"/>
  <c r="E1113" i="7"/>
  <c r="E1114" i="7"/>
  <c r="E1115" i="7"/>
  <c r="E1116" i="7"/>
  <c r="E1117" i="7"/>
  <c r="E1118" i="7"/>
  <c r="E1119" i="7"/>
  <c r="E1120" i="7"/>
  <c r="E1121" i="7"/>
  <c r="E1122" i="7"/>
  <c r="E1123" i="7"/>
  <c r="E1124" i="7"/>
  <c r="E1125" i="7"/>
  <c r="E1126" i="7"/>
  <c r="E1127" i="7"/>
  <c r="E1128" i="7"/>
  <c r="E1129" i="7"/>
  <c r="E1130" i="7"/>
  <c r="E1131" i="7"/>
  <c r="E1132" i="7"/>
  <c r="F1045" i="14" s="1"/>
  <c r="E1133" i="7"/>
  <c r="E1134" i="7"/>
  <c r="E1135" i="7"/>
  <c r="E1136" i="7"/>
  <c r="E1137" i="7"/>
  <c r="E1138" i="7"/>
  <c r="E1139" i="7"/>
  <c r="E1140" i="7"/>
  <c r="E1141" i="7"/>
  <c r="E1142" i="7"/>
  <c r="E1143" i="7"/>
  <c r="E1144" i="7"/>
  <c r="E1145" i="7"/>
  <c r="E1146" i="7"/>
  <c r="E1147" i="7"/>
  <c r="E1148" i="7"/>
  <c r="E1149" i="7"/>
  <c r="E1150" i="7"/>
  <c r="F1043" i="14" s="1"/>
  <c r="E1151" i="7"/>
  <c r="E1152" i="7"/>
  <c r="E1153" i="7"/>
  <c r="E1154" i="7"/>
  <c r="E1155" i="7"/>
  <c r="E1156" i="7"/>
  <c r="E1157" i="7"/>
  <c r="E1158" i="7"/>
  <c r="F1034" i="14" s="1"/>
  <c r="E1159" i="7"/>
  <c r="E1160" i="7"/>
  <c r="E1161" i="7"/>
  <c r="E1162" i="7"/>
  <c r="E1163" i="7"/>
  <c r="E1164" i="7"/>
  <c r="E1165" i="7"/>
  <c r="E1166" i="7"/>
  <c r="E1167" i="7"/>
  <c r="E1168" i="7"/>
  <c r="E1169" i="7"/>
  <c r="E1170" i="7"/>
  <c r="E1171" i="7"/>
  <c r="E1172" i="7"/>
  <c r="E1173" i="7"/>
  <c r="E1174" i="7"/>
  <c r="E1175" i="7"/>
  <c r="E1176" i="7"/>
  <c r="E1177" i="7"/>
  <c r="E1178" i="7"/>
  <c r="E1179" i="7"/>
  <c r="E1180" i="7"/>
  <c r="E1181" i="7"/>
  <c r="E1182" i="7"/>
  <c r="E1183" i="7"/>
  <c r="E1184" i="7"/>
  <c r="E1185" i="7"/>
  <c r="E1186" i="7"/>
  <c r="E1187" i="7"/>
  <c r="E1188" i="7"/>
  <c r="E1189" i="7"/>
  <c r="E1190" i="7"/>
  <c r="E1191" i="7"/>
  <c r="E1192" i="7"/>
  <c r="E1193" i="7"/>
  <c r="E1194" i="7"/>
  <c r="E1195" i="7"/>
  <c r="E1196" i="7"/>
  <c r="E1197" i="7"/>
  <c r="E1198" i="7"/>
  <c r="E1199" i="7"/>
  <c r="E1200" i="7"/>
  <c r="E1201" i="7"/>
  <c r="E1202" i="7"/>
  <c r="E1203" i="7"/>
  <c r="E1204" i="7"/>
  <c r="E1205" i="7"/>
  <c r="E1206" i="7"/>
  <c r="E1207" i="7"/>
  <c r="E1208" i="7"/>
  <c r="E1209" i="7"/>
  <c r="E1210" i="7"/>
  <c r="E1211" i="7"/>
  <c r="E1212" i="7"/>
  <c r="E1213" i="7"/>
  <c r="E1214" i="7"/>
  <c r="E1215" i="7"/>
  <c r="E1216" i="7"/>
  <c r="E1217" i="7"/>
  <c r="E1218" i="7"/>
  <c r="E1219" i="7"/>
  <c r="E1220" i="7"/>
  <c r="E1221" i="7"/>
  <c r="E1222" i="7"/>
  <c r="E1223" i="7"/>
  <c r="E1224" i="7"/>
  <c r="F96" i="14" s="1"/>
  <c r="E1225" i="7"/>
  <c r="E1226" i="7"/>
  <c r="E1227" i="7"/>
  <c r="E1228" i="7"/>
  <c r="E1229" i="7"/>
  <c r="E1230" i="7"/>
  <c r="E1231" i="7"/>
  <c r="E1232" i="7"/>
  <c r="E1233" i="7"/>
  <c r="E1234" i="7"/>
  <c r="E1235" i="7"/>
  <c r="E1236" i="7"/>
  <c r="E1237" i="7"/>
  <c r="E1238" i="7"/>
  <c r="E1239" i="7"/>
  <c r="E1240" i="7"/>
  <c r="E1241" i="7"/>
  <c r="E1242" i="7"/>
  <c r="E1243" i="7"/>
  <c r="E1244" i="7"/>
  <c r="E1245" i="7"/>
  <c r="E1246" i="7"/>
  <c r="E1247" i="7"/>
  <c r="E1248" i="7"/>
  <c r="E1249" i="7"/>
  <c r="E1250" i="7"/>
  <c r="E1251" i="7"/>
  <c r="E1252" i="7"/>
  <c r="E1253" i="7"/>
  <c r="E1254" i="7"/>
  <c r="E1255" i="7"/>
  <c r="E1256" i="7"/>
  <c r="E1257" i="7"/>
  <c r="E1258" i="7"/>
  <c r="E1259" i="7"/>
  <c r="E1260" i="7"/>
  <c r="E1261" i="7"/>
  <c r="E1262" i="7"/>
  <c r="E1263" i="7"/>
  <c r="E1264" i="7"/>
  <c r="E1265" i="7"/>
  <c r="E1266" i="7"/>
  <c r="E1267" i="7"/>
  <c r="E1268" i="7"/>
  <c r="E1269" i="7"/>
  <c r="E1270" i="7"/>
  <c r="E1271" i="7"/>
  <c r="E1272" i="7"/>
  <c r="E1273" i="7"/>
  <c r="E1274" i="7"/>
  <c r="E1275" i="7"/>
  <c r="E1276" i="7"/>
  <c r="E1277" i="7"/>
  <c r="E1278" i="7"/>
  <c r="E1279" i="7"/>
  <c r="E1280" i="7"/>
  <c r="E1281" i="7"/>
  <c r="E1282" i="7"/>
  <c r="E1283" i="7"/>
  <c r="E1284" i="7"/>
  <c r="E1285" i="7"/>
  <c r="E1286" i="7"/>
  <c r="E1287" i="7"/>
  <c r="E1288" i="7"/>
  <c r="E1289" i="7"/>
  <c r="E1290" i="7"/>
  <c r="E1291" i="7"/>
  <c r="E1292" i="7"/>
  <c r="E1293" i="7"/>
  <c r="E1294" i="7"/>
  <c r="E1295" i="7"/>
  <c r="E1296" i="7"/>
  <c r="E1297" i="7"/>
  <c r="E1298" i="7"/>
  <c r="E1299" i="7"/>
  <c r="E1300" i="7"/>
  <c r="E1301" i="7"/>
  <c r="E1302" i="7"/>
  <c r="E1303" i="7"/>
  <c r="E1304" i="7"/>
  <c r="E1305" i="7"/>
  <c r="E1306" i="7"/>
  <c r="E1307" i="7"/>
  <c r="E1308" i="7"/>
  <c r="E1309" i="7"/>
  <c r="E1310" i="7"/>
  <c r="E1311" i="7"/>
  <c r="E1312" i="7"/>
  <c r="E1313" i="7"/>
  <c r="E1314" i="7"/>
  <c r="E1315" i="7"/>
  <c r="E1316" i="7"/>
  <c r="E1317" i="7"/>
  <c r="E1318" i="7"/>
  <c r="E1319" i="7"/>
  <c r="E1320" i="7"/>
  <c r="E1321" i="7"/>
  <c r="E1322" i="7"/>
  <c r="E1323" i="7"/>
  <c r="E1324" i="7"/>
  <c r="E1325" i="7"/>
  <c r="E1326" i="7"/>
  <c r="E1327" i="7"/>
  <c r="E1328" i="7"/>
  <c r="E1329" i="7"/>
  <c r="E1330" i="7"/>
  <c r="E1331" i="7"/>
  <c r="E1332" i="7"/>
  <c r="E1333" i="7"/>
  <c r="E1334" i="7"/>
  <c r="E1335" i="7"/>
  <c r="E1336" i="7"/>
  <c r="E1337" i="7"/>
  <c r="E1338" i="7"/>
  <c r="E1339" i="7"/>
  <c r="E1340" i="7"/>
  <c r="E1341" i="7"/>
  <c r="E1342" i="7"/>
  <c r="E1343" i="7"/>
  <c r="E1344" i="7"/>
  <c r="E1345" i="7"/>
  <c r="E1346" i="7"/>
  <c r="E1347" i="7"/>
  <c r="E1348" i="7"/>
  <c r="E1349" i="7"/>
  <c r="E1350" i="7"/>
  <c r="E1351" i="7"/>
  <c r="E1352" i="7"/>
  <c r="E1353" i="7"/>
  <c r="E1354" i="7"/>
  <c r="E1355" i="7"/>
  <c r="E1356" i="7"/>
  <c r="E1357" i="7"/>
  <c r="E1358" i="7"/>
  <c r="E1359" i="7"/>
  <c r="E1360" i="7"/>
  <c r="E1361" i="7"/>
  <c r="E1362" i="7"/>
  <c r="E1363" i="7"/>
  <c r="E1364" i="7"/>
  <c r="E1365" i="7"/>
  <c r="E1366" i="7"/>
  <c r="E1367" i="7"/>
  <c r="E1368" i="7"/>
  <c r="E1369" i="7"/>
  <c r="E1370" i="7"/>
  <c r="E1371" i="7"/>
  <c r="E1372" i="7"/>
  <c r="E1373" i="7"/>
  <c r="E1374" i="7"/>
  <c r="E1375" i="7"/>
  <c r="E1376" i="7"/>
  <c r="E1377" i="7"/>
  <c r="E1378" i="7"/>
  <c r="E1379" i="7"/>
  <c r="E1380" i="7"/>
  <c r="E1381" i="7"/>
  <c r="E1382" i="7"/>
  <c r="E1383" i="7"/>
  <c r="E1384" i="7"/>
  <c r="E1385" i="7"/>
  <c r="E1386" i="7"/>
  <c r="E1387" i="7"/>
  <c r="E1388" i="7"/>
  <c r="E1389" i="7"/>
  <c r="E1390" i="7"/>
  <c r="E1391" i="7"/>
  <c r="E1392" i="7"/>
  <c r="E1393" i="7"/>
  <c r="E1394" i="7"/>
  <c r="E1395" i="7"/>
  <c r="E1396" i="7"/>
  <c r="E1397" i="7"/>
  <c r="E1398" i="7"/>
  <c r="E1399" i="7"/>
  <c r="E1400" i="7"/>
  <c r="E1401" i="7"/>
  <c r="E1402" i="7"/>
  <c r="E1403" i="7"/>
  <c r="E1404" i="7"/>
  <c r="E1405" i="7"/>
  <c r="E1406" i="7"/>
  <c r="E1407" i="7"/>
  <c r="E1408" i="7"/>
  <c r="E1409" i="7"/>
  <c r="E1410" i="7"/>
  <c r="E1411" i="7"/>
  <c r="E1412" i="7"/>
  <c r="E1413" i="7"/>
  <c r="E1414" i="7"/>
  <c r="E1415" i="7"/>
  <c r="E1416" i="7"/>
  <c r="E1417" i="7"/>
  <c r="E1418" i="7"/>
  <c r="E1419" i="7"/>
  <c r="E1420" i="7"/>
  <c r="E1421" i="7"/>
  <c r="E1422" i="7"/>
  <c r="E1423" i="7"/>
  <c r="E1424" i="7"/>
  <c r="E1425" i="7"/>
  <c r="E1426" i="7"/>
  <c r="E1427" i="7"/>
  <c r="E1428" i="7"/>
  <c r="E1429" i="7"/>
  <c r="E1430" i="7"/>
  <c r="E1431" i="7"/>
  <c r="E1432" i="7"/>
  <c r="E1433" i="7"/>
  <c r="E1434" i="7"/>
  <c r="E1435" i="7"/>
  <c r="E1436" i="7"/>
  <c r="E1437" i="7"/>
  <c r="E1438" i="7"/>
  <c r="E1439" i="7"/>
  <c r="E1440" i="7"/>
  <c r="E1441" i="7"/>
  <c r="E1442" i="7"/>
  <c r="E1443" i="7"/>
  <c r="E1444" i="7"/>
  <c r="E1445" i="7"/>
  <c r="E1446" i="7"/>
  <c r="E1447" i="7"/>
  <c r="E1448" i="7"/>
  <c r="E1449" i="7"/>
  <c r="E1450" i="7"/>
  <c r="E1451" i="7"/>
  <c r="E1452" i="7"/>
  <c r="E1453" i="7"/>
  <c r="E1454" i="7"/>
  <c r="E1455" i="7"/>
  <c r="E1456" i="7"/>
  <c r="E1457" i="7"/>
  <c r="E1458" i="7"/>
  <c r="E1459" i="7"/>
  <c r="E1460" i="7"/>
  <c r="E1461" i="7"/>
  <c r="E1462" i="7"/>
  <c r="E1463" i="7"/>
  <c r="E1464" i="7"/>
  <c r="E1465" i="7"/>
  <c r="E1466" i="7"/>
  <c r="E1467" i="7"/>
  <c r="E1468" i="7"/>
  <c r="E1469" i="7"/>
  <c r="E1470" i="7"/>
  <c r="E1471" i="7"/>
  <c r="E1472" i="7"/>
  <c r="E1473" i="7"/>
  <c r="E1474" i="7"/>
  <c r="E1475" i="7"/>
  <c r="E1476" i="7"/>
  <c r="E1477" i="7"/>
  <c r="E1478" i="7"/>
  <c r="E1479" i="7"/>
  <c r="E1480" i="7"/>
  <c r="E1481" i="7"/>
  <c r="E1482" i="7"/>
  <c r="E1483" i="7"/>
  <c r="E1484" i="7"/>
  <c r="E1485" i="7"/>
  <c r="E1486" i="7"/>
  <c r="E1487" i="7"/>
  <c r="E1488" i="7"/>
  <c r="E1489" i="7"/>
  <c r="E1490" i="7"/>
  <c r="E1491" i="7"/>
  <c r="E1492" i="7"/>
  <c r="E1493" i="7"/>
  <c r="E1494" i="7"/>
  <c r="E1495" i="7"/>
  <c r="E1496" i="7"/>
  <c r="E1497" i="7"/>
  <c r="E1498" i="7"/>
  <c r="E1499" i="7"/>
  <c r="E1500" i="7"/>
  <c r="E1501" i="7"/>
  <c r="E1502" i="7"/>
  <c r="E1503" i="7"/>
  <c r="E1504" i="7"/>
  <c r="E1505" i="7"/>
  <c r="E1506" i="7"/>
  <c r="E1507" i="7"/>
  <c r="E1508" i="7"/>
  <c r="E1509" i="7"/>
  <c r="E1510" i="7"/>
  <c r="E1511" i="7"/>
  <c r="E1512" i="7"/>
  <c r="E1513" i="7"/>
  <c r="E1514" i="7"/>
  <c r="E1515" i="7"/>
  <c r="E1516" i="7"/>
  <c r="E1517" i="7"/>
  <c r="E1518" i="7"/>
  <c r="E1519" i="7"/>
  <c r="E1520" i="7"/>
  <c r="E1521" i="7"/>
  <c r="E1522" i="7"/>
  <c r="E1523" i="7"/>
  <c r="E1524" i="7"/>
  <c r="E1525" i="7"/>
  <c r="E1526" i="7"/>
  <c r="E1527" i="7"/>
  <c r="E1528" i="7"/>
  <c r="E1529" i="7"/>
  <c r="E1530" i="7"/>
  <c r="E1531" i="7"/>
  <c r="E1532" i="7"/>
  <c r="E1533" i="7"/>
  <c r="E1534" i="7"/>
  <c r="E1535" i="7"/>
  <c r="E1536" i="7"/>
  <c r="E1537" i="7"/>
  <c r="E1538" i="7"/>
  <c r="E1539" i="7"/>
  <c r="E1540" i="7"/>
  <c r="E1541" i="7"/>
  <c r="E1542" i="7"/>
  <c r="E1543" i="7"/>
  <c r="E1544" i="7"/>
  <c r="E1545" i="7"/>
  <c r="E1546" i="7"/>
  <c r="E1547" i="7"/>
  <c r="E1548" i="7"/>
  <c r="E1549" i="7"/>
  <c r="E1550" i="7"/>
  <c r="E1551" i="7"/>
  <c r="E1552" i="7"/>
  <c r="E1553" i="7"/>
  <c r="E1554" i="7"/>
  <c r="E1555" i="7"/>
  <c r="E1556" i="7"/>
  <c r="E1557" i="7"/>
  <c r="E1558" i="7"/>
  <c r="E1559" i="7"/>
  <c r="E1560" i="7"/>
  <c r="E1561" i="7"/>
  <c r="E1562" i="7"/>
  <c r="E1563" i="7"/>
  <c r="E1564" i="7"/>
  <c r="E1565" i="7"/>
  <c r="E1566" i="7"/>
  <c r="E1567" i="7"/>
  <c r="E1568" i="7"/>
  <c r="E1569" i="7"/>
  <c r="E1570" i="7"/>
  <c r="E1571" i="7"/>
  <c r="E1572" i="7"/>
  <c r="E1573" i="7"/>
  <c r="E1574" i="7"/>
  <c r="E1575" i="7"/>
  <c r="E1576" i="7"/>
  <c r="E1577" i="7"/>
  <c r="E1578" i="7"/>
  <c r="E1579" i="7"/>
  <c r="E1580" i="7"/>
  <c r="E1581" i="7"/>
  <c r="E1582" i="7"/>
  <c r="E1583" i="7"/>
  <c r="E1584" i="7"/>
  <c r="E1585" i="7"/>
  <c r="E1586" i="7"/>
  <c r="E1587" i="7"/>
  <c r="E1588" i="7"/>
  <c r="E1589" i="7"/>
  <c r="E1590" i="7"/>
  <c r="E1591" i="7"/>
  <c r="E1592" i="7"/>
  <c r="E1593" i="7"/>
  <c r="E1594" i="7"/>
  <c r="E1595" i="7"/>
  <c r="E1596" i="7"/>
  <c r="E1597" i="7"/>
  <c r="E1598" i="7"/>
  <c r="E1599" i="7"/>
  <c r="E1600" i="7"/>
  <c r="E1601" i="7"/>
  <c r="E1602" i="7"/>
  <c r="E1603" i="7"/>
  <c r="E1604" i="7"/>
  <c r="E1605" i="7"/>
  <c r="E1606" i="7"/>
  <c r="E1607" i="7"/>
  <c r="E1608" i="7"/>
  <c r="E1609" i="7"/>
  <c r="E1610" i="7"/>
  <c r="E1611" i="7"/>
  <c r="E1612" i="7"/>
  <c r="E1613" i="7"/>
  <c r="E1614" i="7"/>
  <c r="F7" i="14" s="1"/>
  <c r="E1615" i="7"/>
  <c r="E1616" i="7"/>
  <c r="E1617" i="7"/>
  <c r="E1618" i="7"/>
  <c r="E1619" i="7"/>
  <c r="E1620" i="7"/>
  <c r="E1621" i="7"/>
  <c r="E1622" i="7"/>
  <c r="E1623" i="7"/>
  <c r="E1624" i="7"/>
  <c r="E1625" i="7"/>
  <c r="E1626" i="7"/>
  <c r="E1627" i="7"/>
  <c r="E1628" i="7"/>
  <c r="E1629" i="7"/>
  <c r="E1630" i="7"/>
  <c r="E1631" i="7"/>
  <c r="E1632" i="7"/>
  <c r="E1633" i="7"/>
  <c r="E1634" i="7"/>
  <c r="E1635" i="7"/>
  <c r="E1636" i="7"/>
  <c r="E1637" i="7"/>
  <c r="E1638" i="7"/>
  <c r="E1639" i="7"/>
  <c r="E1640" i="7"/>
  <c r="E1641" i="7"/>
  <c r="E1642" i="7"/>
  <c r="E1643" i="7"/>
  <c r="E1644" i="7"/>
  <c r="E1645" i="7"/>
  <c r="E1646" i="7"/>
  <c r="E1647" i="7"/>
  <c r="E1648" i="7"/>
  <c r="E1649" i="7"/>
  <c r="E1650" i="7"/>
  <c r="E1651" i="7"/>
  <c r="E1652" i="7"/>
  <c r="E1653" i="7"/>
  <c r="E1654" i="7"/>
  <c r="E1655" i="7"/>
  <c r="E1656" i="7"/>
  <c r="E1657" i="7"/>
  <c r="E1658" i="7"/>
  <c r="E1659" i="7"/>
  <c r="E1660" i="7"/>
  <c r="E1661" i="7"/>
  <c r="E1662" i="7"/>
  <c r="E1663" i="7"/>
  <c r="E1664" i="7"/>
  <c r="E1665" i="7"/>
  <c r="E1666" i="7"/>
  <c r="E1667" i="7"/>
  <c r="E1668" i="7"/>
  <c r="E1669" i="7"/>
  <c r="E1670" i="7"/>
  <c r="E1671" i="7"/>
  <c r="E1672" i="7"/>
  <c r="E1673" i="7"/>
  <c r="E1674" i="7"/>
  <c r="E1675" i="7"/>
  <c r="E1676" i="7"/>
  <c r="E1677" i="7"/>
  <c r="E1678" i="7"/>
  <c r="E1679" i="7"/>
  <c r="E1680" i="7"/>
  <c r="E1681" i="7"/>
  <c r="E1682" i="7"/>
  <c r="E1683" i="7"/>
  <c r="E1684" i="7"/>
  <c r="E1685" i="7"/>
  <c r="E1686" i="7"/>
  <c r="E1687" i="7"/>
  <c r="E1688" i="7"/>
  <c r="E1689" i="7"/>
  <c r="E1690" i="7"/>
  <c r="E1691" i="7"/>
  <c r="E1692" i="7"/>
  <c r="E1693" i="7"/>
  <c r="E1694" i="7"/>
  <c r="E1695" i="7"/>
  <c r="E1696" i="7"/>
  <c r="E1697" i="7"/>
  <c r="E1698" i="7"/>
  <c r="E1699" i="7"/>
  <c r="E1700" i="7"/>
  <c r="E1701" i="7"/>
  <c r="E1702" i="7"/>
  <c r="E1703" i="7"/>
  <c r="E1704" i="7"/>
  <c r="E1705" i="7"/>
  <c r="E1706" i="7"/>
  <c r="E1707" i="7"/>
  <c r="E1708" i="7"/>
  <c r="E1709" i="7"/>
  <c r="E1710" i="7"/>
  <c r="E1711" i="7"/>
  <c r="E1712" i="7"/>
  <c r="E1713" i="7"/>
  <c r="E1714" i="7"/>
  <c r="E1715" i="7"/>
  <c r="E1716" i="7"/>
  <c r="E1717" i="7"/>
  <c r="E1718" i="7"/>
  <c r="E1719" i="7"/>
  <c r="E1720" i="7"/>
  <c r="E1721" i="7"/>
  <c r="E1722" i="7"/>
  <c r="E1723" i="7"/>
  <c r="E1724" i="7"/>
  <c r="E1725" i="7"/>
  <c r="E1726" i="7"/>
  <c r="E1727" i="7"/>
  <c r="E1728" i="7"/>
  <c r="E1729" i="7"/>
  <c r="E1730" i="7"/>
  <c r="E1731" i="7"/>
  <c r="E1732" i="7"/>
  <c r="E1733" i="7"/>
  <c r="E1734" i="7"/>
  <c r="E1735" i="7"/>
  <c r="E1736" i="7"/>
  <c r="E1737" i="7"/>
  <c r="E1738" i="7"/>
  <c r="E1739" i="7"/>
  <c r="E1740" i="7"/>
  <c r="E1741" i="7"/>
  <c r="E1742" i="7"/>
  <c r="E1743" i="7"/>
  <c r="E1744" i="7"/>
  <c r="E1745" i="7"/>
  <c r="E1746" i="7"/>
  <c r="E1747" i="7"/>
  <c r="E1748" i="7"/>
  <c r="E1749" i="7"/>
  <c r="E1750" i="7"/>
  <c r="E1751" i="7"/>
  <c r="E1752" i="7"/>
  <c r="E1753" i="7"/>
  <c r="E1754" i="7"/>
  <c r="E1755" i="7"/>
  <c r="E1756" i="7"/>
  <c r="E1757" i="7"/>
  <c r="E1758" i="7"/>
  <c r="E1759" i="7"/>
  <c r="E1760" i="7"/>
  <c r="E1761" i="7"/>
  <c r="E1762" i="7"/>
  <c r="E1763" i="7"/>
  <c r="E1764" i="7"/>
  <c r="E1765" i="7"/>
  <c r="E1766" i="7"/>
  <c r="E1767" i="7"/>
  <c r="E1768" i="7"/>
  <c r="E1769" i="7"/>
  <c r="E1770" i="7"/>
  <c r="E1771" i="7"/>
  <c r="E1772" i="7"/>
  <c r="E1773" i="7"/>
  <c r="E1774" i="7"/>
  <c r="E1775" i="7"/>
  <c r="E1776" i="7"/>
  <c r="E1777" i="7"/>
  <c r="E1778" i="7"/>
  <c r="E1779" i="7"/>
  <c r="E1780" i="7"/>
  <c r="E1781" i="7"/>
  <c r="E1782" i="7"/>
  <c r="E1783" i="7"/>
  <c r="E1784" i="7"/>
  <c r="E1785" i="7"/>
  <c r="E1786" i="7"/>
  <c r="E1787" i="7"/>
  <c r="E1788" i="7"/>
  <c r="E1789" i="7"/>
  <c r="E1790" i="7"/>
  <c r="E1791" i="7"/>
  <c r="E1792" i="7"/>
  <c r="E1793" i="7"/>
  <c r="E1794" i="7"/>
  <c r="E1795" i="7"/>
  <c r="E1796" i="7"/>
  <c r="E1797" i="7"/>
  <c r="E1798" i="7"/>
  <c r="E1799" i="7"/>
  <c r="E1800" i="7"/>
  <c r="E1801" i="7"/>
  <c r="E1802" i="7"/>
  <c r="E1803" i="7"/>
  <c r="E1804" i="7"/>
  <c r="E1805" i="7"/>
  <c r="E1806" i="7"/>
  <c r="E1807" i="7"/>
  <c r="E1808" i="7"/>
  <c r="E1809" i="7"/>
  <c r="E1810" i="7"/>
  <c r="E1811" i="7"/>
  <c r="E1812" i="7"/>
  <c r="E1813" i="7"/>
  <c r="E1814" i="7"/>
  <c r="E1815" i="7"/>
  <c r="E1816" i="7"/>
  <c r="E1817" i="7"/>
  <c r="E1818" i="7"/>
  <c r="E1819" i="7"/>
  <c r="E1820" i="7"/>
  <c r="E1821" i="7"/>
  <c r="E1822" i="7"/>
  <c r="E1823" i="7"/>
  <c r="E1824" i="7"/>
  <c r="E1825" i="7"/>
  <c r="E1826" i="7"/>
  <c r="E1827" i="7"/>
  <c r="E1828" i="7"/>
  <c r="E1829" i="7"/>
  <c r="E1830" i="7"/>
  <c r="E1831" i="7"/>
  <c r="E1832" i="7"/>
  <c r="E1833" i="7"/>
  <c r="E1834" i="7"/>
  <c r="E1835" i="7"/>
  <c r="E1836" i="7"/>
  <c r="E1837" i="7"/>
  <c r="E1838" i="7"/>
  <c r="E1839" i="7"/>
  <c r="E1840" i="7"/>
  <c r="E1841" i="7"/>
  <c r="E1842" i="7"/>
  <c r="E1843" i="7"/>
  <c r="E1844" i="7"/>
  <c r="E1845" i="7"/>
  <c r="E1846" i="7"/>
  <c r="E1847" i="7"/>
  <c r="E1848" i="7"/>
  <c r="E1849" i="7"/>
  <c r="E1850" i="7"/>
  <c r="E1851" i="7"/>
  <c r="E1852" i="7"/>
  <c r="E1853" i="7"/>
  <c r="E1854" i="7"/>
  <c r="E1855" i="7"/>
  <c r="E1856" i="7"/>
  <c r="E1857" i="7"/>
  <c r="E1858" i="7"/>
  <c r="E1859" i="7"/>
  <c r="E1860" i="7"/>
  <c r="E1861" i="7"/>
  <c r="E1862" i="7"/>
  <c r="E1863" i="7"/>
  <c r="E1864" i="7"/>
  <c r="E1865" i="7"/>
  <c r="E1866" i="7"/>
  <c r="E1867" i="7"/>
  <c r="E1868" i="7"/>
  <c r="E1869" i="7"/>
  <c r="E1870" i="7"/>
  <c r="E1871" i="7"/>
  <c r="E1872" i="7"/>
  <c r="E1873" i="7"/>
  <c r="E1874" i="7"/>
  <c r="E1875" i="7"/>
  <c r="E1876" i="7"/>
  <c r="E1877" i="7"/>
  <c r="E1878" i="7"/>
  <c r="E1879" i="7"/>
  <c r="E1880" i="7"/>
  <c r="E1881" i="7"/>
  <c r="E1882" i="7"/>
  <c r="E1883" i="7"/>
  <c r="E1884" i="7"/>
  <c r="E1885" i="7"/>
  <c r="E1886" i="7"/>
  <c r="E1887" i="7"/>
  <c r="E1888" i="7"/>
  <c r="E1889" i="7"/>
  <c r="E1890" i="7"/>
  <c r="E1891" i="7"/>
  <c r="E1892" i="7"/>
  <c r="E1893" i="7"/>
  <c r="E1894" i="7"/>
  <c r="E1895" i="7"/>
  <c r="E1896" i="7"/>
  <c r="E1897" i="7"/>
  <c r="E1898" i="7"/>
  <c r="E1899" i="7"/>
  <c r="E1900" i="7"/>
  <c r="E1901" i="7"/>
  <c r="E1902" i="7"/>
  <c r="E1903" i="7"/>
  <c r="E1904" i="7"/>
  <c r="E1905" i="7"/>
  <c r="E1906" i="7"/>
  <c r="E1907" i="7"/>
  <c r="E1908" i="7"/>
  <c r="E1909" i="7"/>
  <c r="E1910" i="7"/>
  <c r="E1911" i="7"/>
  <c r="E1912" i="7"/>
  <c r="E1913" i="7"/>
  <c r="E1914" i="7"/>
  <c r="E1915" i="7"/>
  <c r="E1916" i="7"/>
  <c r="E1917" i="7"/>
  <c r="E1918" i="7"/>
  <c r="E1919" i="7"/>
  <c r="E1920" i="7"/>
  <c r="E1921" i="7"/>
  <c r="E1922" i="7"/>
  <c r="E1923" i="7"/>
  <c r="E1924" i="7"/>
  <c r="E1925" i="7"/>
  <c r="E1926" i="7"/>
  <c r="E1927" i="7"/>
  <c r="E1928" i="7"/>
  <c r="E1929" i="7"/>
  <c r="E1930" i="7"/>
  <c r="E1931" i="7"/>
  <c r="E1932" i="7"/>
  <c r="E2" i="7"/>
  <c r="D38" i="17"/>
  <c r="G48" i="16"/>
  <c r="F48" i="16"/>
  <c r="G47" i="16"/>
  <c r="F47" i="16"/>
  <c r="G46" i="16"/>
  <c r="F46" i="16"/>
  <c r="G45" i="16"/>
  <c r="F45" i="16"/>
  <c r="G44" i="16"/>
  <c r="F44" i="16"/>
  <c r="G43" i="16"/>
  <c r="F43" i="16"/>
  <c r="G42" i="16"/>
  <c r="F42" i="16"/>
  <c r="G41" i="16"/>
  <c r="F41" i="16"/>
  <c r="G40" i="16"/>
  <c r="F40" i="16"/>
  <c r="G39" i="16"/>
  <c r="F39" i="16"/>
  <c r="G38" i="16"/>
  <c r="F38" i="16"/>
  <c r="G37" i="16"/>
  <c r="F37" i="16"/>
  <c r="G36" i="16"/>
  <c r="F36" i="16"/>
  <c r="G35" i="16"/>
  <c r="F35" i="16"/>
  <c r="G34" i="16"/>
  <c r="F34" i="16"/>
  <c r="G33" i="16"/>
  <c r="G32" i="16"/>
  <c r="F32" i="16"/>
  <c r="G31" i="16"/>
  <c r="F31" i="16"/>
  <c r="G30" i="16"/>
  <c r="F30" i="16"/>
  <c r="G29" i="16"/>
  <c r="F29" i="16"/>
  <c r="G28" i="16"/>
  <c r="F28" i="16"/>
  <c r="G27" i="16"/>
  <c r="F27" i="16"/>
  <c r="G26" i="16"/>
  <c r="F26" i="16"/>
  <c r="G25" i="16"/>
  <c r="F25" i="16"/>
  <c r="G24" i="16"/>
  <c r="D16" i="17" s="1"/>
  <c r="F24" i="16"/>
  <c r="E24" i="16"/>
  <c r="G23" i="16"/>
  <c r="F23" i="16"/>
  <c r="C16" i="17" s="1"/>
  <c r="E23" i="16"/>
  <c r="G22" i="16"/>
  <c r="F22" i="16"/>
  <c r="E22" i="16"/>
  <c r="G21" i="16"/>
  <c r="F21" i="16"/>
  <c r="E21" i="16"/>
  <c r="G20" i="16"/>
  <c r="F20" i="16"/>
  <c r="E20" i="16"/>
  <c r="G19" i="16"/>
  <c r="F19" i="16"/>
  <c r="E19" i="16"/>
  <c r="F18" i="16"/>
  <c r="E18" i="16"/>
  <c r="G17" i="16"/>
  <c r="F17" i="16"/>
  <c r="E17" i="16"/>
  <c r="F16" i="16"/>
  <c r="E16" i="16"/>
  <c r="G15" i="16"/>
  <c r="F15" i="16"/>
  <c r="E15" i="16"/>
  <c r="G14" i="16"/>
  <c r="F14" i="16"/>
  <c r="E14" i="16"/>
  <c r="G13" i="16"/>
  <c r="F13" i="16"/>
  <c r="E13" i="16"/>
  <c r="G12" i="16"/>
  <c r="F12" i="16"/>
  <c r="E12" i="16"/>
  <c r="G11" i="16"/>
  <c r="F11" i="16"/>
  <c r="E11" i="16"/>
  <c r="G10" i="16"/>
  <c r="F10" i="16"/>
  <c r="E10" i="16"/>
  <c r="G9" i="16"/>
  <c r="F9" i="16"/>
  <c r="E9" i="16"/>
  <c r="G8" i="16"/>
  <c r="F8" i="16"/>
  <c r="E8" i="16"/>
  <c r="G7" i="16"/>
  <c r="F7" i="16"/>
  <c r="E7" i="16"/>
  <c r="C8" i="15" s="1"/>
  <c r="I2461" i="14"/>
  <c r="D2461" i="14"/>
  <c r="I2460" i="14"/>
  <c r="D2460" i="14"/>
  <c r="I2459" i="14"/>
  <c r="D2459" i="14"/>
  <c r="I2458" i="14"/>
  <c r="D2458" i="14"/>
  <c r="I2457" i="14"/>
  <c r="D2457" i="14"/>
  <c r="I2456" i="14"/>
  <c r="D2456" i="14"/>
  <c r="I2455" i="14"/>
  <c r="D2455" i="14"/>
  <c r="I2454" i="14"/>
  <c r="D2454" i="14"/>
  <c r="I2453" i="14"/>
  <c r="D2453" i="14"/>
  <c r="I2452" i="14"/>
  <c r="D2452" i="14"/>
  <c r="I2451" i="14"/>
  <c r="D2451" i="14"/>
  <c r="I2450" i="14"/>
  <c r="D2450" i="14"/>
  <c r="I2449" i="14"/>
  <c r="D2449" i="14"/>
  <c r="I2448" i="14"/>
  <c r="D2448" i="14"/>
  <c r="I2447" i="14"/>
  <c r="D2447" i="14"/>
  <c r="I2446" i="14"/>
  <c r="D2446" i="14"/>
  <c r="I2445" i="14"/>
  <c r="D2445" i="14"/>
  <c r="I2444" i="14"/>
  <c r="D2444" i="14"/>
  <c r="I2443" i="14"/>
  <c r="D2443" i="14"/>
  <c r="I2442" i="14"/>
  <c r="D2442" i="14"/>
  <c r="I2441" i="14"/>
  <c r="D2441" i="14"/>
  <c r="I2440" i="14"/>
  <c r="D2440" i="14"/>
  <c r="I2439" i="14"/>
  <c r="D2439" i="14"/>
  <c r="I2438" i="14"/>
  <c r="D2438" i="14"/>
  <c r="I2437" i="14"/>
  <c r="D2437" i="14"/>
  <c r="I2436" i="14"/>
  <c r="D2436" i="14"/>
  <c r="I2435" i="14"/>
  <c r="D2435" i="14"/>
  <c r="I2434" i="14"/>
  <c r="D2434" i="14"/>
  <c r="I2433" i="14"/>
  <c r="D2433" i="14"/>
  <c r="I2432" i="14"/>
  <c r="D2432" i="14"/>
  <c r="I2431" i="14"/>
  <c r="D2431" i="14"/>
  <c r="I2430" i="14"/>
  <c r="D2430" i="14"/>
  <c r="I2429" i="14"/>
  <c r="D2429" i="14"/>
  <c r="I2428" i="14"/>
  <c r="D2428" i="14"/>
  <c r="I2427" i="14"/>
  <c r="D2427" i="14"/>
  <c r="I2426" i="14"/>
  <c r="D2426" i="14"/>
  <c r="I2425" i="14"/>
  <c r="D2425" i="14"/>
  <c r="I2424" i="14"/>
  <c r="F2424" i="14"/>
  <c r="D2424" i="14"/>
  <c r="I2423" i="14"/>
  <c r="F2423" i="14"/>
  <c r="D2423" i="14"/>
  <c r="I2422" i="14"/>
  <c r="F2422" i="14"/>
  <c r="D2422" i="14"/>
  <c r="I2421" i="14"/>
  <c r="F2421" i="14"/>
  <c r="D2421" i="14"/>
  <c r="I2420" i="14"/>
  <c r="F2420" i="14"/>
  <c r="D2420" i="14"/>
  <c r="I2419" i="14"/>
  <c r="F2419" i="14"/>
  <c r="D2419" i="14"/>
  <c r="I2418" i="14"/>
  <c r="F2418" i="14"/>
  <c r="D2418" i="14"/>
  <c r="I2417" i="14"/>
  <c r="F2417" i="14"/>
  <c r="D2417" i="14"/>
  <c r="I2416" i="14"/>
  <c r="F2416" i="14"/>
  <c r="D2416" i="14"/>
  <c r="I2415" i="14"/>
  <c r="F2415" i="14"/>
  <c r="D2415" i="14"/>
  <c r="I2414" i="14"/>
  <c r="F2414" i="14"/>
  <c r="D2414" i="14"/>
  <c r="I2413" i="14"/>
  <c r="F2413" i="14"/>
  <c r="D2413" i="14"/>
  <c r="I2412" i="14"/>
  <c r="F2412" i="14"/>
  <c r="D2412" i="14"/>
  <c r="I2411" i="14"/>
  <c r="F2411" i="14"/>
  <c r="D2411" i="14"/>
  <c r="I2410" i="14"/>
  <c r="F2410" i="14"/>
  <c r="D2410" i="14"/>
  <c r="I2409" i="14"/>
  <c r="F2409" i="14"/>
  <c r="D2409" i="14"/>
  <c r="I2408" i="14"/>
  <c r="F2408" i="14"/>
  <c r="D2408" i="14"/>
  <c r="I2407" i="14"/>
  <c r="F2407" i="14"/>
  <c r="D2407" i="14"/>
  <c r="I2406" i="14"/>
  <c r="F2406" i="14"/>
  <c r="D2406" i="14"/>
  <c r="I2405" i="14"/>
  <c r="F2405" i="14"/>
  <c r="D2405" i="14"/>
  <c r="I2404" i="14"/>
  <c r="F2404" i="14"/>
  <c r="D2404" i="14"/>
  <c r="I2403" i="14"/>
  <c r="F2403" i="14"/>
  <c r="D2403" i="14"/>
  <c r="I2402" i="14"/>
  <c r="F2402" i="14"/>
  <c r="D2402" i="14"/>
  <c r="I2401" i="14"/>
  <c r="F2401" i="14"/>
  <c r="D2401" i="14"/>
  <c r="I2400" i="14"/>
  <c r="F2400" i="14"/>
  <c r="D2400" i="14"/>
  <c r="I2399" i="14"/>
  <c r="F2399" i="14"/>
  <c r="D2399" i="14"/>
  <c r="I2398" i="14"/>
  <c r="F2398" i="14"/>
  <c r="D2398" i="14"/>
  <c r="I2397" i="14"/>
  <c r="F2397" i="14"/>
  <c r="D2397" i="14"/>
  <c r="I2396" i="14"/>
  <c r="F2396" i="14"/>
  <c r="D2396" i="14"/>
  <c r="I2395" i="14"/>
  <c r="F2395" i="14"/>
  <c r="D2395" i="14"/>
  <c r="I2394" i="14"/>
  <c r="F2394" i="14"/>
  <c r="D2394" i="14"/>
  <c r="I2393" i="14"/>
  <c r="F2393" i="14"/>
  <c r="D2393" i="14"/>
  <c r="I2392" i="14"/>
  <c r="F2392" i="14"/>
  <c r="D2392" i="14"/>
  <c r="I2391" i="14"/>
  <c r="F2391" i="14"/>
  <c r="D2391" i="14"/>
  <c r="I2390" i="14"/>
  <c r="F2390" i="14"/>
  <c r="D2390" i="14"/>
  <c r="I2389" i="14"/>
  <c r="F2389" i="14"/>
  <c r="D2389" i="14"/>
  <c r="I2388" i="14"/>
  <c r="F2388" i="14"/>
  <c r="D2388" i="14"/>
  <c r="I2387" i="14"/>
  <c r="F2387" i="14"/>
  <c r="D2387" i="14"/>
  <c r="I2386" i="14"/>
  <c r="F2386" i="14"/>
  <c r="D2386" i="14"/>
  <c r="I2385" i="14"/>
  <c r="F2385" i="14"/>
  <c r="D2385" i="14"/>
  <c r="I2384" i="14"/>
  <c r="F2384" i="14"/>
  <c r="D2384" i="14"/>
  <c r="I2383" i="14"/>
  <c r="F2383" i="14"/>
  <c r="D2383" i="14"/>
  <c r="I2382" i="14"/>
  <c r="F2382" i="14"/>
  <c r="D2382" i="14"/>
  <c r="I2381" i="14"/>
  <c r="F2381" i="14"/>
  <c r="D2381" i="14"/>
  <c r="I2380" i="14"/>
  <c r="F2380" i="14"/>
  <c r="D2380" i="14"/>
  <c r="I2379" i="14"/>
  <c r="F2379" i="14"/>
  <c r="D2379" i="14"/>
  <c r="I2378" i="14"/>
  <c r="F2378" i="14"/>
  <c r="D2378" i="14"/>
  <c r="I2377" i="14"/>
  <c r="F2377" i="14"/>
  <c r="D2377" i="14"/>
  <c r="I2376" i="14"/>
  <c r="F2376" i="14"/>
  <c r="D2376" i="14"/>
  <c r="I2375" i="14"/>
  <c r="D2375" i="14"/>
  <c r="I2374" i="14"/>
  <c r="D2374" i="14"/>
  <c r="I2373" i="14"/>
  <c r="D2373" i="14"/>
  <c r="I2372" i="14"/>
  <c r="D2372" i="14"/>
  <c r="I2371" i="14"/>
  <c r="D2371" i="14"/>
  <c r="I2370" i="14"/>
  <c r="D2370" i="14"/>
  <c r="I2369" i="14"/>
  <c r="D2369" i="14"/>
  <c r="I2368" i="14"/>
  <c r="D2368" i="14"/>
  <c r="I2367" i="14"/>
  <c r="D2367" i="14"/>
  <c r="I2366" i="14"/>
  <c r="D2366" i="14"/>
  <c r="I2365" i="14"/>
  <c r="D2365" i="14"/>
  <c r="I2364" i="14"/>
  <c r="D2364" i="14"/>
  <c r="I2363" i="14"/>
  <c r="D2363" i="14"/>
  <c r="I2362" i="14"/>
  <c r="D2362" i="14"/>
  <c r="I2361" i="14"/>
  <c r="D2361" i="14"/>
  <c r="I2360" i="14"/>
  <c r="D2360" i="14"/>
  <c r="I2359" i="14"/>
  <c r="D2359" i="14"/>
  <c r="I2358" i="14"/>
  <c r="D2358" i="14"/>
  <c r="I2357" i="14"/>
  <c r="D2357" i="14"/>
  <c r="I2356" i="14"/>
  <c r="D2356" i="14"/>
  <c r="I2355" i="14"/>
  <c r="D2355" i="14"/>
  <c r="I2354" i="14"/>
  <c r="D2354" i="14"/>
  <c r="I2353" i="14"/>
  <c r="D2353" i="14"/>
  <c r="I2352" i="14"/>
  <c r="D2352" i="14"/>
  <c r="I2351" i="14"/>
  <c r="D2351" i="14"/>
  <c r="I2350" i="14"/>
  <c r="D2350" i="14"/>
  <c r="I2349" i="14"/>
  <c r="D2349" i="14"/>
  <c r="I2348" i="14"/>
  <c r="D2348" i="14"/>
  <c r="I2347" i="14"/>
  <c r="D2347" i="14"/>
  <c r="I2346" i="14"/>
  <c r="D2346" i="14"/>
  <c r="I2345" i="14"/>
  <c r="D2345" i="14"/>
  <c r="I2344" i="14"/>
  <c r="D2344" i="14"/>
  <c r="I2343" i="14"/>
  <c r="D2343" i="14"/>
  <c r="I2342" i="14"/>
  <c r="D2342" i="14"/>
  <c r="I2341" i="14"/>
  <c r="D2341" i="14"/>
  <c r="I2340" i="14"/>
  <c r="D2340" i="14"/>
  <c r="I2339" i="14"/>
  <c r="D2339" i="14"/>
  <c r="I2338" i="14"/>
  <c r="D2338" i="14"/>
  <c r="I2337" i="14"/>
  <c r="D2337" i="14"/>
  <c r="I2336" i="14"/>
  <c r="D2336" i="14"/>
  <c r="I2335" i="14"/>
  <c r="D2335" i="14"/>
  <c r="I2334" i="14"/>
  <c r="D2334" i="14"/>
  <c r="I2333" i="14"/>
  <c r="D2333" i="14"/>
  <c r="I2332" i="14"/>
  <c r="D2332" i="14"/>
  <c r="I2331" i="14"/>
  <c r="D2331" i="14"/>
  <c r="I2330" i="14"/>
  <c r="D2330" i="14"/>
  <c r="I2329" i="14"/>
  <c r="D2329" i="14"/>
  <c r="I2328" i="14"/>
  <c r="D2328" i="14"/>
  <c r="I2327" i="14"/>
  <c r="D2327" i="14"/>
  <c r="I2326" i="14"/>
  <c r="D2326" i="14"/>
  <c r="I2325" i="14"/>
  <c r="D2325" i="14"/>
  <c r="I2324" i="14"/>
  <c r="D2324" i="14"/>
  <c r="I2323" i="14"/>
  <c r="D2323" i="14"/>
  <c r="I2322" i="14"/>
  <c r="D2322" i="14"/>
  <c r="I2321" i="14"/>
  <c r="D2321" i="14"/>
  <c r="I2320" i="14"/>
  <c r="D2320" i="14"/>
  <c r="I2319" i="14"/>
  <c r="D2319" i="14"/>
  <c r="I2318" i="14"/>
  <c r="D2318" i="14"/>
  <c r="I2317" i="14"/>
  <c r="D2317" i="14"/>
  <c r="I2316" i="14"/>
  <c r="D2316" i="14"/>
  <c r="I2315" i="14"/>
  <c r="D2315" i="14"/>
  <c r="I2314" i="14"/>
  <c r="D2314" i="14"/>
  <c r="I2313" i="14"/>
  <c r="D2313" i="14"/>
  <c r="I2312" i="14"/>
  <c r="D2312" i="14"/>
  <c r="I2311" i="14"/>
  <c r="D2311" i="14"/>
  <c r="I2310" i="14"/>
  <c r="D2310" i="14"/>
  <c r="I2309" i="14"/>
  <c r="D2309" i="14"/>
  <c r="I2308" i="14"/>
  <c r="D2308" i="14"/>
  <c r="I2307" i="14"/>
  <c r="D2307" i="14"/>
  <c r="I2306" i="14"/>
  <c r="D2306" i="14"/>
  <c r="I2305" i="14"/>
  <c r="D2305" i="14"/>
  <c r="I2304" i="14"/>
  <c r="D2304" i="14"/>
  <c r="I2303" i="14"/>
  <c r="D2303" i="14"/>
  <c r="I2302" i="14"/>
  <c r="D2302" i="14"/>
  <c r="I2301" i="14"/>
  <c r="D2301" i="14"/>
  <c r="I2300" i="14"/>
  <c r="D2300" i="14"/>
  <c r="I2299" i="14"/>
  <c r="D2299" i="14"/>
  <c r="I2298" i="14"/>
  <c r="D2298" i="14"/>
  <c r="I2297" i="14"/>
  <c r="D2297" i="14"/>
  <c r="I2296" i="14"/>
  <c r="D2296" i="14"/>
  <c r="I2295" i="14"/>
  <c r="D2295" i="14"/>
  <c r="I2294" i="14"/>
  <c r="D2294" i="14"/>
  <c r="I2293" i="14"/>
  <c r="D2293" i="14"/>
  <c r="I2292" i="14"/>
  <c r="D2292" i="14"/>
  <c r="I2291" i="14"/>
  <c r="D2291" i="14"/>
  <c r="I2290" i="14"/>
  <c r="D2290" i="14"/>
  <c r="I2289" i="14"/>
  <c r="D2289" i="14"/>
  <c r="I2288" i="14"/>
  <c r="D2288" i="14"/>
  <c r="I2287" i="14"/>
  <c r="D2287" i="14"/>
  <c r="I2286" i="14"/>
  <c r="D2286" i="14"/>
  <c r="I2285" i="14"/>
  <c r="D2285" i="14"/>
  <c r="I2284" i="14"/>
  <c r="D2284" i="14"/>
  <c r="I2283" i="14"/>
  <c r="D2283" i="14"/>
  <c r="I2282" i="14"/>
  <c r="D2282" i="14"/>
  <c r="I2281" i="14"/>
  <c r="D2281" i="14"/>
  <c r="I2280" i="14"/>
  <c r="D2280" i="14"/>
  <c r="I2279" i="14"/>
  <c r="D2279" i="14"/>
  <c r="I2278" i="14"/>
  <c r="D2278" i="14"/>
  <c r="I2277" i="14"/>
  <c r="D2277" i="14"/>
  <c r="I2276" i="14"/>
  <c r="D2276" i="14"/>
  <c r="I2275" i="14"/>
  <c r="D2275" i="14"/>
  <c r="I2274" i="14"/>
  <c r="D2274" i="14"/>
  <c r="I2273" i="14"/>
  <c r="D2273" i="14"/>
  <c r="I2272" i="14"/>
  <c r="D2272" i="14"/>
  <c r="I2271" i="14"/>
  <c r="D2271" i="14"/>
  <c r="I2270" i="14"/>
  <c r="D2270" i="14"/>
  <c r="I2269" i="14"/>
  <c r="D2269" i="14"/>
  <c r="I2268" i="14"/>
  <c r="D2268" i="14"/>
  <c r="I2267" i="14"/>
  <c r="D2267" i="14"/>
  <c r="I2266" i="14"/>
  <c r="D2266" i="14"/>
  <c r="I2265" i="14"/>
  <c r="D2265" i="14"/>
  <c r="I2264" i="14"/>
  <c r="D2264" i="14"/>
  <c r="I2263" i="14"/>
  <c r="D2263" i="14"/>
  <c r="I2262" i="14"/>
  <c r="D2262" i="14"/>
  <c r="I2261" i="14"/>
  <c r="D2261" i="14"/>
  <c r="I2260" i="14"/>
  <c r="D2260" i="14"/>
  <c r="I2259" i="14"/>
  <c r="D2259" i="14"/>
  <c r="I2258" i="14"/>
  <c r="D2258" i="14"/>
  <c r="I2257" i="14"/>
  <c r="D2257" i="14"/>
  <c r="I2256" i="14"/>
  <c r="D2256" i="14"/>
  <c r="I2255" i="14"/>
  <c r="D2255" i="14"/>
  <c r="I2254" i="14"/>
  <c r="D2254" i="14"/>
  <c r="I2253" i="14"/>
  <c r="D2253" i="14"/>
  <c r="I2252" i="14"/>
  <c r="D2252" i="14"/>
  <c r="I2251" i="14"/>
  <c r="D2251" i="14"/>
  <c r="I2250" i="14"/>
  <c r="D2250" i="14"/>
  <c r="I2249" i="14"/>
  <c r="D2249" i="14"/>
  <c r="I2248" i="14"/>
  <c r="D2248" i="14"/>
  <c r="I2247" i="14"/>
  <c r="D2247" i="14"/>
  <c r="I2246" i="14"/>
  <c r="D2246" i="14"/>
  <c r="I2245" i="14"/>
  <c r="D2245" i="14"/>
  <c r="I2244" i="14"/>
  <c r="D2244" i="14"/>
  <c r="I2243" i="14"/>
  <c r="D2243" i="14"/>
  <c r="I2242" i="14"/>
  <c r="D2242" i="14"/>
  <c r="I2241" i="14"/>
  <c r="D2241" i="14"/>
  <c r="I2240" i="14"/>
  <c r="D2240" i="14"/>
  <c r="I2239" i="14"/>
  <c r="D2239" i="14"/>
  <c r="I2238" i="14"/>
  <c r="D2238" i="14"/>
  <c r="I2237" i="14"/>
  <c r="D2237" i="14"/>
  <c r="I2236" i="14"/>
  <c r="D2236" i="14"/>
  <c r="I2235" i="14"/>
  <c r="D2235" i="14"/>
  <c r="I2234" i="14"/>
  <c r="D2234" i="14"/>
  <c r="I2233" i="14"/>
  <c r="D2233" i="14"/>
  <c r="I2232" i="14"/>
  <c r="D2232" i="14"/>
  <c r="I2231" i="14"/>
  <c r="D2231" i="14"/>
  <c r="I2230" i="14"/>
  <c r="D2230" i="14"/>
  <c r="I2229" i="14"/>
  <c r="D2229" i="14"/>
  <c r="I2228" i="14"/>
  <c r="D2228" i="14"/>
  <c r="I2227" i="14"/>
  <c r="D2227" i="14"/>
  <c r="I2226" i="14"/>
  <c r="D2226" i="14"/>
  <c r="I2225" i="14"/>
  <c r="D2225" i="14"/>
  <c r="I2224" i="14"/>
  <c r="D2224" i="14"/>
  <c r="I2223" i="14"/>
  <c r="D2223" i="14"/>
  <c r="I2222" i="14"/>
  <c r="D2222" i="14"/>
  <c r="I2221" i="14"/>
  <c r="D2221" i="14"/>
  <c r="I2220" i="14"/>
  <c r="D2220" i="14"/>
  <c r="I2219" i="14"/>
  <c r="D2219" i="14"/>
  <c r="I2218" i="14"/>
  <c r="D2218" i="14"/>
  <c r="I2217" i="14"/>
  <c r="D2217" i="14"/>
  <c r="I2216" i="14"/>
  <c r="D2216" i="14"/>
  <c r="I2215" i="14"/>
  <c r="D2215" i="14"/>
  <c r="I2214" i="14"/>
  <c r="D2214" i="14"/>
  <c r="I2213" i="14"/>
  <c r="D2213" i="14"/>
  <c r="I2212" i="14"/>
  <c r="D2212" i="14"/>
  <c r="I2211" i="14"/>
  <c r="D2211" i="14"/>
  <c r="I2210" i="14"/>
  <c r="D2210" i="14"/>
  <c r="I2209" i="14"/>
  <c r="D2209" i="14"/>
  <c r="I2208" i="14"/>
  <c r="D2208" i="14"/>
  <c r="I2207" i="14"/>
  <c r="D2207" i="14"/>
  <c r="I2206" i="14"/>
  <c r="D2206" i="14"/>
  <c r="I2205" i="14"/>
  <c r="D2205" i="14"/>
  <c r="I2204" i="14"/>
  <c r="D2204" i="14"/>
  <c r="I2203" i="14"/>
  <c r="D2203" i="14"/>
  <c r="I2202" i="14"/>
  <c r="D2202" i="14"/>
  <c r="I2201" i="14"/>
  <c r="D2201" i="14"/>
  <c r="I2200" i="14"/>
  <c r="D2200" i="14"/>
  <c r="I2199" i="14"/>
  <c r="D2199" i="14"/>
  <c r="I2198" i="14"/>
  <c r="D2198" i="14"/>
  <c r="I2197" i="14"/>
  <c r="D2197" i="14"/>
  <c r="I2196" i="14"/>
  <c r="D2196" i="14"/>
  <c r="I2195" i="14"/>
  <c r="D2195" i="14"/>
  <c r="I2194" i="14"/>
  <c r="D2194" i="14"/>
  <c r="I2193" i="14"/>
  <c r="D2193" i="14"/>
  <c r="I2192" i="14"/>
  <c r="D2192" i="14"/>
  <c r="I2191" i="14"/>
  <c r="D2191" i="14"/>
  <c r="I2190" i="14"/>
  <c r="D2190" i="14"/>
  <c r="I2189" i="14"/>
  <c r="D2189" i="14"/>
  <c r="I2188" i="14"/>
  <c r="D2188" i="14"/>
  <c r="I2187" i="14"/>
  <c r="D2187" i="14"/>
  <c r="I2186" i="14"/>
  <c r="D2186" i="14"/>
  <c r="I2185" i="14"/>
  <c r="D2185" i="14"/>
  <c r="I2184" i="14"/>
  <c r="D2184" i="14"/>
  <c r="I2183" i="14"/>
  <c r="D2183" i="14"/>
  <c r="I2182" i="14"/>
  <c r="D2182" i="14"/>
  <c r="A2182" i="14"/>
  <c r="I2181" i="14"/>
  <c r="D2181" i="14"/>
  <c r="I2180" i="14"/>
  <c r="D2180" i="14"/>
  <c r="I2179" i="14"/>
  <c r="D2179" i="14"/>
  <c r="I2178" i="14"/>
  <c r="D2178" i="14"/>
  <c r="I2177" i="14"/>
  <c r="D2177" i="14"/>
  <c r="I2176" i="14"/>
  <c r="D2176" i="14"/>
  <c r="I2175" i="14"/>
  <c r="D2175" i="14"/>
  <c r="I2174" i="14"/>
  <c r="D2174" i="14"/>
  <c r="I2173" i="14"/>
  <c r="D2173" i="14"/>
  <c r="I2172" i="14"/>
  <c r="D2172" i="14"/>
  <c r="I2171" i="14"/>
  <c r="D2171" i="14"/>
  <c r="I2170" i="14"/>
  <c r="D2170" i="14"/>
  <c r="I2169" i="14"/>
  <c r="D2169" i="14"/>
  <c r="I2168" i="14"/>
  <c r="D2168" i="14"/>
  <c r="I2167" i="14"/>
  <c r="D2167" i="14"/>
  <c r="I2166" i="14"/>
  <c r="D2166" i="14"/>
  <c r="I2165" i="14"/>
  <c r="D2165" i="14"/>
  <c r="I2164" i="14"/>
  <c r="D2164" i="14"/>
  <c r="I2163" i="14"/>
  <c r="D2163" i="14"/>
  <c r="I2162" i="14"/>
  <c r="D2162" i="14"/>
  <c r="C2145" i="14"/>
  <c r="I2144" i="14"/>
  <c r="D2144" i="14"/>
  <c r="C2127" i="14"/>
  <c r="I2126" i="14"/>
  <c r="D2126" i="14"/>
  <c r="C2109" i="14"/>
  <c r="I2108" i="14"/>
  <c r="D2108" i="14"/>
  <c r="C2091" i="14"/>
  <c r="I2090" i="14"/>
  <c r="D2090" i="14"/>
  <c r="C2073" i="14"/>
  <c r="I2072" i="14"/>
  <c r="D2072" i="14"/>
  <c r="C2055" i="14"/>
  <c r="I2054" i="14"/>
  <c r="D2054" i="14"/>
  <c r="C2037" i="14"/>
  <c r="I2036" i="14"/>
  <c r="D2036" i="14"/>
  <c r="C2019" i="14"/>
  <c r="I2018" i="14"/>
  <c r="D2018" i="14"/>
  <c r="C2001" i="14"/>
  <c r="I2000" i="14"/>
  <c r="D2000" i="14"/>
  <c r="C1983" i="14"/>
  <c r="I1982" i="14"/>
  <c r="D1982" i="14"/>
  <c r="C1965" i="14"/>
  <c r="I1964" i="14"/>
  <c r="D1964" i="14"/>
  <c r="C1947" i="14"/>
  <c r="I1946" i="14"/>
  <c r="D1946" i="14"/>
  <c r="C1929" i="14"/>
  <c r="I1928" i="14"/>
  <c r="D1928" i="14"/>
  <c r="C1911" i="14"/>
  <c r="I1910" i="14"/>
  <c r="D1910" i="14"/>
  <c r="C1893" i="14"/>
  <c r="I1892" i="14"/>
  <c r="D1892" i="14"/>
  <c r="C1875" i="14"/>
  <c r="I1874" i="14"/>
  <c r="D1874" i="14"/>
  <c r="C1857" i="14"/>
  <c r="I1856" i="14"/>
  <c r="D1856" i="14"/>
  <c r="C1839" i="14"/>
  <c r="I1838" i="14"/>
  <c r="D1838" i="14"/>
  <c r="C1821" i="14"/>
  <c r="I1820" i="14"/>
  <c r="D1820" i="14"/>
  <c r="C1803" i="14"/>
  <c r="I1802" i="14"/>
  <c r="D1802" i="14"/>
  <c r="C1785" i="14"/>
  <c r="I1784" i="14"/>
  <c r="D1784" i="14"/>
  <c r="C1767" i="14"/>
  <c r="I1766" i="14"/>
  <c r="D1766" i="14"/>
  <c r="C1749" i="14"/>
  <c r="I1748" i="14"/>
  <c r="D1748" i="14"/>
  <c r="C1731" i="14"/>
  <c r="I1730" i="14"/>
  <c r="D1730" i="14"/>
  <c r="C1713" i="14"/>
  <c r="I1712" i="14"/>
  <c r="D1712" i="14"/>
  <c r="C1695" i="14"/>
  <c r="I1694" i="14"/>
  <c r="D1694" i="14"/>
  <c r="C1677" i="14"/>
  <c r="I1676" i="14"/>
  <c r="D1676" i="14"/>
  <c r="C1659" i="14"/>
  <c r="I1658" i="14"/>
  <c r="D1658" i="14"/>
  <c r="C1641" i="14"/>
  <c r="I1640" i="14"/>
  <c r="D1640" i="14"/>
  <c r="C1623" i="14"/>
  <c r="I1622" i="14"/>
  <c r="D1622" i="14"/>
  <c r="C1605" i="14"/>
  <c r="I1604" i="14"/>
  <c r="D1604" i="14"/>
  <c r="C1587" i="14"/>
  <c r="I1586" i="14"/>
  <c r="D1586" i="14"/>
  <c r="C1569" i="14"/>
  <c r="I1568" i="14"/>
  <c r="D1568" i="14"/>
  <c r="C1551" i="14"/>
  <c r="I1550" i="14"/>
  <c r="D1550" i="14"/>
  <c r="C1533" i="14"/>
  <c r="I1532" i="14"/>
  <c r="D1532" i="14"/>
  <c r="C1515" i="14"/>
  <c r="I1514" i="14"/>
  <c r="D1514" i="14"/>
  <c r="C1497" i="14"/>
  <c r="I1496" i="14"/>
  <c r="D1496" i="14"/>
  <c r="C1479" i="14"/>
  <c r="I1478" i="14"/>
  <c r="D1478" i="14"/>
  <c r="C1461" i="14"/>
  <c r="I1460" i="14"/>
  <c r="D1460" i="14"/>
  <c r="C1443" i="14"/>
  <c r="I1442" i="14"/>
  <c r="D1442" i="14"/>
  <c r="C1425" i="14"/>
  <c r="I1424" i="14"/>
  <c r="D1424" i="14"/>
  <c r="C1407" i="14"/>
  <c r="I1406" i="14"/>
  <c r="D1406" i="14"/>
  <c r="C1389" i="14"/>
  <c r="I1388" i="14"/>
  <c r="D1388" i="14"/>
  <c r="C1371" i="14"/>
  <c r="I1370" i="14"/>
  <c r="D1370" i="14"/>
  <c r="C1353" i="14"/>
  <c r="I1352" i="14"/>
  <c r="D1352" i="14"/>
  <c r="C1335" i="14"/>
  <c r="I1334" i="14"/>
  <c r="D1334" i="14"/>
  <c r="C1317" i="14"/>
  <c r="I1316" i="14"/>
  <c r="D1316" i="14"/>
  <c r="C1299" i="14"/>
  <c r="I1298" i="14"/>
  <c r="D1298" i="14"/>
  <c r="C1281" i="14"/>
  <c r="I1280" i="14"/>
  <c r="D1280" i="14"/>
  <c r="C1263" i="14"/>
  <c r="I1262" i="14"/>
  <c r="D1262" i="14"/>
  <c r="C1245" i="14"/>
  <c r="I1244" i="14"/>
  <c r="D1244" i="14"/>
  <c r="C1227" i="14"/>
  <c r="I1226" i="14"/>
  <c r="D1226" i="14"/>
  <c r="C1209" i="14"/>
  <c r="I1208" i="14"/>
  <c r="D1208" i="14"/>
  <c r="C1191" i="14"/>
  <c r="I1190" i="14"/>
  <c r="D1190" i="14"/>
  <c r="C1173" i="14"/>
  <c r="I1172" i="14"/>
  <c r="D1172" i="14"/>
  <c r="C1155" i="14"/>
  <c r="I1154" i="14"/>
  <c r="D1154" i="14"/>
  <c r="C1137" i="14"/>
  <c r="I1136" i="14"/>
  <c r="D1136" i="14"/>
  <c r="C1119" i="14"/>
  <c r="I1118" i="14"/>
  <c r="D1118" i="14"/>
  <c r="C1101" i="14"/>
  <c r="I1100" i="14"/>
  <c r="D1100" i="14"/>
  <c r="C1083" i="14"/>
  <c r="I1082" i="14"/>
  <c r="D1082" i="14"/>
  <c r="C1065" i="14"/>
  <c r="I1064" i="14"/>
  <c r="D1064" i="14"/>
  <c r="C1047" i="14"/>
  <c r="I1046" i="14"/>
  <c r="D1046" i="14"/>
  <c r="C1029" i="14"/>
  <c r="I1028" i="14"/>
  <c r="F1028" i="14"/>
  <c r="D1028" i="14"/>
  <c r="F1027" i="14"/>
  <c r="F1025" i="14"/>
  <c r="F1023" i="14"/>
  <c r="F1022" i="14"/>
  <c r="F1020" i="14"/>
  <c r="F1018" i="14"/>
  <c r="F1017" i="14"/>
  <c r="F1016" i="14"/>
  <c r="C1011" i="14"/>
  <c r="I1010" i="14"/>
  <c r="F1010" i="14"/>
  <c r="D1010" i="14"/>
  <c r="F1009" i="14"/>
  <c r="F1007" i="14"/>
  <c r="F1005" i="14"/>
  <c r="F1004" i="14"/>
  <c r="F1002" i="14"/>
  <c r="F1000" i="14"/>
  <c r="F999" i="14"/>
  <c r="F998" i="14"/>
  <c r="C993" i="14"/>
  <c r="I992" i="14"/>
  <c r="F992" i="14"/>
  <c r="D992" i="14"/>
  <c r="F991" i="14"/>
  <c r="F989" i="14"/>
  <c r="F987" i="14"/>
  <c r="F986" i="14"/>
  <c r="F985" i="14"/>
  <c r="F984" i="14"/>
  <c r="F983" i="14"/>
  <c r="F982" i="14"/>
  <c r="F981" i="14"/>
  <c r="F980" i="14"/>
  <c r="C975" i="14"/>
  <c r="I974" i="14"/>
  <c r="F974" i="14"/>
  <c r="D974" i="14"/>
  <c r="F973" i="14"/>
  <c r="F971" i="14"/>
  <c r="F969" i="14"/>
  <c r="F968" i="14"/>
  <c r="F967" i="14"/>
  <c r="F966" i="14"/>
  <c r="F965" i="14"/>
  <c r="F964" i="14"/>
  <c r="F963" i="14"/>
  <c r="F962" i="14"/>
  <c r="C957" i="14"/>
  <c r="I956" i="14"/>
  <c r="F956" i="14"/>
  <c r="D956" i="14"/>
  <c r="F955" i="14"/>
  <c r="F953" i="14"/>
  <c r="F951" i="14"/>
  <c r="F950" i="14"/>
  <c r="F949" i="14"/>
  <c r="F948" i="14"/>
  <c r="F947" i="14"/>
  <c r="F946" i="14"/>
  <c r="F945" i="14"/>
  <c r="F944" i="14"/>
  <c r="F942" i="14"/>
  <c r="C939" i="14"/>
  <c r="I938" i="14"/>
  <c r="F938" i="14"/>
  <c r="D938" i="14"/>
  <c r="F933" i="14"/>
  <c r="F932" i="14"/>
  <c r="F931" i="14"/>
  <c r="F930" i="14"/>
  <c r="F929" i="14"/>
  <c r="F928" i="14"/>
  <c r="F927" i="14"/>
  <c r="F926" i="14"/>
  <c r="F924" i="14"/>
  <c r="C921" i="14"/>
  <c r="I920" i="14"/>
  <c r="F920" i="14"/>
  <c r="D920" i="14"/>
  <c r="F919" i="14"/>
  <c r="F917" i="14"/>
  <c r="F915" i="14"/>
  <c r="F914" i="14"/>
  <c r="F913" i="14"/>
  <c r="F912" i="14"/>
  <c r="F911" i="14"/>
  <c r="F910" i="14"/>
  <c r="F909" i="14"/>
  <c r="F908" i="14"/>
  <c r="F906" i="14"/>
  <c r="C903" i="14"/>
  <c r="I902" i="14"/>
  <c r="F902" i="14"/>
  <c r="D902" i="14"/>
  <c r="F901" i="14"/>
  <c r="F899" i="14"/>
  <c r="F897" i="14"/>
  <c r="F896" i="14"/>
  <c r="F895" i="14"/>
  <c r="F894" i="14"/>
  <c r="F893" i="14"/>
  <c r="F892" i="14"/>
  <c r="F891" i="14"/>
  <c r="F890" i="14"/>
  <c r="F888" i="14"/>
  <c r="C885" i="14"/>
  <c r="I884" i="14"/>
  <c r="F884" i="14"/>
  <c r="D884" i="14"/>
  <c r="F883" i="14"/>
  <c r="F881" i="14"/>
  <c r="F879" i="14"/>
  <c r="F878" i="14"/>
  <c r="F877" i="14"/>
  <c r="F876" i="14"/>
  <c r="F875" i="14"/>
  <c r="F874" i="14"/>
  <c r="F873" i="14"/>
  <c r="F872" i="14"/>
  <c r="F870" i="14"/>
  <c r="C867" i="14"/>
  <c r="I866" i="14"/>
  <c r="D866" i="14"/>
  <c r="C849" i="14"/>
  <c r="I848" i="14"/>
  <c r="D848" i="14"/>
  <c r="C831" i="14"/>
  <c r="I830" i="14"/>
  <c r="F830" i="14"/>
  <c r="D830" i="14"/>
  <c r="C813" i="14"/>
  <c r="I812" i="14"/>
  <c r="F812" i="14"/>
  <c r="D812" i="14"/>
  <c r="F797" i="14"/>
  <c r="C795" i="14"/>
  <c r="I794" i="14"/>
  <c r="F794" i="14"/>
  <c r="D794" i="14"/>
  <c r="F779" i="14"/>
  <c r="C777" i="14"/>
  <c r="I776" i="14"/>
  <c r="F776" i="14"/>
  <c r="D776" i="14"/>
  <c r="F761" i="14"/>
  <c r="C759" i="14"/>
  <c r="I758" i="14"/>
  <c r="F758" i="14"/>
  <c r="D758" i="14"/>
  <c r="F743" i="14"/>
  <c r="C741" i="14"/>
  <c r="I740" i="14"/>
  <c r="F740" i="14"/>
  <c r="D740" i="14"/>
  <c r="F735" i="14"/>
  <c r="F725" i="14"/>
  <c r="C723" i="14"/>
  <c r="I722" i="14"/>
  <c r="F722" i="14"/>
  <c r="D722" i="14"/>
  <c r="F717" i="14"/>
  <c r="F707" i="14"/>
  <c r="C705" i="14"/>
  <c r="I704" i="14"/>
  <c r="F704" i="14"/>
  <c r="D704" i="14"/>
  <c r="F699" i="14"/>
  <c r="F689" i="14"/>
  <c r="C687" i="14"/>
  <c r="I686" i="14"/>
  <c r="F686" i="14"/>
  <c r="D686" i="14"/>
  <c r="F685" i="14"/>
  <c r="F681" i="14"/>
  <c r="F680" i="14"/>
  <c r="F675" i="14"/>
  <c r="C669" i="14"/>
  <c r="I668" i="14"/>
  <c r="D668" i="14"/>
  <c r="F653" i="14"/>
  <c r="C651" i="14"/>
  <c r="I650" i="14"/>
  <c r="F650" i="14"/>
  <c r="D650" i="14"/>
  <c r="F649" i="14"/>
  <c r="F647" i="14"/>
  <c r="F645" i="14"/>
  <c r="F644" i="14"/>
  <c r="F639" i="14"/>
  <c r="F635" i="14"/>
  <c r="C633" i="14"/>
  <c r="I632" i="14"/>
  <c r="F632" i="14"/>
  <c r="D632" i="14"/>
  <c r="F631" i="14"/>
  <c r="F629" i="14"/>
  <c r="F627" i="14"/>
  <c r="F626" i="14"/>
  <c r="F624" i="14"/>
  <c r="F621" i="14"/>
  <c r="F617" i="14"/>
  <c r="C615" i="14"/>
  <c r="I614" i="14"/>
  <c r="F614" i="14"/>
  <c r="D614" i="14"/>
  <c r="F599" i="14"/>
  <c r="C597" i="14"/>
  <c r="I596" i="14"/>
  <c r="F596" i="14"/>
  <c r="D596" i="14"/>
  <c r="F595" i="14"/>
  <c r="F593" i="14"/>
  <c r="F591" i="14"/>
  <c r="F590" i="14"/>
  <c r="F588" i="14"/>
  <c r="F586" i="14"/>
  <c r="F585" i="14"/>
  <c r="F584" i="14"/>
  <c r="F581" i="14"/>
  <c r="C579" i="14"/>
  <c r="I578" i="14"/>
  <c r="D578" i="14"/>
  <c r="C561" i="14"/>
  <c r="I560" i="14"/>
  <c r="D560" i="14"/>
  <c r="C543" i="14"/>
  <c r="I542" i="14"/>
  <c r="D542" i="14"/>
  <c r="C525" i="14"/>
  <c r="I524" i="14"/>
  <c r="D524" i="14"/>
  <c r="C507" i="14"/>
  <c r="I506" i="14"/>
  <c r="D506" i="14"/>
  <c r="C489" i="14"/>
  <c r="I488" i="14"/>
  <c r="D488" i="14"/>
  <c r="C471" i="14"/>
  <c r="I470" i="14"/>
  <c r="D470" i="14"/>
  <c r="C453" i="14"/>
  <c r="I452" i="14"/>
  <c r="D452" i="14"/>
  <c r="C435" i="14"/>
  <c r="I434" i="14"/>
  <c r="F434" i="14"/>
  <c r="D434" i="14"/>
  <c r="F429" i="14"/>
  <c r="C417" i="14"/>
  <c r="I416" i="14"/>
  <c r="F416" i="14"/>
  <c r="D416" i="14"/>
  <c r="F411" i="14"/>
  <c r="C399" i="14"/>
  <c r="I398" i="14"/>
  <c r="F398" i="14"/>
  <c r="D398" i="14"/>
  <c r="F393" i="14"/>
  <c r="C381" i="14"/>
  <c r="I380" i="14"/>
  <c r="F380" i="14"/>
  <c r="D380" i="14"/>
  <c r="F375" i="14"/>
  <c r="C363" i="14"/>
  <c r="I362" i="14"/>
  <c r="F362" i="14"/>
  <c r="D362" i="14"/>
  <c r="F357" i="14"/>
  <c r="C345" i="14"/>
  <c r="I344" i="14"/>
  <c r="F344" i="14"/>
  <c r="D344" i="14"/>
  <c r="F339" i="14"/>
  <c r="C327" i="14"/>
  <c r="I326" i="14"/>
  <c r="F326" i="14"/>
  <c r="D326" i="14"/>
  <c r="F321" i="14"/>
  <c r="C309" i="14"/>
  <c r="I308" i="14"/>
  <c r="F308" i="14"/>
  <c r="D308" i="14"/>
  <c r="F303" i="14"/>
  <c r="C291" i="14"/>
  <c r="I290" i="14"/>
  <c r="F290" i="14"/>
  <c r="D290" i="14"/>
  <c r="F285" i="14"/>
  <c r="C273" i="14"/>
  <c r="I272" i="14"/>
  <c r="F272" i="14"/>
  <c r="D272" i="14"/>
  <c r="F271" i="14"/>
  <c r="F267" i="14"/>
  <c r="C255" i="14"/>
  <c r="I254" i="14"/>
  <c r="F254" i="14"/>
  <c r="D254" i="14"/>
  <c r="F253" i="14"/>
  <c r="F249" i="14"/>
  <c r="C237" i="14"/>
  <c r="I236" i="14"/>
  <c r="F236" i="14"/>
  <c r="D236" i="14"/>
  <c r="F235" i="14"/>
  <c r="F233" i="14"/>
  <c r="F231" i="14"/>
  <c r="F230" i="14"/>
  <c r="F228" i="14"/>
  <c r="F225" i="14"/>
  <c r="F221" i="14"/>
  <c r="F220" i="14"/>
  <c r="C219" i="14"/>
  <c r="I218" i="14"/>
  <c r="F218" i="14"/>
  <c r="D218" i="14"/>
  <c r="A218" i="14"/>
  <c r="I217" i="14"/>
  <c r="F217" i="14"/>
  <c r="D217" i="14"/>
  <c r="I216" i="14"/>
  <c r="D216" i="14"/>
  <c r="I215" i="14"/>
  <c r="F215" i="14"/>
  <c r="D215" i="14"/>
  <c r="I214" i="14"/>
  <c r="D214" i="14"/>
  <c r="I213" i="14"/>
  <c r="F213" i="14"/>
  <c r="D213" i="14"/>
  <c r="I212" i="14"/>
  <c r="F212" i="14"/>
  <c r="D212" i="14"/>
  <c r="I211" i="14"/>
  <c r="D211" i="14"/>
  <c r="I210" i="14"/>
  <c r="F210" i="14"/>
  <c r="D210" i="14"/>
  <c r="I209" i="14"/>
  <c r="D209" i="14"/>
  <c r="I208" i="14"/>
  <c r="F208" i="14"/>
  <c r="D208" i="14"/>
  <c r="I207" i="14"/>
  <c r="F207" i="14"/>
  <c r="D207" i="14"/>
  <c r="I206" i="14"/>
  <c r="F206" i="14"/>
  <c r="D206" i="14"/>
  <c r="I205" i="14"/>
  <c r="D205" i="14"/>
  <c r="I204" i="14"/>
  <c r="D204" i="14"/>
  <c r="I203" i="14"/>
  <c r="F203" i="14"/>
  <c r="D203" i="14"/>
  <c r="I202" i="14"/>
  <c r="F202" i="14"/>
  <c r="D202" i="14"/>
  <c r="I201" i="14"/>
  <c r="D201" i="14"/>
  <c r="I200" i="14"/>
  <c r="F200" i="14"/>
  <c r="D200" i="14"/>
  <c r="I199" i="14"/>
  <c r="F199" i="14"/>
  <c r="D199" i="14"/>
  <c r="I198" i="14"/>
  <c r="D198" i="14"/>
  <c r="I197" i="14"/>
  <c r="D197" i="14"/>
  <c r="I196" i="14"/>
  <c r="D196" i="14"/>
  <c r="I195" i="14"/>
  <c r="F195" i="14"/>
  <c r="D195" i="14"/>
  <c r="I194" i="14"/>
  <c r="D194" i="14"/>
  <c r="I193" i="14"/>
  <c r="D193" i="14"/>
  <c r="I192" i="14"/>
  <c r="F192" i="14"/>
  <c r="D192" i="14"/>
  <c r="I191" i="14"/>
  <c r="D191" i="14"/>
  <c r="I190" i="14"/>
  <c r="F190" i="14"/>
  <c r="D190" i="14"/>
  <c r="I189" i="14"/>
  <c r="F189" i="14"/>
  <c r="D189" i="14"/>
  <c r="I188" i="14"/>
  <c r="F188" i="14"/>
  <c r="D188" i="14"/>
  <c r="I187" i="14"/>
  <c r="D187" i="14"/>
  <c r="I186" i="14"/>
  <c r="D186" i="14"/>
  <c r="I185" i="14"/>
  <c r="F185" i="14"/>
  <c r="D185" i="14"/>
  <c r="I184" i="14"/>
  <c r="F184" i="14"/>
  <c r="D184" i="14"/>
  <c r="I183" i="14"/>
  <c r="D183" i="14"/>
  <c r="I182" i="14"/>
  <c r="F182" i="14"/>
  <c r="D182" i="14"/>
  <c r="I181" i="14"/>
  <c r="F181" i="14"/>
  <c r="D181" i="14"/>
  <c r="I180" i="14"/>
  <c r="D180" i="14"/>
  <c r="I179" i="14"/>
  <c r="F179" i="14"/>
  <c r="D179" i="14"/>
  <c r="I178" i="14"/>
  <c r="D178" i="14"/>
  <c r="I177" i="14"/>
  <c r="F177" i="14"/>
  <c r="D177" i="14"/>
  <c r="I176" i="14"/>
  <c r="F176" i="14"/>
  <c r="D176" i="14"/>
  <c r="I175" i="14"/>
  <c r="F175" i="14"/>
  <c r="D175" i="14"/>
  <c r="I174" i="14"/>
  <c r="F174" i="14"/>
  <c r="D174" i="14"/>
  <c r="I173" i="14"/>
  <c r="D173" i="14"/>
  <c r="I172" i="14"/>
  <c r="F172" i="14"/>
  <c r="D172" i="14"/>
  <c r="I171" i="14"/>
  <c r="F171" i="14"/>
  <c r="D171" i="14"/>
  <c r="I170" i="14"/>
  <c r="F170" i="14"/>
  <c r="D170" i="14"/>
  <c r="I169" i="14"/>
  <c r="D169" i="14"/>
  <c r="I168" i="14"/>
  <c r="D168" i="14"/>
  <c r="I167" i="14"/>
  <c r="F167" i="14"/>
  <c r="D167" i="14"/>
  <c r="I166" i="14"/>
  <c r="F166" i="14"/>
  <c r="D166" i="14"/>
  <c r="I165" i="14"/>
  <c r="D165" i="14"/>
  <c r="I164" i="14"/>
  <c r="F164" i="14"/>
  <c r="D164" i="14"/>
  <c r="I163" i="14"/>
  <c r="F163" i="14"/>
  <c r="D163" i="14"/>
  <c r="I162" i="14"/>
  <c r="D162" i="14"/>
  <c r="I161" i="14"/>
  <c r="F161" i="14"/>
  <c r="D161" i="14"/>
  <c r="I160" i="14"/>
  <c r="D160" i="14"/>
  <c r="I159" i="14"/>
  <c r="F159" i="14"/>
  <c r="D159" i="14"/>
  <c r="I158" i="14"/>
  <c r="F158" i="14"/>
  <c r="D158" i="14"/>
  <c r="I157" i="14"/>
  <c r="F157" i="14"/>
  <c r="D157" i="14"/>
  <c r="I156" i="14"/>
  <c r="F156" i="14"/>
  <c r="D156" i="14"/>
  <c r="I155" i="14"/>
  <c r="F155" i="14"/>
  <c r="D155" i="14"/>
  <c r="I154" i="14"/>
  <c r="F154" i="14"/>
  <c r="D154" i="14"/>
  <c r="I153" i="14"/>
  <c r="F153" i="14"/>
  <c r="D153" i="14"/>
  <c r="I152" i="14"/>
  <c r="F152" i="14"/>
  <c r="D152" i="14"/>
  <c r="I151" i="14"/>
  <c r="D151" i="14"/>
  <c r="I150" i="14"/>
  <c r="D150" i="14"/>
  <c r="I149" i="14"/>
  <c r="F149" i="14"/>
  <c r="D149" i="14"/>
  <c r="I148" i="14"/>
  <c r="F148" i="14"/>
  <c r="D148" i="14"/>
  <c r="I147" i="14"/>
  <c r="D147" i="14"/>
  <c r="I146" i="14"/>
  <c r="F146" i="14"/>
  <c r="D146" i="14"/>
  <c r="I145" i="14"/>
  <c r="F145" i="14"/>
  <c r="D145" i="14"/>
  <c r="I144" i="14"/>
  <c r="D144" i="14"/>
  <c r="I143" i="14"/>
  <c r="F143" i="14"/>
  <c r="D143" i="14"/>
  <c r="I142" i="14"/>
  <c r="D142" i="14"/>
  <c r="I141" i="14"/>
  <c r="F141" i="14"/>
  <c r="D141" i="14"/>
  <c r="I140" i="14"/>
  <c r="F140" i="14"/>
  <c r="D140" i="14"/>
  <c r="I139" i="14"/>
  <c r="F139" i="14"/>
  <c r="D139" i="14"/>
  <c r="I138" i="14"/>
  <c r="F138" i="14"/>
  <c r="D138" i="14"/>
  <c r="I137" i="14"/>
  <c r="F137" i="14"/>
  <c r="D137" i="14"/>
  <c r="I136" i="14"/>
  <c r="F136" i="14"/>
  <c r="D136" i="14"/>
  <c r="I135" i="14"/>
  <c r="F135" i="14"/>
  <c r="D135" i="14"/>
  <c r="I134" i="14"/>
  <c r="F134" i="14"/>
  <c r="D134" i="14"/>
  <c r="I133" i="14"/>
  <c r="D133" i="14"/>
  <c r="I132" i="14"/>
  <c r="D132" i="14"/>
  <c r="I131" i="14"/>
  <c r="F131" i="14"/>
  <c r="D131" i="14"/>
  <c r="I130" i="14"/>
  <c r="F130" i="14"/>
  <c r="D130" i="14"/>
  <c r="I129" i="14"/>
  <c r="D129" i="14"/>
  <c r="I128" i="14"/>
  <c r="F128" i="14"/>
  <c r="D128" i="14"/>
  <c r="I127" i="14"/>
  <c r="F127" i="14"/>
  <c r="D127" i="14"/>
  <c r="I126" i="14"/>
  <c r="D126" i="14"/>
  <c r="I125" i="14"/>
  <c r="F125" i="14"/>
  <c r="D125" i="14"/>
  <c r="I124" i="14"/>
  <c r="D124" i="14"/>
  <c r="I123" i="14"/>
  <c r="F123" i="14"/>
  <c r="D123" i="14"/>
  <c r="I122" i="14"/>
  <c r="F122" i="14"/>
  <c r="D122" i="14"/>
  <c r="I121" i="14"/>
  <c r="F121" i="14"/>
  <c r="D121" i="14"/>
  <c r="I120" i="14"/>
  <c r="F120" i="14"/>
  <c r="D120" i="14"/>
  <c r="I119" i="14"/>
  <c r="F119" i="14"/>
  <c r="D119" i="14"/>
  <c r="I118" i="14"/>
  <c r="F118" i="14"/>
  <c r="D118" i="14"/>
  <c r="I117" i="14"/>
  <c r="F117" i="14"/>
  <c r="D117" i="14"/>
  <c r="I116" i="14"/>
  <c r="F116" i="14"/>
  <c r="D116" i="14"/>
  <c r="I115" i="14"/>
  <c r="D115" i="14"/>
  <c r="I114" i="14"/>
  <c r="F114" i="14"/>
  <c r="D114" i="14"/>
  <c r="I113" i="14"/>
  <c r="F113" i="14"/>
  <c r="D113" i="14"/>
  <c r="I112" i="14"/>
  <c r="F112" i="14"/>
  <c r="D112" i="14"/>
  <c r="I111" i="14"/>
  <c r="F111" i="14"/>
  <c r="D111" i="14"/>
  <c r="I110" i="14"/>
  <c r="F110" i="14"/>
  <c r="D110" i="14"/>
  <c r="I109" i="14"/>
  <c r="F109" i="14"/>
  <c r="D109" i="14"/>
  <c r="I108" i="14"/>
  <c r="D108" i="14"/>
  <c r="I107" i="14"/>
  <c r="D107" i="14"/>
  <c r="I106" i="14"/>
  <c r="D106" i="14"/>
  <c r="I105" i="14"/>
  <c r="D105" i="14"/>
  <c r="I104" i="14"/>
  <c r="D104" i="14"/>
  <c r="I103" i="14"/>
  <c r="D103" i="14"/>
  <c r="I102" i="14"/>
  <c r="D102" i="14"/>
  <c r="I101" i="14"/>
  <c r="D101" i="14"/>
  <c r="I100" i="14"/>
  <c r="D100" i="14"/>
  <c r="I99" i="14"/>
  <c r="D99" i="14"/>
  <c r="I98" i="14"/>
  <c r="D98" i="14"/>
  <c r="I97" i="14"/>
  <c r="D97" i="14"/>
  <c r="I96" i="14"/>
  <c r="D96" i="14"/>
  <c r="I95" i="14"/>
  <c r="D95" i="14"/>
  <c r="I94" i="14"/>
  <c r="D94" i="14"/>
  <c r="I93" i="14"/>
  <c r="D93" i="14"/>
  <c r="I92" i="14"/>
  <c r="D92" i="14"/>
  <c r="I91" i="14"/>
  <c r="D91" i="14"/>
  <c r="I90" i="14"/>
  <c r="D90" i="14"/>
  <c r="I89" i="14"/>
  <c r="D89" i="14"/>
  <c r="I88" i="14"/>
  <c r="D88" i="14"/>
  <c r="I87" i="14"/>
  <c r="D87" i="14"/>
  <c r="I86" i="14"/>
  <c r="D86" i="14"/>
  <c r="I85" i="14"/>
  <c r="D85" i="14"/>
  <c r="I84" i="14"/>
  <c r="D84" i="14"/>
  <c r="I83" i="14"/>
  <c r="D83" i="14"/>
  <c r="I82" i="14"/>
  <c r="D82" i="14"/>
  <c r="I81" i="14"/>
  <c r="D81" i="14"/>
  <c r="I80" i="14"/>
  <c r="D80" i="14"/>
  <c r="I79" i="14"/>
  <c r="D79" i="14"/>
  <c r="I78" i="14"/>
  <c r="D78" i="14"/>
  <c r="I77" i="14"/>
  <c r="D77" i="14"/>
  <c r="I76" i="14"/>
  <c r="D76" i="14"/>
  <c r="I75" i="14"/>
  <c r="D75" i="14"/>
  <c r="I74" i="14"/>
  <c r="D74" i="14"/>
  <c r="I73" i="14"/>
  <c r="D73" i="14"/>
  <c r="I72" i="14"/>
  <c r="D72" i="14"/>
  <c r="I71" i="14"/>
  <c r="D71" i="14"/>
  <c r="I70" i="14"/>
  <c r="D70" i="14"/>
  <c r="I69" i="14"/>
  <c r="D69" i="14"/>
  <c r="I68" i="14"/>
  <c r="D68" i="14"/>
  <c r="I67" i="14"/>
  <c r="D67" i="14"/>
  <c r="I66" i="14"/>
  <c r="D66" i="14"/>
  <c r="I65" i="14"/>
  <c r="D65" i="14"/>
  <c r="I64" i="14"/>
  <c r="D64" i="14"/>
  <c r="I63" i="14"/>
  <c r="D63" i="14"/>
  <c r="I62" i="14"/>
  <c r="D62" i="14"/>
  <c r="I61" i="14"/>
  <c r="D61" i="14"/>
  <c r="I60" i="14"/>
  <c r="D60" i="14"/>
  <c r="I59" i="14"/>
  <c r="D59" i="14"/>
  <c r="I58" i="14"/>
  <c r="D58" i="14"/>
  <c r="I57" i="14"/>
  <c r="D57" i="14"/>
  <c r="I56" i="14"/>
  <c r="D56" i="14"/>
  <c r="I55" i="14"/>
  <c r="D55" i="14"/>
  <c r="I54" i="14"/>
  <c r="D54" i="14"/>
  <c r="I53" i="14"/>
  <c r="D53" i="14"/>
  <c r="I52" i="14"/>
  <c r="D52" i="14"/>
  <c r="I51" i="14"/>
  <c r="D51" i="14"/>
  <c r="I50" i="14"/>
  <c r="D50" i="14"/>
  <c r="I49" i="14"/>
  <c r="D49" i="14"/>
  <c r="I48" i="14"/>
  <c r="D48" i="14"/>
  <c r="I47" i="14"/>
  <c r="D47" i="14"/>
  <c r="I46" i="14"/>
  <c r="D46" i="14"/>
  <c r="I45" i="14"/>
  <c r="D45" i="14"/>
  <c r="I44" i="14"/>
  <c r="D44" i="14"/>
  <c r="I43" i="14"/>
  <c r="D43" i="14"/>
  <c r="I42" i="14"/>
  <c r="D42" i="14"/>
  <c r="I41" i="14"/>
  <c r="D41" i="14"/>
  <c r="I40" i="14"/>
  <c r="D40" i="14"/>
  <c r="I39" i="14"/>
  <c r="D39" i="14"/>
  <c r="I38" i="14"/>
  <c r="D38" i="14"/>
  <c r="I37" i="14"/>
  <c r="D37" i="14"/>
  <c r="I36" i="14"/>
  <c r="D36" i="14"/>
  <c r="I35" i="14"/>
  <c r="D35" i="14"/>
  <c r="I34" i="14"/>
  <c r="D34" i="14"/>
  <c r="I33" i="14"/>
  <c r="D33" i="14"/>
  <c r="I32" i="14"/>
  <c r="D32" i="14"/>
  <c r="I31" i="14"/>
  <c r="D31" i="14"/>
  <c r="I30" i="14"/>
  <c r="D30" i="14"/>
  <c r="I29" i="14"/>
  <c r="D29" i="14"/>
  <c r="I28" i="14"/>
  <c r="D28" i="14"/>
  <c r="I27" i="14"/>
  <c r="D27" i="14"/>
  <c r="I26" i="14"/>
  <c r="D26" i="14"/>
  <c r="I25" i="14"/>
  <c r="D25" i="14"/>
  <c r="I24" i="14"/>
  <c r="D24" i="14"/>
  <c r="I23" i="14"/>
  <c r="D23" i="14"/>
  <c r="I22" i="14"/>
  <c r="D22" i="14"/>
  <c r="I21" i="14"/>
  <c r="D21" i="14"/>
  <c r="I20" i="14"/>
  <c r="D20" i="14"/>
  <c r="A20" i="14"/>
  <c r="J19" i="14"/>
  <c r="I19" i="14"/>
  <c r="D19" i="14"/>
  <c r="J18" i="14"/>
  <c r="I18" i="14"/>
  <c r="D18" i="14"/>
  <c r="J17" i="14"/>
  <c r="I17" i="14"/>
  <c r="D17" i="14"/>
  <c r="J16" i="14"/>
  <c r="I16" i="14"/>
  <c r="D16" i="14"/>
  <c r="I15" i="14"/>
  <c r="D15" i="14"/>
  <c r="J14" i="14"/>
  <c r="I14" i="14"/>
  <c r="D14" i="14"/>
  <c r="J13" i="14"/>
  <c r="I13" i="14"/>
  <c r="D13" i="14"/>
  <c r="J12" i="14"/>
  <c r="I12" i="14"/>
  <c r="D12" i="14"/>
  <c r="J11" i="14"/>
  <c r="I11" i="14"/>
  <c r="D11" i="14"/>
  <c r="J10" i="14"/>
  <c r="I10" i="14"/>
  <c r="D10" i="14"/>
  <c r="J9" i="14"/>
  <c r="I9" i="14"/>
  <c r="D9" i="14"/>
  <c r="J8" i="14"/>
  <c r="I8" i="14"/>
  <c r="D8" i="14"/>
  <c r="J7" i="14"/>
  <c r="I7" i="14"/>
  <c r="D7" i="14"/>
  <c r="J6" i="14"/>
  <c r="I6" i="14"/>
  <c r="D6" i="14"/>
  <c r="J5" i="14"/>
  <c r="I5" i="14"/>
  <c r="D5" i="14"/>
  <c r="I4" i="14"/>
  <c r="F4" i="14"/>
  <c r="D4" i="14"/>
  <c r="J3" i="14"/>
  <c r="I3" i="14"/>
  <c r="F3" i="14"/>
  <c r="D3" i="14"/>
  <c r="J2" i="14"/>
  <c r="I2" i="14"/>
  <c r="F2" i="14"/>
  <c r="D2" i="14"/>
  <c r="C40" i="11"/>
  <c r="B2" i="11"/>
  <c r="C49" i="10"/>
  <c r="AA19" i="10"/>
  <c r="Y19" i="10"/>
  <c r="W19" i="10"/>
  <c r="U19" i="10"/>
  <c r="S19" i="10"/>
  <c r="Q19" i="10"/>
  <c r="O19" i="10"/>
  <c r="M19" i="10"/>
  <c r="K19" i="10"/>
  <c r="I19" i="10"/>
  <c r="G19" i="10"/>
  <c r="E19" i="10"/>
  <c r="N25" i="15"/>
  <c r="M25" i="15"/>
  <c r="L25" i="15"/>
  <c r="K25" i="15"/>
  <c r="J25" i="15"/>
  <c r="I25" i="15"/>
  <c r="H25" i="15"/>
  <c r="G25" i="15"/>
  <c r="F25" i="15"/>
  <c r="E25" i="15"/>
  <c r="D25" i="15"/>
  <c r="C25" i="15"/>
  <c r="J15" i="14"/>
  <c r="G16" i="16"/>
  <c r="O9" i="5"/>
  <c r="O10" i="5" s="1"/>
  <c r="N9" i="5"/>
  <c r="N10" i="5" s="1"/>
  <c r="M9" i="5"/>
  <c r="M10" i="5" s="1"/>
  <c r="L9" i="5"/>
  <c r="L10" i="5" s="1"/>
  <c r="K9" i="5"/>
  <c r="K10" i="5" s="1"/>
  <c r="J9" i="5"/>
  <c r="J10" i="5" s="1"/>
  <c r="I9" i="5"/>
  <c r="I10" i="5" s="1"/>
  <c r="H9" i="5"/>
  <c r="H10" i="5" s="1"/>
  <c r="G9" i="5"/>
  <c r="G10" i="5" s="1"/>
  <c r="F9" i="5"/>
  <c r="F10" i="5" s="1"/>
  <c r="E9" i="5"/>
  <c r="E10" i="5" s="1"/>
  <c r="D9" i="5"/>
  <c r="G322" i="4"/>
  <c r="F320" i="4"/>
  <c r="F319" i="4"/>
  <c r="F318" i="4"/>
  <c r="F317" i="4"/>
  <c r="F316" i="4"/>
  <c r="F315" i="4"/>
  <c r="F314" i="4"/>
  <c r="F313" i="4"/>
  <c r="F312" i="4"/>
  <c r="F311" i="4"/>
  <c r="F310" i="4"/>
  <c r="F309" i="4"/>
  <c r="F308" i="4"/>
  <c r="F307" i="4"/>
  <c r="F306" i="4"/>
  <c r="F305" i="4"/>
  <c r="F304" i="4"/>
  <c r="F303" i="4"/>
  <c r="F302" i="4"/>
  <c r="F301" i="4"/>
  <c r="F300" i="4"/>
  <c r="F299" i="4"/>
  <c r="F298" i="4"/>
  <c r="F297" i="4"/>
  <c r="F296" i="4"/>
  <c r="F295" i="4"/>
  <c r="F294" i="4"/>
  <c r="F293" i="4"/>
  <c r="F292" i="4"/>
  <c r="F291" i="4"/>
  <c r="F290" i="4"/>
  <c r="F289" i="4"/>
  <c r="F288" i="4"/>
  <c r="F287" i="4"/>
  <c r="F286" i="4"/>
  <c r="F285" i="4"/>
  <c r="F284" i="4"/>
  <c r="F283" i="4"/>
  <c r="F282" i="4"/>
  <c r="F281" i="4"/>
  <c r="F280" i="4"/>
  <c r="F279" i="4"/>
  <c r="F278" i="4"/>
  <c r="F277" i="4"/>
  <c r="F276" i="4"/>
  <c r="F275" i="4"/>
  <c r="F274" i="4"/>
  <c r="F273" i="4"/>
  <c r="F272" i="4"/>
  <c r="F271" i="4"/>
  <c r="F270" i="4"/>
  <c r="F269" i="4"/>
  <c r="F268" i="4"/>
  <c r="F267" i="4"/>
  <c r="F266" i="4"/>
  <c r="F265" i="4"/>
  <c r="F264" i="4"/>
  <c r="F263" i="4"/>
  <c r="F262" i="4"/>
  <c r="F261" i="4"/>
  <c r="F260" i="4"/>
  <c r="F259" i="4"/>
  <c r="F258" i="4"/>
  <c r="F257" i="4"/>
  <c r="F256" i="4"/>
  <c r="F255" i="4"/>
  <c r="F254" i="4"/>
  <c r="F253" i="4"/>
  <c r="F252" i="4"/>
  <c r="F251" i="4"/>
  <c r="F250" i="4"/>
  <c r="F249" i="4"/>
  <c r="F248" i="4"/>
  <c r="F247" i="4"/>
  <c r="F246" i="4"/>
  <c r="F245" i="4"/>
  <c r="F244" i="4"/>
  <c r="F243" i="4"/>
  <c r="F242" i="4"/>
  <c r="F241" i="4"/>
  <c r="F240" i="4"/>
  <c r="F239" i="4"/>
  <c r="F238" i="4"/>
  <c r="F237" i="4"/>
  <c r="F236" i="4"/>
  <c r="F235" i="4"/>
  <c r="F234" i="4"/>
  <c r="F233" i="4"/>
  <c r="F232" i="4"/>
  <c r="F231" i="4"/>
  <c r="F230" i="4"/>
  <c r="F229" i="4"/>
  <c r="F228" i="4"/>
  <c r="F227" i="4"/>
  <c r="F226" i="4"/>
  <c r="F225" i="4"/>
  <c r="F224" i="4"/>
  <c r="F223" i="4"/>
  <c r="F222" i="4"/>
  <c r="F221" i="4"/>
  <c r="F220" i="4"/>
  <c r="F219" i="4"/>
  <c r="F218" i="4"/>
  <c r="F217" i="4"/>
  <c r="F216" i="4"/>
  <c r="F215" i="4"/>
  <c r="F214" i="4"/>
  <c r="F213" i="4"/>
  <c r="F212" i="4"/>
  <c r="F211" i="4"/>
  <c r="F210" i="4"/>
  <c r="F209" i="4"/>
  <c r="F208" i="4"/>
  <c r="F207" i="4"/>
  <c r="F206" i="4"/>
  <c r="F205" i="4"/>
  <c r="F204" i="4"/>
  <c r="F203" i="4"/>
  <c r="F202" i="4"/>
  <c r="F201" i="4"/>
  <c r="F200" i="4"/>
  <c r="F199" i="4"/>
  <c r="F198" i="4"/>
  <c r="F197" i="4"/>
  <c r="F196" i="4"/>
  <c r="F195" i="4"/>
  <c r="F194" i="4"/>
  <c r="F193" i="4"/>
  <c r="F192" i="4"/>
  <c r="F191" i="4"/>
  <c r="F190" i="4"/>
  <c r="F189" i="4"/>
  <c r="F188" i="4"/>
  <c r="F187" i="4"/>
  <c r="F186" i="4"/>
  <c r="F185" i="4"/>
  <c r="F184" i="4"/>
  <c r="F183" i="4"/>
  <c r="F182" i="4"/>
  <c r="F181" i="4"/>
  <c r="F180" i="4"/>
  <c r="F179" i="4"/>
  <c r="F178" i="4"/>
  <c r="F177" i="4"/>
  <c r="F176" i="4"/>
  <c r="F175" i="4"/>
  <c r="F174" i="4"/>
  <c r="F173" i="4"/>
  <c r="F172" i="4"/>
  <c r="F171" i="4"/>
  <c r="F170" i="4"/>
  <c r="F169" i="4"/>
  <c r="F168" i="4"/>
  <c r="F167" i="4"/>
  <c r="F166" i="4"/>
  <c r="F165" i="4"/>
  <c r="F164" i="4"/>
  <c r="F163" i="4"/>
  <c r="F162" i="4"/>
  <c r="F161" i="4"/>
  <c r="F160" i="4"/>
  <c r="F159" i="4"/>
  <c r="F158" i="4"/>
  <c r="F157" i="4"/>
  <c r="F156" i="4"/>
  <c r="F155" i="4"/>
  <c r="F154" i="4"/>
  <c r="F153" i="4"/>
  <c r="F152" i="4"/>
  <c r="F151" i="4"/>
  <c r="F150" i="4"/>
  <c r="F149" i="4"/>
  <c r="F148" i="4"/>
  <c r="F147" i="4"/>
  <c r="F146" i="4"/>
  <c r="F145" i="4"/>
  <c r="F144" i="4"/>
  <c r="F143" i="4"/>
  <c r="F142" i="4"/>
  <c r="F141" i="4"/>
  <c r="F140" i="4"/>
  <c r="F139" i="4"/>
  <c r="F138" i="4"/>
  <c r="F137" i="4"/>
  <c r="F136" i="4"/>
  <c r="F135" i="4"/>
  <c r="F134" i="4"/>
  <c r="F133" i="4"/>
  <c r="F132" i="4"/>
  <c r="F131" i="4"/>
  <c r="F130" i="4"/>
  <c r="F129" i="4"/>
  <c r="F128" i="4"/>
  <c r="F127" i="4"/>
  <c r="F126" i="4"/>
  <c r="F125" i="4"/>
  <c r="F124" i="4"/>
  <c r="F123" i="4"/>
  <c r="F122" i="4"/>
  <c r="F121" i="4"/>
  <c r="F120" i="4"/>
  <c r="F119" i="4"/>
  <c r="F118" i="4"/>
  <c r="F117" i="4"/>
  <c r="F116" i="4"/>
  <c r="F115" i="4"/>
  <c r="F114" i="4"/>
  <c r="F113" i="4"/>
  <c r="F112" i="4"/>
  <c r="F111" i="4"/>
  <c r="F110" i="4"/>
  <c r="F109" i="4"/>
  <c r="F108" i="4"/>
  <c r="F107" i="4"/>
  <c r="F106" i="4"/>
  <c r="F105" i="4"/>
  <c r="F104" i="4"/>
  <c r="F103" i="4"/>
  <c r="F102" i="4"/>
  <c r="F101" i="4"/>
  <c r="F100" i="4"/>
  <c r="F99" i="4"/>
  <c r="F98" i="4"/>
  <c r="F97" i="4"/>
  <c r="F96" i="4"/>
  <c r="F95" i="4"/>
  <c r="F94" i="4"/>
  <c r="F93" i="4"/>
  <c r="F92" i="4"/>
  <c r="F91" i="4"/>
  <c r="F90" i="4"/>
  <c r="F89" i="4"/>
  <c r="F88" i="4"/>
  <c r="F87" i="4"/>
  <c r="F86" i="4"/>
  <c r="F85" i="4"/>
  <c r="F84" i="4"/>
  <c r="F83" i="4"/>
  <c r="F82" i="4"/>
  <c r="F81" i="4"/>
  <c r="F80" i="4"/>
  <c r="F79" i="4"/>
  <c r="F78" i="4"/>
  <c r="F77" i="4"/>
  <c r="F76" i="4"/>
  <c r="F75" i="4"/>
  <c r="F74" i="4"/>
  <c r="F73" i="4"/>
  <c r="F72" i="4"/>
  <c r="F71" i="4"/>
  <c r="F70" i="4"/>
  <c r="F69" i="4"/>
  <c r="F68" i="4"/>
  <c r="F67" i="4"/>
  <c r="F66" i="4"/>
  <c r="F65" i="4"/>
  <c r="F64" i="4"/>
  <c r="F63" i="4"/>
  <c r="F62" i="4"/>
  <c r="F61" i="4"/>
  <c r="F60" i="4"/>
  <c r="F59" i="4"/>
  <c r="F58" i="4"/>
  <c r="F57" i="4"/>
  <c r="F56" i="4"/>
  <c r="F55" i="4"/>
  <c r="F54" i="4"/>
  <c r="F53" i="4"/>
  <c r="F52" i="4"/>
  <c r="F51" i="4"/>
  <c r="F50" i="4"/>
  <c r="F49"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F20" i="4"/>
  <c r="F19" i="4"/>
  <c r="F18" i="4"/>
  <c r="F17" i="4"/>
  <c r="F16" i="4"/>
  <c r="F15" i="4"/>
  <c r="F14" i="4"/>
  <c r="F13" i="4"/>
  <c r="F12" i="4"/>
  <c r="F11" i="4"/>
  <c r="F10" i="4"/>
  <c r="F9" i="4"/>
  <c r="F8" i="4"/>
  <c r="F7" i="4"/>
  <c r="F6" i="4"/>
  <c r="F5" i="4"/>
  <c r="F4" i="4"/>
  <c r="F3" i="4"/>
  <c r="F2" i="4"/>
  <c r="O16" i="9"/>
  <c r="N16" i="9"/>
  <c r="M16" i="9"/>
  <c r="L16" i="9"/>
  <c r="K16" i="9"/>
  <c r="J16" i="9"/>
  <c r="I16" i="9"/>
  <c r="H16" i="9"/>
  <c r="G16" i="9"/>
  <c r="F16" i="9"/>
  <c r="E16" i="9"/>
  <c r="D16" i="9"/>
  <c r="O15" i="9"/>
  <c r="N15" i="9"/>
  <c r="M15" i="9"/>
  <c r="L15" i="9"/>
  <c r="K15" i="9"/>
  <c r="J15" i="9"/>
  <c r="I15" i="9"/>
  <c r="H15" i="9"/>
  <c r="G15" i="9"/>
  <c r="F15" i="9"/>
  <c r="E15" i="9"/>
  <c r="D15" i="9"/>
  <c r="O14" i="9"/>
  <c r="N14" i="9"/>
  <c r="M14" i="9"/>
  <c r="L14" i="9"/>
  <c r="K14" i="9"/>
  <c r="J14" i="9"/>
  <c r="I14" i="9"/>
  <c r="H14" i="9"/>
  <c r="G14" i="9"/>
  <c r="F14" i="9"/>
  <c r="E14" i="9"/>
  <c r="D14" i="9"/>
  <c r="O13" i="9"/>
  <c r="N13" i="9"/>
  <c r="M13" i="9"/>
  <c r="L13" i="9"/>
  <c r="K13" i="9"/>
  <c r="J13" i="9"/>
  <c r="I13" i="9"/>
  <c r="H13" i="9"/>
  <c r="G13" i="9"/>
  <c r="F13" i="9"/>
  <c r="E13" i="9"/>
  <c r="D13" i="9"/>
  <c r="O12" i="9"/>
  <c r="N12" i="9"/>
  <c r="M12" i="9"/>
  <c r="L12" i="9"/>
  <c r="K12" i="9"/>
  <c r="J12" i="9"/>
  <c r="I12" i="9"/>
  <c r="H12" i="9"/>
  <c r="G12" i="9"/>
  <c r="F12" i="9"/>
  <c r="E12" i="9"/>
  <c r="D12" i="9"/>
  <c r="O11" i="9"/>
  <c r="N11" i="9"/>
  <c r="M11" i="9"/>
  <c r="L11" i="9"/>
  <c r="K11" i="9"/>
  <c r="J11" i="9"/>
  <c r="I11" i="9"/>
  <c r="H11" i="9"/>
  <c r="G11" i="9"/>
  <c r="F11" i="9"/>
  <c r="E11" i="9"/>
  <c r="D11" i="9"/>
  <c r="O10" i="9"/>
  <c r="N10" i="9"/>
  <c r="M10" i="9"/>
  <c r="L10" i="9"/>
  <c r="K10" i="9"/>
  <c r="J10" i="9"/>
  <c r="I10" i="9"/>
  <c r="H10" i="9"/>
  <c r="G10" i="9"/>
  <c r="F10" i="9"/>
  <c r="E10" i="9"/>
  <c r="D10" i="9"/>
  <c r="O9" i="9"/>
  <c r="N9" i="9"/>
  <c r="M9" i="9"/>
  <c r="L9" i="9"/>
  <c r="K9" i="9"/>
  <c r="J9" i="9"/>
  <c r="I9" i="9"/>
  <c r="H9" i="9"/>
  <c r="G9" i="9"/>
  <c r="F9" i="9"/>
  <c r="E9" i="9"/>
  <c r="D9" i="9"/>
  <c r="O8" i="9"/>
  <c r="N8" i="9"/>
  <c r="M8" i="9"/>
  <c r="L8" i="9"/>
  <c r="K8" i="9"/>
  <c r="J8" i="9"/>
  <c r="I8" i="9"/>
  <c r="H8" i="9"/>
  <c r="G8" i="9"/>
  <c r="F8" i="9"/>
  <c r="E8" i="9"/>
  <c r="D8" i="9"/>
  <c r="I14" i="22" l="1"/>
  <c r="J14" i="22" s="1"/>
  <c r="K14" i="22" s="1"/>
  <c r="L14" i="22" s="1"/>
  <c r="I13" i="22"/>
  <c r="J13" i="22" s="1"/>
  <c r="K13" i="22" s="1"/>
  <c r="L13" i="22" s="1"/>
  <c r="I12" i="22"/>
  <c r="J12" i="22" s="1"/>
  <c r="K12" i="22" s="1"/>
  <c r="L12" i="22" s="1"/>
  <c r="I11" i="22"/>
  <c r="J11" i="22" s="1"/>
  <c r="K11" i="22" s="1"/>
  <c r="L11" i="22" s="1"/>
  <c r="I10" i="22"/>
  <c r="J10" i="22" s="1"/>
  <c r="K10" i="22" s="1"/>
  <c r="L10" i="22" s="1"/>
  <c r="I9" i="22"/>
  <c r="J9" i="22" s="1"/>
  <c r="K9" i="22" s="1"/>
  <c r="L9" i="22" s="1"/>
  <c r="H16" i="22"/>
  <c r="I8" i="22"/>
  <c r="J8" i="22" s="1"/>
  <c r="B12" i="11" a="1"/>
  <c r="F1064" i="14"/>
  <c r="F1046" i="14"/>
  <c r="F1076" i="14"/>
  <c r="F1058" i="14"/>
  <c r="F1040" i="14"/>
  <c r="F1071" i="14"/>
  <c r="F1053" i="14"/>
  <c r="F1035" i="14"/>
  <c r="F1056" i="14"/>
  <c r="F1038" i="14"/>
  <c r="F1054" i="14"/>
  <c r="F1036" i="14"/>
  <c r="B21" i="11" a="1"/>
  <c r="F1136" i="14"/>
  <c r="F1118" i="14"/>
  <c r="F1100" i="14"/>
  <c r="F1082" i="14"/>
  <c r="F1113" i="14"/>
  <c r="F1095" i="14"/>
  <c r="F1077" i="14"/>
  <c r="F1059" i="14"/>
  <c r="F1099" i="14"/>
  <c r="F1081" i="14"/>
  <c r="F1063" i="14"/>
  <c r="F1061" i="14"/>
  <c r="F107" i="14"/>
  <c r="F1370" i="14"/>
  <c r="F1208" i="14"/>
  <c r="F1190" i="14"/>
  <c r="F1172" i="14"/>
  <c r="F1154" i="14"/>
  <c r="F1149" i="14"/>
  <c r="F1131" i="14"/>
  <c r="F105" i="14"/>
  <c r="F1135" i="14"/>
  <c r="F1117" i="14"/>
  <c r="F14" i="14"/>
  <c r="F104" i="14"/>
  <c r="F9" i="14"/>
  <c r="F99" i="14"/>
  <c r="F12" i="14"/>
  <c r="F102" i="14"/>
  <c r="F10" i="14"/>
  <c r="F100" i="14"/>
  <c r="F8" i="14"/>
  <c r="F98" i="14"/>
  <c r="F13" i="14"/>
  <c r="F103" i="14"/>
  <c r="F11" i="14"/>
  <c r="F101" i="14"/>
  <c r="F2461" i="14"/>
  <c r="F2460" i="14"/>
  <c r="F2459" i="14"/>
  <c r="F2458" i="14"/>
  <c r="F2457" i="14"/>
  <c r="F2456" i="14"/>
  <c r="F2455" i="14"/>
  <c r="F2454" i="14"/>
  <c r="F2453" i="14"/>
  <c r="F2452" i="14"/>
  <c r="F2451" i="14"/>
  <c r="F2450" i="14"/>
  <c r="F2449" i="14"/>
  <c r="F2448" i="14"/>
  <c r="F2447" i="14"/>
  <c r="F2446" i="14"/>
  <c r="F2445" i="14"/>
  <c r="F2444" i="14"/>
  <c r="F2443" i="14"/>
  <c r="F2442" i="14"/>
  <c r="F2441" i="14"/>
  <c r="F2440" i="14"/>
  <c r="F2439" i="14"/>
  <c r="F2438" i="14"/>
  <c r="F2437" i="14"/>
  <c r="F2436" i="14"/>
  <c r="F2435" i="14"/>
  <c r="F2434" i="14"/>
  <c r="F2433" i="14"/>
  <c r="F2432" i="14"/>
  <c r="F2431" i="14"/>
  <c r="F2430" i="14"/>
  <c r="F2429" i="14"/>
  <c r="F2428" i="14"/>
  <c r="F2427" i="14"/>
  <c r="F2426" i="14"/>
  <c r="F2425" i="14"/>
  <c r="F95" i="14"/>
  <c r="F5" i="14"/>
  <c r="F1442" i="14"/>
  <c r="F1424" i="14"/>
  <c r="F1406" i="14"/>
  <c r="F1388" i="14"/>
  <c r="F74" i="14"/>
  <c r="F1185" i="14"/>
  <c r="F1167" i="14"/>
  <c r="F15" i="14"/>
  <c r="C24" i="15"/>
  <c r="D24" i="15"/>
  <c r="E24" i="15"/>
  <c r="F24" i="15"/>
  <c r="G24" i="15"/>
  <c r="H24" i="15"/>
  <c r="I24" i="15"/>
  <c r="J24" i="15"/>
  <c r="K24" i="15"/>
  <c r="L24" i="15"/>
  <c r="M24" i="15"/>
  <c r="N24" i="15"/>
  <c r="F1517" i="14"/>
  <c r="F77" i="14"/>
  <c r="F1516" i="14"/>
  <c r="F76" i="14"/>
  <c r="F1515" i="14"/>
  <c r="F75" i="14"/>
  <c r="F1514" i="14"/>
  <c r="F1460" i="14"/>
  <c r="F92" i="14"/>
  <c r="F33" i="14"/>
  <c r="F1203" i="14"/>
  <c r="F87" i="14"/>
  <c r="F19" i="14"/>
  <c r="F91" i="14"/>
  <c r="F73" i="14"/>
  <c r="F32" i="14"/>
  <c r="F86" i="14"/>
  <c r="F27" i="14"/>
  <c r="F81" i="14"/>
  <c r="F17" i="14"/>
  <c r="F89" i="14"/>
  <c r="F30" i="14"/>
  <c r="F84" i="14"/>
  <c r="F28" i="14"/>
  <c r="F82" i="14"/>
  <c r="F26" i="14"/>
  <c r="F80" i="14"/>
  <c r="F31" i="14"/>
  <c r="F85" i="14"/>
  <c r="F29" i="14"/>
  <c r="F83" i="14"/>
  <c r="F24" i="14"/>
  <c r="F78" i="14"/>
  <c r="F1550" i="14"/>
  <c r="F1532" i="14"/>
  <c r="F1530" i="14"/>
  <c r="F1512" i="14"/>
  <c r="F1528" i="14"/>
  <c r="F1510" i="14"/>
  <c r="F1519" i="14"/>
  <c r="F1501" i="14"/>
  <c r="F1553" i="14"/>
  <c r="F1535" i="14"/>
  <c r="F1552" i="14"/>
  <c r="F1534" i="14"/>
  <c r="F1551" i="14"/>
  <c r="F1533" i="14"/>
  <c r="F1584" i="14"/>
  <c r="F1566" i="14"/>
  <c r="F1548" i="14"/>
  <c r="F1582" i="14"/>
  <c r="F1564" i="14"/>
  <c r="F1546" i="14"/>
  <c r="F1555" i="14"/>
  <c r="F1537" i="14"/>
  <c r="F1355" i="14"/>
  <c r="F887" i="14"/>
  <c r="F815" i="14"/>
  <c r="F833" i="14"/>
  <c r="F869" i="14"/>
  <c r="F1499" i="14"/>
  <c r="F1445" i="14"/>
  <c r="F905" i="14"/>
  <c r="F923" i="14"/>
  <c r="F941" i="14"/>
  <c r="F959" i="14"/>
  <c r="F1427" i="14"/>
  <c r="F977" i="14"/>
  <c r="F995" i="14"/>
  <c r="F1013" i="14"/>
  <c r="F1031" i="14"/>
  <c r="F1409" i="14"/>
  <c r="F1049" i="14"/>
  <c r="F1067" i="14"/>
  <c r="F1085" i="14"/>
  <c r="F1103" i="14"/>
  <c r="F1391" i="14"/>
  <c r="F1121" i="14"/>
  <c r="F1139" i="14"/>
  <c r="F1157" i="14"/>
  <c r="F1175" i="14"/>
  <c r="F1373" i="14"/>
  <c r="F1193" i="14"/>
  <c r="F1211" i="14"/>
  <c r="F886" i="14"/>
  <c r="F940" i="14"/>
  <c r="F706" i="14"/>
  <c r="F652" i="14"/>
  <c r="F1210" i="14"/>
  <c r="F1372" i="14"/>
  <c r="F1192" i="14"/>
  <c r="F724" i="14"/>
  <c r="F1174" i="14"/>
  <c r="F634" i="14"/>
  <c r="F1156" i="14"/>
  <c r="F742" i="14"/>
  <c r="F1138" i="14"/>
  <c r="F1390" i="14"/>
  <c r="F1120" i="14"/>
  <c r="F616" i="14"/>
  <c r="F1102" i="14"/>
  <c r="F760" i="14"/>
  <c r="F1084" i="14"/>
  <c r="F778" i="14"/>
  <c r="F1066" i="14"/>
  <c r="F1408" i="14"/>
  <c r="F1048" i="14"/>
  <c r="F598" i="14"/>
  <c r="F796" i="14"/>
  <c r="F1030" i="14"/>
  <c r="F814" i="14"/>
  <c r="F832" i="14"/>
  <c r="F1012" i="14"/>
  <c r="F868" i="14"/>
  <c r="F1498" i="14"/>
  <c r="F994" i="14"/>
  <c r="F904" i="14"/>
  <c r="F1426" i="14"/>
  <c r="F976" i="14"/>
  <c r="F1444" i="14"/>
  <c r="F922" i="14"/>
  <c r="F958" i="14"/>
  <c r="F688" i="14"/>
  <c r="F165" i="14"/>
  <c r="F633" i="14"/>
  <c r="F183" i="14"/>
  <c r="F147" i="14"/>
  <c r="F921" i="14"/>
  <c r="F975" i="14"/>
  <c r="F993" i="14"/>
  <c r="F903" i="14"/>
  <c r="F129" i="14"/>
  <c r="F201" i="14"/>
  <c r="F705" i="14"/>
  <c r="F219" i="14"/>
  <c r="F1011" i="14"/>
  <c r="F597" i="14"/>
  <c r="F687" i="14"/>
  <c r="F831" i="14"/>
  <c r="F885" i="14"/>
  <c r="F1029" i="14"/>
  <c r="F813" i="14"/>
  <c r="F723" i="14"/>
  <c r="F795" i="14"/>
  <c r="F1047" i="14"/>
  <c r="F651" i="14"/>
  <c r="F777" i="14"/>
  <c r="F615" i="14"/>
  <c r="F741" i="14"/>
  <c r="F759" i="14"/>
  <c r="F957" i="14"/>
  <c r="F1496" i="14"/>
  <c r="F1478" i="14"/>
  <c r="F18" i="14"/>
  <c r="F756" i="14"/>
  <c r="F1368" i="14"/>
  <c r="F702" i="14"/>
  <c r="F1386" i="14"/>
  <c r="F684" i="14"/>
  <c r="F1404" i="14"/>
  <c r="F1422" i="14"/>
  <c r="F1440" i="14"/>
  <c r="F720" i="14"/>
  <c r="F594" i="14"/>
  <c r="F648" i="14"/>
  <c r="F1458" i="14"/>
  <c r="F792" i="14"/>
  <c r="F738" i="14"/>
  <c r="F612" i="14"/>
  <c r="F630" i="14"/>
  <c r="F774" i="14"/>
  <c r="F700" i="14"/>
  <c r="F16" i="14"/>
  <c r="F628" i="14"/>
  <c r="F754" i="14"/>
  <c r="F610" i="14"/>
  <c r="F1366" i="14"/>
  <c r="F1384" i="14"/>
  <c r="F646" i="14"/>
  <c r="F736" i="14"/>
  <c r="F592" i="14"/>
  <c r="F718" i="14"/>
  <c r="F1456" i="14"/>
  <c r="F1402" i="14"/>
  <c r="F682" i="14"/>
  <c r="F1438" i="14"/>
  <c r="F1420" i="14"/>
  <c r="F619" i="14"/>
  <c r="F673" i="14"/>
  <c r="F1429" i="14"/>
  <c r="F1411" i="14"/>
  <c r="F655" i="14"/>
  <c r="F1447" i="14"/>
  <c r="F1393" i="14"/>
  <c r="F583" i="14"/>
  <c r="F637" i="14"/>
  <c r="F1375" i="14"/>
  <c r="F691" i="14"/>
  <c r="F601" i="14"/>
  <c r="F1357" i="14"/>
  <c r="F1481" i="14"/>
  <c r="F1463" i="14"/>
  <c r="F1462" i="14"/>
  <c r="F1480" i="14"/>
  <c r="F1425" i="14"/>
  <c r="F1137" i="14"/>
  <c r="F1479" i="14"/>
  <c r="F1065" i="14"/>
  <c r="F1083" i="14"/>
  <c r="F1101" i="14"/>
  <c r="F1119" i="14"/>
  <c r="F1461" i="14"/>
  <c r="F1443" i="14"/>
  <c r="F1497" i="14"/>
  <c r="F1407" i="14"/>
  <c r="F1389" i="14"/>
  <c r="F1371" i="14"/>
  <c r="F1209" i="14"/>
  <c r="F1191" i="14"/>
  <c r="F1173" i="14"/>
  <c r="F1155" i="14"/>
  <c r="F55" i="14"/>
  <c r="F37" i="14"/>
  <c r="F53" i="14"/>
  <c r="F35" i="14"/>
  <c r="F71" i="14"/>
  <c r="F1494" i="14"/>
  <c r="F1476" i="14"/>
  <c r="F1474" i="14"/>
  <c r="F1492" i="14"/>
  <c r="F1465" i="14"/>
  <c r="F1483" i="14"/>
  <c r="F1247" i="14"/>
  <c r="F1229" i="14"/>
  <c r="F1246" i="14"/>
  <c r="F1228" i="14"/>
  <c r="F1245" i="14"/>
  <c r="F1227" i="14"/>
  <c r="F1244" i="14"/>
  <c r="F1226" i="14"/>
  <c r="F69" i="14"/>
  <c r="F1239" i="14"/>
  <c r="F1221" i="14"/>
  <c r="F51" i="14"/>
  <c r="F68" i="14"/>
  <c r="F50" i="14"/>
  <c r="F63" i="14"/>
  <c r="F45" i="14"/>
  <c r="F66" i="14"/>
  <c r="F48" i="14"/>
  <c r="F64" i="14"/>
  <c r="F46" i="14"/>
  <c r="F62" i="14"/>
  <c r="F44" i="14"/>
  <c r="F65" i="14"/>
  <c r="F47" i="14"/>
  <c r="F60" i="14"/>
  <c r="F42" i="14"/>
  <c r="F1026" i="14"/>
  <c r="F1062" i="14"/>
  <c r="F1170" i="14"/>
  <c r="F1152" i="14"/>
  <c r="F1134" i="14"/>
  <c r="F1116" i="14"/>
  <c r="F1242" i="14"/>
  <c r="F1224" i="14"/>
  <c r="F1206" i="14"/>
  <c r="F810" i="14"/>
  <c r="F828" i="14"/>
  <c r="F882" i="14"/>
  <c r="F900" i="14"/>
  <c r="F918" i="14"/>
  <c r="F954" i="14"/>
  <c r="F972" i="14"/>
  <c r="F1098" i="14"/>
  <c r="F990" i="14"/>
  <c r="F1008" i="14"/>
  <c r="F1080" i="14"/>
  <c r="F1044" i="14"/>
  <c r="F1188" i="14"/>
  <c r="F898" i="14"/>
  <c r="F1060" i="14"/>
  <c r="F1186" i="14"/>
  <c r="F1078" i="14"/>
  <c r="F1042" i="14"/>
  <c r="F1240" i="14"/>
  <c r="F1204" i="14"/>
  <c r="F1024" i="14"/>
  <c r="F1168" i="14"/>
  <c r="F1222" i="14"/>
  <c r="F1006" i="14"/>
  <c r="F1150" i="14"/>
  <c r="F1096" i="14"/>
  <c r="F988" i="14"/>
  <c r="F772" i="14"/>
  <c r="F790" i="14"/>
  <c r="F970" i="14"/>
  <c r="F808" i="14"/>
  <c r="F1132" i="14"/>
  <c r="F952" i="14"/>
  <c r="F826" i="14"/>
  <c r="F1114" i="14"/>
  <c r="F916" i="14"/>
  <c r="F880" i="14"/>
  <c r="F1069" i="14"/>
  <c r="F1195" i="14"/>
  <c r="F889" i="14"/>
  <c r="F1177" i="14"/>
  <c r="F907" i="14"/>
  <c r="F871" i="14"/>
  <c r="F835" i="14"/>
  <c r="F1141" i="14"/>
  <c r="F943" i="14"/>
  <c r="F817" i="14"/>
  <c r="F1123" i="14"/>
  <c r="F961" i="14"/>
  <c r="F799" i="14"/>
  <c r="F1105" i="14"/>
  <c r="F781" i="14"/>
  <c r="F979" i="14"/>
  <c r="F763" i="14"/>
  <c r="F745" i="14"/>
  <c r="F727" i="14"/>
  <c r="F709" i="14"/>
  <c r="F997" i="14"/>
  <c r="F1213" i="14"/>
  <c r="F1087" i="14"/>
  <c r="F1015" i="14"/>
  <c r="F1231" i="14"/>
  <c r="F1033" i="14"/>
  <c r="F1051" i="14"/>
  <c r="F1159" i="14"/>
  <c r="F1319" i="14"/>
  <c r="F23" i="14"/>
  <c r="F1337" i="14"/>
  <c r="F1301" i="14"/>
  <c r="F41" i="14"/>
  <c r="F59" i="14"/>
  <c r="F1318" i="14"/>
  <c r="F1354" i="14"/>
  <c r="F22" i="14"/>
  <c r="F1336" i="14"/>
  <c r="F1300" i="14"/>
  <c r="F40" i="14"/>
  <c r="F58" i="14"/>
  <c r="F1317" i="14"/>
  <c r="F1353" i="14"/>
  <c r="F21" i="14"/>
  <c r="F39" i="14"/>
  <c r="F1335" i="14"/>
  <c r="F1299" i="14"/>
  <c r="F57" i="14"/>
  <c r="F20" i="14"/>
  <c r="F56" i="14"/>
  <c r="F38" i="14"/>
  <c r="F1352" i="14"/>
  <c r="F67" i="14"/>
  <c r="F49" i="14"/>
  <c r="F1260" i="14"/>
  <c r="F1350" i="14"/>
  <c r="F1258" i="14"/>
  <c r="F1348" i="14"/>
  <c r="F1249" i="14"/>
  <c r="F1339" i="14"/>
  <c r="F1334" i="14"/>
  <c r="F1316" i="14"/>
  <c r="F1332" i="14"/>
  <c r="F1314" i="14"/>
  <c r="F1330" i="14"/>
  <c r="F1312" i="14"/>
  <c r="F1321" i="14"/>
  <c r="F1303" i="14"/>
  <c r="F1265" i="14"/>
  <c r="F1283" i="14"/>
  <c r="F1282" i="14"/>
  <c r="F1264" i="14"/>
  <c r="F1263" i="14"/>
  <c r="F1281" i="14"/>
  <c r="F1262" i="14"/>
  <c r="F1280" i="14"/>
  <c r="F1298" i="14"/>
  <c r="F1278" i="14"/>
  <c r="F1296" i="14"/>
  <c r="F1276" i="14"/>
  <c r="F1294" i="14"/>
  <c r="F1285" i="14"/>
  <c r="F1267" i="14"/>
  <c r="D94" i="6"/>
  <c r="O123" i="6"/>
  <c r="J327" i="18" s="1"/>
  <c r="N122" i="6"/>
  <c r="J324" i="18" s="1"/>
  <c r="O122" i="6"/>
  <c r="J325" i="18" s="1"/>
  <c r="N123" i="6"/>
  <c r="J326" i="18" s="1"/>
  <c r="J10" i="18"/>
  <c r="K10" i="18" s="1"/>
  <c r="O87" i="6"/>
  <c r="O94" i="6"/>
  <c r="J21" i="18" s="1"/>
  <c r="J125" i="18"/>
  <c r="J113" i="18"/>
  <c r="N87" i="6"/>
  <c r="N94" i="6"/>
  <c r="J20" i="18" s="1"/>
  <c r="J124" i="18"/>
  <c r="J112" i="18"/>
  <c r="M87" i="6"/>
  <c r="M94" i="6"/>
  <c r="J19" i="18" s="1"/>
  <c r="J123" i="18"/>
  <c r="J111" i="18"/>
  <c r="J110" i="18"/>
  <c r="J122" i="18"/>
  <c r="L87" i="6"/>
  <c r="L94" i="6"/>
  <c r="J18" i="18" s="1"/>
  <c r="J121" i="18"/>
  <c r="J109" i="18"/>
  <c r="J87" i="6"/>
  <c r="J94" i="6"/>
  <c r="J16" i="18" s="1"/>
  <c r="J120" i="18"/>
  <c r="J108" i="18"/>
  <c r="J119" i="18"/>
  <c r="J107" i="18"/>
  <c r="J118" i="18"/>
  <c r="J106" i="18"/>
  <c r="J117" i="18"/>
  <c r="J105" i="18"/>
  <c r="E87" i="6"/>
  <c r="E94" i="6"/>
  <c r="J11" i="18" s="1"/>
  <c r="F87" i="6"/>
  <c r="F94" i="6"/>
  <c r="J12" i="18" s="1"/>
  <c r="J103" i="18"/>
  <c r="J115" i="18"/>
  <c r="J116" i="18"/>
  <c r="J104" i="18"/>
  <c r="J114" i="18"/>
  <c r="J102" i="18"/>
  <c r="K102" i="18" s="1"/>
  <c r="K22" i="18"/>
  <c r="K165" i="18"/>
  <c r="K177" i="18"/>
  <c r="K190" i="18"/>
  <c r="K265" i="18"/>
  <c r="K289" i="18"/>
  <c r="K46" i="18"/>
  <c r="K90" i="18"/>
  <c r="K153" i="18"/>
  <c r="K166" i="18"/>
  <c r="K178" i="18"/>
  <c r="K217" i="18"/>
  <c r="K277" i="18"/>
  <c r="K34" i="18"/>
  <c r="K70" i="18"/>
  <c r="K78" i="18"/>
  <c r="K129" i="18"/>
  <c r="K141" i="18"/>
  <c r="O24" i="18" s="1"/>
  <c r="E9" i="12" s="1"/>
  <c r="K211" i="18"/>
  <c r="K229" i="18"/>
  <c r="K241" i="18"/>
  <c r="K253" i="18"/>
  <c r="O27" i="18" s="1"/>
  <c r="E12" i="12" s="1"/>
  <c r="K58" i="18"/>
  <c r="K126" i="18"/>
  <c r="K189" i="18"/>
  <c r="K201" i="18"/>
  <c r="F202" i="18"/>
  <c r="I202" i="18" s="1"/>
  <c r="F130" i="18"/>
  <c r="I130" i="18" s="1"/>
  <c r="K130" i="18" s="1"/>
  <c r="F142" i="18"/>
  <c r="I142" i="18" s="1"/>
  <c r="K142" i="18" s="1"/>
  <c r="F230" i="18"/>
  <c r="I230" i="18" s="1"/>
  <c r="F290" i="18"/>
  <c r="I290" i="18" s="1"/>
  <c r="K290" i="18" s="1"/>
  <c r="F91" i="18"/>
  <c r="I91" i="18" s="1"/>
  <c r="K91" i="18" s="1"/>
  <c r="F131" i="18"/>
  <c r="I131" i="18" s="1"/>
  <c r="K131" i="18" s="1"/>
  <c r="F1697" i="14"/>
  <c r="F1607" i="14"/>
  <c r="F851" i="14"/>
  <c r="F1589" i="14"/>
  <c r="F850" i="14"/>
  <c r="F1588" i="14"/>
  <c r="F1587" i="14"/>
  <c r="F849" i="14"/>
  <c r="F866" i="14"/>
  <c r="F848" i="14"/>
  <c r="F1604" i="14"/>
  <c r="F1586" i="14"/>
  <c r="F861" i="14"/>
  <c r="F825" i="14"/>
  <c r="F789" i="14"/>
  <c r="F771" i="14"/>
  <c r="F807" i="14"/>
  <c r="F843" i="14"/>
  <c r="F753" i="14"/>
  <c r="F865" i="14"/>
  <c r="F721" i="14"/>
  <c r="F793" i="14"/>
  <c r="F847" i="14"/>
  <c r="F811" i="14"/>
  <c r="F739" i="14"/>
  <c r="F757" i="14"/>
  <c r="F703" i="14"/>
  <c r="F775" i="14"/>
  <c r="F829" i="14"/>
  <c r="F860" i="14"/>
  <c r="F698" i="14"/>
  <c r="F806" i="14"/>
  <c r="F788" i="14"/>
  <c r="F716" i="14"/>
  <c r="F770" i="14"/>
  <c r="F734" i="14"/>
  <c r="F842" i="14"/>
  <c r="F752" i="14"/>
  <c r="F824" i="14"/>
  <c r="F855" i="14"/>
  <c r="F783" i="14"/>
  <c r="F801" i="14"/>
  <c r="F693" i="14"/>
  <c r="F837" i="14"/>
  <c r="F711" i="14"/>
  <c r="F729" i="14"/>
  <c r="F747" i="14"/>
  <c r="F819" i="14"/>
  <c r="F765" i="14"/>
  <c r="F863" i="14"/>
  <c r="F701" i="14"/>
  <c r="F737" i="14"/>
  <c r="F809" i="14"/>
  <c r="F845" i="14"/>
  <c r="F827" i="14"/>
  <c r="F683" i="14"/>
  <c r="F755" i="14"/>
  <c r="F791" i="14"/>
  <c r="F719" i="14"/>
  <c r="F773" i="14"/>
  <c r="F858" i="14"/>
  <c r="F642" i="14"/>
  <c r="F732" i="14"/>
  <c r="F714" i="14"/>
  <c r="F840" i="14"/>
  <c r="F696" i="14"/>
  <c r="F678" i="14"/>
  <c r="F822" i="14"/>
  <c r="F768" i="14"/>
  <c r="F786" i="14"/>
  <c r="F750" i="14"/>
  <c r="F804" i="14"/>
  <c r="F856" i="14"/>
  <c r="F802" i="14"/>
  <c r="F820" i="14"/>
  <c r="F712" i="14"/>
  <c r="F784" i="14"/>
  <c r="F622" i="14"/>
  <c r="F730" i="14"/>
  <c r="F640" i="14"/>
  <c r="F838" i="14"/>
  <c r="F748" i="14"/>
  <c r="F766" i="14"/>
  <c r="F676" i="14"/>
  <c r="F694" i="14"/>
  <c r="F854" i="14"/>
  <c r="F782" i="14"/>
  <c r="F818" i="14"/>
  <c r="F764" i="14"/>
  <c r="F800" i="14"/>
  <c r="F836" i="14"/>
  <c r="F692" i="14"/>
  <c r="F746" i="14"/>
  <c r="F674" i="14"/>
  <c r="F656" i="14"/>
  <c r="F710" i="14"/>
  <c r="F638" i="14"/>
  <c r="F620" i="14"/>
  <c r="F728" i="14"/>
  <c r="F859" i="14"/>
  <c r="F697" i="14"/>
  <c r="F751" i="14"/>
  <c r="F841" i="14"/>
  <c r="F643" i="14"/>
  <c r="F733" i="14"/>
  <c r="F769" i="14"/>
  <c r="F589" i="14"/>
  <c r="F823" i="14"/>
  <c r="F1561" i="14"/>
  <c r="F625" i="14"/>
  <c r="F787" i="14"/>
  <c r="F679" i="14"/>
  <c r="F715" i="14"/>
  <c r="F805" i="14"/>
  <c r="F857" i="14"/>
  <c r="F587" i="14"/>
  <c r="F803" i="14"/>
  <c r="F623" i="14"/>
  <c r="F731" i="14"/>
  <c r="F641" i="14"/>
  <c r="F839" i="14"/>
  <c r="F749" i="14"/>
  <c r="F713" i="14"/>
  <c r="F767" i="14"/>
  <c r="F677" i="14"/>
  <c r="F695" i="14"/>
  <c r="F821" i="14"/>
  <c r="F785" i="14"/>
  <c r="F834" i="14"/>
  <c r="F636" i="14"/>
  <c r="F798" i="14"/>
  <c r="F816" i="14"/>
  <c r="F780" i="14"/>
  <c r="F582" i="14"/>
  <c r="F762" i="14"/>
  <c r="F744" i="14"/>
  <c r="F672" i="14"/>
  <c r="F618" i="14"/>
  <c r="F654" i="14"/>
  <c r="F726" i="14"/>
  <c r="F852" i="14"/>
  <c r="F708" i="14"/>
  <c r="F690" i="14"/>
  <c r="F846" i="14"/>
  <c r="F1602" i="14"/>
  <c r="F1726" i="14"/>
  <c r="F862" i="14"/>
  <c r="F1600" i="14"/>
  <c r="F844" i="14"/>
  <c r="F1717" i="14"/>
  <c r="F853" i="14"/>
  <c r="F1591" i="14"/>
  <c r="F1787" i="14"/>
  <c r="F1733" i="14"/>
  <c r="F1715" i="14"/>
  <c r="F1786" i="14"/>
  <c r="F1732" i="14"/>
  <c r="F1714" i="14"/>
  <c r="F1606" i="14"/>
  <c r="F1785" i="14"/>
  <c r="F1731" i="14"/>
  <c r="F1605" i="14"/>
  <c r="F867" i="14"/>
  <c r="F864" i="14"/>
  <c r="F1728" i="14"/>
  <c r="I114" i="18"/>
  <c r="F71" i="18"/>
  <c r="I71" i="18" s="1"/>
  <c r="K71" i="18" s="1"/>
  <c r="F103" i="18"/>
  <c r="I103" i="18" s="1"/>
  <c r="F154" i="18"/>
  <c r="I154" i="18" s="1"/>
  <c r="K154" i="18" s="1"/>
  <c r="F218" i="18"/>
  <c r="I218" i="18" s="1"/>
  <c r="K218" i="18" s="1"/>
  <c r="F254" i="18"/>
  <c r="I254" i="18" s="1"/>
  <c r="K254" i="18" s="1"/>
  <c r="F11" i="18"/>
  <c r="I19" i="5"/>
  <c r="K18" i="5"/>
  <c r="K17" i="5"/>
  <c r="M19" i="5"/>
  <c r="G19" i="5"/>
  <c r="N18" i="5"/>
  <c r="I18" i="5"/>
  <c r="O17" i="5"/>
  <c r="I17" i="5"/>
  <c r="D17" i="5"/>
  <c r="K16" i="5"/>
  <c r="F16" i="5"/>
  <c r="N19" i="5"/>
  <c r="E19" i="5"/>
  <c r="M18" i="5"/>
  <c r="G18" i="5"/>
  <c r="N17" i="5"/>
  <c r="H17" i="5"/>
  <c r="N16" i="5"/>
  <c r="I16" i="5"/>
  <c r="D16" i="5"/>
  <c r="J19" i="5"/>
  <c r="J18" i="5"/>
  <c r="J17" i="5"/>
  <c r="G16" i="5"/>
  <c r="L19" i="5"/>
  <c r="E18" i="5"/>
  <c r="L16" i="5"/>
  <c r="O19" i="5"/>
  <c r="F19" i="5"/>
  <c r="L18" i="5"/>
  <c r="F18" i="5"/>
  <c r="L17" i="5"/>
  <c r="G17" i="5"/>
  <c r="O16" i="5"/>
  <c r="J16" i="5"/>
  <c r="E16" i="5"/>
  <c r="H19" i="5"/>
  <c r="D18" i="5"/>
  <c r="E17" i="5"/>
  <c r="K19" i="5"/>
  <c r="D19" i="5"/>
  <c r="O18" i="5"/>
  <c r="H18" i="5"/>
  <c r="M17" i="5"/>
  <c r="F17" i="5"/>
  <c r="M16" i="5"/>
  <c r="H16" i="5"/>
  <c r="O15" i="5"/>
  <c r="N15" i="5"/>
  <c r="M15" i="5"/>
  <c r="L15" i="5"/>
  <c r="K15" i="5"/>
  <c r="J15" i="5"/>
  <c r="I15" i="5"/>
  <c r="H15" i="5"/>
  <c r="G15" i="5"/>
  <c r="F15" i="5"/>
  <c r="E15" i="5"/>
  <c r="D15" i="5"/>
  <c r="O17" i="9"/>
  <c r="N17" i="9"/>
  <c r="M17" i="9"/>
  <c r="L17" i="9"/>
  <c r="K17" i="9"/>
  <c r="J17" i="9"/>
  <c r="I17" i="9"/>
  <c r="H17" i="9"/>
  <c r="G17" i="9"/>
  <c r="F17" i="9"/>
  <c r="E17" i="9"/>
  <c r="D17" i="9"/>
  <c r="F79" i="18"/>
  <c r="I79" i="18" s="1"/>
  <c r="K79" i="18" s="1"/>
  <c r="F242" i="18"/>
  <c r="I242" i="18" s="1"/>
  <c r="K242" i="18" s="1"/>
  <c r="F278" i="18"/>
  <c r="I278" i="18" s="1"/>
  <c r="K278" i="18" s="1"/>
  <c r="F23" i="18"/>
  <c r="I23" i="18" s="1"/>
  <c r="K23" i="18" s="1"/>
  <c r="F35" i="18"/>
  <c r="I35" i="18" s="1"/>
  <c r="K35" i="18" s="1"/>
  <c r="F47" i="18"/>
  <c r="I47" i="18" s="1"/>
  <c r="K47" i="18" s="1"/>
  <c r="F59" i="18"/>
  <c r="I59" i="18" s="1"/>
  <c r="K59" i="18" s="1"/>
  <c r="F266" i="18"/>
  <c r="I266" i="18" s="1"/>
  <c r="K266" i="18" s="1"/>
  <c r="F127" i="18"/>
  <c r="I127" i="18" s="1"/>
  <c r="K127" i="18" s="1"/>
  <c r="F167" i="18"/>
  <c r="I167" i="18" s="1"/>
  <c r="K167" i="18" s="1"/>
  <c r="F179" i="18"/>
  <c r="I179" i="18" s="1"/>
  <c r="K179" i="18" s="1"/>
  <c r="F191" i="18"/>
  <c r="I191" i="18" s="1"/>
  <c r="K191" i="18" s="1"/>
  <c r="F212" i="18"/>
  <c r="I212" i="18" s="1"/>
  <c r="K212" i="18" s="1"/>
  <c r="K87" i="6"/>
  <c r="I87" i="6"/>
  <c r="H87" i="6"/>
  <c r="G87" i="6"/>
  <c r="F257" i="14"/>
  <c r="F275" i="14"/>
  <c r="F2039" i="14"/>
  <c r="F239" i="14"/>
  <c r="F1805" i="14"/>
  <c r="F256" i="14"/>
  <c r="F274" i="14"/>
  <c r="F238" i="14"/>
  <c r="F1804" i="14"/>
  <c r="F255" i="14"/>
  <c r="F237" i="14"/>
  <c r="F1803" i="14"/>
  <c r="F578" i="14"/>
  <c r="F560" i="14"/>
  <c r="F488" i="14"/>
  <c r="F524" i="14"/>
  <c r="F465" i="14"/>
  <c r="F483" i="14"/>
  <c r="F559" i="14"/>
  <c r="F379" i="14"/>
  <c r="F361" i="14"/>
  <c r="F433" i="14"/>
  <c r="F523" i="14"/>
  <c r="F343" i="14"/>
  <c r="F487" i="14"/>
  <c r="F415" i="14"/>
  <c r="F325" i="14"/>
  <c r="F289" i="14"/>
  <c r="F307" i="14"/>
  <c r="F397" i="14"/>
  <c r="F469" i="14"/>
  <c r="F428" i="14"/>
  <c r="F356" i="14"/>
  <c r="F464" i="14"/>
  <c r="F410" i="14"/>
  <c r="F320" i="14"/>
  <c r="F482" i="14"/>
  <c r="F392" i="14"/>
  <c r="F284" i="14"/>
  <c r="F302" i="14"/>
  <c r="F248" i="14"/>
  <c r="F338" i="14"/>
  <c r="F374" i="14"/>
  <c r="F266" i="14"/>
  <c r="F495" i="14"/>
  <c r="F567" i="14"/>
  <c r="F405" i="14"/>
  <c r="F441" i="14"/>
  <c r="F333" i="14"/>
  <c r="F387" i="14"/>
  <c r="F423" i="14"/>
  <c r="F261" i="14"/>
  <c r="F369" i="14"/>
  <c r="F459" i="14"/>
  <c r="F243" i="14"/>
  <c r="F297" i="14"/>
  <c r="F315" i="14"/>
  <c r="F279" i="14"/>
  <c r="F351" i="14"/>
  <c r="F431" i="14"/>
  <c r="F359" i="14"/>
  <c r="F467" i="14"/>
  <c r="F287" i="14"/>
  <c r="F323" i="14"/>
  <c r="F395" i="14"/>
  <c r="F413" i="14"/>
  <c r="F251" i="14"/>
  <c r="F269" i="14"/>
  <c r="F485" i="14"/>
  <c r="F305" i="14"/>
  <c r="F341" i="14"/>
  <c r="F377" i="14"/>
  <c r="F570" i="14"/>
  <c r="F282" i="14"/>
  <c r="F408" i="14"/>
  <c r="F480" i="14"/>
  <c r="F336" i="14"/>
  <c r="F426" i="14"/>
  <c r="F372" i="14"/>
  <c r="F390" i="14"/>
  <c r="F246" i="14"/>
  <c r="F462" i="14"/>
  <c r="F264" i="14"/>
  <c r="F354" i="14"/>
  <c r="F318" i="14"/>
  <c r="F300" i="14"/>
  <c r="F280" i="14"/>
  <c r="F406" i="14"/>
  <c r="F262" i="14"/>
  <c r="F244" i="14"/>
  <c r="F352" i="14"/>
  <c r="F568" i="14"/>
  <c r="F226" i="14"/>
  <c r="F298" i="14"/>
  <c r="F370" i="14"/>
  <c r="F424" i="14"/>
  <c r="F316" i="14"/>
  <c r="F460" i="14"/>
  <c r="F388" i="14"/>
  <c r="F334" i="14"/>
  <c r="F566" i="14"/>
  <c r="F278" i="14"/>
  <c r="F260" i="14"/>
  <c r="F332" i="14"/>
  <c r="F458" i="14"/>
  <c r="F242" i="14"/>
  <c r="F422" i="14"/>
  <c r="F350" i="14"/>
  <c r="F296" i="14"/>
  <c r="F404" i="14"/>
  <c r="F368" i="14"/>
  <c r="F224" i="14"/>
  <c r="F386" i="14"/>
  <c r="F314" i="14"/>
  <c r="F571" i="14"/>
  <c r="F247" i="14"/>
  <c r="F481" i="14"/>
  <c r="F463" i="14"/>
  <c r="F319" i="14"/>
  <c r="F301" i="14"/>
  <c r="F427" i="14"/>
  <c r="F337" i="14"/>
  <c r="F265" i="14"/>
  <c r="F229" i="14"/>
  <c r="F409" i="14"/>
  <c r="F355" i="14"/>
  <c r="F391" i="14"/>
  <c r="F373" i="14"/>
  <c r="F211" i="14"/>
  <c r="F283" i="14"/>
  <c r="F569" i="14"/>
  <c r="F173" i="14"/>
  <c r="F389" i="14"/>
  <c r="F191" i="14"/>
  <c r="F299" i="14"/>
  <c r="F209" i="14"/>
  <c r="F353" i="14"/>
  <c r="F317" i="14"/>
  <c r="F227" i="14"/>
  <c r="F245" i="14"/>
  <c r="F335" i="14"/>
  <c r="F461" i="14"/>
  <c r="F425" i="14"/>
  <c r="F263" i="14"/>
  <c r="F407" i="14"/>
  <c r="F371" i="14"/>
  <c r="F281" i="14"/>
  <c r="F564" i="14"/>
  <c r="F168" i="14"/>
  <c r="F294" i="14"/>
  <c r="F402" i="14"/>
  <c r="F366" i="14"/>
  <c r="F420" i="14"/>
  <c r="F330" i="14"/>
  <c r="F456" i="14"/>
  <c r="F348" i="14"/>
  <c r="F132" i="14"/>
  <c r="F240" i="14"/>
  <c r="F258" i="14"/>
  <c r="F222" i="14"/>
  <c r="F150" i="14"/>
  <c r="F276" i="14"/>
  <c r="F312" i="14"/>
  <c r="F204" i="14"/>
  <c r="F384" i="14"/>
  <c r="F186" i="14"/>
  <c r="F36" i="14"/>
  <c r="F108" i="14"/>
  <c r="F90" i="14"/>
  <c r="F1818" i="14"/>
  <c r="F72" i="14"/>
  <c r="F144" i="14"/>
  <c r="F54" i="14"/>
  <c r="F2052" i="14"/>
  <c r="F216" i="14"/>
  <c r="F1800" i="14"/>
  <c r="F126" i="14"/>
  <c r="F180" i="14"/>
  <c r="F162" i="14"/>
  <c r="F234" i="14"/>
  <c r="F34" i="14"/>
  <c r="F106" i="14"/>
  <c r="F178" i="14"/>
  <c r="F160" i="14"/>
  <c r="F52" i="14"/>
  <c r="F214" i="14"/>
  <c r="F2050" i="14"/>
  <c r="F142" i="14"/>
  <c r="F70" i="14"/>
  <c r="F88" i="14"/>
  <c r="F1798" i="14"/>
  <c r="F124" i="14"/>
  <c r="F1816" i="14"/>
  <c r="F169" i="14"/>
  <c r="F1807" i="14"/>
  <c r="F97" i="14"/>
  <c r="F115" i="14"/>
  <c r="F1789" i="14"/>
  <c r="F79" i="14"/>
  <c r="F2041" i="14"/>
  <c r="F133" i="14"/>
  <c r="F61" i="14"/>
  <c r="F25" i="14"/>
  <c r="F151" i="14"/>
  <c r="F43" i="14"/>
  <c r="F2093" i="14"/>
  <c r="F2075" i="14"/>
  <c r="F2057" i="14"/>
  <c r="F563" i="14"/>
  <c r="F526" i="14"/>
  <c r="F2092" i="14"/>
  <c r="F2074" i="14"/>
  <c r="F2056" i="14"/>
  <c r="F562" i="14"/>
  <c r="F579" i="14"/>
  <c r="F525" i="14"/>
  <c r="F561" i="14"/>
  <c r="F575" i="14"/>
  <c r="F557" i="14"/>
  <c r="F2160" i="14"/>
  <c r="F2088" i="14"/>
  <c r="F2070" i="14"/>
  <c r="F558" i="14"/>
  <c r="F2158" i="14"/>
  <c r="F2086" i="14"/>
  <c r="F2068" i="14"/>
  <c r="F2059" i="14"/>
  <c r="F565" i="14"/>
  <c r="F2077" i="14"/>
  <c r="F2149" i="14"/>
  <c r="F2147" i="14"/>
  <c r="F2129" i="14"/>
  <c r="F2111" i="14"/>
  <c r="F580" i="14"/>
  <c r="F2146" i="14"/>
  <c r="F2128" i="14"/>
  <c r="F2110" i="14"/>
  <c r="F519" i="14"/>
  <c r="F573" i="14"/>
  <c r="F505" i="14"/>
  <c r="F577" i="14"/>
  <c r="F518" i="14"/>
  <c r="F572" i="14"/>
  <c r="F576" i="14"/>
  <c r="F2124" i="14"/>
  <c r="F2142" i="14"/>
  <c r="F2106" i="14"/>
  <c r="F2104" i="14"/>
  <c r="F2122" i="14"/>
  <c r="F574" i="14"/>
  <c r="F2140" i="14"/>
  <c r="F2095" i="14"/>
  <c r="F2113" i="14"/>
  <c r="F2131" i="14"/>
  <c r="F491" i="14"/>
  <c r="F293" i="14"/>
  <c r="F2021" i="14"/>
  <c r="F1841" i="14"/>
  <c r="F311" i="14"/>
  <c r="F329" i="14"/>
  <c r="F1823" i="14"/>
  <c r="F347" i="14"/>
  <c r="F365" i="14"/>
  <c r="F383" i="14"/>
  <c r="F419" i="14"/>
  <c r="F401" i="14"/>
  <c r="F1840" i="14"/>
  <c r="F2020" i="14"/>
  <c r="F328" i="14"/>
  <c r="F346" i="14"/>
  <c r="F1822" i="14"/>
  <c r="F364" i="14"/>
  <c r="F382" i="14"/>
  <c r="F400" i="14"/>
  <c r="F310" i="14"/>
  <c r="F2038" i="14"/>
  <c r="F418" i="14"/>
  <c r="F292" i="14"/>
  <c r="F490" i="14"/>
  <c r="F417" i="14"/>
  <c r="F381" i="14"/>
  <c r="F273" i="14"/>
  <c r="F309" i="14"/>
  <c r="F489" i="14"/>
  <c r="F1839" i="14"/>
  <c r="F327" i="14"/>
  <c r="F345" i="14"/>
  <c r="F1821" i="14"/>
  <c r="F363" i="14"/>
  <c r="F399" i="14"/>
  <c r="F291" i="14"/>
  <c r="F552" i="14"/>
  <c r="F516" i="14"/>
  <c r="F498" i="14"/>
  <c r="F514" i="14"/>
  <c r="F496" i="14"/>
  <c r="F512" i="14"/>
  <c r="F494" i="14"/>
  <c r="F553" i="14"/>
  <c r="F517" i="14"/>
  <c r="F499" i="14"/>
  <c r="F515" i="14"/>
  <c r="F497" i="14"/>
  <c r="F510" i="14"/>
  <c r="F492" i="14"/>
  <c r="F252" i="14"/>
  <c r="F1836" i="14"/>
  <c r="F270" i="14"/>
  <c r="F2034" i="14"/>
  <c r="F288" i="14"/>
  <c r="F1834" i="14"/>
  <c r="F286" i="14"/>
  <c r="F2032" i="14"/>
  <c r="F268" i="14"/>
  <c r="F250" i="14"/>
  <c r="F232" i="14"/>
  <c r="F2023" i="14"/>
  <c r="F1825" i="14"/>
  <c r="F241" i="14"/>
  <c r="F223" i="14"/>
  <c r="F205" i="14"/>
  <c r="H14" i="16"/>
  <c r="F1913" i="14"/>
  <c r="F1877" i="14"/>
  <c r="F1859" i="14"/>
  <c r="F1876" i="14"/>
  <c r="F1858" i="14"/>
  <c r="F1875" i="14"/>
  <c r="F1857" i="14"/>
  <c r="F503" i="14"/>
  <c r="F521" i="14"/>
  <c r="F1872" i="14"/>
  <c r="F1854" i="14"/>
  <c r="F1870" i="14"/>
  <c r="F1852" i="14"/>
  <c r="F1861" i="14"/>
  <c r="F1843" i="14"/>
  <c r="F1895" i="14"/>
  <c r="F509" i="14"/>
  <c r="F1912" i="14"/>
  <c r="F1894" i="14"/>
  <c r="F508" i="14"/>
  <c r="F1911" i="14"/>
  <c r="F1893" i="14"/>
  <c r="F507" i="14"/>
  <c r="F542" i="14"/>
  <c r="F506" i="14"/>
  <c r="F555" i="14"/>
  <c r="F501" i="14"/>
  <c r="F554" i="14"/>
  <c r="F500" i="14"/>
  <c r="F549" i="14"/>
  <c r="F513" i="14"/>
  <c r="F1908" i="14"/>
  <c r="F1890" i="14"/>
  <c r="F1906" i="14"/>
  <c r="F1888" i="14"/>
  <c r="F1897" i="14"/>
  <c r="F1879" i="14"/>
  <c r="F2003" i="14"/>
  <c r="F545" i="14"/>
  <c r="F1985" i="14"/>
  <c r="F1967" i="14"/>
  <c r="F527" i="14"/>
  <c r="F544" i="14"/>
  <c r="F2002" i="14"/>
  <c r="F1984" i="14"/>
  <c r="F1966" i="14"/>
  <c r="F1929" i="14"/>
  <c r="F543" i="14"/>
  <c r="F532" i="14"/>
  <c r="F550" i="14"/>
  <c r="F530" i="14"/>
  <c r="F548" i="14"/>
  <c r="F533" i="14"/>
  <c r="F551" i="14"/>
  <c r="F528" i="14"/>
  <c r="F546" i="14"/>
  <c r="F2016" i="14"/>
  <c r="F1980" i="14"/>
  <c r="F1998" i="14"/>
  <c r="F1978" i="14"/>
  <c r="F1996" i="14"/>
  <c r="F2014" i="14"/>
  <c r="F556" i="14"/>
  <c r="F1969" i="14"/>
  <c r="F1987" i="14"/>
  <c r="F547" i="14"/>
  <c r="F2005" i="14"/>
  <c r="F1949" i="14"/>
  <c r="F1931" i="14"/>
  <c r="F1948" i="14"/>
  <c r="F1930" i="14"/>
  <c r="F447" i="14"/>
  <c r="F537" i="14"/>
  <c r="F451" i="14"/>
  <c r="F541" i="14"/>
  <c r="F446" i="14"/>
  <c r="F536" i="14"/>
  <c r="F477" i="14"/>
  <c r="F531" i="14"/>
  <c r="F449" i="14"/>
  <c r="F539" i="14"/>
  <c r="F444" i="14"/>
  <c r="F534" i="14"/>
  <c r="F445" i="14"/>
  <c r="F535" i="14"/>
  <c r="F1962" i="14"/>
  <c r="F540" i="14"/>
  <c r="F1926" i="14"/>
  <c r="F1944" i="14"/>
  <c r="F522" i="14"/>
  <c r="F504" i="14"/>
  <c r="F486" i="14"/>
  <c r="F538" i="14"/>
  <c r="F1924" i="14"/>
  <c r="F1942" i="14"/>
  <c r="F1960" i="14"/>
  <c r="F520" i="14"/>
  <c r="F502" i="14"/>
  <c r="F484" i="14"/>
  <c r="F1915" i="14"/>
  <c r="F1933" i="14"/>
  <c r="F1951" i="14"/>
  <c r="F529" i="14"/>
  <c r="F511" i="14"/>
  <c r="F493" i="14"/>
  <c r="F457" i="14"/>
  <c r="E16" i="17"/>
  <c r="H34" i="16"/>
  <c r="C23" i="17" s="1"/>
  <c r="E23" i="17" s="1"/>
  <c r="H38" i="16"/>
  <c r="C27" i="17" s="1"/>
  <c r="E27" i="17" s="1"/>
  <c r="H35" i="16"/>
  <c r="C24" i="17" s="1"/>
  <c r="E24" i="17" s="1"/>
  <c r="H17" i="16"/>
  <c r="H31" i="16"/>
  <c r="C20" i="17" s="1"/>
  <c r="H15" i="16"/>
  <c r="H12" i="16"/>
  <c r="H11" i="16"/>
  <c r="F1769" i="14"/>
  <c r="F1751" i="14"/>
  <c r="F473" i="14"/>
  <c r="F1768" i="14"/>
  <c r="F472" i="14"/>
  <c r="F1750" i="14"/>
  <c r="F1767" i="14"/>
  <c r="F471" i="14"/>
  <c r="F1749" i="14"/>
  <c r="F1622" i="14"/>
  <c r="F470" i="14"/>
  <c r="F442" i="14"/>
  <c r="F478" i="14"/>
  <c r="F440" i="14"/>
  <c r="F476" i="14"/>
  <c r="F443" i="14"/>
  <c r="F479" i="14"/>
  <c r="F438" i="14"/>
  <c r="F474" i="14"/>
  <c r="F468" i="14"/>
  <c r="F1764" i="14"/>
  <c r="F1746" i="14"/>
  <c r="F1782" i="14"/>
  <c r="F1744" i="14"/>
  <c r="F1762" i="14"/>
  <c r="F1780" i="14"/>
  <c r="F466" i="14"/>
  <c r="F475" i="14"/>
  <c r="F1735" i="14"/>
  <c r="F1753" i="14"/>
  <c r="F1771" i="14"/>
  <c r="H44" i="16"/>
  <c r="C33" i="17" s="1"/>
  <c r="E33" i="17" s="1"/>
  <c r="F1625" i="14"/>
  <c r="F437" i="14"/>
  <c r="F1679" i="14"/>
  <c r="F1696" i="14"/>
  <c r="F436" i="14"/>
  <c r="F1624" i="14"/>
  <c r="F435" i="14"/>
  <c r="F1623" i="14"/>
  <c r="F1695" i="14"/>
  <c r="F360" i="14"/>
  <c r="F306" i="14"/>
  <c r="F1692" i="14"/>
  <c r="F1620" i="14"/>
  <c r="F432" i="14"/>
  <c r="F414" i="14"/>
  <c r="F324" i="14"/>
  <c r="F396" i="14"/>
  <c r="F378" i="14"/>
  <c r="F342" i="14"/>
  <c r="F304" i="14"/>
  <c r="F1618" i="14"/>
  <c r="F1690" i="14"/>
  <c r="F430" i="14"/>
  <c r="F322" i="14"/>
  <c r="F412" i="14"/>
  <c r="F394" i="14"/>
  <c r="F340" i="14"/>
  <c r="F376" i="14"/>
  <c r="F358" i="14"/>
  <c r="F1681" i="14"/>
  <c r="F349" i="14"/>
  <c r="F367" i="14"/>
  <c r="F385" i="14"/>
  <c r="F331" i="14"/>
  <c r="F403" i="14"/>
  <c r="F421" i="14"/>
  <c r="F313" i="14"/>
  <c r="F439" i="14"/>
  <c r="F1609" i="14"/>
  <c r="F295" i="14"/>
  <c r="F277" i="14"/>
  <c r="F259" i="14"/>
  <c r="H32" i="16"/>
  <c r="C21" i="17" s="1"/>
  <c r="E21" i="17" s="1"/>
  <c r="H45" i="16"/>
  <c r="F1571" i="14"/>
  <c r="F1661" i="14"/>
  <c r="F455" i="14"/>
  <c r="F1570" i="14"/>
  <c r="F1678" i="14"/>
  <c r="F1660" i="14"/>
  <c r="F454" i="14"/>
  <c r="F1677" i="14"/>
  <c r="F1659" i="14"/>
  <c r="F453" i="14"/>
  <c r="F1658" i="14"/>
  <c r="F1640" i="14"/>
  <c r="F452" i="14"/>
  <c r="F666" i="14"/>
  <c r="F1674" i="14"/>
  <c r="F1656" i="14"/>
  <c r="F1638" i="14"/>
  <c r="F450" i="14"/>
  <c r="F1672" i="14"/>
  <c r="F1636" i="14"/>
  <c r="F448" i="14"/>
  <c r="F1663" i="14"/>
  <c r="F1627" i="14"/>
  <c r="H22" i="16"/>
  <c r="H20" i="16"/>
  <c r="H16" i="16"/>
  <c r="F2375" i="14"/>
  <c r="F2374" i="14"/>
  <c r="F2373" i="14"/>
  <c r="F2372" i="14"/>
  <c r="F2371" i="14"/>
  <c r="F2370" i="14"/>
  <c r="F2369" i="14"/>
  <c r="F2368" i="14"/>
  <c r="F2367" i="14"/>
  <c r="F2366" i="14"/>
  <c r="F2365" i="14"/>
  <c r="F2364" i="14"/>
  <c r="F2363" i="14"/>
  <c r="F2362" i="14"/>
  <c r="F2361" i="14"/>
  <c r="F2360" i="14"/>
  <c r="F2359" i="14"/>
  <c r="F2358" i="14"/>
  <c r="F2357" i="14"/>
  <c r="F2356" i="14"/>
  <c r="F2355" i="14"/>
  <c r="F2354" i="14"/>
  <c r="F2353" i="14"/>
  <c r="F2352" i="14"/>
  <c r="F2019" i="14"/>
  <c r="F2127" i="14"/>
  <c r="F1569" i="14"/>
  <c r="F2037" i="14"/>
  <c r="F2001" i="14"/>
  <c r="F1983" i="14"/>
  <c r="F1965" i="14"/>
  <c r="F2055" i="14"/>
  <c r="F1947" i="14"/>
  <c r="F2145" i="14"/>
  <c r="F2073" i="14"/>
  <c r="F2091" i="14"/>
  <c r="F2109" i="14"/>
  <c r="F668" i="14"/>
  <c r="F1568" i="14"/>
  <c r="F1712" i="14"/>
  <c r="F2018" i="14"/>
  <c r="F2036" i="14"/>
  <c r="F2000" i="14"/>
  <c r="F1982" i="14"/>
  <c r="F1964" i="14"/>
  <c r="F2054" i="14"/>
  <c r="F1946" i="14"/>
  <c r="F1928" i="14"/>
  <c r="F2126" i="14"/>
  <c r="F1910" i="14"/>
  <c r="F1892" i="14"/>
  <c r="F1874" i="14"/>
  <c r="F2072" i="14"/>
  <c r="F2144" i="14"/>
  <c r="F1856" i="14"/>
  <c r="F1838" i="14"/>
  <c r="F1820" i="14"/>
  <c r="F1802" i="14"/>
  <c r="F1784" i="14"/>
  <c r="F1676" i="14"/>
  <c r="F2090" i="14"/>
  <c r="F2108" i="14"/>
  <c r="F1766" i="14"/>
  <c r="F1694" i="14"/>
  <c r="F1748" i="14"/>
  <c r="F1730" i="14"/>
  <c r="F1365" i="14"/>
  <c r="F2031" i="14"/>
  <c r="F1743" i="14"/>
  <c r="F2103" i="14"/>
  <c r="F1761" i="14"/>
  <c r="F1689" i="14"/>
  <c r="F1779" i="14"/>
  <c r="F1329" i="14"/>
  <c r="F1347" i="14"/>
  <c r="F1671" i="14"/>
  <c r="F1797" i="14"/>
  <c r="F2085" i="14"/>
  <c r="F609" i="14"/>
  <c r="F1815" i="14"/>
  <c r="F1635" i="14"/>
  <c r="F1833" i="14"/>
  <c r="F1617" i="14"/>
  <c r="F1851" i="14"/>
  <c r="F1599" i="14"/>
  <c r="F1869" i="14"/>
  <c r="F1581" i="14"/>
  <c r="F1545" i="14"/>
  <c r="F2121" i="14"/>
  <c r="F1887" i="14"/>
  <c r="F2067" i="14"/>
  <c r="F1527" i="14"/>
  <c r="F1905" i="14"/>
  <c r="F1509" i="14"/>
  <c r="F1923" i="14"/>
  <c r="F2139" i="14"/>
  <c r="F1941" i="14"/>
  <c r="F1491" i="14"/>
  <c r="F1311" i="14"/>
  <c r="F1293" i="14"/>
  <c r="F1473" i="14"/>
  <c r="F1959" i="14"/>
  <c r="F1455" i="14"/>
  <c r="F2049" i="14"/>
  <c r="F1275" i="14"/>
  <c r="F1977" i="14"/>
  <c r="F1437" i="14"/>
  <c r="F1257" i="14"/>
  <c r="F1995" i="14"/>
  <c r="F1419" i="14"/>
  <c r="F1563" i="14"/>
  <c r="F2013" i="14"/>
  <c r="F2157" i="14"/>
  <c r="F1401" i="14"/>
  <c r="F1383" i="14"/>
  <c r="F1725" i="14"/>
  <c r="F667" i="14"/>
  <c r="F1639" i="14"/>
  <c r="F1945" i="14"/>
  <c r="F1315" i="14"/>
  <c r="F2107" i="14"/>
  <c r="F1693" i="14"/>
  <c r="F1297" i="14"/>
  <c r="F1657" i="14"/>
  <c r="F2143" i="14"/>
  <c r="F1729" i="14"/>
  <c r="F1279" i="14"/>
  <c r="F2035" i="14"/>
  <c r="F2017" i="14"/>
  <c r="F1333" i="14"/>
  <c r="F2161" i="14"/>
  <c r="F1747" i="14"/>
  <c r="F1621" i="14"/>
  <c r="F1261" i="14"/>
  <c r="F613" i="14"/>
  <c r="F1765" i="14"/>
  <c r="F1441" i="14"/>
  <c r="F1603" i="14"/>
  <c r="F1243" i="14"/>
  <c r="F1783" i="14"/>
  <c r="F2089" i="14"/>
  <c r="F1999" i="14"/>
  <c r="F1351" i="14"/>
  <c r="F1459" i="14"/>
  <c r="F1801" i="14"/>
  <c r="F1567" i="14"/>
  <c r="F1225" i="14"/>
  <c r="F1585" i="14"/>
  <c r="F1423" i="14"/>
  <c r="F1819" i="14"/>
  <c r="F1207" i="14"/>
  <c r="F1837" i="14"/>
  <c r="F1549" i="14"/>
  <c r="F1189" i="14"/>
  <c r="F1981" i="14"/>
  <c r="F1855" i="14"/>
  <c r="F1675" i="14"/>
  <c r="F1369" i="14"/>
  <c r="F1171" i="14"/>
  <c r="F1477" i="14"/>
  <c r="F1873" i="14"/>
  <c r="F2071" i="14"/>
  <c r="F1531" i="14"/>
  <c r="F1891" i="14"/>
  <c r="F1153" i="14"/>
  <c r="F1909" i="14"/>
  <c r="F1387" i="14"/>
  <c r="F1963" i="14"/>
  <c r="F1513" i="14"/>
  <c r="F2053" i="14"/>
  <c r="F2125" i="14"/>
  <c r="F1405" i="14"/>
  <c r="F1927" i="14"/>
  <c r="F1495" i="14"/>
  <c r="F1310" i="14"/>
  <c r="F1472" i="14"/>
  <c r="F1670" i="14"/>
  <c r="F1688" i="14"/>
  <c r="F1436" i="14"/>
  <c r="F1490" i="14"/>
  <c r="F1094" i="14"/>
  <c r="F1328" i="14"/>
  <c r="F2102" i="14"/>
  <c r="F1940" i="14"/>
  <c r="F1112" i="14"/>
  <c r="F1400" i="14"/>
  <c r="F1292" i="14"/>
  <c r="F1454" i="14"/>
  <c r="F1724" i="14"/>
  <c r="F608" i="14"/>
  <c r="F1634" i="14"/>
  <c r="F1508" i="14"/>
  <c r="F1274" i="14"/>
  <c r="F1742" i="14"/>
  <c r="F1958" i="14"/>
  <c r="F1922" i="14"/>
  <c r="F1130" i="14"/>
  <c r="F2012" i="14"/>
  <c r="F1616" i="14"/>
  <c r="F1760" i="14"/>
  <c r="F1346" i="14"/>
  <c r="F1256" i="14"/>
  <c r="F1562" i="14"/>
  <c r="F1778" i="14"/>
  <c r="F2048" i="14"/>
  <c r="F1238" i="14"/>
  <c r="F1598" i="14"/>
  <c r="F1904" i="14"/>
  <c r="F1148" i="14"/>
  <c r="F1382" i="14"/>
  <c r="F1796" i="14"/>
  <c r="F2030" i="14"/>
  <c r="F1994" i="14"/>
  <c r="F2084" i="14"/>
  <c r="F1220" i="14"/>
  <c r="F2066" i="14"/>
  <c r="F1814" i="14"/>
  <c r="F2156" i="14"/>
  <c r="F1580" i="14"/>
  <c r="F1886" i="14"/>
  <c r="F1526" i="14"/>
  <c r="F1364" i="14"/>
  <c r="F1832" i="14"/>
  <c r="F1202" i="14"/>
  <c r="F2138" i="14"/>
  <c r="F1166" i="14"/>
  <c r="F2120" i="14"/>
  <c r="F1418" i="14"/>
  <c r="F1850" i="14"/>
  <c r="F1184" i="14"/>
  <c r="F1544" i="14"/>
  <c r="F1868" i="14"/>
  <c r="F1976" i="14"/>
  <c r="F1863" i="14"/>
  <c r="F1251" i="14"/>
  <c r="F1179" i="14"/>
  <c r="F1377" i="14"/>
  <c r="F1683" i="14"/>
  <c r="F1323" i="14"/>
  <c r="F1665" i="14"/>
  <c r="F1107" i="14"/>
  <c r="F1305" i="14"/>
  <c r="F2079" i="14"/>
  <c r="F1449" i="14"/>
  <c r="F1413" i="14"/>
  <c r="F1701" i="14"/>
  <c r="F1197" i="14"/>
  <c r="F2061" i="14"/>
  <c r="F1845" i="14"/>
  <c r="F1719" i="14"/>
  <c r="F2025" i="14"/>
  <c r="F1881" i="14"/>
  <c r="F1575" i="14"/>
  <c r="F2115" i="14"/>
  <c r="F1971" i="14"/>
  <c r="F1503" i="14"/>
  <c r="F1935" i="14"/>
  <c r="F1557" i="14"/>
  <c r="F1467" i="14"/>
  <c r="F1287" i="14"/>
  <c r="F1827" i="14"/>
  <c r="F1215" i="14"/>
  <c r="F1125" i="14"/>
  <c r="F1989" i="14"/>
  <c r="F1953" i="14"/>
  <c r="F1395" i="14"/>
  <c r="F1737" i="14"/>
  <c r="F1089" i="14"/>
  <c r="F1161" i="14"/>
  <c r="F1359" i="14"/>
  <c r="F2151" i="14"/>
  <c r="F1593" i="14"/>
  <c r="F1809" i="14"/>
  <c r="F1431" i="14"/>
  <c r="F1233" i="14"/>
  <c r="F1485" i="14"/>
  <c r="F1899" i="14"/>
  <c r="F1629" i="14"/>
  <c r="F1341" i="14"/>
  <c r="F1269" i="14"/>
  <c r="F1755" i="14"/>
  <c r="F2133" i="14"/>
  <c r="F1521" i="14"/>
  <c r="F2097" i="14"/>
  <c r="F1791" i="14"/>
  <c r="F1917" i="14"/>
  <c r="F1143" i="14"/>
  <c r="F2043" i="14"/>
  <c r="F1611" i="14"/>
  <c r="F2007" i="14"/>
  <c r="F1773" i="14"/>
  <c r="F1539" i="14"/>
  <c r="F603" i="14"/>
  <c r="F1385" i="14"/>
  <c r="F2141" i="14"/>
  <c r="F2159" i="14"/>
  <c r="F1781" i="14"/>
  <c r="F1565" i="14"/>
  <c r="F1241" i="14"/>
  <c r="F1907" i="14"/>
  <c r="F1457" i="14"/>
  <c r="F1763" i="14"/>
  <c r="F1601" i="14"/>
  <c r="F1961" i="14"/>
  <c r="F1259" i="14"/>
  <c r="F1133" i="14"/>
  <c r="F1349" i="14"/>
  <c r="F1619" i="14"/>
  <c r="F1997" i="14"/>
  <c r="F1151" i="14"/>
  <c r="F611" i="14"/>
  <c r="F2087" i="14"/>
  <c r="F1511" i="14"/>
  <c r="F1745" i="14"/>
  <c r="F1799" i="14"/>
  <c r="F1925" i="14"/>
  <c r="F1403" i="14"/>
  <c r="F2015" i="14"/>
  <c r="F1223" i="14"/>
  <c r="F1331" i="14"/>
  <c r="F1889" i="14"/>
  <c r="F1277" i="14"/>
  <c r="F2033" i="14"/>
  <c r="F1583" i="14"/>
  <c r="F2069" i="14"/>
  <c r="F1727" i="14"/>
  <c r="F2123" i="14"/>
  <c r="F1205" i="14"/>
  <c r="F1637" i="14"/>
  <c r="F1529" i="14"/>
  <c r="F1835" i="14"/>
  <c r="F1367" i="14"/>
  <c r="F1421" i="14"/>
  <c r="F1115" i="14"/>
  <c r="F1295" i="14"/>
  <c r="F1547" i="14"/>
  <c r="F1943" i="14"/>
  <c r="F1169" i="14"/>
  <c r="F1079" i="14"/>
  <c r="F1853" i="14"/>
  <c r="F2105" i="14"/>
  <c r="F1439" i="14"/>
  <c r="F1691" i="14"/>
  <c r="F1493" i="14"/>
  <c r="F1979" i="14"/>
  <c r="F1187" i="14"/>
  <c r="F1097" i="14"/>
  <c r="F1871" i="14"/>
  <c r="F1673" i="14"/>
  <c r="F1475" i="14"/>
  <c r="F1817" i="14"/>
  <c r="F1313" i="14"/>
  <c r="F2051" i="14"/>
  <c r="F2028" i="14"/>
  <c r="F1542" i="14"/>
  <c r="F1308" i="14"/>
  <c r="F1686" i="14"/>
  <c r="F1254" i="14"/>
  <c r="F1668" i="14"/>
  <c r="F1326" i="14"/>
  <c r="F1434" i="14"/>
  <c r="F1452" i="14"/>
  <c r="F606" i="14"/>
  <c r="F2010" i="14"/>
  <c r="F1290" i="14"/>
  <c r="F1722" i="14"/>
  <c r="F1992" i="14"/>
  <c r="F2154" i="14"/>
  <c r="F2100" i="14"/>
  <c r="F1470" i="14"/>
  <c r="F1632" i="14"/>
  <c r="F1740" i="14"/>
  <c r="F2046" i="14"/>
  <c r="F1272" i="14"/>
  <c r="F1416" i="14"/>
  <c r="F1074" i="14"/>
  <c r="F1974" i="14"/>
  <c r="F1092" i="14"/>
  <c r="F1758" i="14"/>
  <c r="F1344" i="14"/>
  <c r="F1614" i="14"/>
  <c r="F1488" i="14"/>
  <c r="F1956" i="14"/>
  <c r="F2136" i="14"/>
  <c r="F1110" i="14"/>
  <c r="F1776" i="14"/>
  <c r="F1938" i="14"/>
  <c r="F2118" i="14"/>
  <c r="F1236" i="14"/>
  <c r="F1794" i="14"/>
  <c r="F1596" i="14"/>
  <c r="F1398" i="14"/>
  <c r="F1506" i="14"/>
  <c r="F1128" i="14"/>
  <c r="F1812" i="14"/>
  <c r="F1218" i="14"/>
  <c r="F2082" i="14"/>
  <c r="F1920" i="14"/>
  <c r="F2064" i="14"/>
  <c r="F1362" i="14"/>
  <c r="F1578" i="14"/>
  <c r="F1560" i="14"/>
  <c r="F1146" i="14"/>
  <c r="F1902" i="14"/>
  <c r="F1830" i="14"/>
  <c r="F1524" i="14"/>
  <c r="F1200" i="14"/>
  <c r="F1884" i="14"/>
  <c r="F1164" i="14"/>
  <c r="F1848" i="14"/>
  <c r="F1182" i="14"/>
  <c r="F1380" i="14"/>
  <c r="F1866" i="14"/>
  <c r="F1684" i="14"/>
  <c r="F604" i="14"/>
  <c r="F1180" i="14"/>
  <c r="F1378" i="14"/>
  <c r="F1864" i="14"/>
  <c r="F1882" i="14"/>
  <c r="F1846" i="14"/>
  <c r="F1198" i="14"/>
  <c r="F1162" i="14"/>
  <c r="F2080" i="14"/>
  <c r="F1900" i="14"/>
  <c r="F1558" i="14"/>
  <c r="F1522" i="14"/>
  <c r="F1828" i="14"/>
  <c r="F1216" i="14"/>
  <c r="F1144" i="14"/>
  <c r="F1918" i="14"/>
  <c r="F1360" i="14"/>
  <c r="F1810" i="14"/>
  <c r="F2062" i="14"/>
  <c r="F1126" i="14"/>
  <c r="F1594" i="14"/>
  <c r="F1396" i="14"/>
  <c r="F1504" i="14"/>
  <c r="F1936" i="14"/>
  <c r="F1234" i="14"/>
  <c r="F1792" i="14"/>
  <c r="F1252" i="14"/>
  <c r="F1108" i="14"/>
  <c r="F1774" i="14"/>
  <c r="F1954" i="14"/>
  <c r="F1612" i="14"/>
  <c r="F2152" i="14"/>
  <c r="F1342" i="14"/>
  <c r="F1486" i="14"/>
  <c r="F1090" i="14"/>
  <c r="F1972" i="14"/>
  <c r="F1414" i="14"/>
  <c r="F1756" i="14"/>
  <c r="F1270" i="14"/>
  <c r="F2098" i="14"/>
  <c r="F1072" i="14"/>
  <c r="F1630" i="14"/>
  <c r="F1738" i="14"/>
  <c r="F1576" i="14"/>
  <c r="F1468" i="14"/>
  <c r="F2116" i="14"/>
  <c r="F1990" i="14"/>
  <c r="F1288" i="14"/>
  <c r="F2044" i="14"/>
  <c r="F2008" i="14"/>
  <c r="F1720" i="14"/>
  <c r="F1702" i="14"/>
  <c r="F1432" i="14"/>
  <c r="F1306" i="14"/>
  <c r="F1666" i="14"/>
  <c r="F1450" i="14"/>
  <c r="F2026" i="14"/>
  <c r="F1324" i="14"/>
  <c r="F2134" i="14"/>
  <c r="F1540" i="14"/>
  <c r="F1646" i="14"/>
  <c r="F602" i="14"/>
  <c r="F1340" i="14"/>
  <c r="F1448" i="14"/>
  <c r="F1232" i="14"/>
  <c r="F2024" i="14"/>
  <c r="F2006" i="14"/>
  <c r="F2042" i="14"/>
  <c r="F1988" i="14"/>
  <c r="F1430" i="14"/>
  <c r="F1574" i="14"/>
  <c r="F1466" i="14"/>
  <c r="F1052" i="14"/>
  <c r="F1070" i="14"/>
  <c r="F1088" i="14"/>
  <c r="F1970" i="14"/>
  <c r="F2132" i="14"/>
  <c r="F1952" i="14"/>
  <c r="F1106" i="14"/>
  <c r="F1484" i="14"/>
  <c r="F1412" i="14"/>
  <c r="F2060" i="14"/>
  <c r="F1124" i="14"/>
  <c r="F1934" i="14"/>
  <c r="F1142" i="14"/>
  <c r="F1916" i="14"/>
  <c r="F1898" i="14"/>
  <c r="F1502" i="14"/>
  <c r="F1160" i="14"/>
  <c r="F1880" i="14"/>
  <c r="F1178" i="14"/>
  <c r="F1394" i="14"/>
  <c r="F1862" i="14"/>
  <c r="F2078" i="14"/>
  <c r="F1520" i="14"/>
  <c r="F1196" i="14"/>
  <c r="F1844" i="14"/>
  <c r="F1214" i="14"/>
  <c r="F1826" i="14"/>
  <c r="F1808" i="14"/>
  <c r="F1538" i="14"/>
  <c r="F1790" i="14"/>
  <c r="F1376" i="14"/>
  <c r="F1250" i="14"/>
  <c r="F1772" i="14"/>
  <c r="F2096" i="14"/>
  <c r="F1556" i="14"/>
  <c r="F1268" i="14"/>
  <c r="F1754" i="14"/>
  <c r="F1736" i="14"/>
  <c r="F1286" i="14"/>
  <c r="F1718" i="14"/>
  <c r="F1592" i="14"/>
  <c r="F1358" i="14"/>
  <c r="F2150" i="14"/>
  <c r="F1700" i="14"/>
  <c r="F1304" i="14"/>
  <c r="F1610" i="14"/>
  <c r="F1682" i="14"/>
  <c r="F1322" i="14"/>
  <c r="F2114" i="14"/>
  <c r="F1664" i="14"/>
  <c r="F1628" i="14"/>
  <c r="F1435" i="14"/>
  <c r="F1813" i="14"/>
  <c r="F1867" i="14"/>
  <c r="F2029" i="14"/>
  <c r="F1633" i="14"/>
  <c r="F607" i="14"/>
  <c r="F2011" i="14"/>
  <c r="F1327" i="14"/>
  <c r="F1453" i="14"/>
  <c r="F1993" i="14"/>
  <c r="F1669" i="14"/>
  <c r="F1615" i="14"/>
  <c r="F1345" i="14"/>
  <c r="F2155" i="14"/>
  <c r="F1003" i="14"/>
  <c r="F1021" i="14"/>
  <c r="F1039" i="14"/>
  <c r="F1057" i="14"/>
  <c r="F1309" i="14"/>
  <c r="F2047" i="14"/>
  <c r="F1975" i="14"/>
  <c r="F1687" i="14"/>
  <c r="F1075" i="14"/>
  <c r="F1597" i="14"/>
  <c r="F1471" i="14"/>
  <c r="F1417" i="14"/>
  <c r="F1957" i="14"/>
  <c r="F1093" i="14"/>
  <c r="F2119" i="14"/>
  <c r="F1291" i="14"/>
  <c r="F1111" i="14"/>
  <c r="F1939" i="14"/>
  <c r="F1723" i="14"/>
  <c r="F2101" i="14"/>
  <c r="F1489" i="14"/>
  <c r="F1129" i="14"/>
  <c r="F1921" i="14"/>
  <c r="F1579" i="14"/>
  <c r="F2065" i="14"/>
  <c r="F1741" i="14"/>
  <c r="F1273" i="14"/>
  <c r="F1147" i="14"/>
  <c r="F1903" i="14"/>
  <c r="F1399" i="14"/>
  <c r="F1363" i="14"/>
  <c r="F1885" i="14"/>
  <c r="F1165" i="14"/>
  <c r="F1507" i="14"/>
  <c r="F1759" i="14"/>
  <c r="F1183" i="14"/>
  <c r="F1849" i="14"/>
  <c r="F1255" i="14"/>
  <c r="F1543" i="14"/>
  <c r="F2137" i="14"/>
  <c r="F1525" i="14"/>
  <c r="F1777" i="14"/>
  <c r="F1201" i="14"/>
  <c r="F1831" i="14"/>
  <c r="F1381" i="14"/>
  <c r="F2083" i="14"/>
  <c r="F1219" i="14"/>
  <c r="F1237" i="14"/>
  <c r="F1795" i="14"/>
  <c r="F1523" i="14"/>
  <c r="F1937" i="14"/>
  <c r="F1631" i="14"/>
  <c r="F2027" i="14"/>
  <c r="F605" i="14"/>
  <c r="F1379" i="14"/>
  <c r="F1811" i="14"/>
  <c r="F1793" i="14"/>
  <c r="F1541" i="14"/>
  <c r="F1451" i="14"/>
  <c r="F1217" i="14"/>
  <c r="F1343" i="14"/>
  <c r="F2009" i="14"/>
  <c r="F1433" i="14"/>
  <c r="F1667" i="14"/>
  <c r="F1829" i="14"/>
  <c r="F1325" i="14"/>
  <c r="F2081" i="14"/>
  <c r="F1991" i="14"/>
  <c r="F2153" i="14"/>
  <c r="F1199" i="14"/>
  <c r="F1775" i="14"/>
  <c r="F1847" i="14"/>
  <c r="F1253" i="14"/>
  <c r="F2045" i="14"/>
  <c r="F1577" i="14"/>
  <c r="F1001" i="14"/>
  <c r="F1019" i="14"/>
  <c r="F1037" i="14"/>
  <c r="F1469" i="14"/>
  <c r="F1181" i="14"/>
  <c r="F1865" i="14"/>
  <c r="F2117" i="14"/>
  <c r="F1757" i="14"/>
  <c r="F1055" i="14"/>
  <c r="F1613" i="14"/>
  <c r="F2135" i="14"/>
  <c r="F1505" i="14"/>
  <c r="F1685" i="14"/>
  <c r="F1883" i="14"/>
  <c r="F1163" i="14"/>
  <c r="F1559" i="14"/>
  <c r="F1073" i="14"/>
  <c r="F1397" i="14"/>
  <c r="F1307" i="14"/>
  <c r="F1973" i="14"/>
  <c r="F1901" i="14"/>
  <c r="F1271" i="14"/>
  <c r="F2099" i="14"/>
  <c r="F1739" i="14"/>
  <c r="F1145" i="14"/>
  <c r="F1595" i="14"/>
  <c r="F1091" i="14"/>
  <c r="F1955" i="14"/>
  <c r="F1415" i="14"/>
  <c r="F1919" i="14"/>
  <c r="F1109" i="14"/>
  <c r="F1721" i="14"/>
  <c r="F2063" i="14"/>
  <c r="F1127" i="14"/>
  <c r="F1289" i="14"/>
  <c r="F1361" i="14"/>
  <c r="F1487" i="14"/>
  <c r="F1235" i="14"/>
  <c r="F1122" i="14"/>
  <c r="F600" i="14"/>
  <c r="F1284" i="14"/>
  <c r="F1410" i="14"/>
  <c r="F1734" i="14"/>
  <c r="F2058" i="14"/>
  <c r="F1950" i="14"/>
  <c r="F1482" i="14"/>
  <c r="F1104" i="14"/>
  <c r="F1140" i="14"/>
  <c r="F2130" i="14"/>
  <c r="F1356" i="14"/>
  <c r="F1716" i="14"/>
  <c r="F1500" i="14"/>
  <c r="F1968" i="14"/>
  <c r="F1914" i="14"/>
  <c r="F1302" i="14"/>
  <c r="F1086" i="14"/>
  <c r="F1752" i="14"/>
  <c r="F1698" i="14"/>
  <c r="F1158" i="14"/>
  <c r="F1896" i="14"/>
  <c r="F1266" i="14"/>
  <c r="F1878" i="14"/>
  <c r="F1068" i="14"/>
  <c r="F2076" i="14"/>
  <c r="F1338" i="14"/>
  <c r="F1392" i="14"/>
  <c r="F1050" i="14"/>
  <c r="F2148" i="14"/>
  <c r="F1554" i="14"/>
  <c r="F1032" i="14"/>
  <c r="F1680" i="14"/>
  <c r="F1860" i="14"/>
  <c r="F1014" i="14"/>
  <c r="F2112" i="14"/>
  <c r="F1518" i="14"/>
  <c r="F996" i="14"/>
  <c r="F978" i="14"/>
  <c r="F960" i="14"/>
  <c r="F1770" i="14"/>
  <c r="F1194" i="14"/>
  <c r="F1986" i="14"/>
  <c r="F1428" i="14"/>
  <c r="F1842" i="14"/>
  <c r="F1464" i="14"/>
  <c r="F1320" i="14"/>
  <c r="F1374" i="14"/>
  <c r="F1248" i="14"/>
  <c r="F1212" i="14"/>
  <c r="F2004" i="14"/>
  <c r="F2094" i="14"/>
  <c r="F6" i="14"/>
  <c r="F1536" i="14"/>
  <c r="F1824" i="14"/>
  <c r="F2040" i="14"/>
  <c r="F2022" i="14"/>
  <c r="F1662" i="14"/>
  <c r="F1788" i="14"/>
  <c r="F1230" i="14"/>
  <c r="F1806" i="14"/>
  <c r="F1446" i="14"/>
  <c r="F1176" i="14"/>
  <c r="F1932" i="14"/>
  <c r="F1645" i="14"/>
  <c r="F1573" i="14"/>
  <c r="B21" i="10" a="1"/>
  <c r="H47" i="16"/>
  <c r="C36" i="17" s="1"/>
  <c r="E36" i="17" s="1"/>
  <c r="H46" i="16"/>
  <c r="C35" i="17" s="1"/>
  <c r="E35" i="17" s="1"/>
  <c r="F2233" i="14"/>
  <c r="F2350" i="14"/>
  <c r="F2348" i="14"/>
  <c r="F2347" i="14"/>
  <c r="F2346" i="14"/>
  <c r="F2345" i="14"/>
  <c r="F2344" i="14"/>
  <c r="F2343" i="14"/>
  <c r="F2342" i="14"/>
  <c r="F2341" i="14"/>
  <c r="F2340" i="14"/>
  <c r="F2339" i="14"/>
  <c r="F2338" i="14"/>
  <c r="F2337" i="14"/>
  <c r="F2336" i="14"/>
  <c r="F2335" i="14"/>
  <c r="F2334" i="14"/>
  <c r="F2333" i="14"/>
  <c r="F2332" i="14"/>
  <c r="F2331" i="14"/>
  <c r="F2330" i="14"/>
  <c r="F2329" i="14"/>
  <c r="F2328" i="14"/>
  <c r="F2327" i="14"/>
  <c r="F2326" i="14"/>
  <c r="F2325" i="14"/>
  <c r="F2324" i="14"/>
  <c r="F2323" i="14"/>
  <c r="F2322" i="14"/>
  <c r="F2321" i="14"/>
  <c r="F2320" i="14"/>
  <c r="F2319" i="14"/>
  <c r="F2318" i="14"/>
  <c r="F2317" i="14"/>
  <c r="F2316" i="14"/>
  <c r="F2315" i="14"/>
  <c r="F2314" i="14"/>
  <c r="F2313" i="14"/>
  <c r="F2312" i="14"/>
  <c r="F2311" i="14"/>
  <c r="F2310" i="14"/>
  <c r="F2309" i="14"/>
  <c r="F2308" i="14"/>
  <c r="F2307" i="14"/>
  <c r="F2306" i="14"/>
  <c r="F2305" i="14"/>
  <c r="F2304" i="14"/>
  <c r="F2303" i="14"/>
  <c r="F2302" i="14"/>
  <c r="F2301" i="14"/>
  <c r="F2300" i="14"/>
  <c r="F2299" i="14"/>
  <c r="F2298" i="14"/>
  <c r="F2297" i="14"/>
  <c r="F2296" i="14"/>
  <c r="F2295" i="14"/>
  <c r="F2294" i="14"/>
  <c r="F2293" i="14"/>
  <c r="F2292" i="14"/>
  <c r="F2291" i="14"/>
  <c r="F2290" i="14"/>
  <c r="F2289" i="14"/>
  <c r="F2277" i="14"/>
  <c r="F2276" i="14"/>
  <c r="F2275" i="14"/>
  <c r="F2274" i="14"/>
  <c r="F2273" i="14"/>
  <c r="F2272" i="14"/>
  <c r="F2271" i="14"/>
  <c r="F2270" i="14"/>
  <c r="F2269" i="14"/>
  <c r="F2268" i="14"/>
  <c r="F2267" i="14"/>
  <c r="F2266" i="14"/>
  <c r="F2265" i="14"/>
  <c r="F2264" i="14"/>
  <c r="F2263" i="14"/>
  <c r="F2262" i="14"/>
  <c r="F2261" i="14"/>
  <c r="F2260" i="14"/>
  <c r="F2259" i="14"/>
  <c r="F2258" i="14"/>
  <c r="F2257" i="14"/>
  <c r="F2256" i="14"/>
  <c r="F2255" i="14"/>
  <c r="F2254" i="14"/>
  <c r="F2253" i="14"/>
  <c r="F2252" i="14"/>
  <c r="F2251" i="14"/>
  <c r="F2250" i="14"/>
  <c r="F2249" i="14"/>
  <c r="F2248" i="14"/>
  <c r="F2247" i="14"/>
  <c r="F2246" i="14"/>
  <c r="F2245" i="14"/>
  <c r="F2244" i="14"/>
  <c r="F2243" i="14"/>
  <c r="F2242" i="14"/>
  <c r="F2241" i="14"/>
  <c r="F2240" i="14"/>
  <c r="F2239" i="14"/>
  <c r="F2238" i="14"/>
  <c r="F2237" i="14"/>
  <c r="F2236" i="14"/>
  <c r="F2235" i="14"/>
  <c r="F2234" i="14"/>
  <c r="F2351" i="14"/>
  <c r="F2349" i="14"/>
  <c r="F2231" i="14"/>
  <c r="F2230" i="14"/>
  <c r="F2229" i="14"/>
  <c r="F2228" i="14"/>
  <c r="F2227" i="14"/>
  <c r="F2226" i="14"/>
  <c r="F2225" i="14"/>
  <c r="F2224" i="14"/>
  <c r="F2223" i="14"/>
  <c r="F2222" i="14"/>
  <c r="F2221" i="14"/>
  <c r="F2220" i="14"/>
  <c r="F2219" i="14"/>
  <c r="F2218" i="14"/>
  <c r="F2217" i="14"/>
  <c r="F2216" i="14"/>
  <c r="F2215" i="14"/>
  <c r="F2214" i="14"/>
  <c r="F2213" i="14"/>
  <c r="F2212" i="14"/>
  <c r="F2211" i="14"/>
  <c r="F2210" i="14"/>
  <c r="F2209" i="14"/>
  <c r="F2208" i="14"/>
  <c r="F2207" i="14"/>
  <c r="F2206" i="14"/>
  <c r="F2205" i="14"/>
  <c r="F2204" i="14"/>
  <c r="F2203" i="14"/>
  <c r="F2202" i="14"/>
  <c r="F2201" i="14"/>
  <c r="F2200" i="14"/>
  <c r="F2199" i="14"/>
  <c r="F2198" i="14"/>
  <c r="F2197" i="14"/>
  <c r="F2196" i="14"/>
  <c r="F2195" i="14"/>
  <c r="F2194" i="14"/>
  <c r="F2193" i="14"/>
  <c r="F2192" i="14"/>
  <c r="F2191" i="14"/>
  <c r="F2190" i="14"/>
  <c r="F2189" i="14"/>
  <c r="F2188" i="14"/>
  <c r="F2187" i="14"/>
  <c r="F2186" i="14"/>
  <c r="F2185" i="14"/>
  <c r="F2184" i="14"/>
  <c r="F2183" i="14"/>
  <c r="F2182" i="14"/>
  <c r="F2181" i="14"/>
  <c r="F2180" i="14"/>
  <c r="F2179" i="14"/>
  <c r="F2178" i="14"/>
  <c r="F2177" i="14"/>
  <c r="F2176" i="14"/>
  <c r="F2175" i="14"/>
  <c r="F2174" i="14"/>
  <c r="F2173" i="14"/>
  <c r="F2172" i="14"/>
  <c r="F2171" i="14"/>
  <c r="F2170" i="14"/>
  <c r="F2169" i="14"/>
  <c r="F2168" i="14"/>
  <c r="F2167" i="14"/>
  <c r="F2166" i="14"/>
  <c r="F2165" i="14"/>
  <c r="F2164" i="14"/>
  <c r="F2163" i="14"/>
  <c r="F2162" i="14"/>
  <c r="F2232" i="14"/>
  <c r="F671" i="14"/>
  <c r="F1643" i="14"/>
  <c r="F670" i="14"/>
  <c r="F1642" i="14"/>
  <c r="F1641" i="14"/>
  <c r="F669" i="14"/>
  <c r="F1707" i="14"/>
  <c r="F1653" i="14"/>
  <c r="F663" i="14"/>
  <c r="F662" i="14"/>
  <c r="F1652" i="14"/>
  <c r="F1647" i="14"/>
  <c r="F657" i="14"/>
  <c r="F1655" i="14"/>
  <c r="F665" i="14"/>
  <c r="F1704" i="14"/>
  <c r="F1650" i="14"/>
  <c r="F660" i="14"/>
  <c r="F1648" i="14"/>
  <c r="F658" i="14"/>
  <c r="F1651" i="14"/>
  <c r="F661" i="14"/>
  <c r="F1703" i="14"/>
  <c r="F1649" i="14"/>
  <c r="F659" i="14"/>
  <c r="F1626" i="14"/>
  <c r="F1608" i="14"/>
  <c r="F1644" i="14"/>
  <c r="F1572" i="14"/>
  <c r="F1590" i="14"/>
  <c r="F664" i="14"/>
  <c r="F1654" i="14"/>
  <c r="B30" i="10" a="1"/>
  <c r="F2287" i="14"/>
  <c r="F2286" i="14"/>
  <c r="F2285" i="14"/>
  <c r="F2284" i="14"/>
  <c r="F2283" i="14"/>
  <c r="F2282" i="14"/>
  <c r="F2281" i="14"/>
  <c r="F2280" i="14"/>
  <c r="F2279" i="14"/>
  <c r="F2278" i="14"/>
  <c r="F2288" i="14"/>
  <c r="F1713" i="14"/>
  <c r="F939" i="14"/>
  <c r="F1711" i="14"/>
  <c r="F937" i="14"/>
  <c r="F1706" i="14"/>
  <c r="F194" i="14"/>
  <c r="F1709" i="14"/>
  <c r="F935" i="14"/>
  <c r="F197" i="14"/>
  <c r="F1705" i="14"/>
  <c r="F193" i="14"/>
  <c r="F1710" i="14"/>
  <c r="F936" i="14"/>
  <c r="F198" i="14"/>
  <c r="F1708" i="14"/>
  <c r="F934" i="14"/>
  <c r="F196" i="14"/>
  <c r="F1699" i="14"/>
  <c r="F925" i="14"/>
  <c r="F187" i="14"/>
  <c r="H41" i="16"/>
  <c r="C30" i="17" s="1"/>
  <c r="E30" i="17" s="1"/>
  <c r="H19" i="16"/>
  <c r="H9" i="16"/>
  <c r="H21" i="16"/>
  <c r="H13" i="16"/>
  <c r="H40" i="16"/>
  <c r="C29" i="17" s="1"/>
  <c r="E29" i="17" s="1"/>
  <c r="H10" i="16"/>
  <c r="H43" i="16"/>
  <c r="C32" i="17" s="1"/>
  <c r="E32" i="17" s="1"/>
  <c r="H39" i="16"/>
  <c r="C28" i="17" s="1"/>
  <c r="E28" i="17" s="1"/>
  <c r="H36" i="16"/>
  <c r="C25" i="17" s="1"/>
  <c r="E25" i="17" s="1"/>
  <c r="H8" i="16"/>
  <c r="H7" i="16"/>
  <c r="H42" i="16"/>
  <c r="C31" i="17" s="1"/>
  <c r="E31" i="17" s="1"/>
  <c r="H26" i="16"/>
  <c r="H27" i="16"/>
  <c r="D15" i="17" s="1"/>
  <c r="H37" i="16"/>
  <c r="C26" i="17" s="1"/>
  <c r="E26" i="17" s="1"/>
  <c r="H30" i="16"/>
  <c r="C13" i="17" s="1"/>
  <c r="E13" i="17" s="1"/>
  <c r="H29" i="16"/>
  <c r="C12" i="17" s="1"/>
  <c r="E12" i="17" s="1"/>
  <c r="H28" i="16"/>
  <c r="C11" i="17" s="1"/>
  <c r="E11" i="17" s="1"/>
  <c r="H25" i="16"/>
  <c r="H48" i="16"/>
  <c r="C37" i="17" s="1"/>
  <c r="E37" i="17" s="1"/>
  <c r="C10" i="17"/>
  <c r="D42" i="17"/>
  <c r="H24" i="16"/>
  <c r="H23" i="16"/>
  <c r="H53" i="16" s="1"/>
  <c r="C42" i="17"/>
  <c r="A2183" i="14"/>
  <c r="D2145" i="14"/>
  <c r="I2145" i="14"/>
  <c r="C2146" i="14"/>
  <c r="I2127" i="14"/>
  <c r="C2128" i="14"/>
  <c r="D2127" i="14"/>
  <c r="C2110" i="14"/>
  <c r="I2109" i="14"/>
  <c r="D2109" i="14"/>
  <c r="C2092" i="14"/>
  <c r="I2091" i="14"/>
  <c r="D2091" i="14"/>
  <c r="D2073" i="14"/>
  <c r="I2073" i="14"/>
  <c r="C2074" i="14"/>
  <c r="C2056" i="14"/>
  <c r="I2055" i="14"/>
  <c r="D2055" i="14"/>
  <c r="C2038" i="14"/>
  <c r="I2037" i="14"/>
  <c r="D2037" i="14"/>
  <c r="C2020" i="14"/>
  <c r="I2019" i="14"/>
  <c r="D2019" i="14"/>
  <c r="C2002" i="14"/>
  <c r="I2001" i="14"/>
  <c r="D2001" i="14"/>
  <c r="D1983" i="14"/>
  <c r="C1984" i="14"/>
  <c r="I1983" i="14"/>
  <c r="C1966" i="14"/>
  <c r="D1965" i="14"/>
  <c r="I1965" i="14"/>
  <c r="D1947" i="14"/>
  <c r="I1947" i="14"/>
  <c r="C1948" i="14"/>
  <c r="I1929" i="14"/>
  <c r="C1930" i="14"/>
  <c r="D1929" i="14"/>
  <c r="D1911" i="14"/>
  <c r="I1911" i="14"/>
  <c r="C1912" i="14"/>
  <c r="C1894" i="14"/>
  <c r="I1893" i="14"/>
  <c r="D1893" i="14"/>
  <c r="C1876" i="14"/>
  <c r="I1875" i="14"/>
  <c r="D1875" i="14"/>
  <c r="C1858" i="14"/>
  <c r="I1857" i="14"/>
  <c r="D1857" i="14"/>
  <c r="C1840" i="14"/>
  <c r="D1839" i="14"/>
  <c r="I1839" i="14"/>
  <c r="C1822" i="14"/>
  <c r="I1821" i="14"/>
  <c r="D1821" i="14"/>
  <c r="D1803" i="14"/>
  <c r="C1804" i="14"/>
  <c r="I1803" i="14"/>
  <c r="C1786" i="14"/>
  <c r="I1785" i="14"/>
  <c r="D1785" i="14"/>
  <c r="C1768" i="14"/>
  <c r="I1767" i="14"/>
  <c r="D1767" i="14"/>
  <c r="C1750" i="14"/>
  <c r="I1749" i="14"/>
  <c r="D1749" i="14"/>
  <c r="C1732" i="14"/>
  <c r="I1731" i="14"/>
  <c r="D1731" i="14"/>
  <c r="D1713" i="14"/>
  <c r="C1714" i="14"/>
  <c r="I1713" i="14"/>
  <c r="I1695" i="14"/>
  <c r="C1696" i="14"/>
  <c r="D1695" i="14"/>
  <c r="C1678" i="14"/>
  <c r="I1677" i="14"/>
  <c r="D1677" i="14"/>
  <c r="C1660" i="14"/>
  <c r="I1659" i="14"/>
  <c r="D1659" i="14"/>
  <c r="C1642" i="14"/>
  <c r="I1641" i="14"/>
  <c r="D1641" i="14"/>
  <c r="D1623" i="14"/>
  <c r="I1623" i="14"/>
  <c r="C1624" i="14"/>
  <c r="I1605" i="14"/>
  <c r="C1606" i="14"/>
  <c r="D1605" i="14"/>
  <c r="C1588" i="14"/>
  <c r="I1587" i="14"/>
  <c r="D1587" i="14"/>
  <c r="C1570" i="14"/>
  <c r="I1569" i="14"/>
  <c r="D1569" i="14"/>
  <c r="C1552" i="14"/>
  <c r="I1551" i="14"/>
  <c r="D1551" i="14"/>
  <c r="C1534" i="14"/>
  <c r="I1533" i="14"/>
  <c r="D1533" i="14"/>
  <c r="C1516" i="14"/>
  <c r="I1515" i="14"/>
  <c r="D1515" i="14"/>
  <c r="C1498" i="14"/>
  <c r="I1497" i="14"/>
  <c r="D1497" i="14"/>
  <c r="D1479" i="14"/>
  <c r="I1479" i="14"/>
  <c r="C1480" i="14"/>
  <c r="D1461" i="14"/>
  <c r="I1461" i="14"/>
  <c r="C1462" i="14"/>
  <c r="D1443" i="14"/>
  <c r="I1443" i="14"/>
  <c r="C1444" i="14"/>
  <c r="C1426" i="14"/>
  <c r="I1425" i="14"/>
  <c r="D1425" i="14"/>
  <c r="D1407" i="14"/>
  <c r="C1408" i="14"/>
  <c r="I1407" i="14"/>
  <c r="C1390" i="14"/>
  <c r="I1389" i="14"/>
  <c r="D1389" i="14"/>
  <c r="D1371" i="14"/>
  <c r="C1372" i="14"/>
  <c r="I1371" i="14"/>
  <c r="D1353" i="14"/>
  <c r="I1353" i="14"/>
  <c r="C1354" i="14"/>
  <c r="I1335" i="14"/>
  <c r="C1336" i="14"/>
  <c r="D1335" i="14"/>
  <c r="C1318" i="14"/>
  <c r="I1317" i="14"/>
  <c r="D1317" i="14"/>
  <c r="I1299" i="14"/>
  <c r="C1300" i="14"/>
  <c r="D1299" i="14"/>
  <c r="C1282" i="14"/>
  <c r="I1281" i="14"/>
  <c r="D1281" i="14"/>
  <c r="C1264" i="14"/>
  <c r="I1263" i="14"/>
  <c r="D1263" i="14"/>
  <c r="C1246" i="14"/>
  <c r="I1245" i="14"/>
  <c r="D1245" i="14"/>
  <c r="C1228" i="14"/>
  <c r="I1227" i="14"/>
  <c r="D1227" i="14"/>
  <c r="C1210" i="14"/>
  <c r="I1209" i="14"/>
  <c r="D1209" i="14"/>
  <c r="C1192" i="14"/>
  <c r="I1191" i="14"/>
  <c r="D1191" i="14"/>
  <c r="C1174" i="14"/>
  <c r="I1173" i="14"/>
  <c r="D1173" i="14"/>
  <c r="C1156" i="14"/>
  <c r="I1155" i="14"/>
  <c r="D1155" i="14"/>
  <c r="C1138" i="14"/>
  <c r="I1137" i="14"/>
  <c r="D1137" i="14"/>
  <c r="C1120" i="14"/>
  <c r="I1119" i="14"/>
  <c r="D1119" i="14"/>
  <c r="C1102" i="14"/>
  <c r="I1101" i="14"/>
  <c r="D1101" i="14"/>
  <c r="C1084" i="14"/>
  <c r="D1083" i="14"/>
  <c r="I1083" i="14"/>
  <c r="D1065" i="14"/>
  <c r="I1065" i="14"/>
  <c r="C1066" i="14"/>
  <c r="D1047" i="14"/>
  <c r="I1047" i="14"/>
  <c r="C1048" i="14"/>
  <c r="D1029" i="14"/>
  <c r="I1029" i="14"/>
  <c r="C1030" i="14"/>
  <c r="C1012" i="14"/>
  <c r="I1011" i="14"/>
  <c r="D1011" i="14"/>
  <c r="C994" i="14"/>
  <c r="I993" i="14"/>
  <c r="D993" i="14"/>
  <c r="C976" i="14"/>
  <c r="I975" i="14"/>
  <c r="D975" i="14"/>
  <c r="D957" i="14"/>
  <c r="I957" i="14"/>
  <c r="C958" i="14"/>
  <c r="D939" i="14"/>
  <c r="I939" i="14"/>
  <c r="C940" i="14"/>
  <c r="D921" i="14"/>
  <c r="I921" i="14"/>
  <c r="C922" i="14"/>
  <c r="D903" i="14"/>
  <c r="I903" i="14"/>
  <c r="C904" i="14"/>
  <c r="D885" i="14"/>
  <c r="I885" i="14"/>
  <c r="C886" i="14"/>
  <c r="D867" i="14"/>
  <c r="I867" i="14"/>
  <c r="C868" i="14"/>
  <c r="D849" i="14"/>
  <c r="I849" i="14"/>
  <c r="C850" i="14"/>
  <c r="C832" i="14"/>
  <c r="I831" i="14"/>
  <c r="D831" i="14"/>
  <c r="C814" i="14"/>
  <c r="D813" i="14"/>
  <c r="I813" i="14"/>
  <c r="D795" i="14"/>
  <c r="I795" i="14"/>
  <c r="C796" i="14"/>
  <c r="C778" i="14"/>
  <c r="I777" i="14"/>
  <c r="D777" i="14"/>
  <c r="C760" i="14"/>
  <c r="D759" i="14"/>
  <c r="I759" i="14"/>
  <c r="D741" i="14"/>
  <c r="I741" i="14"/>
  <c r="C742" i="14"/>
  <c r="I723" i="14"/>
  <c r="D723" i="14"/>
  <c r="C724" i="14"/>
  <c r="I705" i="14"/>
  <c r="D705" i="14"/>
  <c r="C706" i="14"/>
  <c r="I687" i="14"/>
  <c r="C688" i="14"/>
  <c r="D687" i="14"/>
  <c r="C670" i="14"/>
  <c r="D669" i="14"/>
  <c r="I669" i="14"/>
  <c r="C652" i="14"/>
  <c r="I651" i="14"/>
  <c r="D651" i="14"/>
  <c r="C634" i="14"/>
  <c r="I633" i="14"/>
  <c r="D633" i="14"/>
  <c r="D615" i="14"/>
  <c r="I615" i="14"/>
  <c r="C616" i="14"/>
  <c r="I597" i="14"/>
  <c r="D597" i="14"/>
  <c r="C598" i="14"/>
  <c r="I579" i="14"/>
  <c r="D579" i="14"/>
  <c r="C580" i="14"/>
  <c r="I561" i="14"/>
  <c r="D561" i="14"/>
  <c r="C562" i="14"/>
  <c r="I543" i="14"/>
  <c r="D543" i="14"/>
  <c r="C544" i="14"/>
  <c r="I525" i="14"/>
  <c r="D525" i="14"/>
  <c r="C526" i="14"/>
  <c r="I507" i="14"/>
  <c r="D507" i="14"/>
  <c r="C508" i="14"/>
  <c r="I489" i="14"/>
  <c r="D489" i="14"/>
  <c r="C490" i="14"/>
  <c r="C472" i="14"/>
  <c r="I471" i="14"/>
  <c r="D471" i="14"/>
  <c r="D453" i="14"/>
  <c r="C454" i="14"/>
  <c r="I453" i="14"/>
  <c r="C436" i="14"/>
  <c r="I435" i="14"/>
  <c r="D435" i="14"/>
  <c r="C418" i="14"/>
  <c r="I417" i="14"/>
  <c r="D417" i="14"/>
  <c r="C400" i="14"/>
  <c r="I399" i="14"/>
  <c r="D399" i="14"/>
  <c r="D381" i="14"/>
  <c r="I381" i="14"/>
  <c r="C382" i="14"/>
  <c r="I363" i="14"/>
  <c r="D363" i="14"/>
  <c r="C364" i="14"/>
  <c r="I345" i="14"/>
  <c r="D345" i="14"/>
  <c r="C346" i="14"/>
  <c r="I327" i="14"/>
  <c r="C328" i="14"/>
  <c r="D327" i="14"/>
  <c r="C310" i="14"/>
  <c r="I309" i="14"/>
  <c r="D309" i="14"/>
  <c r="C292" i="14"/>
  <c r="I291" i="14"/>
  <c r="D291" i="14"/>
  <c r="C274" i="14"/>
  <c r="I273" i="14"/>
  <c r="D273" i="14"/>
  <c r="C256" i="14"/>
  <c r="I255" i="14"/>
  <c r="D255" i="14"/>
  <c r="D237" i="14"/>
  <c r="I237" i="14"/>
  <c r="C238" i="14"/>
  <c r="I219" i="14"/>
  <c r="C220" i="14"/>
  <c r="D219" i="14"/>
  <c r="A219" i="14"/>
  <c r="J219" i="14" s="1"/>
  <c r="J218" i="14"/>
  <c r="A21" i="14"/>
  <c r="J20" i="14"/>
  <c r="C7" i="11"/>
  <c r="H28" i="5"/>
  <c r="J27" i="5"/>
  <c r="J26" i="5"/>
  <c r="K26" i="5"/>
  <c r="L26" i="5"/>
  <c r="N26" i="5"/>
  <c r="E25" i="5"/>
  <c r="I25" i="5"/>
  <c r="M25" i="5"/>
  <c r="E26" i="5"/>
  <c r="I26" i="5"/>
  <c r="M26" i="5"/>
  <c r="D27" i="5"/>
  <c r="H27" i="5"/>
  <c r="O26" i="5"/>
  <c r="E27" i="5"/>
  <c r="K27" i="5"/>
  <c r="O27" i="5"/>
  <c r="G28" i="5"/>
  <c r="K28" i="5"/>
  <c r="O28" i="5"/>
  <c r="F27" i="5"/>
  <c r="G27" i="5"/>
  <c r="I27" i="5"/>
  <c r="L27" i="5"/>
  <c r="G26" i="5"/>
  <c r="F26" i="5"/>
  <c r="D26" i="5"/>
  <c r="O25" i="5"/>
  <c r="N25" i="5"/>
  <c r="L25" i="5"/>
  <c r="K25" i="5"/>
  <c r="J25" i="5"/>
  <c r="H25" i="5"/>
  <c r="G25" i="5"/>
  <c r="G29" i="5" s="1"/>
  <c r="F25" i="5"/>
  <c r="D25" i="5"/>
  <c r="M27" i="5"/>
  <c r="N28" i="5"/>
  <c r="M28" i="5"/>
  <c r="D10" i="5"/>
  <c r="Q10" i="5" s="1"/>
  <c r="L28" i="5"/>
  <c r="N27" i="5"/>
  <c r="D28" i="5"/>
  <c r="J28" i="5"/>
  <c r="I28" i="5"/>
  <c r="E28" i="5"/>
  <c r="F28" i="5"/>
  <c r="H26" i="5"/>
  <c r="J7" i="8"/>
  <c r="C8" i="8"/>
  <c r="J9" i="8"/>
  <c r="N9" i="8"/>
  <c r="M9" i="8"/>
  <c r="K9" i="8"/>
  <c r="H9" i="8"/>
  <c r="E9" i="8"/>
  <c r="N8" i="8"/>
  <c r="K8" i="8"/>
  <c r="J8" i="8"/>
  <c r="E5" i="8"/>
  <c r="J5" i="8"/>
  <c r="L5" i="8"/>
  <c r="C6" i="8"/>
  <c r="F6" i="8"/>
  <c r="I6" i="8"/>
  <c r="J6" i="8"/>
  <c r="M6" i="8"/>
  <c r="C7" i="8"/>
  <c r="F7" i="8"/>
  <c r="I7" i="8"/>
  <c r="M7" i="8"/>
  <c r="G7" i="8"/>
  <c r="G8" i="8"/>
  <c r="F8" i="8"/>
  <c r="C5" i="8"/>
  <c r="F5" i="8"/>
  <c r="F9" i="8"/>
  <c r="C9" i="8"/>
  <c r="L8" i="8"/>
  <c r="I8" i="8"/>
  <c r="D8" i="8"/>
  <c r="K7" i="8"/>
  <c r="H7" i="8"/>
  <c r="D7" i="8"/>
  <c r="K6" i="8"/>
  <c r="G6" i="8"/>
  <c r="D6" i="8"/>
  <c r="N5" i="8"/>
  <c r="H5" i="8"/>
  <c r="D5" i="8"/>
  <c r="G5" i="8"/>
  <c r="I5" i="8"/>
  <c r="K5" i="8"/>
  <c r="K10" i="8" s="1"/>
  <c r="M5" i="8"/>
  <c r="E6" i="8"/>
  <c r="H6" i="8"/>
  <c r="L6" i="8"/>
  <c r="N6" i="8"/>
  <c r="E7" i="8"/>
  <c r="L7" i="8"/>
  <c r="N7" i="8"/>
  <c r="E8" i="8"/>
  <c r="H8" i="8"/>
  <c r="M8" i="8"/>
  <c r="D9" i="8"/>
  <c r="G9" i="8"/>
  <c r="I9" i="8"/>
  <c r="L9" i="8"/>
  <c r="O29" i="5" l="1"/>
  <c r="J16" i="22"/>
  <c r="K8" i="22"/>
  <c r="I16" i="22"/>
  <c r="B12" i="11"/>
  <c r="H12" i="11" s="1"/>
  <c r="B13" i="11"/>
  <c r="B14" i="11"/>
  <c r="B15" i="11"/>
  <c r="B16" i="11"/>
  <c r="B17" i="11"/>
  <c r="B21" i="11"/>
  <c r="B23" i="11"/>
  <c r="B24" i="11"/>
  <c r="B25" i="11"/>
  <c r="B26" i="11"/>
  <c r="B29" i="11"/>
  <c r="B30" i="11"/>
  <c r="B31" i="11"/>
  <c r="B32" i="11"/>
  <c r="B33" i="11"/>
  <c r="B22" i="11"/>
  <c r="B27" i="11"/>
  <c r="B28" i="11"/>
  <c r="B34" i="11"/>
  <c r="B35" i="11"/>
  <c r="B36" i="11"/>
  <c r="B37" i="11"/>
  <c r="B38" i="11"/>
  <c r="H58" i="16"/>
  <c r="N20" i="5"/>
  <c r="J20" i="5"/>
  <c r="H20" i="5"/>
  <c r="I20" i="5"/>
  <c r="M20" i="5"/>
  <c r="K103" i="18"/>
  <c r="O20" i="18"/>
  <c r="E18" i="12" s="1"/>
  <c r="O22" i="18"/>
  <c r="E20" i="12" s="1"/>
  <c r="K202" i="18"/>
  <c r="P25" i="18" s="1"/>
  <c r="G10" i="12" s="1"/>
  <c r="F203" i="18"/>
  <c r="I203" i="18" s="1"/>
  <c r="K203" i="18" s="1"/>
  <c r="K114" i="18"/>
  <c r="O19" i="18" s="1"/>
  <c r="O11" i="18"/>
  <c r="O13" i="18" s="1"/>
  <c r="O26" i="18"/>
  <c r="E11" i="12" s="1"/>
  <c r="P27" i="18"/>
  <c r="G12" i="12" s="1"/>
  <c r="P22" i="18"/>
  <c r="G20" i="12" s="1"/>
  <c r="P21" i="18"/>
  <c r="G19" i="12" s="1"/>
  <c r="Q25" i="18"/>
  <c r="I10" i="12" s="1"/>
  <c r="O23" i="18"/>
  <c r="E8" i="12" s="1"/>
  <c r="P20" i="18"/>
  <c r="G18" i="12" s="1"/>
  <c r="O21" i="18"/>
  <c r="E19" i="12" s="1"/>
  <c r="O25" i="18"/>
  <c r="E10" i="12" s="1"/>
  <c r="P24" i="18"/>
  <c r="G9" i="12" s="1"/>
  <c r="K230" i="18"/>
  <c r="P26" i="18" s="1"/>
  <c r="G11" i="12" s="1"/>
  <c r="F231" i="18"/>
  <c r="I231" i="18" s="1"/>
  <c r="K231" i="18" s="1"/>
  <c r="P23" i="18"/>
  <c r="G8" i="12" s="1"/>
  <c r="F143" i="18"/>
  <c r="I143" i="18" s="1"/>
  <c r="K143" i="18" s="1"/>
  <c r="F291" i="18"/>
  <c r="I291" i="18" s="1"/>
  <c r="K291" i="18" s="1"/>
  <c r="F92" i="18"/>
  <c r="I92" i="18" s="1"/>
  <c r="K92" i="18" s="1"/>
  <c r="F132" i="18"/>
  <c r="I132" i="18" s="1"/>
  <c r="K132" i="18" s="1"/>
  <c r="F104" i="18"/>
  <c r="I104" i="18" s="1"/>
  <c r="K104" i="18" s="1"/>
  <c r="F155" i="18"/>
  <c r="I155" i="18" s="1"/>
  <c r="K155" i="18" s="1"/>
  <c r="F219" i="18"/>
  <c r="I219" i="18" s="1"/>
  <c r="K219" i="18" s="1"/>
  <c r="F255" i="18"/>
  <c r="I255" i="18" s="1"/>
  <c r="K255" i="18" s="1"/>
  <c r="F232" i="18"/>
  <c r="I232" i="18" s="1"/>
  <c r="K232" i="18" s="1"/>
  <c r="F243" i="18"/>
  <c r="I243" i="18" s="1"/>
  <c r="K243" i="18" s="1"/>
  <c r="F279" i="18"/>
  <c r="I279" i="18" s="1"/>
  <c r="K279" i="18" s="1"/>
  <c r="F72" i="18"/>
  <c r="I72" i="18" s="1"/>
  <c r="K72" i="18" s="1"/>
  <c r="C15" i="15"/>
  <c r="C42" i="15" s="1"/>
  <c r="D15" i="15"/>
  <c r="D42" i="15" s="1"/>
  <c r="E15" i="15"/>
  <c r="E42" i="15" s="1"/>
  <c r="F15" i="15"/>
  <c r="F42" i="15" s="1"/>
  <c r="G15" i="15"/>
  <c r="G42" i="15" s="1"/>
  <c r="H15" i="15"/>
  <c r="I15" i="15"/>
  <c r="I42" i="15" s="1"/>
  <c r="J15" i="15"/>
  <c r="J42" i="15" s="1"/>
  <c r="K15" i="15"/>
  <c r="K42" i="15" s="1"/>
  <c r="L15" i="15"/>
  <c r="L42" i="15" s="1"/>
  <c r="M15" i="15"/>
  <c r="M42" i="15" s="1"/>
  <c r="N15" i="15"/>
  <c r="N42" i="15" s="1"/>
  <c r="D16" i="15"/>
  <c r="D43" i="15" s="1"/>
  <c r="E16" i="15"/>
  <c r="E43" i="15" s="1"/>
  <c r="F16" i="15"/>
  <c r="F43" i="15" s="1"/>
  <c r="G16" i="15"/>
  <c r="G43" i="15" s="1"/>
  <c r="H16" i="15"/>
  <c r="H43" i="15" s="1"/>
  <c r="I16" i="15"/>
  <c r="I43" i="15" s="1"/>
  <c r="J16" i="15"/>
  <c r="J43" i="15" s="1"/>
  <c r="K16" i="15"/>
  <c r="K43" i="15" s="1"/>
  <c r="L16" i="15"/>
  <c r="L43" i="15" s="1"/>
  <c r="M16" i="15"/>
  <c r="M43" i="15" s="1"/>
  <c r="N16" i="15"/>
  <c r="N43" i="15" s="1"/>
  <c r="C16" i="15"/>
  <c r="C43" i="15" s="1"/>
  <c r="F115" i="18"/>
  <c r="I115" i="18" s="1"/>
  <c r="K115" i="18" s="1"/>
  <c r="P10" i="18"/>
  <c r="I11" i="18"/>
  <c r="K11" i="18" s="1"/>
  <c r="P19" i="18" s="1"/>
  <c r="K20" i="5"/>
  <c r="F20" i="5"/>
  <c r="D20" i="5"/>
  <c r="G20" i="5"/>
  <c r="L20" i="5"/>
  <c r="O20" i="5"/>
  <c r="E20" i="5"/>
  <c r="F80" i="18"/>
  <c r="I80" i="18" s="1"/>
  <c r="K80" i="18" s="1"/>
  <c r="F24" i="18"/>
  <c r="F36" i="18"/>
  <c r="I36" i="18" s="1"/>
  <c r="K36" i="18" s="1"/>
  <c r="F48" i="18"/>
  <c r="I48" i="18" s="1"/>
  <c r="K48" i="18" s="1"/>
  <c r="F60" i="18"/>
  <c r="I60" i="18" s="1"/>
  <c r="K60" i="18" s="1"/>
  <c r="F267" i="18"/>
  <c r="I267" i="18" s="1"/>
  <c r="K267" i="18" s="1"/>
  <c r="F128" i="18"/>
  <c r="I128" i="18" s="1"/>
  <c r="K128" i="18" s="1"/>
  <c r="F168" i="18"/>
  <c r="I168" i="18" s="1"/>
  <c r="K168" i="18" s="1"/>
  <c r="F180" i="18"/>
  <c r="I180" i="18" s="1"/>
  <c r="K180" i="18" s="1"/>
  <c r="F192" i="18"/>
  <c r="I192" i="18" s="1"/>
  <c r="K192" i="18" s="1"/>
  <c r="F204" i="18"/>
  <c r="I204" i="18" s="1"/>
  <c r="K204" i="18" s="1"/>
  <c r="F213" i="18"/>
  <c r="I213" i="18" s="1"/>
  <c r="K213" i="18" s="1"/>
  <c r="I313" i="18"/>
  <c r="K313" i="18" s="1"/>
  <c r="D14" i="17"/>
  <c r="H54" i="16"/>
  <c r="C34" i="17"/>
  <c r="E15" i="17"/>
  <c r="B22" i="10"/>
  <c r="B23" i="10"/>
  <c r="B24" i="10"/>
  <c r="B25" i="10"/>
  <c r="B26" i="10"/>
  <c r="B21" i="10"/>
  <c r="C25" i="11"/>
  <c r="B38" i="10"/>
  <c r="B30" i="10"/>
  <c r="B39" i="10"/>
  <c r="B37" i="10"/>
  <c r="B36" i="10"/>
  <c r="B35" i="10"/>
  <c r="B40" i="10"/>
  <c r="B31" i="10"/>
  <c r="B41" i="10"/>
  <c r="B42" i="10"/>
  <c r="B43" i="10"/>
  <c r="B44" i="10"/>
  <c r="V44" i="10" s="1"/>
  <c r="B33" i="10"/>
  <c r="B45" i="10"/>
  <c r="B46" i="10"/>
  <c r="B34" i="10"/>
  <c r="B47" i="10"/>
  <c r="B32" i="10"/>
  <c r="E20" i="17"/>
  <c r="E10" i="17"/>
  <c r="C17" i="17"/>
  <c r="E42" i="17"/>
  <c r="C21" i="15"/>
  <c r="C49" i="15" s="1"/>
  <c r="F21" i="15"/>
  <c r="F49" i="15" s="1"/>
  <c r="H21" i="15"/>
  <c r="H49" i="15" s="1"/>
  <c r="J21" i="15"/>
  <c r="J49" i="15" s="1"/>
  <c r="L21" i="15"/>
  <c r="L49" i="15" s="1"/>
  <c r="M21" i="15"/>
  <c r="M49" i="15" s="1"/>
  <c r="D21" i="15"/>
  <c r="D49" i="15" s="1"/>
  <c r="E21" i="15"/>
  <c r="E49" i="15" s="1"/>
  <c r="G21" i="15"/>
  <c r="G49" i="15" s="1"/>
  <c r="I21" i="15"/>
  <c r="I49" i="15" s="1"/>
  <c r="K21" i="15"/>
  <c r="K49" i="15" s="1"/>
  <c r="N21" i="15"/>
  <c r="N49" i="15" s="1"/>
  <c r="C20" i="15"/>
  <c r="C47" i="15" s="1"/>
  <c r="F20" i="15"/>
  <c r="F47" i="15" s="1"/>
  <c r="G20" i="15"/>
  <c r="G47" i="15" s="1"/>
  <c r="I20" i="15"/>
  <c r="I47" i="15" s="1"/>
  <c r="K20" i="15"/>
  <c r="K47" i="15" s="1"/>
  <c r="M20" i="15"/>
  <c r="M47" i="15" s="1"/>
  <c r="D20" i="15"/>
  <c r="D47" i="15" s="1"/>
  <c r="E20" i="15"/>
  <c r="E47" i="15" s="1"/>
  <c r="H20" i="15"/>
  <c r="H47" i="15" s="1"/>
  <c r="J20" i="15"/>
  <c r="J47" i="15" s="1"/>
  <c r="L20" i="15"/>
  <c r="L47" i="15" s="1"/>
  <c r="N20" i="15"/>
  <c r="N47" i="15" s="1"/>
  <c r="N19" i="15"/>
  <c r="N46" i="15" s="1"/>
  <c r="C19" i="15"/>
  <c r="C46" i="15" s="1"/>
  <c r="D19" i="15"/>
  <c r="D46" i="15" s="1"/>
  <c r="E19" i="15"/>
  <c r="E46" i="15" s="1"/>
  <c r="F19" i="15"/>
  <c r="F46" i="15" s="1"/>
  <c r="G19" i="15"/>
  <c r="G46" i="15" s="1"/>
  <c r="H19" i="15"/>
  <c r="H46" i="15" s="1"/>
  <c r="I19" i="15"/>
  <c r="I46" i="15" s="1"/>
  <c r="J19" i="15"/>
  <c r="J46" i="15" s="1"/>
  <c r="K19" i="15"/>
  <c r="K46" i="15" s="1"/>
  <c r="L19" i="15"/>
  <c r="L46" i="15" s="1"/>
  <c r="M19" i="15"/>
  <c r="M46" i="15" s="1"/>
  <c r="C18" i="15"/>
  <c r="C45" i="15" s="1"/>
  <c r="D18" i="15"/>
  <c r="D45" i="15" s="1"/>
  <c r="E18" i="15"/>
  <c r="E45" i="15" s="1"/>
  <c r="F18" i="15"/>
  <c r="F45" i="15" s="1"/>
  <c r="G18" i="15"/>
  <c r="G45" i="15" s="1"/>
  <c r="H18" i="15"/>
  <c r="H45" i="15" s="1"/>
  <c r="I18" i="15"/>
  <c r="I45" i="15" s="1"/>
  <c r="J18" i="15"/>
  <c r="J45" i="15" s="1"/>
  <c r="K18" i="15"/>
  <c r="K45" i="15" s="1"/>
  <c r="L18" i="15"/>
  <c r="L45" i="15" s="1"/>
  <c r="M18" i="15"/>
  <c r="M45" i="15" s="1"/>
  <c r="N18" i="15"/>
  <c r="N45" i="15" s="1"/>
  <c r="C12" i="15"/>
  <c r="C40" i="15" s="1"/>
  <c r="D12" i="15"/>
  <c r="D40" i="15" s="1"/>
  <c r="E12" i="15"/>
  <c r="E40" i="15" s="1"/>
  <c r="F12" i="15"/>
  <c r="F40" i="15" s="1"/>
  <c r="G12" i="15"/>
  <c r="G40" i="15" s="1"/>
  <c r="H12" i="15"/>
  <c r="H40" i="15" s="1"/>
  <c r="I12" i="15"/>
  <c r="I40" i="15" s="1"/>
  <c r="J12" i="15"/>
  <c r="J40" i="15" s="1"/>
  <c r="K12" i="15"/>
  <c r="K40" i="15" s="1"/>
  <c r="L12" i="15"/>
  <c r="L40" i="15" s="1"/>
  <c r="M12" i="15"/>
  <c r="M40" i="15" s="1"/>
  <c r="N12" i="15"/>
  <c r="N40" i="15" s="1"/>
  <c r="C17" i="15"/>
  <c r="C44" i="15" s="1"/>
  <c r="D17" i="15"/>
  <c r="D44" i="15" s="1"/>
  <c r="E17" i="15"/>
  <c r="E44" i="15" s="1"/>
  <c r="F17" i="15"/>
  <c r="F44" i="15" s="1"/>
  <c r="G17" i="15"/>
  <c r="G44" i="15" s="1"/>
  <c r="H17" i="15"/>
  <c r="H44" i="15" s="1"/>
  <c r="I17" i="15"/>
  <c r="I44" i="15" s="1"/>
  <c r="J17" i="15"/>
  <c r="J44" i="15" s="1"/>
  <c r="K17" i="15"/>
  <c r="K44" i="15" s="1"/>
  <c r="L17" i="15"/>
  <c r="L44" i="15" s="1"/>
  <c r="M17" i="15"/>
  <c r="M44" i="15" s="1"/>
  <c r="N17" i="15"/>
  <c r="N44" i="15" s="1"/>
  <c r="C11" i="15"/>
  <c r="C39" i="15" s="1"/>
  <c r="D11" i="15"/>
  <c r="D39" i="15" s="1"/>
  <c r="E11" i="15"/>
  <c r="E39" i="15" s="1"/>
  <c r="F11" i="15"/>
  <c r="F39" i="15" s="1"/>
  <c r="G11" i="15"/>
  <c r="G39" i="15" s="1"/>
  <c r="H11" i="15"/>
  <c r="H39" i="15" s="1"/>
  <c r="I11" i="15"/>
  <c r="I39" i="15" s="1"/>
  <c r="J11" i="15"/>
  <c r="J39" i="15" s="1"/>
  <c r="K11" i="15"/>
  <c r="K39" i="15" s="1"/>
  <c r="L11" i="15"/>
  <c r="L39" i="15" s="1"/>
  <c r="M11" i="15"/>
  <c r="M39" i="15" s="1"/>
  <c r="N11" i="15"/>
  <c r="N39" i="15" s="1"/>
  <c r="C13" i="15"/>
  <c r="E13" i="15"/>
  <c r="G13" i="15"/>
  <c r="I13" i="15"/>
  <c r="K13" i="15"/>
  <c r="N13" i="15"/>
  <c r="D13" i="15"/>
  <c r="F13" i="15"/>
  <c r="H13" i="15"/>
  <c r="J13" i="15"/>
  <c r="C48" i="15" s="1"/>
  <c r="L13" i="15"/>
  <c r="M13" i="15"/>
  <c r="D10" i="15"/>
  <c r="D38" i="15" s="1"/>
  <c r="G10" i="15"/>
  <c r="G38" i="15" s="1"/>
  <c r="I10" i="15"/>
  <c r="I38" i="15" s="1"/>
  <c r="K10" i="15"/>
  <c r="K38" i="15" s="1"/>
  <c r="M10" i="15"/>
  <c r="M38" i="15" s="1"/>
  <c r="C10" i="15"/>
  <c r="C38" i="15" s="1"/>
  <c r="E10" i="15"/>
  <c r="E38" i="15" s="1"/>
  <c r="F10" i="15"/>
  <c r="F38" i="15" s="1"/>
  <c r="H10" i="15"/>
  <c r="H38" i="15" s="1"/>
  <c r="J10" i="15"/>
  <c r="J38" i="15" s="1"/>
  <c r="L10" i="15"/>
  <c r="L38" i="15" s="1"/>
  <c r="N10" i="15"/>
  <c r="N38" i="15" s="1"/>
  <c r="C22" i="15"/>
  <c r="C50" i="15" s="1"/>
  <c r="E22" i="15"/>
  <c r="E50" i="15" s="1"/>
  <c r="G22" i="15"/>
  <c r="G50" i="15" s="1"/>
  <c r="I22" i="15"/>
  <c r="I50" i="15" s="1"/>
  <c r="K22" i="15"/>
  <c r="K50" i="15" s="1"/>
  <c r="M22" i="15"/>
  <c r="M50" i="15" s="1"/>
  <c r="D22" i="15"/>
  <c r="D50" i="15" s="1"/>
  <c r="F22" i="15"/>
  <c r="F50" i="15" s="1"/>
  <c r="H22" i="15"/>
  <c r="H50" i="15" s="1"/>
  <c r="J22" i="15"/>
  <c r="J50" i="15" s="1"/>
  <c r="L22" i="15"/>
  <c r="L50" i="15" s="1"/>
  <c r="N22" i="15"/>
  <c r="N50" i="15" s="1"/>
  <c r="C23" i="15"/>
  <c r="C51" i="15" s="1"/>
  <c r="E23" i="15"/>
  <c r="E51" i="15" s="1"/>
  <c r="G23" i="15"/>
  <c r="G51" i="15" s="1"/>
  <c r="I23" i="15"/>
  <c r="I51" i="15" s="1"/>
  <c r="K23" i="15"/>
  <c r="K51" i="15" s="1"/>
  <c r="L23" i="15"/>
  <c r="L51" i="15" s="1"/>
  <c r="M23" i="15"/>
  <c r="M51" i="15" s="1"/>
  <c r="N23" i="15"/>
  <c r="N51" i="15" s="1"/>
  <c r="D23" i="15"/>
  <c r="D51" i="15" s="1"/>
  <c r="F23" i="15"/>
  <c r="F51" i="15" s="1"/>
  <c r="H23" i="15"/>
  <c r="J23" i="15"/>
  <c r="J51" i="15" s="1"/>
  <c r="A2184" i="14"/>
  <c r="D2146" i="14"/>
  <c r="I2146" i="14"/>
  <c r="C2147" i="14"/>
  <c r="D2128" i="14"/>
  <c r="I2128" i="14"/>
  <c r="C2129" i="14"/>
  <c r="D2110" i="14"/>
  <c r="I2110" i="14"/>
  <c r="C2111" i="14"/>
  <c r="D2092" i="14"/>
  <c r="I2092" i="14"/>
  <c r="C2093" i="14"/>
  <c r="D2074" i="14"/>
  <c r="I2074" i="14"/>
  <c r="C2075" i="14"/>
  <c r="D2056" i="14"/>
  <c r="I2056" i="14"/>
  <c r="C2057" i="14"/>
  <c r="D2038" i="14"/>
  <c r="I2038" i="14"/>
  <c r="C2039" i="14"/>
  <c r="D2020" i="14"/>
  <c r="I2020" i="14"/>
  <c r="C2021" i="14"/>
  <c r="D2002" i="14"/>
  <c r="I2002" i="14"/>
  <c r="C2003" i="14"/>
  <c r="D1984" i="14"/>
  <c r="I1984" i="14"/>
  <c r="C1985" i="14"/>
  <c r="D1966" i="14"/>
  <c r="I1966" i="14"/>
  <c r="C1967" i="14"/>
  <c r="D1948" i="14"/>
  <c r="I1948" i="14"/>
  <c r="C1949" i="14"/>
  <c r="D1930" i="14"/>
  <c r="I1930" i="14"/>
  <c r="C1931" i="14"/>
  <c r="D1912" i="14"/>
  <c r="I1912" i="14"/>
  <c r="C1913" i="14"/>
  <c r="D1894" i="14"/>
  <c r="I1894" i="14"/>
  <c r="C1895" i="14"/>
  <c r="D1876" i="14"/>
  <c r="I1876" i="14"/>
  <c r="C1877" i="14"/>
  <c r="D1858" i="14"/>
  <c r="I1858" i="14"/>
  <c r="C1859" i="14"/>
  <c r="D1840" i="14"/>
  <c r="I1840" i="14"/>
  <c r="C1841" i="14"/>
  <c r="D1822" i="14"/>
  <c r="I1822" i="14"/>
  <c r="C1823" i="14"/>
  <c r="D1804" i="14"/>
  <c r="I1804" i="14"/>
  <c r="C1805" i="14"/>
  <c r="D1786" i="14"/>
  <c r="I1786" i="14"/>
  <c r="C1787" i="14"/>
  <c r="D1768" i="14"/>
  <c r="I1768" i="14"/>
  <c r="C1769" i="14"/>
  <c r="D1750" i="14"/>
  <c r="I1750" i="14"/>
  <c r="C1751" i="14"/>
  <c r="D1732" i="14"/>
  <c r="I1732" i="14"/>
  <c r="C1733" i="14"/>
  <c r="D1714" i="14"/>
  <c r="I1714" i="14"/>
  <c r="C1715" i="14"/>
  <c r="D1696" i="14"/>
  <c r="I1696" i="14"/>
  <c r="C1697" i="14"/>
  <c r="D1678" i="14"/>
  <c r="I1678" i="14"/>
  <c r="C1679" i="14"/>
  <c r="D1660" i="14"/>
  <c r="I1660" i="14"/>
  <c r="C1661" i="14"/>
  <c r="D1642" i="14"/>
  <c r="I1642" i="14"/>
  <c r="C1643" i="14"/>
  <c r="D1624" i="14"/>
  <c r="I1624" i="14"/>
  <c r="C1625" i="14"/>
  <c r="D1606" i="14"/>
  <c r="I1606" i="14"/>
  <c r="C1607" i="14"/>
  <c r="D1588" i="14"/>
  <c r="I1588" i="14"/>
  <c r="C1589" i="14"/>
  <c r="D1570" i="14"/>
  <c r="I1570" i="14"/>
  <c r="C1571" i="14"/>
  <c r="D1552" i="14"/>
  <c r="I1552" i="14"/>
  <c r="C1553" i="14"/>
  <c r="D1534" i="14"/>
  <c r="I1534" i="14"/>
  <c r="C1535" i="14"/>
  <c r="D1516" i="14"/>
  <c r="I1516" i="14"/>
  <c r="C1517" i="14"/>
  <c r="D1498" i="14"/>
  <c r="I1498" i="14"/>
  <c r="C1499" i="14"/>
  <c r="D1480" i="14"/>
  <c r="I1480" i="14"/>
  <c r="C1481" i="14"/>
  <c r="D1462" i="14"/>
  <c r="I1462" i="14"/>
  <c r="C1463" i="14"/>
  <c r="D1444" i="14"/>
  <c r="I1444" i="14"/>
  <c r="C1445" i="14"/>
  <c r="D1426" i="14"/>
  <c r="C1427" i="14"/>
  <c r="I1426" i="14"/>
  <c r="D1408" i="14"/>
  <c r="I1408" i="14"/>
  <c r="C1409" i="14"/>
  <c r="D1390" i="14"/>
  <c r="C1391" i="14"/>
  <c r="I1390" i="14"/>
  <c r="D1372" i="14"/>
  <c r="I1372" i="14"/>
  <c r="C1373" i="14"/>
  <c r="D1354" i="14"/>
  <c r="I1354" i="14"/>
  <c r="C1355" i="14"/>
  <c r="D1336" i="14"/>
  <c r="I1336" i="14"/>
  <c r="C1337" i="14"/>
  <c r="D1318" i="14"/>
  <c r="I1318" i="14"/>
  <c r="C1319" i="14"/>
  <c r="D1300" i="14"/>
  <c r="I1300" i="14"/>
  <c r="C1301" i="14"/>
  <c r="D1282" i="14"/>
  <c r="I1282" i="14"/>
  <c r="C1283" i="14"/>
  <c r="D1264" i="14"/>
  <c r="I1264" i="14"/>
  <c r="C1265" i="14"/>
  <c r="D1246" i="14"/>
  <c r="I1246" i="14"/>
  <c r="C1247" i="14"/>
  <c r="D1228" i="14"/>
  <c r="I1228" i="14"/>
  <c r="C1229" i="14"/>
  <c r="D1210" i="14"/>
  <c r="I1210" i="14"/>
  <c r="C1211" i="14"/>
  <c r="D1192" i="14"/>
  <c r="I1192" i="14"/>
  <c r="C1193" i="14"/>
  <c r="D1174" i="14"/>
  <c r="I1174" i="14"/>
  <c r="C1175" i="14"/>
  <c r="D1156" i="14"/>
  <c r="I1156" i="14"/>
  <c r="C1157" i="14"/>
  <c r="D1138" i="14"/>
  <c r="I1138" i="14"/>
  <c r="C1139" i="14"/>
  <c r="D1120" i="14"/>
  <c r="I1120" i="14"/>
  <c r="C1121" i="14"/>
  <c r="D1102" i="14"/>
  <c r="I1102" i="14"/>
  <c r="C1103" i="14"/>
  <c r="D1084" i="14"/>
  <c r="I1084" i="14"/>
  <c r="C1085" i="14"/>
  <c r="D1066" i="14"/>
  <c r="I1066" i="14"/>
  <c r="C1067" i="14"/>
  <c r="D1048" i="14"/>
  <c r="I1048" i="14"/>
  <c r="C1049" i="14"/>
  <c r="D1030" i="14"/>
  <c r="I1030" i="14"/>
  <c r="C1031" i="14"/>
  <c r="D1012" i="14"/>
  <c r="I1012" i="14"/>
  <c r="C1013" i="14"/>
  <c r="D994" i="14"/>
  <c r="I994" i="14"/>
  <c r="C995" i="14"/>
  <c r="D976" i="14"/>
  <c r="I976" i="14"/>
  <c r="C977" i="14"/>
  <c r="D958" i="14"/>
  <c r="I958" i="14"/>
  <c r="C959" i="14"/>
  <c r="D940" i="14"/>
  <c r="I940" i="14"/>
  <c r="C941" i="14"/>
  <c r="I922" i="14"/>
  <c r="D922" i="14"/>
  <c r="C923" i="14"/>
  <c r="I904" i="14"/>
  <c r="D904" i="14"/>
  <c r="C905" i="14"/>
  <c r="I886" i="14"/>
  <c r="D886" i="14"/>
  <c r="C887" i="14"/>
  <c r="D868" i="14"/>
  <c r="C869" i="14"/>
  <c r="I868" i="14"/>
  <c r="I850" i="14"/>
  <c r="D850" i="14"/>
  <c r="C851" i="14"/>
  <c r="I832" i="14"/>
  <c r="C833" i="14"/>
  <c r="D832" i="14"/>
  <c r="D814" i="14"/>
  <c r="I814" i="14"/>
  <c r="C815" i="14"/>
  <c r="I796" i="14"/>
  <c r="D796" i="14"/>
  <c r="C797" i="14"/>
  <c r="D778" i="14"/>
  <c r="I778" i="14"/>
  <c r="C779" i="14"/>
  <c r="C761" i="14"/>
  <c r="D760" i="14"/>
  <c r="I760" i="14"/>
  <c r="D742" i="14"/>
  <c r="C743" i="14"/>
  <c r="I742" i="14"/>
  <c r="D724" i="14"/>
  <c r="I724" i="14"/>
  <c r="C725" i="14"/>
  <c r="D706" i="14"/>
  <c r="I706" i="14"/>
  <c r="C707" i="14"/>
  <c r="D688" i="14"/>
  <c r="I688" i="14"/>
  <c r="C689" i="14"/>
  <c r="D670" i="14"/>
  <c r="I670" i="14"/>
  <c r="C671" i="14"/>
  <c r="I652" i="14"/>
  <c r="C653" i="14"/>
  <c r="D652" i="14"/>
  <c r="C635" i="14"/>
  <c r="D634" i="14"/>
  <c r="I634" i="14"/>
  <c r="D616" i="14"/>
  <c r="I616" i="14"/>
  <c r="C617" i="14"/>
  <c r="D598" i="14"/>
  <c r="I598" i="14"/>
  <c r="C599" i="14"/>
  <c r="D580" i="14"/>
  <c r="I580" i="14"/>
  <c r="C581" i="14"/>
  <c r="D562" i="14"/>
  <c r="I562" i="14"/>
  <c r="C563" i="14"/>
  <c r="D544" i="14"/>
  <c r="I544" i="14"/>
  <c r="C545" i="14"/>
  <c r="D526" i="14"/>
  <c r="I526" i="14"/>
  <c r="C527" i="14"/>
  <c r="D508" i="14"/>
  <c r="I508" i="14"/>
  <c r="C509" i="14"/>
  <c r="D490" i="14"/>
  <c r="I490" i="14"/>
  <c r="C491" i="14"/>
  <c r="D472" i="14"/>
  <c r="I472" i="14"/>
  <c r="C473" i="14"/>
  <c r="D454" i="14"/>
  <c r="I454" i="14"/>
  <c r="C455" i="14"/>
  <c r="D436" i="14"/>
  <c r="I436" i="14"/>
  <c r="C437" i="14"/>
  <c r="D418" i="14"/>
  <c r="I418" i="14"/>
  <c r="C419" i="14"/>
  <c r="D400" i="14"/>
  <c r="I400" i="14"/>
  <c r="C401" i="14"/>
  <c r="D382" i="14"/>
  <c r="I382" i="14"/>
  <c r="C383" i="14"/>
  <c r="D364" i="14"/>
  <c r="I364" i="14"/>
  <c r="C365" i="14"/>
  <c r="D346" i="14"/>
  <c r="I346" i="14"/>
  <c r="C347" i="14"/>
  <c r="D328" i="14"/>
  <c r="I328" i="14"/>
  <c r="C329" i="14"/>
  <c r="D310" i="14"/>
  <c r="I310" i="14"/>
  <c r="C311" i="14"/>
  <c r="D292" i="14"/>
  <c r="I292" i="14"/>
  <c r="C293" i="14"/>
  <c r="D274" i="14"/>
  <c r="I274" i="14"/>
  <c r="C275" i="14"/>
  <c r="D256" i="14"/>
  <c r="I256" i="14"/>
  <c r="C257" i="14"/>
  <c r="D238" i="14"/>
  <c r="I238" i="14"/>
  <c r="C239" i="14"/>
  <c r="D220" i="14"/>
  <c r="I220" i="14"/>
  <c r="C221" i="14"/>
  <c r="A220" i="14"/>
  <c r="J220" i="14" s="1"/>
  <c r="J21" i="14"/>
  <c r="A22" i="14"/>
  <c r="C10" i="8"/>
  <c r="H10" i="8"/>
  <c r="N10" i="8"/>
  <c r="G10" i="8"/>
  <c r="J10" i="8"/>
  <c r="F10" i="8"/>
  <c r="D10" i="8"/>
  <c r="M10" i="8"/>
  <c r="E29" i="5"/>
  <c r="I29" i="5"/>
  <c r="M29" i="5"/>
  <c r="N29" i="5"/>
  <c r="L29" i="5"/>
  <c r="K29" i="5"/>
  <c r="J29" i="5"/>
  <c r="H29" i="5"/>
  <c r="F29" i="5"/>
  <c r="D29" i="5"/>
  <c r="E10" i="8"/>
  <c r="L10" i="8"/>
  <c r="I10" i="8"/>
  <c r="Q29" i="5" l="1"/>
  <c r="L8" i="22"/>
  <c r="L16" i="22" s="1"/>
  <c r="K16" i="22"/>
  <c r="C27" i="15"/>
  <c r="G17" i="12"/>
  <c r="G22" i="12" s="1"/>
  <c r="E14" i="12"/>
  <c r="G14" i="12"/>
  <c r="U22" i="10"/>
  <c r="W22" i="10"/>
  <c r="Q22" i="10"/>
  <c r="O22" i="10"/>
  <c r="Y22" i="10"/>
  <c r="M22" i="10"/>
  <c r="AA22" i="10"/>
  <c r="E22" i="10"/>
  <c r="G22" i="10"/>
  <c r="I22" i="10"/>
  <c r="S22" i="10"/>
  <c r="K22" i="10"/>
  <c r="Y23" i="10"/>
  <c r="W23" i="10"/>
  <c r="S23" i="10"/>
  <c r="Q23" i="10"/>
  <c r="O23" i="10"/>
  <c r="M23" i="10"/>
  <c r="AA23" i="10"/>
  <c r="E23" i="10"/>
  <c r="U23" i="10"/>
  <c r="G23" i="10"/>
  <c r="I23" i="10"/>
  <c r="K23" i="10"/>
  <c r="Y24" i="10"/>
  <c r="U24" i="10"/>
  <c r="K24" i="10"/>
  <c r="AA24" i="10"/>
  <c r="S24" i="10"/>
  <c r="Q24" i="10"/>
  <c r="W24" i="10"/>
  <c r="I24" i="10"/>
  <c r="G24" i="10"/>
  <c r="M24" i="10"/>
  <c r="O24" i="10"/>
  <c r="E24" i="10"/>
  <c r="AA25" i="10"/>
  <c r="K25" i="10"/>
  <c r="I25" i="10"/>
  <c r="M25" i="10"/>
  <c r="O25" i="10"/>
  <c r="Y25" i="10"/>
  <c r="U25" i="10"/>
  <c r="G25" i="10"/>
  <c r="Q25" i="10"/>
  <c r="W25" i="10"/>
  <c r="S25" i="10"/>
  <c r="E25" i="10"/>
  <c r="M26" i="10"/>
  <c r="E26" i="10"/>
  <c r="G26" i="10"/>
  <c r="Y26" i="10"/>
  <c r="I26" i="10"/>
  <c r="U26" i="10"/>
  <c r="Q26" i="10"/>
  <c r="W26" i="10"/>
  <c r="O26" i="10"/>
  <c r="K26" i="10"/>
  <c r="AA26" i="10"/>
  <c r="S26" i="10"/>
  <c r="U21" i="10"/>
  <c r="O21" i="10"/>
  <c r="Q21" i="10"/>
  <c r="W21" i="10"/>
  <c r="W28" i="10" s="1"/>
  <c r="AA21" i="10"/>
  <c r="AA28" i="10" s="1"/>
  <c r="E21" i="10"/>
  <c r="G21" i="10"/>
  <c r="I21" i="10"/>
  <c r="I28" i="10" s="1"/>
  <c r="K21" i="10"/>
  <c r="M21" i="10"/>
  <c r="M28" i="10" s="1"/>
  <c r="S21" i="10"/>
  <c r="Y21" i="10"/>
  <c r="Y28" i="10" s="1"/>
  <c r="H13" i="11"/>
  <c r="I13" i="11"/>
  <c r="J13" i="11"/>
  <c r="K13" i="11"/>
  <c r="L13" i="11"/>
  <c r="M13" i="11"/>
  <c r="G13" i="11"/>
  <c r="O13" i="11"/>
  <c r="P13" i="11"/>
  <c r="Q13" i="11"/>
  <c r="R13" i="11"/>
  <c r="S13" i="11"/>
  <c r="T13" i="11"/>
  <c r="U13" i="11"/>
  <c r="V13" i="11"/>
  <c r="W13" i="11"/>
  <c r="X13" i="11"/>
  <c r="Y13" i="11"/>
  <c r="Z13" i="11"/>
  <c r="AA13" i="11"/>
  <c r="F13" i="11"/>
  <c r="E13" i="11"/>
  <c r="N13" i="11"/>
  <c r="W12" i="11"/>
  <c r="AA12" i="11"/>
  <c r="Z12" i="11"/>
  <c r="Y12" i="11"/>
  <c r="X12" i="11"/>
  <c r="V12" i="11"/>
  <c r="M12" i="11"/>
  <c r="P12" i="11"/>
  <c r="U12" i="11"/>
  <c r="O12" i="11"/>
  <c r="L12" i="11"/>
  <c r="T12" i="11"/>
  <c r="F12" i="11"/>
  <c r="G12" i="11"/>
  <c r="J12" i="11"/>
  <c r="S12" i="11"/>
  <c r="I12" i="11"/>
  <c r="K12" i="11"/>
  <c r="Q12" i="11"/>
  <c r="N12" i="11"/>
  <c r="R12" i="11"/>
  <c r="E12" i="11"/>
  <c r="Y16" i="11"/>
  <c r="E16" i="11"/>
  <c r="H16" i="11"/>
  <c r="L16" i="11"/>
  <c r="Q16" i="11"/>
  <c r="X16" i="11"/>
  <c r="M16" i="11"/>
  <c r="T16" i="11"/>
  <c r="AA16" i="11"/>
  <c r="S16" i="11"/>
  <c r="O16" i="11"/>
  <c r="J16" i="11"/>
  <c r="U16" i="11"/>
  <c r="F16" i="11"/>
  <c r="P16" i="11"/>
  <c r="G16" i="11"/>
  <c r="I16" i="11"/>
  <c r="W16" i="11"/>
  <c r="R16" i="11"/>
  <c r="N16" i="11"/>
  <c r="V16" i="11"/>
  <c r="Z16" i="11"/>
  <c r="K16" i="11"/>
  <c r="V15" i="11"/>
  <c r="L15" i="11"/>
  <c r="Q15" i="11"/>
  <c r="U15" i="11"/>
  <c r="X15" i="11"/>
  <c r="R15" i="11"/>
  <c r="Z15" i="11"/>
  <c r="E15" i="11"/>
  <c r="AA15" i="11"/>
  <c r="Y15" i="11"/>
  <c r="M15" i="11"/>
  <c r="W15" i="11"/>
  <c r="S15" i="11"/>
  <c r="O15" i="11"/>
  <c r="T15" i="11"/>
  <c r="P15" i="11"/>
  <c r="N15" i="11"/>
  <c r="F15" i="11"/>
  <c r="G15" i="11"/>
  <c r="H15" i="11"/>
  <c r="I15" i="11"/>
  <c r="J15" i="11"/>
  <c r="K15" i="11"/>
  <c r="S17" i="11"/>
  <c r="N17" i="11"/>
  <c r="W17" i="11"/>
  <c r="AA17" i="11"/>
  <c r="U17" i="11"/>
  <c r="M17" i="11"/>
  <c r="V17" i="11"/>
  <c r="P17" i="11"/>
  <c r="I17" i="11"/>
  <c r="O17" i="11"/>
  <c r="K17" i="11"/>
  <c r="T17" i="11"/>
  <c r="X17" i="11"/>
  <c r="E17" i="11"/>
  <c r="H17" i="11"/>
  <c r="L17" i="11"/>
  <c r="Y17" i="11"/>
  <c r="F17" i="11"/>
  <c r="G17" i="11"/>
  <c r="Q17" i="11"/>
  <c r="Z17" i="11"/>
  <c r="R17" i="11"/>
  <c r="J17" i="11"/>
  <c r="AA14" i="11"/>
  <c r="E14" i="11"/>
  <c r="W14" i="11"/>
  <c r="V14" i="11"/>
  <c r="S14" i="11"/>
  <c r="Y14" i="11"/>
  <c r="X14" i="11"/>
  <c r="Z14" i="11"/>
  <c r="Q14" i="11"/>
  <c r="P14" i="11"/>
  <c r="O14" i="11"/>
  <c r="N14" i="11"/>
  <c r="M14" i="11"/>
  <c r="L14" i="11"/>
  <c r="K14" i="11"/>
  <c r="J14" i="11"/>
  <c r="I14" i="11"/>
  <c r="H14" i="11"/>
  <c r="G14" i="11"/>
  <c r="F14" i="11"/>
  <c r="U14" i="11"/>
  <c r="R14" i="11"/>
  <c r="T14" i="11"/>
  <c r="E14" i="17"/>
  <c r="E17" i="17" s="1"/>
  <c r="D17" i="17"/>
  <c r="D40" i="17" s="1"/>
  <c r="D43" i="17" s="1"/>
  <c r="Q27" i="18"/>
  <c r="I12" i="12" s="1"/>
  <c r="Q22" i="18"/>
  <c r="I20" i="12" s="1"/>
  <c r="Q24" i="18"/>
  <c r="I9" i="12" s="1"/>
  <c r="Q21" i="18"/>
  <c r="I19" i="12" s="1"/>
  <c r="R25" i="18"/>
  <c r="K10" i="12" s="1"/>
  <c r="Q26" i="18"/>
  <c r="I11" i="12" s="1"/>
  <c r="Q23" i="18"/>
  <c r="H23" i="11" s="1"/>
  <c r="O29" i="18"/>
  <c r="F144" i="18"/>
  <c r="I144" i="18" s="1"/>
  <c r="F292" i="18"/>
  <c r="I292" i="18" s="1"/>
  <c r="F93" i="18"/>
  <c r="I93" i="18" s="1"/>
  <c r="F133" i="18"/>
  <c r="I133" i="18" s="1"/>
  <c r="F105" i="18"/>
  <c r="I105" i="18" s="1"/>
  <c r="F156" i="18"/>
  <c r="I156" i="18" s="1"/>
  <c r="F220" i="18"/>
  <c r="I220" i="18" s="1"/>
  <c r="F256" i="18"/>
  <c r="I256" i="18" s="1"/>
  <c r="F233" i="18"/>
  <c r="I233" i="18" s="1"/>
  <c r="F244" i="18"/>
  <c r="I244" i="18" s="1"/>
  <c r="F280" i="18"/>
  <c r="I280" i="18" s="1"/>
  <c r="F73" i="18"/>
  <c r="I73" i="18" s="1"/>
  <c r="P11" i="18"/>
  <c r="P13" i="18" s="1"/>
  <c r="F12" i="18"/>
  <c r="I12" i="18" s="1"/>
  <c r="K12" i="18" s="1"/>
  <c r="F116" i="18"/>
  <c r="I116" i="18" s="1"/>
  <c r="K116" i="18" s="1"/>
  <c r="I24" i="18"/>
  <c r="Q10" i="18"/>
  <c r="Q20" i="5"/>
  <c r="F81" i="18"/>
  <c r="I81" i="18" s="1"/>
  <c r="K81" i="18" s="1"/>
  <c r="F25" i="18"/>
  <c r="F37" i="18"/>
  <c r="I37" i="18" s="1"/>
  <c r="K37" i="18" s="1"/>
  <c r="F49" i="18"/>
  <c r="I49" i="18" s="1"/>
  <c r="K49" i="18" s="1"/>
  <c r="F61" i="18"/>
  <c r="I61" i="18" s="1"/>
  <c r="K61" i="18" s="1"/>
  <c r="F268" i="18"/>
  <c r="I268" i="18" s="1"/>
  <c r="K268" i="18" s="1"/>
  <c r="F169" i="18"/>
  <c r="I169" i="18" s="1"/>
  <c r="K169" i="18" s="1"/>
  <c r="F181" i="18"/>
  <c r="I181" i="18" s="1"/>
  <c r="K181" i="18" s="1"/>
  <c r="F193" i="18"/>
  <c r="I193" i="18" s="1"/>
  <c r="K193" i="18" s="1"/>
  <c r="F205" i="18"/>
  <c r="I205" i="18" s="1"/>
  <c r="K205" i="18" s="1"/>
  <c r="F214" i="18"/>
  <c r="I214" i="18" s="1"/>
  <c r="K214" i="18" s="1"/>
  <c r="F314" i="18"/>
  <c r="I314" i="18" s="1"/>
  <c r="K314" i="18" s="1"/>
  <c r="C21" i="10"/>
  <c r="R21" i="10"/>
  <c r="N21" i="10"/>
  <c r="H21" i="10"/>
  <c r="D21" i="10"/>
  <c r="T21" i="10"/>
  <c r="J21" i="10"/>
  <c r="Z21" i="10"/>
  <c r="V21" i="10"/>
  <c r="P21" i="10"/>
  <c r="L21" i="10"/>
  <c r="F21" i="10"/>
  <c r="X21" i="10"/>
  <c r="Z31" i="11"/>
  <c r="C31" i="11"/>
  <c r="D31" i="11"/>
  <c r="F31" i="11"/>
  <c r="H31" i="11"/>
  <c r="P31" i="11"/>
  <c r="L31" i="11"/>
  <c r="R31" i="11"/>
  <c r="X31" i="11"/>
  <c r="D24" i="11"/>
  <c r="Z24" i="11"/>
  <c r="X24" i="11"/>
  <c r="V24" i="11"/>
  <c r="T24" i="11"/>
  <c r="R24" i="11"/>
  <c r="P24" i="11"/>
  <c r="N24" i="11"/>
  <c r="C24" i="11"/>
  <c r="L24" i="11"/>
  <c r="J24" i="11"/>
  <c r="H24" i="11"/>
  <c r="F24" i="11"/>
  <c r="T33" i="11"/>
  <c r="J33" i="11"/>
  <c r="N33" i="11"/>
  <c r="V33" i="11"/>
  <c r="X33" i="11"/>
  <c r="D33" i="11"/>
  <c r="H33" i="11"/>
  <c r="L33" i="11"/>
  <c r="Z33" i="11"/>
  <c r="R33" i="11"/>
  <c r="E34" i="17"/>
  <c r="Z26" i="10"/>
  <c r="X26" i="10"/>
  <c r="V26" i="10"/>
  <c r="T26" i="10"/>
  <c r="R26" i="10"/>
  <c r="P26" i="10"/>
  <c r="P34" i="11"/>
  <c r="V34" i="11"/>
  <c r="H34" i="11"/>
  <c r="N34" i="11"/>
  <c r="T34" i="11"/>
  <c r="Z34" i="11"/>
  <c r="L34" i="11"/>
  <c r="X34" i="11"/>
  <c r="R34" i="11"/>
  <c r="F34" i="11"/>
  <c r="D34" i="11"/>
  <c r="J34" i="11"/>
  <c r="C34" i="11"/>
  <c r="D35" i="11"/>
  <c r="Z35" i="11"/>
  <c r="C35" i="11"/>
  <c r="J35" i="11"/>
  <c r="N35" i="11"/>
  <c r="R35" i="11"/>
  <c r="V35" i="11"/>
  <c r="L35" i="11"/>
  <c r="D22" i="10"/>
  <c r="H22" i="10"/>
  <c r="X24" i="10"/>
  <c r="R24" i="10"/>
  <c r="H24" i="10"/>
  <c r="P24" i="10"/>
  <c r="V24" i="10"/>
  <c r="Z24" i="10"/>
  <c r="C24" i="10"/>
  <c r="D24" i="10"/>
  <c r="F24" i="10"/>
  <c r="J24" i="10"/>
  <c r="L24" i="10"/>
  <c r="N24" i="10"/>
  <c r="T24" i="10"/>
  <c r="N25" i="10"/>
  <c r="X25" i="10"/>
  <c r="H25" i="10"/>
  <c r="P25" i="10"/>
  <c r="V25" i="10"/>
  <c r="Z25" i="10"/>
  <c r="C25" i="10"/>
  <c r="D25" i="10"/>
  <c r="F25" i="10"/>
  <c r="J25" i="10"/>
  <c r="L25" i="10"/>
  <c r="R25" i="10"/>
  <c r="T25" i="10"/>
  <c r="N26" i="10"/>
  <c r="L26" i="10"/>
  <c r="H26" i="10"/>
  <c r="C26" i="10"/>
  <c r="D26" i="10"/>
  <c r="F26" i="10"/>
  <c r="J26" i="10"/>
  <c r="Z25" i="11"/>
  <c r="X25" i="11"/>
  <c r="V25" i="11"/>
  <c r="T25" i="11"/>
  <c r="R25" i="11"/>
  <c r="P25" i="11"/>
  <c r="N25" i="11"/>
  <c r="L25" i="11"/>
  <c r="J25" i="11"/>
  <c r="H25" i="11"/>
  <c r="F25" i="11"/>
  <c r="D25" i="11"/>
  <c r="X26" i="11"/>
  <c r="C26" i="11"/>
  <c r="Z26" i="11"/>
  <c r="T26" i="11"/>
  <c r="R26" i="11"/>
  <c r="P26" i="11"/>
  <c r="N26" i="11"/>
  <c r="L26" i="11"/>
  <c r="J26" i="11"/>
  <c r="H26" i="11"/>
  <c r="F26" i="11"/>
  <c r="V26" i="11"/>
  <c r="D26" i="11"/>
  <c r="D27" i="11"/>
  <c r="Z27" i="11"/>
  <c r="X27" i="11"/>
  <c r="V27" i="11"/>
  <c r="T27" i="11"/>
  <c r="R27" i="11"/>
  <c r="P27" i="11"/>
  <c r="N27" i="11"/>
  <c r="L27" i="11"/>
  <c r="J27" i="11"/>
  <c r="H27" i="11"/>
  <c r="C27" i="11"/>
  <c r="F27" i="11"/>
  <c r="C28" i="11"/>
  <c r="F28" i="11"/>
  <c r="H28" i="11"/>
  <c r="J28" i="11"/>
  <c r="L28" i="11"/>
  <c r="N28" i="11"/>
  <c r="Z28" i="11"/>
  <c r="X28" i="11"/>
  <c r="V28" i="11"/>
  <c r="T28" i="11"/>
  <c r="D28" i="11"/>
  <c r="R28" i="11"/>
  <c r="P28" i="11"/>
  <c r="J29" i="11"/>
  <c r="Z29" i="11"/>
  <c r="C29" i="11"/>
  <c r="D29" i="11"/>
  <c r="F29" i="11"/>
  <c r="H29" i="11"/>
  <c r="L29" i="11"/>
  <c r="N29" i="11"/>
  <c r="P29" i="11"/>
  <c r="R29" i="11"/>
  <c r="T29" i="11"/>
  <c r="V29" i="11"/>
  <c r="X29" i="11"/>
  <c r="L30" i="11"/>
  <c r="D30" i="11"/>
  <c r="C30" i="11"/>
  <c r="F30" i="11"/>
  <c r="H30" i="11"/>
  <c r="J30" i="11"/>
  <c r="N30" i="11"/>
  <c r="P30" i="11"/>
  <c r="R30" i="11"/>
  <c r="T30" i="11"/>
  <c r="V30" i="11"/>
  <c r="X30" i="11"/>
  <c r="Z30" i="11"/>
  <c r="X35" i="11"/>
  <c r="F35" i="11"/>
  <c r="H35" i="11"/>
  <c r="C22" i="11"/>
  <c r="D22" i="11"/>
  <c r="F22" i="11"/>
  <c r="H22" i="11"/>
  <c r="J22" i="11"/>
  <c r="L22" i="11"/>
  <c r="N22" i="11"/>
  <c r="P22" i="11"/>
  <c r="R22" i="11"/>
  <c r="T22" i="11"/>
  <c r="V22" i="11"/>
  <c r="X22" i="11"/>
  <c r="Z22" i="11"/>
  <c r="P35" i="11"/>
  <c r="T35" i="11"/>
  <c r="L36" i="11"/>
  <c r="R36" i="11"/>
  <c r="C36" i="11"/>
  <c r="T36" i="11"/>
  <c r="H36" i="11"/>
  <c r="F36" i="11"/>
  <c r="N36" i="11"/>
  <c r="V36" i="11"/>
  <c r="X36" i="11"/>
  <c r="D36" i="11"/>
  <c r="J36" i="11"/>
  <c r="P36" i="11"/>
  <c r="Z36" i="11"/>
  <c r="P37" i="11"/>
  <c r="X37" i="11"/>
  <c r="L37" i="11"/>
  <c r="T37" i="11"/>
  <c r="Z37" i="11"/>
  <c r="D37" i="11"/>
  <c r="N37" i="11"/>
  <c r="R37" i="11"/>
  <c r="C37" i="11"/>
  <c r="F37" i="11"/>
  <c r="J37" i="11"/>
  <c r="V37" i="11"/>
  <c r="H37" i="11"/>
  <c r="D38" i="11"/>
  <c r="V38" i="11"/>
  <c r="X38" i="11"/>
  <c r="Z38" i="11"/>
  <c r="N38" i="11"/>
  <c r="F38" i="11"/>
  <c r="P38" i="11"/>
  <c r="H38" i="11"/>
  <c r="L38" i="11"/>
  <c r="T38" i="11"/>
  <c r="C38" i="11"/>
  <c r="J38" i="11"/>
  <c r="R38" i="11"/>
  <c r="C23" i="11"/>
  <c r="D23" i="11"/>
  <c r="F23" i="11"/>
  <c r="C21" i="11"/>
  <c r="D21" i="11"/>
  <c r="F21" i="11"/>
  <c r="H21" i="11"/>
  <c r="J21" i="11"/>
  <c r="L21" i="11"/>
  <c r="N21" i="11"/>
  <c r="P21" i="11"/>
  <c r="R21" i="11"/>
  <c r="T21" i="11"/>
  <c r="R38" i="10"/>
  <c r="D38" i="10"/>
  <c r="H38" i="10"/>
  <c r="J38" i="10"/>
  <c r="P38" i="10"/>
  <c r="T38" i="10"/>
  <c r="V38" i="10"/>
  <c r="X38" i="10"/>
  <c r="Z38" i="10"/>
  <c r="C38" i="10"/>
  <c r="F38" i="10"/>
  <c r="L38" i="10"/>
  <c r="N38" i="10"/>
  <c r="D39" i="10"/>
  <c r="V39" i="10"/>
  <c r="R39" i="10"/>
  <c r="N39" i="10"/>
  <c r="Z39" i="10"/>
  <c r="X39" i="10"/>
  <c r="J39" i="10"/>
  <c r="F39" i="10"/>
  <c r="C39" i="10"/>
  <c r="X37" i="10"/>
  <c r="T37" i="10"/>
  <c r="V37" i="10"/>
  <c r="R37" i="10"/>
  <c r="L37" i="10"/>
  <c r="F37" i="10"/>
  <c r="C37" i="10"/>
  <c r="Z37" i="10"/>
  <c r="H33" i="10"/>
  <c r="C33" i="10"/>
  <c r="F33" i="10"/>
  <c r="J33" i="10"/>
  <c r="L33" i="10"/>
  <c r="N33" i="10"/>
  <c r="R33" i="10"/>
  <c r="T33" i="10"/>
  <c r="X33" i="10"/>
  <c r="Z33" i="10"/>
  <c r="D33" i="10"/>
  <c r="P33" i="10"/>
  <c r="V33" i="10"/>
  <c r="Z45" i="10"/>
  <c r="D45" i="10"/>
  <c r="F45" i="10"/>
  <c r="J45" i="10"/>
  <c r="L45" i="10"/>
  <c r="N45" i="10"/>
  <c r="P45" i="10"/>
  <c r="R45" i="10"/>
  <c r="T45" i="10"/>
  <c r="V45" i="10"/>
  <c r="X45" i="10"/>
  <c r="H45" i="10"/>
  <c r="C45" i="10"/>
  <c r="D46" i="10"/>
  <c r="H46" i="10"/>
  <c r="L46" i="10"/>
  <c r="N46" i="10"/>
  <c r="P46" i="10"/>
  <c r="R46" i="10"/>
  <c r="T46" i="10"/>
  <c r="V46" i="10"/>
  <c r="X46" i="10"/>
  <c r="Z46" i="10"/>
  <c r="C46" i="10"/>
  <c r="F46" i="10"/>
  <c r="J46" i="10"/>
  <c r="Z34" i="10"/>
  <c r="H34" i="10"/>
  <c r="N34" i="10"/>
  <c r="P34" i="10"/>
  <c r="R34" i="10"/>
  <c r="T34" i="10"/>
  <c r="X34" i="10"/>
  <c r="D34" i="10"/>
  <c r="J34" i="10"/>
  <c r="C34" i="10"/>
  <c r="F34" i="10"/>
  <c r="L34" i="10"/>
  <c r="V34" i="10"/>
  <c r="V47" i="10"/>
  <c r="D47" i="10"/>
  <c r="F47" i="10"/>
  <c r="H47" i="10"/>
  <c r="L47" i="10"/>
  <c r="N47" i="10"/>
  <c r="R47" i="10"/>
  <c r="C47" i="10"/>
  <c r="X47" i="10"/>
  <c r="Z47" i="10"/>
  <c r="J47" i="10"/>
  <c r="P47" i="10"/>
  <c r="T47" i="10"/>
  <c r="D32" i="10"/>
  <c r="C32" i="10"/>
  <c r="F32" i="10"/>
  <c r="X22" i="10"/>
  <c r="Z22" i="10"/>
  <c r="J22" i="10"/>
  <c r="N22" i="10"/>
  <c r="P22" i="10"/>
  <c r="T22" i="10"/>
  <c r="C22" i="10"/>
  <c r="F22" i="10"/>
  <c r="L22" i="10"/>
  <c r="R22" i="10"/>
  <c r="V22" i="10"/>
  <c r="Z23" i="10"/>
  <c r="C23" i="10"/>
  <c r="D23" i="10"/>
  <c r="H23" i="10"/>
  <c r="L23" i="10"/>
  <c r="F23" i="10"/>
  <c r="J23" i="10"/>
  <c r="N23" i="10"/>
  <c r="P23" i="10"/>
  <c r="R23" i="10"/>
  <c r="T23" i="10"/>
  <c r="V23" i="10"/>
  <c r="X23" i="10"/>
  <c r="N31" i="11"/>
  <c r="T31" i="11"/>
  <c r="V31" i="11"/>
  <c r="J31" i="11"/>
  <c r="V32" i="11"/>
  <c r="Z32" i="11"/>
  <c r="P32" i="11"/>
  <c r="J32" i="11"/>
  <c r="R32" i="11"/>
  <c r="C32" i="11"/>
  <c r="F32" i="11"/>
  <c r="H32" i="11"/>
  <c r="N32" i="11"/>
  <c r="T32" i="11"/>
  <c r="X32" i="11"/>
  <c r="D32" i="11"/>
  <c r="L32" i="11"/>
  <c r="F33" i="11"/>
  <c r="C33" i="11"/>
  <c r="P33" i="11"/>
  <c r="V21" i="11"/>
  <c r="X21" i="11"/>
  <c r="Z21" i="11"/>
  <c r="C13" i="11"/>
  <c r="D13" i="11"/>
  <c r="C12" i="11"/>
  <c r="D12" i="11"/>
  <c r="D16" i="11"/>
  <c r="C16" i="11"/>
  <c r="C15" i="11"/>
  <c r="D15" i="11"/>
  <c r="D17" i="11"/>
  <c r="C17" i="11"/>
  <c r="C14" i="11"/>
  <c r="D14" i="11"/>
  <c r="J30" i="10"/>
  <c r="V30" i="10"/>
  <c r="P30" i="10"/>
  <c r="N30" i="10"/>
  <c r="H30" i="10"/>
  <c r="F30" i="10"/>
  <c r="D30" i="10"/>
  <c r="C30" i="10"/>
  <c r="R30" i="10"/>
  <c r="Z30" i="10"/>
  <c r="X30" i="10"/>
  <c r="T30" i="10"/>
  <c r="L30" i="10"/>
  <c r="T39" i="10"/>
  <c r="P39" i="10"/>
  <c r="L39" i="10"/>
  <c r="H39" i="10"/>
  <c r="P37" i="10"/>
  <c r="N37" i="10"/>
  <c r="J37" i="10"/>
  <c r="H37" i="10"/>
  <c r="D37" i="10"/>
  <c r="X36" i="10"/>
  <c r="T36" i="10"/>
  <c r="N36" i="10"/>
  <c r="H36" i="10"/>
  <c r="C36" i="10"/>
  <c r="D36" i="10"/>
  <c r="F36" i="10"/>
  <c r="Z36" i="10"/>
  <c r="J36" i="10"/>
  <c r="L36" i="10"/>
  <c r="P36" i="10"/>
  <c r="R36" i="10"/>
  <c r="V36" i="10"/>
  <c r="T35" i="10"/>
  <c r="L35" i="10"/>
  <c r="J35" i="10"/>
  <c r="F35" i="10"/>
  <c r="D35" i="10"/>
  <c r="R35" i="10"/>
  <c r="C35" i="10"/>
  <c r="V35" i="10"/>
  <c r="X35" i="10"/>
  <c r="Z35" i="10"/>
  <c r="H35" i="10"/>
  <c r="N35" i="10"/>
  <c r="P35" i="10"/>
  <c r="D40" i="10"/>
  <c r="H40" i="10"/>
  <c r="J40" i="10"/>
  <c r="L40" i="10"/>
  <c r="P40" i="10"/>
  <c r="R40" i="10"/>
  <c r="T40" i="10"/>
  <c r="V40" i="10"/>
  <c r="X40" i="10"/>
  <c r="Z40" i="10"/>
  <c r="C40" i="10"/>
  <c r="N40" i="10"/>
  <c r="F40" i="10"/>
  <c r="V31" i="10"/>
  <c r="C31" i="10"/>
  <c r="F31" i="10"/>
  <c r="J31" i="10"/>
  <c r="N31" i="10"/>
  <c r="D31" i="10"/>
  <c r="H31" i="10"/>
  <c r="R31" i="10"/>
  <c r="T31" i="10"/>
  <c r="P31" i="10"/>
  <c r="L31" i="10"/>
  <c r="Z31" i="10"/>
  <c r="X31" i="10"/>
  <c r="C41" i="10"/>
  <c r="D41" i="10"/>
  <c r="F41" i="10"/>
  <c r="H41" i="10"/>
  <c r="J41" i="10"/>
  <c r="L41" i="10"/>
  <c r="N41" i="10"/>
  <c r="R41" i="10"/>
  <c r="V41" i="10"/>
  <c r="X41" i="10"/>
  <c r="Z41" i="10"/>
  <c r="P41" i="10"/>
  <c r="T41" i="10"/>
  <c r="F42" i="10"/>
  <c r="H42" i="10"/>
  <c r="J42" i="10"/>
  <c r="L42" i="10"/>
  <c r="N42" i="10"/>
  <c r="P42" i="10"/>
  <c r="C42" i="10"/>
  <c r="T42" i="10"/>
  <c r="V42" i="10"/>
  <c r="X42" i="10"/>
  <c r="Z42" i="10"/>
  <c r="D42" i="10"/>
  <c r="R42" i="10"/>
  <c r="L43" i="10"/>
  <c r="R43" i="10"/>
  <c r="X43" i="10"/>
  <c r="C43" i="10"/>
  <c r="F43" i="10"/>
  <c r="J43" i="10"/>
  <c r="P43" i="10"/>
  <c r="T43" i="10"/>
  <c r="V43" i="10"/>
  <c r="Z43" i="10"/>
  <c r="D43" i="10"/>
  <c r="H43" i="10"/>
  <c r="N43" i="10"/>
  <c r="D44" i="10"/>
  <c r="H44" i="10"/>
  <c r="L44" i="10"/>
  <c r="N44" i="10"/>
  <c r="R44" i="10"/>
  <c r="T44" i="10"/>
  <c r="X44" i="10"/>
  <c r="Z44" i="10"/>
  <c r="C44" i="10"/>
  <c r="F44" i="10"/>
  <c r="J44" i="10"/>
  <c r="P44" i="10"/>
  <c r="A2185" i="14"/>
  <c r="D2147" i="14"/>
  <c r="I2147" i="14"/>
  <c r="C2148" i="14"/>
  <c r="D2129" i="14"/>
  <c r="I2129" i="14"/>
  <c r="C2130" i="14"/>
  <c r="D2111" i="14"/>
  <c r="I2111" i="14"/>
  <c r="C2112" i="14"/>
  <c r="D2093" i="14"/>
  <c r="I2093" i="14"/>
  <c r="C2094" i="14"/>
  <c r="D2075" i="14"/>
  <c r="I2075" i="14"/>
  <c r="C2076" i="14"/>
  <c r="D2057" i="14"/>
  <c r="I2057" i="14"/>
  <c r="C2058" i="14"/>
  <c r="D2039" i="14"/>
  <c r="I2039" i="14"/>
  <c r="C2040" i="14"/>
  <c r="D2021" i="14"/>
  <c r="I2021" i="14"/>
  <c r="C2022" i="14"/>
  <c r="D2003" i="14"/>
  <c r="I2003" i="14"/>
  <c r="C2004" i="14"/>
  <c r="D1985" i="14"/>
  <c r="I1985" i="14"/>
  <c r="C1986" i="14"/>
  <c r="D1967" i="14"/>
  <c r="I1967" i="14"/>
  <c r="C1968" i="14"/>
  <c r="D1949" i="14"/>
  <c r="I1949" i="14"/>
  <c r="C1950" i="14"/>
  <c r="D1931" i="14"/>
  <c r="I1931" i="14"/>
  <c r="C1932" i="14"/>
  <c r="D1913" i="14"/>
  <c r="I1913" i="14"/>
  <c r="C1914" i="14"/>
  <c r="D1895" i="14"/>
  <c r="I1895" i="14"/>
  <c r="C1896" i="14"/>
  <c r="D1877" i="14"/>
  <c r="I1877" i="14"/>
  <c r="C1878" i="14"/>
  <c r="D1859" i="14"/>
  <c r="I1859" i="14"/>
  <c r="C1860" i="14"/>
  <c r="D1841" i="14"/>
  <c r="I1841" i="14"/>
  <c r="C1842" i="14"/>
  <c r="D1823" i="14"/>
  <c r="I1823" i="14"/>
  <c r="C1824" i="14"/>
  <c r="D1805" i="14"/>
  <c r="I1805" i="14"/>
  <c r="C1806" i="14"/>
  <c r="D1787" i="14"/>
  <c r="I1787" i="14"/>
  <c r="C1788" i="14"/>
  <c r="D1769" i="14"/>
  <c r="I1769" i="14"/>
  <c r="C1770" i="14"/>
  <c r="D1751" i="14"/>
  <c r="I1751" i="14"/>
  <c r="C1752" i="14"/>
  <c r="D1733" i="14"/>
  <c r="I1733" i="14"/>
  <c r="C1734" i="14"/>
  <c r="D1715" i="14"/>
  <c r="I1715" i="14"/>
  <c r="C1716" i="14"/>
  <c r="D1697" i="14"/>
  <c r="I1697" i="14"/>
  <c r="C1698" i="14"/>
  <c r="D1679" i="14"/>
  <c r="I1679" i="14"/>
  <c r="C1680" i="14"/>
  <c r="D1661" i="14"/>
  <c r="I1661" i="14"/>
  <c r="C1662" i="14"/>
  <c r="D1643" i="14"/>
  <c r="I1643" i="14"/>
  <c r="C1644" i="14"/>
  <c r="D1625" i="14"/>
  <c r="I1625" i="14"/>
  <c r="C1626" i="14"/>
  <c r="D1607" i="14"/>
  <c r="I1607" i="14"/>
  <c r="C1608" i="14"/>
  <c r="D1589" i="14"/>
  <c r="I1589" i="14"/>
  <c r="C1590" i="14"/>
  <c r="D1571" i="14"/>
  <c r="I1571" i="14"/>
  <c r="C1572" i="14"/>
  <c r="D1553" i="14"/>
  <c r="I1553" i="14"/>
  <c r="C1554" i="14"/>
  <c r="D1535" i="14"/>
  <c r="I1535" i="14"/>
  <c r="C1536" i="14"/>
  <c r="D1517" i="14"/>
  <c r="I1517" i="14"/>
  <c r="C1518" i="14"/>
  <c r="D1499" i="14"/>
  <c r="I1499" i="14"/>
  <c r="C1500" i="14"/>
  <c r="D1481" i="14"/>
  <c r="I1481" i="14"/>
  <c r="C1482" i="14"/>
  <c r="D1463" i="14"/>
  <c r="I1463" i="14"/>
  <c r="C1464" i="14"/>
  <c r="D1445" i="14"/>
  <c r="I1445" i="14"/>
  <c r="C1446" i="14"/>
  <c r="D1427" i="14"/>
  <c r="I1427" i="14"/>
  <c r="C1428" i="14"/>
  <c r="D1409" i="14"/>
  <c r="C1410" i="14"/>
  <c r="I1409" i="14"/>
  <c r="D1391" i="14"/>
  <c r="C1392" i="14"/>
  <c r="I1391" i="14"/>
  <c r="D1373" i="14"/>
  <c r="I1373" i="14"/>
  <c r="C1374" i="14"/>
  <c r="D1355" i="14"/>
  <c r="I1355" i="14"/>
  <c r="C1356" i="14"/>
  <c r="D1337" i="14"/>
  <c r="I1337" i="14"/>
  <c r="C1338" i="14"/>
  <c r="D1319" i="14"/>
  <c r="I1319" i="14"/>
  <c r="C1320" i="14"/>
  <c r="D1301" i="14"/>
  <c r="I1301" i="14"/>
  <c r="C1302" i="14"/>
  <c r="D1283" i="14"/>
  <c r="I1283" i="14"/>
  <c r="C1284" i="14"/>
  <c r="D1265" i="14"/>
  <c r="I1265" i="14"/>
  <c r="C1266" i="14"/>
  <c r="D1247" i="14"/>
  <c r="I1247" i="14"/>
  <c r="C1248" i="14"/>
  <c r="D1229" i="14"/>
  <c r="I1229" i="14"/>
  <c r="C1230" i="14"/>
  <c r="D1211" i="14"/>
  <c r="I1211" i="14"/>
  <c r="C1212" i="14"/>
  <c r="D1193" i="14"/>
  <c r="I1193" i="14"/>
  <c r="C1194" i="14"/>
  <c r="D1175" i="14"/>
  <c r="I1175" i="14"/>
  <c r="C1176" i="14"/>
  <c r="D1157" i="14"/>
  <c r="I1157" i="14"/>
  <c r="C1158" i="14"/>
  <c r="D1139" i="14"/>
  <c r="I1139" i="14"/>
  <c r="C1140" i="14"/>
  <c r="D1121" i="14"/>
  <c r="I1121" i="14"/>
  <c r="C1122" i="14"/>
  <c r="D1103" i="14"/>
  <c r="I1103" i="14"/>
  <c r="C1104" i="14"/>
  <c r="D1085" i="14"/>
  <c r="I1085" i="14"/>
  <c r="C1086" i="14"/>
  <c r="D1067" i="14"/>
  <c r="I1067" i="14"/>
  <c r="C1068" i="14"/>
  <c r="D1049" i="14"/>
  <c r="I1049" i="14"/>
  <c r="C1050" i="14"/>
  <c r="D1031" i="14"/>
  <c r="I1031" i="14"/>
  <c r="C1032" i="14"/>
  <c r="D1013" i="14"/>
  <c r="I1013" i="14"/>
  <c r="C1014" i="14"/>
  <c r="D995" i="14"/>
  <c r="I995" i="14"/>
  <c r="C996" i="14"/>
  <c r="D977" i="14"/>
  <c r="I977" i="14"/>
  <c r="C978" i="14"/>
  <c r="D959" i="14"/>
  <c r="I959" i="14"/>
  <c r="C960" i="14"/>
  <c r="D941" i="14"/>
  <c r="C942" i="14"/>
  <c r="I941" i="14"/>
  <c r="D923" i="14"/>
  <c r="I923" i="14"/>
  <c r="C924" i="14"/>
  <c r="D905" i="14"/>
  <c r="C906" i="14"/>
  <c r="I905" i="14"/>
  <c r="D887" i="14"/>
  <c r="I887" i="14"/>
  <c r="C888" i="14"/>
  <c r="I869" i="14"/>
  <c r="C870" i="14"/>
  <c r="D869" i="14"/>
  <c r="D851" i="14"/>
  <c r="I851" i="14"/>
  <c r="C852" i="14"/>
  <c r="I833" i="14"/>
  <c r="D833" i="14"/>
  <c r="C834" i="14"/>
  <c r="C816" i="14"/>
  <c r="D815" i="14"/>
  <c r="I815" i="14"/>
  <c r="D797" i="14"/>
  <c r="I797" i="14"/>
  <c r="C798" i="14"/>
  <c r="D779" i="14"/>
  <c r="I779" i="14"/>
  <c r="C780" i="14"/>
  <c r="C762" i="14"/>
  <c r="D761" i="14"/>
  <c r="I761" i="14"/>
  <c r="D743" i="14"/>
  <c r="I743" i="14"/>
  <c r="C744" i="14"/>
  <c r="D725" i="14"/>
  <c r="I725" i="14"/>
  <c r="C726" i="14"/>
  <c r="D707" i="14"/>
  <c r="I707" i="14"/>
  <c r="C708" i="14"/>
  <c r="I689" i="14"/>
  <c r="C690" i="14"/>
  <c r="D689" i="14"/>
  <c r="D671" i="14"/>
  <c r="C672" i="14"/>
  <c r="I671" i="14"/>
  <c r="D653" i="14"/>
  <c r="I653" i="14"/>
  <c r="C654" i="14"/>
  <c r="D635" i="14"/>
  <c r="I635" i="14"/>
  <c r="C636" i="14"/>
  <c r="D617" i="14"/>
  <c r="I617" i="14"/>
  <c r="C618" i="14"/>
  <c r="D599" i="14"/>
  <c r="I599" i="14"/>
  <c r="C600" i="14"/>
  <c r="D581" i="14"/>
  <c r="I581" i="14"/>
  <c r="C582" i="14"/>
  <c r="D563" i="14"/>
  <c r="I563" i="14"/>
  <c r="C564" i="14"/>
  <c r="D545" i="14"/>
  <c r="I545" i="14"/>
  <c r="C546" i="14"/>
  <c r="D527" i="14"/>
  <c r="I527" i="14"/>
  <c r="C528" i="14"/>
  <c r="D509" i="14"/>
  <c r="I509" i="14"/>
  <c r="C510" i="14"/>
  <c r="D491" i="14"/>
  <c r="I491" i="14"/>
  <c r="C492" i="14"/>
  <c r="D473" i="14"/>
  <c r="I473" i="14"/>
  <c r="C474" i="14"/>
  <c r="D455" i="14"/>
  <c r="I455" i="14"/>
  <c r="C456" i="14"/>
  <c r="D437" i="14"/>
  <c r="I437" i="14"/>
  <c r="C438" i="14"/>
  <c r="D419" i="14"/>
  <c r="I419" i="14"/>
  <c r="C420" i="14"/>
  <c r="D401" i="14"/>
  <c r="I401" i="14"/>
  <c r="C402" i="14"/>
  <c r="D383" i="14"/>
  <c r="I383" i="14"/>
  <c r="C384" i="14"/>
  <c r="D365" i="14"/>
  <c r="I365" i="14"/>
  <c r="C366" i="14"/>
  <c r="D347" i="14"/>
  <c r="I347" i="14"/>
  <c r="C348" i="14"/>
  <c r="D329" i="14"/>
  <c r="I329" i="14"/>
  <c r="C330" i="14"/>
  <c r="D311" i="14"/>
  <c r="I311" i="14"/>
  <c r="C312" i="14"/>
  <c r="D293" i="14"/>
  <c r="I293" i="14"/>
  <c r="C294" i="14"/>
  <c r="D275" i="14"/>
  <c r="I275" i="14"/>
  <c r="C276" i="14"/>
  <c r="D257" i="14"/>
  <c r="I257" i="14"/>
  <c r="C258" i="14"/>
  <c r="D239" i="14"/>
  <c r="I239" i="14"/>
  <c r="C240" i="14"/>
  <c r="D221" i="14"/>
  <c r="I221" i="14"/>
  <c r="C222" i="14"/>
  <c r="A221" i="14"/>
  <c r="J221" i="14" s="1"/>
  <c r="J22" i="14"/>
  <c r="A23" i="14"/>
  <c r="U28" i="10" l="1"/>
  <c r="O28" i="10"/>
  <c r="S28" i="10"/>
  <c r="Q32" i="5"/>
  <c r="Q28" i="10"/>
  <c r="G28" i="10"/>
  <c r="F8" i="12"/>
  <c r="F11" i="12"/>
  <c r="E42" i="12" s="1"/>
  <c r="F10" i="12"/>
  <c r="F9" i="12"/>
  <c r="F12" i="12"/>
  <c r="H8" i="12"/>
  <c r="H12" i="12"/>
  <c r="H11" i="12"/>
  <c r="H10" i="12"/>
  <c r="H9" i="12"/>
  <c r="K28" i="10"/>
  <c r="K144" i="18"/>
  <c r="F145" i="18"/>
  <c r="I145" i="18" s="1"/>
  <c r="K292" i="18"/>
  <c r="F293" i="18"/>
  <c r="I293" i="18" s="1"/>
  <c r="K293" i="18" s="1"/>
  <c r="K93" i="18"/>
  <c r="F94" i="18"/>
  <c r="I94" i="18" s="1"/>
  <c r="K133" i="18"/>
  <c r="F134" i="18"/>
  <c r="I134" i="18" s="1"/>
  <c r="K105" i="18"/>
  <c r="F106" i="18"/>
  <c r="I106" i="18" s="1"/>
  <c r="K156" i="18"/>
  <c r="F157" i="18"/>
  <c r="I157" i="18" s="1"/>
  <c r="K220" i="18"/>
  <c r="R26" i="18" s="1"/>
  <c r="K11" i="12" s="1"/>
  <c r="F221" i="18"/>
  <c r="I221" i="18" s="1"/>
  <c r="K221" i="18" s="1"/>
  <c r="K256" i="18"/>
  <c r="F257" i="18"/>
  <c r="I257" i="18" s="1"/>
  <c r="K233" i="18"/>
  <c r="F234" i="18"/>
  <c r="I234" i="18" s="1"/>
  <c r="K234" i="18" s="1"/>
  <c r="K244" i="18"/>
  <c r="F245" i="18"/>
  <c r="I245" i="18" s="1"/>
  <c r="K245" i="18" s="1"/>
  <c r="K280" i="18"/>
  <c r="F281" i="18"/>
  <c r="I281" i="18" s="1"/>
  <c r="K281" i="18" s="1"/>
  <c r="K73" i="18"/>
  <c r="F74" i="18"/>
  <c r="I74" i="18" s="1"/>
  <c r="J4" i="14"/>
  <c r="E17" i="12"/>
  <c r="AD25" i="10"/>
  <c r="I8" i="12"/>
  <c r="AD13" i="11"/>
  <c r="W19" i="11"/>
  <c r="Z19" i="11"/>
  <c r="I19" i="11"/>
  <c r="R19" i="11"/>
  <c r="R28" i="10"/>
  <c r="N28" i="10"/>
  <c r="H28" i="10"/>
  <c r="T28" i="10"/>
  <c r="J28" i="10"/>
  <c r="Z28" i="10"/>
  <c r="V28" i="10"/>
  <c r="P28" i="10"/>
  <c r="L28" i="10"/>
  <c r="F28" i="10"/>
  <c r="X28" i="10"/>
  <c r="AD24" i="10"/>
  <c r="N19" i="11"/>
  <c r="V19" i="11"/>
  <c r="K19" i="11"/>
  <c r="AD21" i="10"/>
  <c r="E28" i="10"/>
  <c r="AD12" i="11"/>
  <c r="E19" i="11"/>
  <c r="AD23" i="10"/>
  <c r="AA19" i="11"/>
  <c r="O19" i="11"/>
  <c r="H19" i="11"/>
  <c r="AD15" i="11"/>
  <c r="AD17" i="11"/>
  <c r="AD14" i="11"/>
  <c r="Y19" i="11"/>
  <c r="P19" i="11"/>
  <c r="T19" i="11"/>
  <c r="J19" i="11"/>
  <c r="Q19" i="11"/>
  <c r="M19" i="11"/>
  <c r="L19" i="11"/>
  <c r="G19" i="11"/>
  <c r="AC13" i="11"/>
  <c r="AC12" i="11"/>
  <c r="AC16" i="11"/>
  <c r="AC15" i="11"/>
  <c r="AC17" i="11"/>
  <c r="AC14" i="11"/>
  <c r="X19" i="11"/>
  <c r="U19" i="11"/>
  <c r="F19" i="11"/>
  <c r="S19" i="11"/>
  <c r="AD16" i="11"/>
  <c r="AD22" i="10"/>
  <c r="AD26" i="10"/>
  <c r="R24" i="18"/>
  <c r="K9" i="12" s="1"/>
  <c r="S25" i="18"/>
  <c r="M10" i="12" s="1"/>
  <c r="R23" i="18"/>
  <c r="J23" i="11" s="1"/>
  <c r="R27" i="18"/>
  <c r="K12" i="12" s="1"/>
  <c r="Q19" i="18"/>
  <c r="R21" i="18"/>
  <c r="K19" i="12" s="1"/>
  <c r="R22" i="18"/>
  <c r="K20" i="12" s="1"/>
  <c r="Q11" i="18"/>
  <c r="Q13" i="18" s="1"/>
  <c r="K24" i="18"/>
  <c r="Q20" i="18" s="1"/>
  <c r="I18" i="12" s="1"/>
  <c r="F13" i="18"/>
  <c r="I13" i="18" s="1"/>
  <c r="K13" i="18" s="1"/>
  <c r="F117" i="18"/>
  <c r="I117" i="18" s="1"/>
  <c r="K117" i="18" s="1"/>
  <c r="I25" i="18"/>
  <c r="R10" i="18"/>
  <c r="F82" i="18"/>
  <c r="I82" i="18" s="1"/>
  <c r="K82" i="18" s="1"/>
  <c r="F26" i="18"/>
  <c r="F38" i="18"/>
  <c r="I38" i="18" s="1"/>
  <c r="K38" i="18" s="1"/>
  <c r="F50" i="18"/>
  <c r="I50" i="18" s="1"/>
  <c r="K50" i="18" s="1"/>
  <c r="F62" i="18"/>
  <c r="I62" i="18" s="1"/>
  <c r="K62" i="18" s="1"/>
  <c r="F269" i="18"/>
  <c r="I269" i="18" s="1"/>
  <c r="K269" i="18" s="1"/>
  <c r="F170" i="18"/>
  <c r="I170" i="18" s="1"/>
  <c r="K170" i="18" s="1"/>
  <c r="F182" i="18"/>
  <c r="I182" i="18" s="1"/>
  <c r="K182" i="18" s="1"/>
  <c r="F194" i="18"/>
  <c r="I194" i="18" s="1"/>
  <c r="K194" i="18" s="1"/>
  <c r="F206" i="18"/>
  <c r="I206" i="18" s="1"/>
  <c r="K206" i="18" s="1"/>
  <c r="F215" i="18"/>
  <c r="I215" i="18" s="1"/>
  <c r="K215" i="18" s="1"/>
  <c r="S26" i="18" s="1"/>
  <c r="M11" i="12" s="1"/>
  <c r="F222" i="18"/>
  <c r="I222" i="18" s="1"/>
  <c r="K222" i="18" s="1"/>
  <c r="F235" i="18"/>
  <c r="I235" i="18" s="1"/>
  <c r="K235" i="18" s="1"/>
  <c r="F246" i="18"/>
  <c r="I246" i="18" s="1"/>
  <c r="K246" i="18" s="1"/>
  <c r="F282" i="18"/>
  <c r="I282" i="18" s="1"/>
  <c r="K282" i="18" s="1"/>
  <c r="F294" i="18"/>
  <c r="I294" i="18" s="1"/>
  <c r="K294" i="18" s="1"/>
  <c r="I300" i="18"/>
  <c r="K300" i="18" s="1"/>
  <c r="F315" i="18"/>
  <c r="I315" i="18" s="1"/>
  <c r="K315" i="18" s="1"/>
  <c r="D8" i="15"/>
  <c r="D27" i="15" s="1"/>
  <c r="E8" i="15" s="1"/>
  <c r="E27" i="15" s="1"/>
  <c r="F8" i="15" s="1"/>
  <c r="F27" i="15" s="1"/>
  <c r="G8" i="15" s="1"/>
  <c r="G27" i="15" s="1"/>
  <c r="H8" i="15" s="1"/>
  <c r="H27" i="15" s="1"/>
  <c r="I8" i="15" s="1"/>
  <c r="I27" i="15" s="1"/>
  <c r="J8" i="15" s="1"/>
  <c r="J27" i="15" s="1"/>
  <c r="K8" i="15" s="1"/>
  <c r="K27" i="15" s="1"/>
  <c r="L8" i="15" s="1"/>
  <c r="L27" i="15" s="1"/>
  <c r="M8" i="15" s="1"/>
  <c r="M27" i="15" s="1"/>
  <c r="N8" i="15" s="1"/>
  <c r="N27" i="15" s="1"/>
  <c r="C36" i="15" s="1"/>
  <c r="AC21" i="10"/>
  <c r="AC24" i="11"/>
  <c r="AC25" i="11"/>
  <c r="AC34" i="11"/>
  <c r="AC26" i="11"/>
  <c r="AC30" i="11"/>
  <c r="AC27" i="11"/>
  <c r="AC29" i="11"/>
  <c r="AC42" i="10"/>
  <c r="AC28" i="11"/>
  <c r="AC24" i="10"/>
  <c r="AC25" i="10"/>
  <c r="AC26" i="10"/>
  <c r="AC22" i="11"/>
  <c r="AC36" i="11"/>
  <c r="AC37" i="11"/>
  <c r="AC38" i="11"/>
  <c r="AC34" i="10"/>
  <c r="AC47" i="10"/>
  <c r="AC37" i="10"/>
  <c r="AC35" i="11"/>
  <c r="AC38" i="10"/>
  <c r="AC33" i="10"/>
  <c r="AC45" i="10"/>
  <c r="AC46" i="10"/>
  <c r="AC22" i="10"/>
  <c r="AC39" i="10"/>
  <c r="AC35" i="10"/>
  <c r="AC40" i="10"/>
  <c r="AC41" i="10"/>
  <c r="AC44" i="10"/>
  <c r="AC33" i="11"/>
  <c r="AC43" i="10"/>
  <c r="AC31" i="10"/>
  <c r="AC36" i="10"/>
  <c r="D28" i="10"/>
  <c r="AC23" i="10"/>
  <c r="AC31" i="11"/>
  <c r="AC32" i="11"/>
  <c r="AC21" i="11"/>
  <c r="D19" i="11"/>
  <c r="AC30" i="10"/>
  <c r="A2186" i="14"/>
  <c r="D2148" i="14"/>
  <c r="I2148" i="14"/>
  <c r="C2149" i="14"/>
  <c r="D2130" i="14"/>
  <c r="I2130" i="14"/>
  <c r="C2131" i="14"/>
  <c r="D2112" i="14"/>
  <c r="I2112" i="14"/>
  <c r="C2113" i="14"/>
  <c r="D2094" i="14"/>
  <c r="I2094" i="14"/>
  <c r="C2095" i="14"/>
  <c r="D2076" i="14"/>
  <c r="I2076" i="14"/>
  <c r="C2077" i="14"/>
  <c r="D2058" i="14"/>
  <c r="I2058" i="14"/>
  <c r="C2059" i="14"/>
  <c r="D2040" i="14"/>
  <c r="I2040" i="14"/>
  <c r="C2041" i="14"/>
  <c r="D2022" i="14"/>
  <c r="I2022" i="14"/>
  <c r="C2023" i="14"/>
  <c r="D2004" i="14"/>
  <c r="I2004" i="14"/>
  <c r="C2005" i="14"/>
  <c r="D1986" i="14"/>
  <c r="I1986" i="14"/>
  <c r="C1987" i="14"/>
  <c r="D1968" i="14"/>
  <c r="I1968" i="14"/>
  <c r="C1969" i="14"/>
  <c r="D1950" i="14"/>
  <c r="I1950" i="14"/>
  <c r="C1951" i="14"/>
  <c r="D1932" i="14"/>
  <c r="I1932" i="14"/>
  <c r="C1933" i="14"/>
  <c r="D1914" i="14"/>
  <c r="I1914" i="14"/>
  <c r="C1915" i="14"/>
  <c r="D1896" i="14"/>
  <c r="I1896" i="14"/>
  <c r="C1897" i="14"/>
  <c r="D1878" i="14"/>
  <c r="I1878" i="14"/>
  <c r="C1879" i="14"/>
  <c r="D1860" i="14"/>
  <c r="I1860" i="14"/>
  <c r="C1861" i="14"/>
  <c r="D1842" i="14"/>
  <c r="I1842" i="14"/>
  <c r="C1843" i="14"/>
  <c r="D1824" i="14"/>
  <c r="I1824" i="14"/>
  <c r="C1825" i="14"/>
  <c r="D1806" i="14"/>
  <c r="I1806" i="14"/>
  <c r="C1807" i="14"/>
  <c r="D1788" i="14"/>
  <c r="I1788" i="14"/>
  <c r="C1789" i="14"/>
  <c r="D1770" i="14"/>
  <c r="I1770" i="14"/>
  <c r="C1771" i="14"/>
  <c r="D1752" i="14"/>
  <c r="I1752" i="14"/>
  <c r="C1753" i="14"/>
  <c r="D1734" i="14"/>
  <c r="I1734" i="14"/>
  <c r="C1735" i="14"/>
  <c r="D1716" i="14"/>
  <c r="I1716" i="14"/>
  <c r="C1717" i="14"/>
  <c r="D1698" i="14"/>
  <c r="I1698" i="14"/>
  <c r="C1699" i="14"/>
  <c r="D1680" i="14"/>
  <c r="I1680" i="14"/>
  <c r="C1681" i="14"/>
  <c r="D1662" i="14"/>
  <c r="I1662" i="14"/>
  <c r="C1663" i="14"/>
  <c r="D1644" i="14"/>
  <c r="I1644" i="14"/>
  <c r="C1645" i="14"/>
  <c r="D1626" i="14"/>
  <c r="I1626" i="14"/>
  <c r="C1627" i="14"/>
  <c r="D1608" i="14"/>
  <c r="I1608" i="14"/>
  <c r="C1609" i="14"/>
  <c r="D1590" i="14"/>
  <c r="I1590" i="14"/>
  <c r="C1591" i="14"/>
  <c r="D1572" i="14"/>
  <c r="I1572" i="14"/>
  <c r="C1573" i="14"/>
  <c r="D1554" i="14"/>
  <c r="I1554" i="14"/>
  <c r="C1555" i="14"/>
  <c r="D1536" i="14"/>
  <c r="I1536" i="14"/>
  <c r="C1537" i="14"/>
  <c r="D1518" i="14"/>
  <c r="I1518" i="14"/>
  <c r="C1519" i="14"/>
  <c r="D1500" i="14"/>
  <c r="I1500" i="14"/>
  <c r="C1501" i="14"/>
  <c r="D1482" i="14"/>
  <c r="I1482" i="14"/>
  <c r="C1483" i="14"/>
  <c r="D1464" i="14"/>
  <c r="I1464" i="14"/>
  <c r="C1465" i="14"/>
  <c r="D1446" i="14"/>
  <c r="I1446" i="14"/>
  <c r="C1447" i="14"/>
  <c r="D1428" i="14"/>
  <c r="I1428" i="14"/>
  <c r="C1429" i="14"/>
  <c r="D1410" i="14"/>
  <c r="I1410" i="14"/>
  <c r="C1411" i="14"/>
  <c r="D1392" i="14"/>
  <c r="C1393" i="14"/>
  <c r="I1392" i="14"/>
  <c r="D1374" i="14"/>
  <c r="I1374" i="14"/>
  <c r="C1375" i="14"/>
  <c r="D1356" i="14"/>
  <c r="I1356" i="14"/>
  <c r="C1357" i="14"/>
  <c r="D1338" i="14"/>
  <c r="I1338" i="14"/>
  <c r="C1339" i="14"/>
  <c r="D1320" i="14"/>
  <c r="I1320" i="14"/>
  <c r="C1321" i="14"/>
  <c r="D1302" i="14"/>
  <c r="I1302" i="14"/>
  <c r="C1303" i="14"/>
  <c r="D1284" i="14"/>
  <c r="I1284" i="14"/>
  <c r="C1285" i="14"/>
  <c r="D1266" i="14"/>
  <c r="I1266" i="14"/>
  <c r="C1267" i="14"/>
  <c r="D1248" i="14"/>
  <c r="I1248" i="14"/>
  <c r="C1249" i="14"/>
  <c r="D1230" i="14"/>
  <c r="I1230" i="14"/>
  <c r="C1231" i="14"/>
  <c r="D1212" i="14"/>
  <c r="I1212" i="14"/>
  <c r="C1213" i="14"/>
  <c r="D1194" i="14"/>
  <c r="I1194" i="14"/>
  <c r="C1195" i="14"/>
  <c r="D1176" i="14"/>
  <c r="I1176" i="14"/>
  <c r="C1177" i="14"/>
  <c r="D1158" i="14"/>
  <c r="I1158" i="14"/>
  <c r="C1159" i="14"/>
  <c r="D1140" i="14"/>
  <c r="I1140" i="14"/>
  <c r="C1141" i="14"/>
  <c r="D1122" i="14"/>
  <c r="I1122" i="14"/>
  <c r="C1123" i="14"/>
  <c r="D1104" i="14"/>
  <c r="I1104" i="14"/>
  <c r="C1105" i="14"/>
  <c r="D1086" i="14"/>
  <c r="I1086" i="14"/>
  <c r="C1087" i="14"/>
  <c r="D1068" i="14"/>
  <c r="I1068" i="14"/>
  <c r="C1069" i="14"/>
  <c r="D1050" i="14"/>
  <c r="I1050" i="14"/>
  <c r="C1051" i="14"/>
  <c r="D1032" i="14"/>
  <c r="I1032" i="14"/>
  <c r="C1033" i="14"/>
  <c r="D1014" i="14"/>
  <c r="I1014" i="14"/>
  <c r="C1015" i="14"/>
  <c r="D996" i="14"/>
  <c r="I996" i="14"/>
  <c r="C997" i="14"/>
  <c r="D978" i="14"/>
  <c r="I978" i="14"/>
  <c r="C979" i="14"/>
  <c r="D960" i="14"/>
  <c r="I960" i="14"/>
  <c r="C961" i="14"/>
  <c r="D942" i="14"/>
  <c r="I942" i="14"/>
  <c r="C943" i="14"/>
  <c r="D924" i="14"/>
  <c r="C925" i="14"/>
  <c r="I924" i="14"/>
  <c r="D906" i="14"/>
  <c r="I906" i="14"/>
  <c r="C907" i="14"/>
  <c r="D888" i="14"/>
  <c r="I888" i="14"/>
  <c r="C889" i="14"/>
  <c r="I870" i="14"/>
  <c r="C871" i="14"/>
  <c r="D870" i="14"/>
  <c r="D852" i="14"/>
  <c r="C853" i="14"/>
  <c r="I852" i="14"/>
  <c r="D834" i="14"/>
  <c r="C835" i="14"/>
  <c r="I834" i="14"/>
  <c r="I816" i="14"/>
  <c r="C817" i="14"/>
  <c r="D816" i="14"/>
  <c r="C799" i="14"/>
  <c r="D798" i="14"/>
  <c r="I798" i="14"/>
  <c r="D780" i="14"/>
  <c r="I780" i="14"/>
  <c r="C781" i="14"/>
  <c r="C763" i="14"/>
  <c r="I762" i="14"/>
  <c r="D762" i="14"/>
  <c r="D744" i="14"/>
  <c r="I744" i="14"/>
  <c r="C745" i="14"/>
  <c r="D726" i="14"/>
  <c r="I726" i="14"/>
  <c r="C727" i="14"/>
  <c r="D708" i="14"/>
  <c r="C709" i="14"/>
  <c r="I708" i="14"/>
  <c r="D690" i="14"/>
  <c r="C691" i="14"/>
  <c r="I690" i="14"/>
  <c r="D672" i="14"/>
  <c r="I672" i="14"/>
  <c r="C673" i="14"/>
  <c r="D654" i="14"/>
  <c r="C655" i="14"/>
  <c r="I654" i="14"/>
  <c r="I636" i="14"/>
  <c r="C637" i="14"/>
  <c r="D636" i="14"/>
  <c r="D618" i="14"/>
  <c r="I618" i="14"/>
  <c r="C619" i="14"/>
  <c r="D600" i="14"/>
  <c r="I600" i="14"/>
  <c r="C601" i="14"/>
  <c r="D582" i="14"/>
  <c r="I582" i="14"/>
  <c r="C583" i="14"/>
  <c r="D564" i="14"/>
  <c r="I564" i="14"/>
  <c r="C565" i="14"/>
  <c r="D546" i="14"/>
  <c r="I546" i="14"/>
  <c r="C547" i="14"/>
  <c r="D528" i="14"/>
  <c r="I528" i="14"/>
  <c r="C529" i="14"/>
  <c r="D510" i="14"/>
  <c r="I510" i="14"/>
  <c r="C511" i="14"/>
  <c r="D492" i="14"/>
  <c r="I492" i="14"/>
  <c r="C493" i="14"/>
  <c r="D474" i="14"/>
  <c r="I474" i="14"/>
  <c r="C475" i="14"/>
  <c r="D456" i="14"/>
  <c r="I456" i="14"/>
  <c r="C457" i="14"/>
  <c r="D438" i="14"/>
  <c r="I438" i="14"/>
  <c r="C439" i="14"/>
  <c r="D420" i="14"/>
  <c r="I420" i="14"/>
  <c r="C421" i="14"/>
  <c r="D402" i="14"/>
  <c r="I402" i="14"/>
  <c r="C403" i="14"/>
  <c r="D384" i="14"/>
  <c r="I384" i="14"/>
  <c r="C385" i="14"/>
  <c r="D366" i="14"/>
  <c r="I366" i="14"/>
  <c r="C367" i="14"/>
  <c r="D348" i="14"/>
  <c r="I348" i="14"/>
  <c r="C349" i="14"/>
  <c r="D330" i="14"/>
  <c r="I330" i="14"/>
  <c r="C331" i="14"/>
  <c r="D312" i="14"/>
  <c r="I312" i="14"/>
  <c r="C313" i="14"/>
  <c r="D294" i="14"/>
  <c r="I294" i="14"/>
  <c r="C295" i="14"/>
  <c r="D276" i="14"/>
  <c r="I276" i="14"/>
  <c r="C277" i="14"/>
  <c r="D258" i="14"/>
  <c r="I258" i="14"/>
  <c r="C259" i="14"/>
  <c r="D240" i="14"/>
  <c r="I240" i="14"/>
  <c r="C241" i="14"/>
  <c r="D222" i="14"/>
  <c r="I222" i="14"/>
  <c r="C223" i="14"/>
  <c r="A222" i="14"/>
  <c r="J222" i="14" s="1"/>
  <c r="J23" i="14"/>
  <c r="A24" i="14"/>
  <c r="K257" i="18" l="1"/>
  <c r="F258" i="18"/>
  <c r="I258" i="18" s="1"/>
  <c r="E29" i="12"/>
  <c r="E34" i="12"/>
  <c r="E39" i="12"/>
  <c r="E32" i="12"/>
  <c r="E37" i="12"/>
  <c r="E41" i="12"/>
  <c r="E31" i="12"/>
  <c r="E36" i="12"/>
  <c r="E30" i="12"/>
  <c r="E40" i="12"/>
  <c r="E35" i="12"/>
  <c r="E33" i="12"/>
  <c r="E43" i="12"/>
  <c r="E38" i="12"/>
  <c r="G24" i="12"/>
  <c r="G39" i="12"/>
  <c r="G34" i="12"/>
  <c r="G29" i="12"/>
  <c r="G38" i="12"/>
  <c r="G33" i="12"/>
  <c r="G43" i="12"/>
  <c r="G28" i="12"/>
  <c r="G32" i="12"/>
  <c r="G37" i="12"/>
  <c r="G42" i="12"/>
  <c r="G27" i="12"/>
  <c r="G41" i="12"/>
  <c r="G36" i="12"/>
  <c r="G26" i="12"/>
  <c r="G31" i="12"/>
  <c r="G40" i="12"/>
  <c r="G25" i="12"/>
  <c r="G30" i="12"/>
  <c r="G35" i="12"/>
  <c r="K145" i="18"/>
  <c r="F146" i="18"/>
  <c r="I146" i="18" s="1"/>
  <c r="K146" i="18" s="1"/>
  <c r="K94" i="18"/>
  <c r="F95" i="18"/>
  <c r="I95" i="18" s="1"/>
  <c r="K95" i="18" s="1"/>
  <c r="K134" i="18"/>
  <c r="F135" i="18"/>
  <c r="I135" i="18" s="1"/>
  <c r="K135" i="18" s="1"/>
  <c r="K106" i="18"/>
  <c r="F107" i="18"/>
  <c r="I107" i="18" s="1"/>
  <c r="K107" i="18" s="1"/>
  <c r="K157" i="18"/>
  <c r="F158" i="18"/>
  <c r="I158" i="18" s="1"/>
  <c r="K158" i="18" s="1"/>
  <c r="S27" i="18"/>
  <c r="M12" i="12" s="1"/>
  <c r="K74" i="18"/>
  <c r="S22" i="18" s="1"/>
  <c r="M20" i="12" s="1"/>
  <c r="F75" i="18"/>
  <c r="I75" i="18" s="1"/>
  <c r="K75" i="18" s="1"/>
  <c r="E27" i="12"/>
  <c r="E26" i="12"/>
  <c r="I14" i="12"/>
  <c r="J8" i="12" s="1"/>
  <c r="I29" i="12" s="1"/>
  <c r="E22" i="12"/>
  <c r="E25" i="12"/>
  <c r="E28" i="12"/>
  <c r="E24" i="12"/>
  <c r="E45" i="12" s="1"/>
  <c r="K8" i="12"/>
  <c r="H32" i="10"/>
  <c r="AD28" i="10"/>
  <c r="AD19" i="11"/>
  <c r="T25" i="18"/>
  <c r="O10" i="12" s="1"/>
  <c r="R19" i="18"/>
  <c r="S21" i="18"/>
  <c r="M19" i="12" s="1"/>
  <c r="T23" i="18"/>
  <c r="N23" i="11" s="1"/>
  <c r="R11" i="18"/>
  <c r="R13" i="18" s="1"/>
  <c r="K25" i="18"/>
  <c r="R20" i="18" s="1"/>
  <c r="K18" i="12" s="1"/>
  <c r="P29" i="18"/>
  <c r="F14" i="18"/>
  <c r="I14" i="18" s="1"/>
  <c r="K14" i="18" s="1"/>
  <c r="F118" i="18"/>
  <c r="I118" i="18" s="1"/>
  <c r="K118" i="18" s="1"/>
  <c r="I26" i="18"/>
  <c r="S10" i="18"/>
  <c r="F83" i="18"/>
  <c r="I83" i="18" s="1"/>
  <c r="K83" i="18" s="1"/>
  <c r="T22" i="18" s="1"/>
  <c r="O20" i="12" s="1"/>
  <c r="F27" i="18"/>
  <c r="F39" i="18"/>
  <c r="I39" i="18" s="1"/>
  <c r="K39" i="18" s="1"/>
  <c r="F51" i="18"/>
  <c r="I51" i="18" s="1"/>
  <c r="K51" i="18" s="1"/>
  <c r="F63" i="18"/>
  <c r="I63" i="18" s="1"/>
  <c r="K63" i="18" s="1"/>
  <c r="F270" i="18"/>
  <c r="I270" i="18" s="1"/>
  <c r="K270" i="18" s="1"/>
  <c r="F76" i="18"/>
  <c r="I76" i="18" s="1"/>
  <c r="K76" i="18" s="1"/>
  <c r="F96" i="18"/>
  <c r="I96" i="18" s="1"/>
  <c r="K96" i="18" s="1"/>
  <c r="F108" i="18"/>
  <c r="I108" i="18" s="1"/>
  <c r="K108" i="18" s="1"/>
  <c r="F136" i="18"/>
  <c r="I136" i="18" s="1"/>
  <c r="K136" i="18" s="1"/>
  <c r="F147" i="18"/>
  <c r="I147" i="18" s="1"/>
  <c r="K147" i="18" s="1"/>
  <c r="F159" i="18"/>
  <c r="I159" i="18" s="1"/>
  <c r="K159" i="18" s="1"/>
  <c r="F171" i="18"/>
  <c r="I171" i="18" s="1"/>
  <c r="K171" i="18" s="1"/>
  <c r="F183" i="18"/>
  <c r="I183" i="18" s="1"/>
  <c r="K183" i="18" s="1"/>
  <c r="F195" i="18"/>
  <c r="I195" i="18" s="1"/>
  <c r="K195" i="18" s="1"/>
  <c r="F207" i="18"/>
  <c r="I207" i="18" s="1"/>
  <c r="K207" i="18" s="1"/>
  <c r="F216" i="18"/>
  <c r="I216" i="18" s="1"/>
  <c r="K216" i="18" s="1"/>
  <c r="T26" i="18" s="1"/>
  <c r="O11" i="12" s="1"/>
  <c r="F223" i="18"/>
  <c r="I223" i="18" s="1"/>
  <c r="K223" i="18" s="1"/>
  <c r="F236" i="18"/>
  <c r="I236" i="18" s="1"/>
  <c r="K236" i="18" s="1"/>
  <c r="F247" i="18"/>
  <c r="I247" i="18" s="1"/>
  <c r="K247" i="18" s="1"/>
  <c r="F283" i="18"/>
  <c r="I283" i="18" s="1"/>
  <c r="K283" i="18" s="1"/>
  <c r="F295" i="18"/>
  <c r="I295" i="18" s="1"/>
  <c r="K295" i="18" s="1"/>
  <c r="F301" i="18"/>
  <c r="I301" i="18" s="1"/>
  <c r="K301" i="18" s="1"/>
  <c r="T24" i="18" s="1"/>
  <c r="O9" i="12" s="1"/>
  <c r="F316" i="18"/>
  <c r="I316" i="18" s="1"/>
  <c r="K316" i="18" s="1"/>
  <c r="F40" i="11"/>
  <c r="F43" i="11" s="1"/>
  <c r="F45" i="11" s="1"/>
  <c r="J40" i="11"/>
  <c r="J43" i="11" s="1"/>
  <c r="J45" i="11" s="1"/>
  <c r="J49" i="10"/>
  <c r="R40" i="11"/>
  <c r="H40" i="11"/>
  <c r="H43" i="11" s="1"/>
  <c r="H45" i="11" s="1"/>
  <c r="P40" i="11"/>
  <c r="P49" i="10"/>
  <c r="N40" i="11"/>
  <c r="N49" i="10"/>
  <c r="L40" i="11"/>
  <c r="L49" i="10"/>
  <c r="T40" i="11"/>
  <c r="T49" i="10"/>
  <c r="X40" i="11"/>
  <c r="X49" i="10"/>
  <c r="V40" i="11"/>
  <c r="V49" i="10"/>
  <c r="Z40" i="11"/>
  <c r="Z49" i="10"/>
  <c r="AC19" i="11"/>
  <c r="AC28" i="10"/>
  <c r="A2187" i="14"/>
  <c r="D2149" i="14"/>
  <c r="I2149" i="14"/>
  <c r="C2150" i="14"/>
  <c r="D2131" i="14"/>
  <c r="I2131" i="14"/>
  <c r="C2132" i="14"/>
  <c r="D2113" i="14"/>
  <c r="I2113" i="14"/>
  <c r="C2114" i="14"/>
  <c r="D2095" i="14"/>
  <c r="I2095" i="14"/>
  <c r="C2096" i="14"/>
  <c r="D2077" i="14"/>
  <c r="I2077" i="14"/>
  <c r="C2078" i="14"/>
  <c r="D2059" i="14"/>
  <c r="I2059" i="14"/>
  <c r="C2060" i="14"/>
  <c r="D2041" i="14"/>
  <c r="I2041" i="14"/>
  <c r="C2042" i="14"/>
  <c r="D2023" i="14"/>
  <c r="I2023" i="14"/>
  <c r="C2024" i="14"/>
  <c r="D2005" i="14"/>
  <c r="I2005" i="14"/>
  <c r="C2006" i="14"/>
  <c r="D1987" i="14"/>
  <c r="I1987" i="14"/>
  <c r="C1988" i="14"/>
  <c r="D1969" i="14"/>
  <c r="I1969" i="14"/>
  <c r="C1970" i="14"/>
  <c r="D1951" i="14"/>
  <c r="I1951" i="14"/>
  <c r="C1952" i="14"/>
  <c r="D1933" i="14"/>
  <c r="I1933" i="14"/>
  <c r="C1934" i="14"/>
  <c r="D1915" i="14"/>
  <c r="I1915" i="14"/>
  <c r="C1916" i="14"/>
  <c r="D1897" i="14"/>
  <c r="I1897" i="14"/>
  <c r="C1898" i="14"/>
  <c r="D1879" i="14"/>
  <c r="I1879" i="14"/>
  <c r="C1880" i="14"/>
  <c r="D1861" i="14"/>
  <c r="I1861" i="14"/>
  <c r="C1862" i="14"/>
  <c r="D1843" i="14"/>
  <c r="I1843" i="14"/>
  <c r="C1844" i="14"/>
  <c r="D1825" i="14"/>
  <c r="I1825" i="14"/>
  <c r="C1826" i="14"/>
  <c r="D1807" i="14"/>
  <c r="I1807" i="14"/>
  <c r="C1808" i="14"/>
  <c r="D1789" i="14"/>
  <c r="I1789" i="14"/>
  <c r="C1790" i="14"/>
  <c r="D1771" i="14"/>
  <c r="I1771" i="14"/>
  <c r="C1772" i="14"/>
  <c r="D1753" i="14"/>
  <c r="I1753" i="14"/>
  <c r="C1754" i="14"/>
  <c r="D1735" i="14"/>
  <c r="I1735" i="14"/>
  <c r="C1736" i="14"/>
  <c r="D1717" i="14"/>
  <c r="I1717" i="14"/>
  <c r="C1718" i="14"/>
  <c r="D1699" i="14"/>
  <c r="I1699" i="14"/>
  <c r="C1700" i="14"/>
  <c r="D1681" i="14"/>
  <c r="I1681" i="14"/>
  <c r="C1682" i="14"/>
  <c r="D1663" i="14"/>
  <c r="I1663" i="14"/>
  <c r="C1664" i="14"/>
  <c r="D1645" i="14"/>
  <c r="I1645" i="14"/>
  <c r="C1646" i="14"/>
  <c r="D1627" i="14"/>
  <c r="I1627" i="14"/>
  <c r="C1628" i="14"/>
  <c r="D1609" i="14"/>
  <c r="I1609" i="14"/>
  <c r="C1610" i="14"/>
  <c r="D1591" i="14"/>
  <c r="I1591" i="14"/>
  <c r="C1592" i="14"/>
  <c r="D1573" i="14"/>
  <c r="I1573" i="14"/>
  <c r="C1574" i="14"/>
  <c r="D1555" i="14"/>
  <c r="I1555" i="14"/>
  <c r="C1556" i="14"/>
  <c r="D1537" i="14"/>
  <c r="I1537" i="14"/>
  <c r="C1538" i="14"/>
  <c r="D1519" i="14"/>
  <c r="I1519" i="14"/>
  <c r="C1520" i="14"/>
  <c r="D1501" i="14"/>
  <c r="I1501" i="14"/>
  <c r="C1502" i="14"/>
  <c r="D1483" i="14"/>
  <c r="I1483" i="14"/>
  <c r="C1484" i="14"/>
  <c r="D1465" i="14"/>
  <c r="I1465" i="14"/>
  <c r="C1466" i="14"/>
  <c r="D1447" i="14"/>
  <c r="I1447" i="14"/>
  <c r="C1448" i="14"/>
  <c r="D1429" i="14"/>
  <c r="I1429" i="14"/>
  <c r="C1430" i="14"/>
  <c r="D1411" i="14"/>
  <c r="I1411" i="14"/>
  <c r="C1412" i="14"/>
  <c r="D1393" i="14"/>
  <c r="C1394" i="14"/>
  <c r="I1393" i="14"/>
  <c r="D1375" i="14"/>
  <c r="I1375" i="14"/>
  <c r="C1376" i="14"/>
  <c r="D1357" i="14"/>
  <c r="I1357" i="14"/>
  <c r="C1358" i="14"/>
  <c r="D1339" i="14"/>
  <c r="I1339" i="14"/>
  <c r="C1340" i="14"/>
  <c r="D1321" i="14"/>
  <c r="I1321" i="14"/>
  <c r="C1322" i="14"/>
  <c r="D1303" i="14"/>
  <c r="I1303" i="14"/>
  <c r="C1304" i="14"/>
  <c r="D1285" i="14"/>
  <c r="I1285" i="14"/>
  <c r="C1286" i="14"/>
  <c r="D1267" i="14"/>
  <c r="I1267" i="14"/>
  <c r="C1268" i="14"/>
  <c r="D1249" i="14"/>
  <c r="I1249" i="14"/>
  <c r="C1250" i="14"/>
  <c r="D1231" i="14"/>
  <c r="I1231" i="14"/>
  <c r="C1232" i="14"/>
  <c r="D1213" i="14"/>
  <c r="I1213" i="14"/>
  <c r="C1214" i="14"/>
  <c r="D1195" i="14"/>
  <c r="I1195" i="14"/>
  <c r="C1196" i="14"/>
  <c r="D1177" i="14"/>
  <c r="I1177" i="14"/>
  <c r="C1178" i="14"/>
  <c r="D1159" i="14"/>
  <c r="I1159" i="14"/>
  <c r="C1160" i="14"/>
  <c r="D1141" i="14"/>
  <c r="I1141" i="14"/>
  <c r="C1142" i="14"/>
  <c r="D1123" i="14"/>
  <c r="I1123" i="14"/>
  <c r="C1124" i="14"/>
  <c r="D1105" i="14"/>
  <c r="I1105" i="14"/>
  <c r="C1106" i="14"/>
  <c r="D1087" i="14"/>
  <c r="I1087" i="14"/>
  <c r="C1088" i="14"/>
  <c r="D1069" i="14"/>
  <c r="I1069" i="14"/>
  <c r="C1070" i="14"/>
  <c r="D1051" i="14"/>
  <c r="I1051" i="14"/>
  <c r="C1052" i="14"/>
  <c r="D1033" i="14"/>
  <c r="I1033" i="14"/>
  <c r="C1034" i="14"/>
  <c r="D1015" i="14"/>
  <c r="I1015" i="14"/>
  <c r="C1016" i="14"/>
  <c r="D997" i="14"/>
  <c r="I997" i="14"/>
  <c r="C998" i="14"/>
  <c r="D979" i="14"/>
  <c r="I979" i="14"/>
  <c r="C980" i="14"/>
  <c r="D961" i="14"/>
  <c r="I961" i="14"/>
  <c r="C962" i="14"/>
  <c r="C944" i="14"/>
  <c r="D943" i="14"/>
  <c r="I943" i="14"/>
  <c r="D925" i="14"/>
  <c r="I925" i="14"/>
  <c r="C926" i="14"/>
  <c r="D907" i="14"/>
  <c r="I907" i="14"/>
  <c r="C908" i="14"/>
  <c r="D889" i="14"/>
  <c r="I889" i="14"/>
  <c r="C890" i="14"/>
  <c r="I871" i="14"/>
  <c r="D871" i="14"/>
  <c r="C872" i="14"/>
  <c r="D853" i="14"/>
  <c r="C854" i="14"/>
  <c r="I853" i="14"/>
  <c r="D835" i="14"/>
  <c r="I835" i="14"/>
  <c r="C836" i="14"/>
  <c r="I817" i="14"/>
  <c r="D817" i="14"/>
  <c r="C818" i="14"/>
  <c r="I799" i="14"/>
  <c r="C800" i="14"/>
  <c r="D799" i="14"/>
  <c r="D781" i="14"/>
  <c r="I781" i="14"/>
  <c r="C782" i="14"/>
  <c r="D763" i="14"/>
  <c r="I763" i="14"/>
  <c r="C764" i="14"/>
  <c r="D745" i="14"/>
  <c r="I745" i="14"/>
  <c r="C746" i="14"/>
  <c r="D727" i="14"/>
  <c r="I727" i="14"/>
  <c r="C728" i="14"/>
  <c r="D709" i="14"/>
  <c r="I709" i="14"/>
  <c r="C710" i="14"/>
  <c r="D691" i="14"/>
  <c r="I691" i="14"/>
  <c r="C692" i="14"/>
  <c r="I673" i="14"/>
  <c r="D673" i="14"/>
  <c r="C674" i="14"/>
  <c r="D655" i="14"/>
  <c r="I655" i="14"/>
  <c r="C656" i="14"/>
  <c r="D637" i="14"/>
  <c r="I637" i="14"/>
  <c r="C638" i="14"/>
  <c r="D619" i="14"/>
  <c r="C620" i="14"/>
  <c r="I619" i="14"/>
  <c r="D601" i="14"/>
  <c r="I601" i="14"/>
  <c r="C602" i="14"/>
  <c r="D583" i="14"/>
  <c r="I583" i="14"/>
  <c r="C584" i="14"/>
  <c r="D565" i="14"/>
  <c r="I565" i="14"/>
  <c r="C566" i="14"/>
  <c r="D547" i="14"/>
  <c r="I547" i="14"/>
  <c r="C548" i="14"/>
  <c r="D529" i="14"/>
  <c r="I529" i="14"/>
  <c r="C530" i="14"/>
  <c r="D511" i="14"/>
  <c r="I511" i="14"/>
  <c r="C512" i="14"/>
  <c r="D493" i="14"/>
  <c r="I493" i="14"/>
  <c r="C494" i="14"/>
  <c r="D475" i="14"/>
  <c r="I475" i="14"/>
  <c r="C476" i="14"/>
  <c r="D457" i="14"/>
  <c r="I457" i="14"/>
  <c r="C458" i="14"/>
  <c r="D439" i="14"/>
  <c r="I439" i="14"/>
  <c r="C440" i="14"/>
  <c r="D421" i="14"/>
  <c r="I421" i="14"/>
  <c r="C422" i="14"/>
  <c r="D403" i="14"/>
  <c r="I403" i="14"/>
  <c r="C404" i="14"/>
  <c r="D385" i="14"/>
  <c r="I385" i="14"/>
  <c r="C386" i="14"/>
  <c r="D367" i="14"/>
  <c r="I367" i="14"/>
  <c r="C368" i="14"/>
  <c r="D349" i="14"/>
  <c r="I349" i="14"/>
  <c r="C350" i="14"/>
  <c r="D331" i="14"/>
  <c r="I331" i="14"/>
  <c r="C332" i="14"/>
  <c r="D313" i="14"/>
  <c r="I313" i="14"/>
  <c r="C314" i="14"/>
  <c r="D295" i="14"/>
  <c r="I295" i="14"/>
  <c r="C296" i="14"/>
  <c r="D277" i="14"/>
  <c r="I277" i="14"/>
  <c r="C278" i="14"/>
  <c r="D259" i="14"/>
  <c r="I259" i="14"/>
  <c r="C260" i="14"/>
  <c r="D241" i="14"/>
  <c r="I241" i="14"/>
  <c r="C242" i="14"/>
  <c r="D223" i="14"/>
  <c r="I223" i="14"/>
  <c r="C224" i="14"/>
  <c r="A223" i="14"/>
  <c r="J223" i="14" s="1"/>
  <c r="J24" i="14"/>
  <c r="A25" i="14"/>
  <c r="K258" i="18" l="1"/>
  <c r="T27" i="18" s="1"/>
  <c r="O12" i="12" s="1"/>
  <c r="F259" i="18"/>
  <c r="I259" i="18" s="1"/>
  <c r="K259" i="18" s="1"/>
  <c r="G45" i="12"/>
  <c r="N43" i="11"/>
  <c r="N45" i="11" s="1"/>
  <c r="S24" i="18"/>
  <c r="M9" i="12" s="1"/>
  <c r="S23" i="18"/>
  <c r="L23" i="11" s="1"/>
  <c r="I39" i="12"/>
  <c r="I34" i="12"/>
  <c r="J11" i="12"/>
  <c r="J12" i="12"/>
  <c r="J9" i="12"/>
  <c r="J10" i="12"/>
  <c r="K14" i="12"/>
  <c r="L8" i="12" s="1"/>
  <c r="K29" i="12" s="1"/>
  <c r="I17" i="12"/>
  <c r="J32" i="10"/>
  <c r="J52" i="10" s="1"/>
  <c r="J54" i="10" s="1"/>
  <c r="O8" i="12"/>
  <c r="D49" i="10"/>
  <c r="D52" i="10" s="1"/>
  <c r="D54" i="10" s="1"/>
  <c r="D40" i="11"/>
  <c r="S19" i="18"/>
  <c r="U26" i="18"/>
  <c r="Q11" i="12" s="1"/>
  <c r="T21" i="18"/>
  <c r="O19" i="12" s="1"/>
  <c r="U25" i="18"/>
  <c r="Q10" i="12" s="1"/>
  <c r="U23" i="18"/>
  <c r="P23" i="11" s="1"/>
  <c r="P43" i="11" s="1"/>
  <c r="P45" i="11" s="1"/>
  <c r="S11" i="18"/>
  <c r="S13" i="18" s="1"/>
  <c r="K26" i="18"/>
  <c r="S20" i="18" s="1"/>
  <c r="M18" i="12" s="1"/>
  <c r="Q29" i="18"/>
  <c r="F15" i="18"/>
  <c r="I15" i="18" s="1"/>
  <c r="K15" i="18" s="1"/>
  <c r="F119" i="18"/>
  <c r="I27" i="18"/>
  <c r="F28" i="18" s="1"/>
  <c r="F84" i="18"/>
  <c r="I84" i="18" s="1"/>
  <c r="K84" i="18" s="1"/>
  <c r="U22" i="18" s="1"/>
  <c r="Q20" i="12" s="1"/>
  <c r="F40" i="18"/>
  <c r="I40" i="18" s="1"/>
  <c r="K40" i="18" s="1"/>
  <c r="F52" i="18"/>
  <c r="I52" i="18" s="1"/>
  <c r="K52" i="18" s="1"/>
  <c r="F64" i="18"/>
  <c r="I64" i="18" s="1"/>
  <c r="K64" i="18" s="1"/>
  <c r="F271" i="18"/>
  <c r="I271" i="18" s="1"/>
  <c r="K271" i="18" s="1"/>
  <c r="U27" i="18" s="1"/>
  <c r="Q12" i="12" s="1"/>
  <c r="F77" i="18"/>
  <c r="I77" i="18" s="1"/>
  <c r="K77" i="18" s="1"/>
  <c r="F97" i="18"/>
  <c r="I97" i="18" s="1"/>
  <c r="K97" i="18" s="1"/>
  <c r="F109" i="18"/>
  <c r="I109" i="18" s="1"/>
  <c r="K109" i="18" s="1"/>
  <c r="F137" i="18"/>
  <c r="I137" i="18" s="1"/>
  <c r="K137" i="18" s="1"/>
  <c r="F148" i="18"/>
  <c r="I148" i="18" s="1"/>
  <c r="K148" i="18" s="1"/>
  <c r="F160" i="18"/>
  <c r="I160" i="18" s="1"/>
  <c r="K160" i="18" s="1"/>
  <c r="F172" i="18"/>
  <c r="I172" i="18" s="1"/>
  <c r="K172" i="18" s="1"/>
  <c r="F184" i="18"/>
  <c r="I184" i="18" s="1"/>
  <c r="K184" i="18" s="1"/>
  <c r="F196" i="18"/>
  <c r="I196" i="18" s="1"/>
  <c r="K196" i="18" s="1"/>
  <c r="F208" i="18"/>
  <c r="I208" i="18" s="1"/>
  <c r="K208" i="18" s="1"/>
  <c r="F224" i="18"/>
  <c r="I224" i="18" s="1"/>
  <c r="K224" i="18" s="1"/>
  <c r="F237" i="18"/>
  <c r="I237" i="18" s="1"/>
  <c r="K237" i="18" s="1"/>
  <c r="F248" i="18"/>
  <c r="I248" i="18" s="1"/>
  <c r="K248" i="18" s="1"/>
  <c r="F260" i="18"/>
  <c r="I260" i="18" s="1"/>
  <c r="K260" i="18" s="1"/>
  <c r="F284" i="18"/>
  <c r="I284" i="18" s="1"/>
  <c r="K284" i="18" s="1"/>
  <c r="F296" i="18"/>
  <c r="I296" i="18" s="1"/>
  <c r="K296" i="18" s="1"/>
  <c r="F302" i="18"/>
  <c r="I302" i="18" s="1"/>
  <c r="K302" i="18" s="1"/>
  <c r="U24" i="18" s="1"/>
  <c r="Q9" i="12" s="1"/>
  <c r="I308" i="18"/>
  <c r="K308" i="18" s="1"/>
  <c r="F317" i="18"/>
  <c r="I317" i="18" s="1"/>
  <c r="K317" i="18" s="1"/>
  <c r="I322" i="18"/>
  <c r="K322" i="18" s="1"/>
  <c r="R49" i="10"/>
  <c r="F49" i="10"/>
  <c r="F52" i="10" s="1"/>
  <c r="F54" i="10" s="1"/>
  <c r="H49" i="10"/>
  <c r="H52" i="10" s="1"/>
  <c r="H54" i="10" s="1"/>
  <c r="A2188" i="14"/>
  <c r="D2150" i="14"/>
  <c r="I2150" i="14"/>
  <c r="C2151" i="14"/>
  <c r="D2132" i="14"/>
  <c r="I2132" i="14"/>
  <c r="C2133" i="14"/>
  <c r="D2114" i="14"/>
  <c r="I2114" i="14"/>
  <c r="C2115" i="14"/>
  <c r="D2096" i="14"/>
  <c r="I2096" i="14"/>
  <c r="C2097" i="14"/>
  <c r="D2078" i="14"/>
  <c r="I2078" i="14"/>
  <c r="C2079" i="14"/>
  <c r="D2060" i="14"/>
  <c r="I2060" i="14"/>
  <c r="C2061" i="14"/>
  <c r="D2042" i="14"/>
  <c r="I2042" i="14"/>
  <c r="C2043" i="14"/>
  <c r="D2024" i="14"/>
  <c r="I2024" i="14"/>
  <c r="C2025" i="14"/>
  <c r="D2006" i="14"/>
  <c r="I2006" i="14"/>
  <c r="C2007" i="14"/>
  <c r="D1988" i="14"/>
  <c r="I1988" i="14"/>
  <c r="C1989" i="14"/>
  <c r="D1970" i="14"/>
  <c r="I1970" i="14"/>
  <c r="C1971" i="14"/>
  <c r="D1952" i="14"/>
  <c r="I1952" i="14"/>
  <c r="C1953" i="14"/>
  <c r="D1934" i="14"/>
  <c r="I1934" i="14"/>
  <c r="C1935" i="14"/>
  <c r="D1916" i="14"/>
  <c r="I1916" i="14"/>
  <c r="C1917" i="14"/>
  <c r="D1898" i="14"/>
  <c r="I1898" i="14"/>
  <c r="C1899" i="14"/>
  <c r="D1880" i="14"/>
  <c r="I1880" i="14"/>
  <c r="C1881" i="14"/>
  <c r="D1862" i="14"/>
  <c r="I1862" i="14"/>
  <c r="C1863" i="14"/>
  <c r="D1844" i="14"/>
  <c r="I1844" i="14"/>
  <c r="C1845" i="14"/>
  <c r="D1826" i="14"/>
  <c r="I1826" i="14"/>
  <c r="C1827" i="14"/>
  <c r="D1808" i="14"/>
  <c r="I1808" i="14"/>
  <c r="C1809" i="14"/>
  <c r="D1790" i="14"/>
  <c r="I1790" i="14"/>
  <c r="C1791" i="14"/>
  <c r="D1772" i="14"/>
  <c r="I1772" i="14"/>
  <c r="C1773" i="14"/>
  <c r="D1754" i="14"/>
  <c r="I1754" i="14"/>
  <c r="C1755" i="14"/>
  <c r="D1736" i="14"/>
  <c r="I1736" i="14"/>
  <c r="C1737" i="14"/>
  <c r="D1718" i="14"/>
  <c r="I1718" i="14"/>
  <c r="C1719" i="14"/>
  <c r="D1700" i="14"/>
  <c r="I1700" i="14"/>
  <c r="C1701" i="14"/>
  <c r="D1682" i="14"/>
  <c r="I1682" i="14"/>
  <c r="C1683" i="14"/>
  <c r="D1664" i="14"/>
  <c r="I1664" i="14"/>
  <c r="C1665" i="14"/>
  <c r="D1646" i="14"/>
  <c r="I1646" i="14"/>
  <c r="C1647" i="14"/>
  <c r="D1628" i="14"/>
  <c r="I1628" i="14"/>
  <c r="C1629" i="14"/>
  <c r="D1610" i="14"/>
  <c r="I1610" i="14"/>
  <c r="C1611" i="14"/>
  <c r="D1592" i="14"/>
  <c r="I1592" i="14"/>
  <c r="C1593" i="14"/>
  <c r="D1574" i="14"/>
  <c r="I1574" i="14"/>
  <c r="C1575" i="14"/>
  <c r="D1556" i="14"/>
  <c r="I1556" i="14"/>
  <c r="C1557" i="14"/>
  <c r="D1538" i="14"/>
  <c r="I1538" i="14"/>
  <c r="C1539" i="14"/>
  <c r="D1520" i="14"/>
  <c r="I1520" i="14"/>
  <c r="C1521" i="14"/>
  <c r="D1502" i="14"/>
  <c r="I1502" i="14"/>
  <c r="C1503" i="14"/>
  <c r="D1484" i="14"/>
  <c r="I1484" i="14"/>
  <c r="C1485" i="14"/>
  <c r="D1466" i="14"/>
  <c r="I1466" i="14"/>
  <c r="C1467" i="14"/>
  <c r="D1448" i="14"/>
  <c r="I1448" i="14"/>
  <c r="C1449" i="14"/>
  <c r="D1430" i="14"/>
  <c r="I1430" i="14"/>
  <c r="C1431" i="14"/>
  <c r="D1412" i="14"/>
  <c r="C1413" i="14"/>
  <c r="I1412" i="14"/>
  <c r="D1394" i="14"/>
  <c r="C1395" i="14"/>
  <c r="I1394" i="14"/>
  <c r="D1376" i="14"/>
  <c r="I1376" i="14"/>
  <c r="C1377" i="14"/>
  <c r="D1358" i="14"/>
  <c r="I1358" i="14"/>
  <c r="C1359" i="14"/>
  <c r="D1340" i="14"/>
  <c r="I1340" i="14"/>
  <c r="C1341" i="14"/>
  <c r="D1322" i="14"/>
  <c r="I1322" i="14"/>
  <c r="C1323" i="14"/>
  <c r="D1304" i="14"/>
  <c r="I1304" i="14"/>
  <c r="C1305" i="14"/>
  <c r="D1286" i="14"/>
  <c r="I1286" i="14"/>
  <c r="C1287" i="14"/>
  <c r="D1268" i="14"/>
  <c r="I1268" i="14"/>
  <c r="C1269" i="14"/>
  <c r="D1250" i="14"/>
  <c r="I1250" i="14"/>
  <c r="C1251" i="14"/>
  <c r="D1232" i="14"/>
  <c r="I1232" i="14"/>
  <c r="C1233" i="14"/>
  <c r="D1214" i="14"/>
  <c r="I1214" i="14"/>
  <c r="C1215" i="14"/>
  <c r="D1196" i="14"/>
  <c r="I1196" i="14"/>
  <c r="C1197" i="14"/>
  <c r="D1178" i="14"/>
  <c r="I1178" i="14"/>
  <c r="C1179" i="14"/>
  <c r="D1160" i="14"/>
  <c r="I1160" i="14"/>
  <c r="C1161" i="14"/>
  <c r="D1142" i="14"/>
  <c r="I1142" i="14"/>
  <c r="C1143" i="14"/>
  <c r="D1124" i="14"/>
  <c r="I1124" i="14"/>
  <c r="C1125" i="14"/>
  <c r="D1106" i="14"/>
  <c r="I1106" i="14"/>
  <c r="C1107" i="14"/>
  <c r="D1088" i="14"/>
  <c r="I1088" i="14"/>
  <c r="C1089" i="14"/>
  <c r="D1070" i="14"/>
  <c r="I1070" i="14"/>
  <c r="C1071" i="14"/>
  <c r="D1052" i="14"/>
  <c r="I1052" i="14"/>
  <c r="C1053" i="14"/>
  <c r="D1034" i="14"/>
  <c r="I1034" i="14"/>
  <c r="C1035" i="14"/>
  <c r="D1016" i="14"/>
  <c r="I1016" i="14"/>
  <c r="C1017" i="14"/>
  <c r="D998" i="14"/>
  <c r="I998" i="14"/>
  <c r="C999" i="14"/>
  <c r="D980" i="14"/>
  <c r="I980" i="14"/>
  <c r="C981" i="14"/>
  <c r="I962" i="14"/>
  <c r="C963" i="14"/>
  <c r="D962" i="14"/>
  <c r="D944" i="14"/>
  <c r="I944" i="14"/>
  <c r="C945" i="14"/>
  <c r="D926" i="14"/>
  <c r="I926" i="14"/>
  <c r="C927" i="14"/>
  <c r="I908" i="14"/>
  <c r="C909" i="14"/>
  <c r="D908" i="14"/>
  <c r="D890" i="14"/>
  <c r="I890" i="14"/>
  <c r="C891" i="14"/>
  <c r="D872" i="14"/>
  <c r="I872" i="14"/>
  <c r="C873" i="14"/>
  <c r="D854" i="14"/>
  <c r="I854" i="14"/>
  <c r="C855" i="14"/>
  <c r="D836" i="14"/>
  <c r="I836" i="14"/>
  <c r="C837" i="14"/>
  <c r="C819" i="14"/>
  <c r="D818" i="14"/>
  <c r="I818" i="14"/>
  <c r="I800" i="14"/>
  <c r="C801" i="14"/>
  <c r="D800" i="14"/>
  <c r="D782" i="14"/>
  <c r="I782" i="14"/>
  <c r="C783" i="14"/>
  <c r="C765" i="14"/>
  <c r="D764" i="14"/>
  <c r="I764" i="14"/>
  <c r="D746" i="14"/>
  <c r="I746" i="14"/>
  <c r="C747" i="14"/>
  <c r="D728" i="14"/>
  <c r="I728" i="14"/>
  <c r="C729" i="14"/>
  <c r="I710" i="14"/>
  <c r="D710" i="14"/>
  <c r="C711" i="14"/>
  <c r="D692" i="14"/>
  <c r="I692" i="14"/>
  <c r="C693" i="14"/>
  <c r="D674" i="14"/>
  <c r="C675" i="14"/>
  <c r="I674" i="14"/>
  <c r="D656" i="14"/>
  <c r="I656" i="14"/>
  <c r="C657" i="14"/>
  <c r="D638" i="14"/>
  <c r="I638" i="14"/>
  <c r="C639" i="14"/>
  <c r="D620" i="14"/>
  <c r="I620" i="14"/>
  <c r="C621" i="14"/>
  <c r="D602" i="14"/>
  <c r="I602" i="14"/>
  <c r="C603" i="14"/>
  <c r="D584" i="14"/>
  <c r="I584" i="14"/>
  <c r="C585" i="14"/>
  <c r="D566" i="14"/>
  <c r="I566" i="14"/>
  <c r="C567" i="14"/>
  <c r="D548" i="14"/>
  <c r="I548" i="14"/>
  <c r="C549" i="14"/>
  <c r="D530" i="14"/>
  <c r="I530" i="14"/>
  <c r="C531" i="14"/>
  <c r="D512" i="14"/>
  <c r="I512" i="14"/>
  <c r="C513" i="14"/>
  <c r="D494" i="14"/>
  <c r="I494" i="14"/>
  <c r="C495" i="14"/>
  <c r="D476" i="14"/>
  <c r="I476" i="14"/>
  <c r="C477" i="14"/>
  <c r="D458" i="14"/>
  <c r="I458" i="14"/>
  <c r="C459" i="14"/>
  <c r="D440" i="14"/>
  <c r="I440" i="14"/>
  <c r="C441" i="14"/>
  <c r="D422" i="14"/>
  <c r="I422" i="14"/>
  <c r="C423" i="14"/>
  <c r="D404" i="14"/>
  <c r="I404" i="14"/>
  <c r="C405" i="14"/>
  <c r="D386" i="14"/>
  <c r="I386" i="14"/>
  <c r="C387" i="14"/>
  <c r="D368" i="14"/>
  <c r="I368" i="14"/>
  <c r="C369" i="14"/>
  <c r="D350" i="14"/>
  <c r="I350" i="14"/>
  <c r="C351" i="14"/>
  <c r="D332" i="14"/>
  <c r="I332" i="14"/>
  <c r="C333" i="14"/>
  <c r="D314" i="14"/>
  <c r="I314" i="14"/>
  <c r="C315" i="14"/>
  <c r="D296" i="14"/>
  <c r="I296" i="14"/>
  <c r="C297" i="14"/>
  <c r="D278" i="14"/>
  <c r="I278" i="14"/>
  <c r="C279" i="14"/>
  <c r="D260" i="14"/>
  <c r="I260" i="14"/>
  <c r="C261" i="14"/>
  <c r="D242" i="14"/>
  <c r="I242" i="14"/>
  <c r="C243" i="14"/>
  <c r="D224" i="14"/>
  <c r="I224" i="14"/>
  <c r="C225" i="14"/>
  <c r="A224" i="14"/>
  <c r="J224" i="14" s="1"/>
  <c r="J25" i="14"/>
  <c r="A26" i="14"/>
  <c r="L43" i="11" l="1"/>
  <c r="L45" i="11" s="1"/>
  <c r="M8" i="12"/>
  <c r="M14" i="12" s="1"/>
  <c r="L32" i="10"/>
  <c r="L52" i="10" s="1"/>
  <c r="L54" i="10" s="1"/>
  <c r="I119" i="18"/>
  <c r="K119" i="18" s="1"/>
  <c r="T10" i="18"/>
  <c r="I32" i="12"/>
  <c r="I37" i="12"/>
  <c r="I42" i="12"/>
  <c r="I33" i="12"/>
  <c r="I43" i="12"/>
  <c r="I38" i="12"/>
  <c r="I30" i="12"/>
  <c r="I40" i="12"/>
  <c r="I35" i="12"/>
  <c r="I31" i="12"/>
  <c r="I36" i="12"/>
  <c r="I41" i="12"/>
  <c r="K39" i="12"/>
  <c r="K34" i="12"/>
  <c r="L12" i="12"/>
  <c r="L9" i="12"/>
  <c r="L10" i="12"/>
  <c r="L11" i="12"/>
  <c r="I24" i="12"/>
  <c r="I25" i="12"/>
  <c r="I26" i="12"/>
  <c r="I27" i="12"/>
  <c r="I28" i="12"/>
  <c r="I22" i="12"/>
  <c r="O14" i="12"/>
  <c r="P8" i="12" s="1"/>
  <c r="K17" i="12"/>
  <c r="Q8" i="12"/>
  <c r="D43" i="11"/>
  <c r="D45" i="11" s="1"/>
  <c r="AC40" i="11"/>
  <c r="U21" i="18"/>
  <c r="Q19" i="12" s="1"/>
  <c r="V26" i="18"/>
  <c r="S11" i="12" s="1"/>
  <c r="V25" i="18"/>
  <c r="S10" i="12" s="1"/>
  <c r="T19" i="18"/>
  <c r="V23" i="18"/>
  <c r="R23" i="11" s="1"/>
  <c r="T11" i="18"/>
  <c r="T13" i="18" s="1"/>
  <c r="K27" i="18"/>
  <c r="T20" i="18" s="1"/>
  <c r="O18" i="12" s="1"/>
  <c r="R29" i="18"/>
  <c r="F16" i="18"/>
  <c r="I16" i="18" s="1"/>
  <c r="K16" i="18" s="1"/>
  <c r="F120" i="18"/>
  <c r="I120" i="18" s="1"/>
  <c r="K120" i="18" s="1"/>
  <c r="I28" i="18"/>
  <c r="K28" i="18" s="1"/>
  <c r="U20" i="18" s="1"/>
  <c r="Q18" i="12" s="1"/>
  <c r="U10" i="18"/>
  <c r="F85" i="18"/>
  <c r="I85" i="18" s="1"/>
  <c r="K85" i="18" s="1"/>
  <c r="V22" i="18" s="1"/>
  <c r="S20" i="12" s="1"/>
  <c r="F41" i="18"/>
  <c r="I41" i="18" s="1"/>
  <c r="K41" i="18" s="1"/>
  <c r="F53" i="18"/>
  <c r="I53" i="18" s="1"/>
  <c r="K53" i="18" s="1"/>
  <c r="F65" i="18"/>
  <c r="I65" i="18" s="1"/>
  <c r="K65" i="18" s="1"/>
  <c r="F272" i="18"/>
  <c r="I272" i="18" s="1"/>
  <c r="K272" i="18" s="1"/>
  <c r="V27" i="18" s="1"/>
  <c r="S12" i="12" s="1"/>
  <c r="F98" i="18"/>
  <c r="I98" i="18" s="1"/>
  <c r="K98" i="18" s="1"/>
  <c r="F110" i="18"/>
  <c r="I110" i="18" s="1"/>
  <c r="K110" i="18" s="1"/>
  <c r="F138" i="18"/>
  <c r="I138" i="18" s="1"/>
  <c r="K138" i="18" s="1"/>
  <c r="F149" i="18"/>
  <c r="I149" i="18" s="1"/>
  <c r="K149" i="18" s="1"/>
  <c r="F161" i="18"/>
  <c r="I161" i="18" s="1"/>
  <c r="K161" i="18" s="1"/>
  <c r="F173" i="18"/>
  <c r="I173" i="18" s="1"/>
  <c r="K173" i="18" s="1"/>
  <c r="F185" i="18"/>
  <c r="I185" i="18" s="1"/>
  <c r="K185" i="18" s="1"/>
  <c r="F197" i="18"/>
  <c r="I197" i="18" s="1"/>
  <c r="K197" i="18" s="1"/>
  <c r="F209" i="18"/>
  <c r="I209" i="18" s="1"/>
  <c r="K209" i="18" s="1"/>
  <c r="F225" i="18"/>
  <c r="I225" i="18" s="1"/>
  <c r="K225" i="18" s="1"/>
  <c r="F238" i="18"/>
  <c r="I238" i="18" s="1"/>
  <c r="K238" i="18" s="1"/>
  <c r="F249" i="18"/>
  <c r="I249" i="18" s="1"/>
  <c r="K249" i="18" s="1"/>
  <c r="F261" i="18"/>
  <c r="I261" i="18" s="1"/>
  <c r="K261" i="18" s="1"/>
  <c r="F285" i="18"/>
  <c r="I285" i="18" s="1"/>
  <c r="K285" i="18" s="1"/>
  <c r="F297" i="18"/>
  <c r="I297" i="18" s="1"/>
  <c r="K297" i="18" s="1"/>
  <c r="F303" i="18"/>
  <c r="I303" i="18" s="1"/>
  <c r="K303" i="18" s="1"/>
  <c r="V24" i="18" s="1"/>
  <c r="S9" i="12" s="1"/>
  <c r="F309" i="18"/>
  <c r="I309" i="18" s="1"/>
  <c r="K309" i="18" s="1"/>
  <c r="F318" i="18"/>
  <c r="I318" i="18" s="1"/>
  <c r="K318" i="18" s="1"/>
  <c r="F323" i="18"/>
  <c r="I323" i="18" s="1"/>
  <c r="K323" i="18" s="1"/>
  <c r="F49" i="16"/>
  <c r="G49" i="16"/>
  <c r="AC49" i="10"/>
  <c r="A2189" i="14"/>
  <c r="D2151" i="14"/>
  <c r="I2151" i="14"/>
  <c r="C2152" i="14"/>
  <c r="D2133" i="14"/>
  <c r="I2133" i="14"/>
  <c r="C2134" i="14"/>
  <c r="D2115" i="14"/>
  <c r="I2115" i="14"/>
  <c r="C2116" i="14"/>
  <c r="D2097" i="14"/>
  <c r="I2097" i="14"/>
  <c r="C2098" i="14"/>
  <c r="D2079" i="14"/>
  <c r="I2079" i="14"/>
  <c r="C2080" i="14"/>
  <c r="D2061" i="14"/>
  <c r="I2061" i="14"/>
  <c r="C2062" i="14"/>
  <c r="D2043" i="14"/>
  <c r="I2043" i="14"/>
  <c r="C2044" i="14"/>
  <c r="D2025" i="14"/>
  <c r="I2025" i="14"/>
  <c r="C2026" i="14"/>
  <c r="D2007" i="14"/>
  <c r="I2007" i="14"/>
  <c r="C2008" i="14"/>
  <c r="D1989" i="14"/>
  <c r="I1989" i="14"/>
  <c r="C1990" i="14"/>
  <c r="D1971" i="14"/>
  <c r="I1971" i="14"/>
  <c r="C1972" i="14"/>
  <c r="D1953" i="14"/>
  <c r="I1953" i="14"/>
  <c r="C1954" i="14"/>
  <c r="D1935" i="14"/>
  <c r="I1935" i="14"/>
  <c r="C1936" i="14"/>
  <c r="D1917" i="14"/>
  <c r="I1917" i="14"/>
  <c r="C1918" i="14"/>
  <c r="D1899" i="14"/>
  <c r="I1899" i="14"/>
  <c r="C1900" i="14"/>
  <c r="D1881" i="14"/>
  <c r="I1881" i="14"/>
  <c r="C1882" i="14"/>
  <c r="D1863" i="14"/>
  <c r="I1863" i="14"/>
  <c r="C1864" i="14"/>
  <c r="D1845" i="14"/>
  <c r="I1845" i="14"/>
  <c r="C1846" i="14"/>
  <c r="D1827" i="14"/>
  <c r="I1827" i="14"/>
  <c r="C1828" i="14"/>
  <c r="D1809" i="14"/>
  <c r="I1809" i="14"/>
  <c r="C1810" i="14"/>
  <c r="D1791" i="14"/>
  <c r="I1791" i="14"/>
  <c r="C1792" i="14"/>
  <c r="D1773" i="14"/>
  <c r="I1773" i="14"/>
  <c r="C1774" i="14"/>
  <c r="D1755" i="14"/>
  <c r="I1755" i="14"/>
  <c r="C1756" i="14"/>
  <c r="D1737" i="14"/>
  <c r="I1737" i="14"/>
  <c r="C1738" i="14"/>
  <c r="D1719" i="14"/>
  <c r="I1719" i="14"/>
  <c r="C1720" i="14"/>
  <c r="D1701" i="14"/>
  <c r="I1701" i="14"/>
  <c r="C1702" i="14"/>
  <c r="D1683" i="14"/>
  <c r="I1683" i="14"/>
  <c r="C1684" i="14"/>
  <c r="D1665" i="14"/>
  <c r="I1665" i="14"/>
  <c r="C1666" i="14"/>
  <c r="D1647" i="14"/>
  <c r="I1647" i="14"/>
  <c r="C1648" i="14"/>
  <c r="D1629" i="14"/>
  <c r="I1629" i="14"/>
  <c r="C1630" i="14"/>
  <c r="D1611" i="14"/>
  <c r="I1611" i="14"/>
  <c r="C1612" i="14"/>
  <c r="D1593" i="14"/>
  <c r="I1593" i="14"/>
  <c r="C1594" i="14"/>
  <c r="D1575" i="14"/>
  <c r="I1575" i="14"/>
  <c r="C1576" i="14"/>
  <c r="D1557" i="14"/>
  <c r="I1557" i="14"/>
  <c r="C1558" i="14"/>
  <c r="D1539" i="14"/>
  <c r="I1539" i="14"/>
  <c r="C1540" i="14"/>
  <c r="D1521" i="14"/>
  <c r="I1521" i="14"/>
  <c r="C1522" i="14"/>
  <c r="D1503" i="14"/>
  <c r="I1503" i="14"/>
  <c r="C1504" i="14"/>
  <c r="D1485" i="14"/>
  <c r="I1485" i="14"/>
  <c r="C1486" i="14"/>
  <c r="D1467" i="14"/>
  <c r="I1467" i="14"/>
  <c r="C1468" i="14"/>
  <c r="D1449" i="14"/>
  <c r="I1449" i="14"/>
  <c r="C1450" i="14"/>
  <c r="D1431" i="14"/>
  <c r="I1431" i="14"/>
  <c r="C1432" i="14"/>
  <c r="D1413" i="14"/>
  <c r="I1413" i="14"/>
  <c r="C1414" i="14"/>
  <c r="D1395" i="14"/>
  <c r="I1395" i="14"/>
  <c r="C1396" i="14"/>
  <c r="D1377" i="14"/>
  <c r="I1377" i="14"/>
  <c r="C1378" i="14"/>
  <c r="D1359" i="14"/>
  <c r="I1359" i="14"/>
  <c r="C1360" i="14"/>
  <c r="D1341" i="14"/>
  <c r="I1341" i="14"/>
  <c r="C1342" i="14"/>
  <c r="D1323" i="14"/>
  <c r="I1323" i="14"/>
  <c r="C1324" i="14"/>
  <c r="D1305" i="14"/>
  <c r="I1305" i="14"/>
  <c r="C1306" i="14"/>
  <c r="D1287" i="14"/>
  <c r="I1287" i="14"/>
  <c r="C1288" i="14"/>
  <c r="D1269" i="14"/>
  <c r="I1269" i="14"/>
  <c r="C1270" i="14"/>
  <c r="D1251" i="14"/>
  <c r="I1251" i="14"/>
  <c r="C1252" i="14"/>
  <c r="D1233" i="14"/>
  <c r="I1233" i="14"/>
  <c r="C1234" i="14"/>
  <c r="D1215" i="14"/>
  <c r="I1215" i="14"/>
  <c r="C1216" i="14"/>
  <c r="D1197" i="14"/>
  <c r="I1197" i="14"/>
  <c r="C1198" i="14"/>
  <c r="D1179" i="14"/>
  <c r="I1179" i="14"/>
  <c r="C1180" i="14"/>
  <c r="D1161" i="14"/>
  <c r="I1161" i="14"/>
  <c r="C1162" i="14"/>
  <c r="D1143" i="14"/>
  <c r="I1143" i="14"/>
  <c r="C1144" i="14"/>
  <c r="D1125" i="14"/>
  <c r="I1125" i="14"/>
  <c r="C1126" i="14"/>
  <c r="D1107" i="14"/>
  <c r="I1107" i="14"/>
  <c r="C1108" i="14"/>
  <c r="D1089" i="14"/>
  <c r="I1089" i="14"/>
  <c r="C1090" i="14"/>
  <c r="D1071" i="14"/>
  <c r="I1071" i="14"/>
  <c r="C1072" i="14"/>
  <c r="D1053" i="14"/>
  <c r="I1053" i="14"/>
  <c r="C1054" i="14"/>
  <c r="D1035" i="14"/>
  <c r="I1035" i="14"/>
  <c r="C1036" i="14"/>
  <c r="D1017" i="14"/>
  <c r="I1017" i="14"/>
  <c r="C1018" i="14"/>
  <c r="D999" i="14"/>
  <c r="I999" i="14"/>
  <c r="C1000" i="14"/>
  <c r="D981" i="14"/>
  <c r="I981" i="14"/>
  <c r="C982" i="14"/>
  <c r="D963" i="14"/>
  <c r="I963" i="14"/>
  <c r="C964" i="14"/>
  <c r="D945" i="14"/>
  <c r="I945" i="14"/>
  <c r="C946" i="14"/>
  <c r="I927" i="14"/>
  <c r="D927" i="14"/>
  <c r="C928" i="14"/>
  <c r="I909" i="14"/>
  <c r="D909" i="14"/>
  <c r="C910" i="14"/>
  <c r="D891" i="14"/>
  <c r="I891" i="14"/>
  <c r="C892" i="14"/>
  <c r="D873" i="14"/>
  <c r="I873" i="14"/>
  <c r="C874" i="14"/>
  <c r="D855" i="14"/>
  <c r="I855" i="14"/>
  <c r="C856" i="14"/>
  <c r="D837" i="14"/>
  <c r="I837" i="14"/>
  <c r="C838" i="14"/>
  <c r="D819" i="14"/>
  <c r="I819" i="14"/>
  <c r="C820" i="14"/>
  <c r="D801" i="14"/>
  <c r="I801" i="14"/>
  <c r="C802" i="14"/>
  <c r="D783" i="14"/>
  <c r="I783" i="14"/>
  <c r="C784" i="14"/>
  <c r="D765" i="14"/>
  <c r="I765" i="14"/>
  <c r="C766" i="14"/>
  <c r="D747" i="14"/>
  <c r="I747" i="14"/>
  <c r="C748" i="14"/>
  <c r="D729" i="14"/>
  <c r="I729" i="14"/>
  <c r="C730" i="14"/>
  <c r="C712" i="14"/>
  <c r="I711" i="14"/>
  <c r="D711" i="14"/>
  <c r="D693" i="14"/>
  <c r="I693" i="14"/>
  <c r="C694" i="14"/>
  <c r="D675" i="14"/>
  <c r="I675" i="14"/>
  <c r="C676" i="14"/>
  <c r="D657" i="14"/>
  <c r="I657" i="14"/>
  <c r="C658" i="14"/>
  <c r="I639" i="14"/>
  <c r="D639" i="14"/>
  <c r="C640" i="14"/>
  <c r="D621" i="14"/>
  <c r="I621" i="14"/>
  <c r="C622" i="14"/>
  <c r="D603" i="14"/>
  <c r="I603" i="14"/>
  <c r="C604" i="14"/>
  <c r="D585" i="14"/>
  <c r="I585" i="14"/>
  <c r="C586" i="14"/>
  <c r="D567" i="14"/>
  <c r="I567" i="14"/>
  <c r="C568" i="14"/>
  <c r="D549" i="14"/>
  <c r="I549" i="14"/>
  <c r="C550" i="14"/>
  <c r="D531" i="14"/>
  <c r="I531" i="14"/>
  <c r="C532" i="14"/>
  <c r="D513" i="14"/>
  <c r="I513" i="14"/>
  <c r="C514" i="14"/>
  <c r="D495" i="14"/>
  <c r="I495" i="14"/>
  <c r="C496" i="14"/>
  <c r="D477" i="14"/>
  <c r="I477" i="14"/>
  <c r="C478" i="14"/>
  <c r="D459" i="14"/>
  <c r="I459" i="14"/>
  <c r="C460" i="14"/>
  <c r="D441" i="14"/>
  <c r="I441" i="14"/>
  <c r="C442" i="14"/>
  <c r="D423" i="14"/>
  <c r="I423" i="14"/>
  <c r="C424" i="14"/>
  <c r="D405" i="14"/>
  <c r="I405" i="14"/>
  <c r="C406" i="14"/>
  <c r="D387" i="14"/>
  <c r="I387" i="14"/>
  <c r="C388" i="14"/>
  <c r="D369" i="14"/>
  <c r="I369" i="14"/>
  <c r="C370" i="14"/>
  <c r="D351" i="14"/>
  <c r="I351" i="14"/>
  <c r="C352" i="14"/>
  <c r="D333" i="14"/>
  <c r="I333" i="14"/>
  <c r="C334" i="14"/>
  <c r="D315" i="14"/>
  <c r="I315" i="14"/>
  <c r="C316" i="14"/>
  <c r="D297" i="14"/>
  <c r="I297" i="14"/>
  <c r="C298" i="14"/>
  <c r="D279" i="14"/>
  <c r="I279" i="14"/>
  <c r="C280" i="14"/>
  <c r="D261" i="14"/>
  <c r="I261" i="14"/>
  <c r="C262" i="14"/>
  <c r="D243" i="14"/>
  <c r="I243" i="14"/>
  <c r="C244" i="14"/>
  <c r="D225" i="14"/>
  <c r="I225" i="14"/>
  <c r="C226" i="14"/>
  <c r="A225" i="14"/>
  <c r="J225" i="14" s="1"/>
  <c r="J26" i="14"/>
  <c r="A27" i="14"/>
  <c r="R43" i="11" l="1"/>
  <c r="R45" i="11" s="1"/>
  <c r="N8" i="12"/>
  <c r="M29" i="12" s="1"/>
  <c r="N11" i="12"/>
  <c r="M32" i="12" s="1"/>
  <c r="N10" i="12"/>
  <c r="N12" i="12"/>
  <c r="M33" i="12" s="1"/>
  <c r="N9" i="12"/>
  <c r="M30" i="12" s="1"/>
  <c r="K33" i="12"/>
  <c r="K43" i="12"/>
  <c r="K38" i="12"/>
  <c r="K30" i="12"/>
  <c r="K40" i="12"/>
  <c r="K35" i="12"/>
  <c r="K31" i="12"/>
  <c r="K41" i="12"/>
  <c r="K36" i="12"/>
  <c r="K32" i="12"/>
  <c r="K42" i="12"/>
  <c r="K37" i="12"/>
  <c r="M41" i="12"/>
  <c r="M35" i="12"/>
  <c r="M40" i="12"/>
  <c r="M37" i="12"/>
  <c r="M42" i="12"/>
  <c r="M38" i="12"/>
  <c r="M43" i="12"/>
  <c r="P11" i="12"/>
  <c r="P9" i="12"/>
  <c r="P12" i="12"/>
  <c r="P10" i="12"/>
  <c r="K22" i="12"/>
  <c r="K27" i="12"/>
  <c r="K28" i="12"/>
  <c r="K25" i="12"/>
  <c r="K26" i="12"/>
  <c r="K24" i="12"/>
  <c r="M17" i="12"/>
  <c r="Q14" i="12"/>
  <c r="R8" i="12" s="1"/>
  <c r="I45" i="12"/>
  <c r="O34" i="12"/>
  <c r="O39" i="12"/>
  <c r="N32" i="10"/>
  <c r="N52" i="10" s="1"/>
  <c r="N54" i="10" s="1"/>
  <c r="S8" i="12"/>
  <c r="O29" i="12"/>
  <c r="O30" i="12"/>
  <c r="O31" i="12"/>
  <c r="O32" i="12"/>
  <c r="O33" i="12"/>
  <c r="W23" i="18"/>
  <c r="T23" i="11" s="1"/>
  <c r="W25" i="18"/>
  <c r="U10" i="12" s="1"/>
  <c r="W26" i="18"/>
  <c r="U11" i="12" s="1"/>
  <c r="V21" i="18"/>
  <c r="S19" i="12" s="1"/>
  <c r="U19" i="18"/>
  <c r="S29" i="18"/>
  <c r="U11" i="18"/>
  <c r="U13" i="18" s="1"/>
  <c r="F29" i="18"/>
  <c r="F17" i="18"/>
  <c r="I17" i="18" s="1"/>
  <c r="K17" i="18" s="1"/>
  <c r="F121" i="18"/>
  <c r="I121" i="18" s="1"/>
  <c r="K121" i="18" s="1"/>
  <c r="I29" i="18"/>
  <c r="V10" i="18"/>
  <c r="F86" i="18"/>
  <c r="I86" i="18" s="1"/>
  <c r="K86" i="18" s="1"/>
  <c r="W22" i="18" s="1"/>
  <c r="U20" i="12" s="1"/>
  <c r="F30" i="18"/>
  <c r="I30" i="18" s="1"/>
  <c r="K30" i="18" s="1"/>
  <c r="F42" i="18"/>
  <c r="I42" i="18" s="1"/>
  <c r="K42" i="18" s="1"/>
  <c r="F54" i="18"/>
  <c r="I54" i="18" s="1"/>
  <c r="K54" i="18" s="1"/>
  <c r="F66" i="18"/>
  <c r="I66" i="18" s="1"/>
  <c r="K66" i="18" s="1"/>
  <c r="F273" i="18"/>
  <c r="I273" i="18" s="1"/>
  <c r="K273" i="18" s="1"/>
  <c r="W27" i="18" s="1"/>
  <c r="U12" i="12" s="1"/>
  <c r="F99" i="18"/>
  <c r="I99" i="18" s="1"/>
  <c r="K99" i="18" s="1"/>
  <c r="F111" i="18"/>
  <c r="I111" i="18" s="1"/>
  <c r="K111" i="18" s="1"/>
  <c r="F139" i="18"/>
  <c r="I139" i="18" s="1"/>
  <c r="K139" i="18" s="1"/>
  <c r="F150" i="18"/>
  <c r="I150" i="18" s="1"/>
  <c r="K150" i="18" s="1"/>
  <c r="F162" i="18"/>
  <c r="I162" i="18" s="1"/>
  <c r="K162" i="18" s="1"/>
  <c r="F174" i="18"/>
  <c r="I174" i="18" s="1"/>
  <c r="K174" i="18" s="1"/>
  <c r="F186" i="18"/>
  <c r="I186" i="18" s="1"/>
  <c r="K186" i="18" s="1"/>
  <c r="F198" i="18"/>
  <c r="I198" i="18" s="1"/>
  <c r="F210" i="18"/>
  <c r="I210" i="18" s="1"/>
  <c r="K210" i="18" s="1"/>
  <c r="F226" i="18"/>
  <c r="I226" i="18" s="1"/>
  <c r="K226" i="18" s="1"/>
  <c r="F239" i="18"/>
  <c r="I239" i="18" s="1"/>
  <c r="K239" i="18" s="1"/>
  <c r="F250" i="18"/>
  <c r="I250" i="18" s="1"/>
  <c r="K250" i="18" s="1"/>
  <c r="F262" i="18"/>
  <c r="I262" i="18" s="1"/>
  <c r="K262" i="18" s="1"/>
  <c r="F286" i="18"/>
  <c r="I286" i="18" s="1"/>
  <c r="K286" i="18" s="1"/>
  <c r="F298" i="18"/>
  <c r="I298" i="18" s="1"/>
  <c r="K298" i="18" s="1"/>
  <c r="F304" i="18"/>
  <c r="I304" i="18" s="1"/>
  <c r="K304" i="18" s="1"/>
  <c r="W24" i="18" s="1"/>
  <c r="U9" i="12" s="1"/>
  <c r="F310" i="18"/>
  <c r="I310" i="18" s="1"/>
  <c r="K310" i="18" s="1"/>
  <c r="F319" i="18"/>
  <c r="I319" i="18" s="1"/>
  <c r="K319" i="18" s="1"/>
  <c r="F324" i="18"/>
  <c r="I324" i="18" s="1"/>
  <c r="K324" i="18" s="1"/>
  <c r="H49" i="16"/>
  <c r="A2190" i="14"/>
  <c r="D2152" i="14"/>
  <c r="I2152" i="14"/>
  <c r="C2153" i="14"/>
  <c r="D2134" i="14"/>
  <c r="I2134" i="14"/>
  <c r="C2135" i="14"/>
  <c r="D2116" i="14"/>
  <c r="I2116" i="14"/>
  <c r="C2117" i="14"/>
  <c r="D2098" i="14"/>
  <c r="I2098" i="14"/>
  <c r="C2099" i="14"/>
  <c r="D2080" i="14"/>
  <c r="I2080" i="14"/>
  <c r="C2081" i="14"/>
  <c r="D2062" i="14"/>
  <c r="I2062" i="14"/>
  <c r="C2063" i="14"/>
  <c r="D2044" i="14"/>
  <c r="I2044" i="14"/>
  <c r="C2045" i="14"/>
  <c r="D2026" i="14"/>
  <c r="I2026" i="14"/>
  <c r="C2027" i="14"/>
  <c r="D2008" i="14"/>
  <c r="I2008" i="14"/>
  <c r="C2009" i="14"/>
  <c r="D1990" i="14"/>
  <c r="I1990" i="14"/>
  <c r="C1991" i="14"/>
  <c r="D1972" i="14"/>
  <c r="I1972" i="14"/>
  <c r="C1973" i="14"/>
  <c r="D1954" i="14"/>
  <c r="I1954" i="14"/>
  <c r="C1955" i="14"/>
  <c r="D1936" i="14"/>
  <c r="I1936" i="14"/>
  <c r="C1937" i="14"/>
  <c r="D1918" i="14"/>
  <c r="I1918" i="14"/>
  <c r="C1919" i="14"/>
  <c r="D1900" i="14"/>
  <c r="I1900" i="14"/>
  <c r="C1901" i="14"/>
  <c r="D1882" i="14"/>
  <c r="I1882" i="14"/>
  <c r="C1883" i="14"/>
  <c r="D1864" i="14"/>
  <c r="I1864" i="14"/>
  <c r="C1865" i="14"/>
  <c r="D1846" i="14"/>
  <c r="I1846" i="14"/>
  <c r="C1847" i="14"/>
  <c r="D1828" i="14"/>
  <c r="I1828" i="14"/>
  <c r="C1829" i="14"/>
  <c r="D1810" i="14"/>
  <c r="I1810" i="14"/>
  <c r="C1811" i="14"/>
  <c r="D1792" i="14"/>
  <c r="I1792" i="14"/>
  <c r="C1793" i="14"/>
  <c r="D1774" i="14"/>
  <c r="I1774" i="14"/>
  <c r="C1775" i="14"/>
  <c r="D1756" i="14"/>
  <c r="I1756" i="14"/>
  <c r="C1757" i="14"/>
  <c r="D1738" i="14"/>
  <c r="I1738" i="14"/>
  <c r="C1739" i="14"/>
  <c r="D1720" i="14"/>
  <c r="I1720" i="14"/>
  <c r="C1721" i="14"/>
  <c r="D1702" i="14"/>
  <c r="I1702" i="14"/>
  <c r="C1703" i="14"/>
  <c r="D1684" i="14"/>
  <c r="I1684" i="14"/>
  <c r="C1685" i="14"/>
  <c r="D1666" i="14"/>
  <c r="I1666" i="14"/>
  <c r="C1667" i="14"/>
  <c r="D1648" i="14"/>
  <c r="I1648" i="14"/>
  <c r="C1649" i="14"/>
  <c r="D1630" i="14"/>
  <c r="I1630" i="14"/>
  <c r="C1631" i="14"/>
  <c r="D1612" i="14"/>
  <c r="I1612" i="14"/>
  <c r="C1613" i="14"/>
  <c r="D1594" i="14"/>
  <c r="I1594" i="14"/>
  <c r="C1595" i="14"/>
  <c r="D1576" i="14"/>
  <c r="I1576" i="14"/>
  <c r="C1577" i="14"/>
  <c r="D1558" i="14"/>
  <c r="I1558" i="14"/>
  <c r="C1559" i="14"/>
  <c r="D1540" i="14"/>
  <c r="I1540" i="14"/>
  <c r="C1541" i="14"/>
  <c r="D1522" i="14"/>
  <c r="I1522" i="14"/>
  <c r="C1523" i="14"/>
  <c r="D1504" i="14"/>
  <c r="I1504" i="14"/>
  <c r="C1505" i="14"/>
  <c r="D1486" i="14"/>
  <c r="I1486" i="14"/>
  <c r="C1487" i="14"/>
  <c r="D1468" i="14"/>
  <c r="I1468" i="14"/>
  <c r="C1469" i="14"/>
  <c r="D1450" i="14"/>
  <c r="I1450" i="14"/>
  <c r="C1451" i="14"/>
  <c r="D1432" i="14"/>
  <c r="I1432" i="14"/>
  <c r="C1433" i="14"/>
  <c r="D1414" i="14"/>
  <c r="I1414" i="14"/>
  <c r="C1415" i="14"/>
  <c r="D1396" i="14"/>
  <c r="I1396" i="14"/>
  <c r="C1397" i="14"/>
  <c r="D1378" i="14"/>
  <c r="I1378" i="14"/>
  <c r="C1379" i="14"/>
  <c r="D1360" i="14"/>
  <c r="I1360" i="14"/>
  <c r="C1361" i="14"/>
  <c r="D1342" i="14"/>
  <c r="I1342" i="14"/>
  <c r="C1343" i="14"/>
  <c r="D1324" i="14"/>
  <c r="I1324" i="14"/>
  <c r="C1325" i="14"/>
  <c r="D1306" i="14"/>
  <c r="I1306" i="14"/>
  <c r="C1307" i="14"/>
  <c r="D1288" i="14"/>
  <c r="I1288" i="14"/>
  <c r="C1289" i="14"/>
  <c r="D1270" i="14"/>
  <c r="I1270" i="14"/>
  <c r="C1271" i="14"/>
  <c r="D1252" i="14"/>
  <c r="I1252" i="14"/>
  <c r="C1253" i="14"/>
  <c r="D1234" i="14"/>
  <c r="I1234" i="14"/>
  <c r="C1235" i="14"/>
  <c r="D1216" i="14"/>
  <c r="I1216" i="14"/>
  <c r="C1217" i="14"/>
  <c r="D1198" i="14"/>
  <c r="I1198" i="14"/>
  <c r="C1199" i="14"/>
  <c r="D1180" i="14"/>
  <c r="I1180" i="14"/>
  <c r="C1181" i="14"/>
  <c r="D1162" i="14"/>
  <c r="I1162" i="14"/>
  <c r="C1163" i="14"/>
  <c r="D1144" i="14"/>
  <c r="I1144" i="14"/>
  <c r="C1145" i="14"/>
  <c r="D1126" i="14"/>
  <c r="I1126" i="14"/>
  <c r="C1127" i="14"/>
  <c r="D1108" i="14"/>
  <c r="I1108" i="14"/>
  <c r="C1109" i="14"/>
  <c r="D1090" i="14"/>
  <c r="I1090" i="14"/>
  <c r="C1091" i="14"/>
  <c r="D1072" i="14"/>
  <c r="I1072" i="14"/>
  <c r="C1073" i="14"/>
  <c r="D1054" i="14"/>
  <c r="I1054" i="14"/>
  <c r="C1055" i="14"/>
  <c r="D1036" i="14"/>
  <c r="I1036" i="14"/>
  <c r="C1037" i="14"/>
  <c r="D1018" i="14"/>
  <c r="I1018" i="14"/>
  <c r="C1019" i="14"/>
  <c r="D1000" i="14"/>
  <c r="I1000" i="14"/>
  <c r="C1001" i="14"/>
  <c r="D982" i="14"/>
  <c r="I982" i="14"/>
  <c r="C983" i="14"/>
  <c r="D964" i="14"/>
  <c r="I964" i="14"/>
  <c r="C965" i="14"/>
  <c r="D946" i="14"/>
  <c r="I946" i="14"/>
  <c r="C947" i="14"/>
  <c r="D928" i="14"/>
  <c r="C929" i="14"/>
  <c r="I928" i="14"/>
  <c r="D910" i="14"/>
  <c r="I910" i="14"/>
  <c r="C911" i="14"/>
  <c r="D892" i="14"/>
  <c r="I892" i="14"/>
  <c r="C893" i="14"/>
  <c r="D874" i="14"/>
  <c r="I874" i="14"/>
  <c r="C875" i="14"/>
  <c r="I856" i="14"/>
  <c r="D856" i="14"/>
  <c r="C857" i="14"/>
  <c r="D838" i="14"/>
  <c r="I838" i="14"/>
  <c r="C839" i="14"/>
  <c r="D820" i="14"/>
  <c r="I820" i="14"/>
  <c r="C821" i="14"/>
  <c r="D802" i="14"/>
  <c r="I802" i="14"/>
  <c r="C803" i="14"/>
  <c r="C785" i="14"/>
  <c r="D784" i="14"/>
  <c r="I784" i="14"/>
  <c r="D766" i="14"/>
  <c r="I766" i="14"/>
  <c r="C767" i="14"/>
  <c r="D748" i="14"/>
  <c r="I748" i="14"/>
  <c r="C749" i="14"/>
  <c r="D730" i="14"/>
  <c r="I730" i="14"/>
  <c r="C731" i="14"/>
  <c r="D712" i="14"/>
  <c r="I712" i="14"/>
  <c r="C713" i="14"/>
  <c r="D694" i="14"/>
  <c r="C695" i="14"/>
  <c r="I694" i="14"/>
  <c r="D676" i="14"/>
  <c r="I676" i="14"/>
  <c r="C677" i="14"/>
  <c r="D658" i="14"/>
  <c r="I658" i="14"/>
  <c r="C659" i="14"/>
  <c r="D640" i="14"/>
  <c r="I640" i="14"/>
  <c r="C641" i="14"/>
  <c r="D622" i="14"/>
  <c r="I622" i="14"/>
  <c r="C623" i="14"/>
  <c r="D604" i="14"/>
  <c r="I604" i="14"/>
  <c r="C605" i="14"/>
  <c r="D586" i="14"/>
  <c r="I586" i="14"/>
  <c r="C587" i="14"/>
  <c r="D568" i="14"/>
  <c r="I568" i="14"/>
  <c r="C569" i="14"/>
  <c r="D550" i="14"/>
  <c r="I550" i="14"/>
  <c r="C551" i="14"/>
  <c r="D532" i="14"/>
  <c r="I532" i="14"/>
  <c r="C533" i="14"/>
  <c r="D514" i="14"/>
  <c r="I514" i="14"/>
  <c r="C515" i="14"/>
  <c r="D496" i="14"/>
  <c r="I496" i="14"/>
  <c r="C497" i="14"/>
  <c r="D478" i="14"/>
  <c r="I478" i="14"/>
  <c r="C479" i="14"/>
  <c r="D460" i="14"/>
  <c r="I460" i="14"/>
  <c r="C461" i="14"/>
  <c r="D442" i="14"/>
  <c r="I442" i="14"/>
  <c r="C443" i="14"/>
  <c r="D424" i="14"/>
  <c r="I424" i="14"/>
  <c r="C425" i="14"/>
  <c r="D406" i="14"/>
  <c r="I406" i="14"/>
  <c r="C407" i="14"/>
  <c r="D388" i="14"/>
  <c r="I388" i="14"/>
  <c r="C389" i="14"/>
  <c r="D370" i="14"/>
  <c r="I370" i="14"/>
  <c r="C371" i="14"/>
  <c r="D352" i="14"/>
  <c r="I352" i="14"/>
  <c r="C353" i="14"/>
  <c r="D334" i="14"/>
  <c r="I334" i="14"/>
  <c r="C335" i="14"/>
  <c r="D316" i="14"/>
  <c r="I316" i="14"/>
  <c r="C317" i="14"/>
  <c r="D298" i="14"/>
  <c r="I298" i="14"/>
  <c r="C299" i="14"/>
  <c r="D280" i="14"/>
  <c r="I280" i="14"/>
  <c r="C281" i="14"/>
  <c r="D262" i="14"/>
  <c r="I262" i="14"/>
  <c r="C263" i="14"/>
  <c r="D244" i="14"/>
  <c r="I244" i="14"/>
  <c r="C245" i="14"/>
  <c r="D226" i="14"/>
  <c r="I226" i="14"/>
  <c r="C227" i="14"/>
  <c r="A226" i="14"/>
  <c r="J226" i="14" s="1"/>
  <c r="J27" i="14"/>
  <c r="A28" i="14"/>
  <c r="M31" i="12" l="1"/>
  <c r="M36" i="12"/>
  <c r="K45" i="12"/>
  <c r="T43" i="11"/>
  <c r="T45" i="11" s="1"/>
  <c r="M34" i="12"/>
  <c r="M39" i="12"/>
  <c r="O37" i="12"/>
  <c r="O42" i="12"/>
  <c r="O35" i="12"/>
  <c r="O40" i="12"/>
  <c r="O38" i="12"/>
  <c r="O43" i="12"/>
  <c r="O36" i="12"/>
  <c r="O41" i="12"/>
  <c r="M24" i="12"/>
  <c r="M28" i="12"/>
  <c r="M25" i="12"/>
  <c r="M26" i="12"/>
  <c r="M27" i="12"/>
  <c r="M22" i="12"/>
  <c r="R11" i="12"/>
  <c r="R10" i="12"/>
  <c r="R9" i="12"/>
  <c r="R12" i="12"/>
  <c r="O17" i="12"/>
  <c r="S14" i="12"/>
  <c r="T8" i="12" s="1"/>
  <c r="X26" i="18"/>
  <c r="W11" i="12" s="1"/>
  <c r="Q34" i="12"/>
  <c r="Q29" i="12"/>
  <c r="Q39" i="12"/>
  <c r="U8" i="12"/>
  <c r="V19" i="18"/>
  <c r="X23" i="18"/>
  <c r="V23" i="11" s="1"/>
  <c r="W20" i="18"/>
  <c r="U18" i="12" s="1"/>
  <c r="W21" i="18"/>
  <c r="U19" i="12" s="1"/>
  <c r="V11" i="18"/>
  <c r="V13" i="18" s="1"/>
  <c r="K29" i="18"/>
  <c r="V20" i="18" s="1"/>
  <c r="S18" i="12" s="1"/>
  <c r="F199" i="18"/>
  <c r="I199" i="18" s="1"/>
  <c r="K198" i="18"/>
  <c r="X25" i="18" s="1"/>
  <c r="W10" i="12" s="1"/>
  <c r="T29" i="18"/>
  <c r="F18" i="18"/>
  <c r="I18" i="18" s="1"/>
  <c r="K18" i="18" s="1"/>
  <c r="F122" i="18"/>
  <c r="I326" i="18"/>
  <c r="K326" i="18" s="1"/>
  <c r="F87" i="18"/>
  <c r="I87" i="18" s="1"/>
  <c r="K87" i="18" s="1"/>
  <c r="X22" i="18" s="1"/>
  <c r="W20" i="12" s="1"/>
  <c r="F31" i="18"/>
  <c r="I31" i="18" s="1"/>
  <c r="K31" i="18" s="1"/>
  <c r="F43" i="18"/>
  <c r="I43" i="18" s="1"/>
  <c r="K43" i="18" s="1"/>
  <c r="F55" i="18"/>
  <c r="I55" i="18" s="1"/>
  <c r="K55" i="18" s="1"/>
  <c r="F67" i="18"/>
  <c r="I67" i="18" s="1"/>
  <c r="K67" i="18" s="1"/>
  <c r="F274" i="18"/>
  <c r="I274" i="18" s="1"/>
  <c r="K274" i="18" s="1"/>
  <c r="X27" i="18" s="1"/>
  <c r="W12" i="12" s="1"/>
  <c r="F100" i="18"/>
  <c r="I100" i="18" s="1"/>
  <c r="K100" i="18" s="1"/>
  <c r="F112" i="18"/>
  <c r="I112" i="18" s="1"/>
  <c r="K112" i="18" s="1"/>
  <c r="F140" i="18"/>
  <c r="I140" i="18" s="1"/>
  <c r="K140" i="18" s="1"/>
  <c r="F151" i="18"/>
  <c r="I151" i="18" s="1"/>
  <c r="K151" i="18" s="1"/>
  <c r="F163" i="18"/>
  <c r="I163" i="18" s="1"/>
  <c r="K163" i="18" s="1"/>
  <c r="F175" i="18"/>
  <c r="I175" i="18" s="1"/>
  <c r="K175" i="18" s="1"/>
  <c r="F187" i="18"/>
  <c r="I187" i="18" s="1"/>
  <c r="K187" i="18" s="1"/>
  <c r="F227" i="18"/>
  <c r="I227" i="18" s="1"/>
  <c r="K227" i="18" s="1"/>
  <c r="F240" i="18"/>
  <c r="I240" i="18" s="1"/>
  <c r="K240" i="18" s="1"/>
  <c r="F251" i="18"/>
  <c r="I251" i="18" s="1"/>
  <c r="K251" i="18" s="1"/>
  <c r="F263" i="18"/>
  <c r="I263" i="18" s="1"/>
  <c r="K263" i="18" s="1"/>
  <c r="F287" i="18"/>
  <c r="I287" i="18" s="1"/>
  <c r="K287" i="18" s="1"/>
  <c r="F299" i="18"/>
  <c r="I299" i="18" s="1"/>
  <c r="K299" i="18" s="1"/>
  <c r="F305" i="18"/>
  <c r="I305" i="18" s="1"/>
  <c r="K305" i="18" s="1"/>
  <c r="X24" i="18" s="1"/>
  <c r="W9" i="12" s="1"/>
  <c r="F311" i="18"/>
  <c r="I311" i="18" s="1"/>
  <c r="K311" i="18" s="1"/>
  <c r="F320" i="18"/>
  <c r="I320" i="18" s="1"/>
  <c r="K320" i="18" s="1"/>
  <c r="F325" i="18"/>
  <c r="I325" i="18" s="1"/>
  <c r="K325" i="18" s="1"/>
  <c r="A2191" i="14"/>
  <c r="D2153" i="14"/>
  <c r="I2153" i="14"/>
  <c r="C2154" i="14"/>
  <c r="D2135" i="14"/>
  <c r="I2135" i="14"/>
  <c r="C2136" i="14"/>
  <c r="D2117" i="14"/>
  <c r="I2117" i="14"/>
  <c r="C2118" i="14"/>
  <c r="D2099" i="14"/>
  <c r="I2099" i="14"/>
  <c r="C2100" i="14"/>
  <c r="D2081" i="14"/>
  <c r="I2081" i="14"/>
  <c r="C2082" i="14"/>
  <c r="D2063" i="14"/>
  <c r="I2063" i="14"/>
  <c r="C2064" i="14"/>
  <c r="D2045" i="14"/>
  <c r="I2045" i="14"/>
  <c r="C2046" i="14"/>
  <c r="D2027" i="14"/>
  <c r="I2027" i="14"/>
  <c r="C2028" i="14"/>
  <c r="D2009" i="14"/>
  <c r="I2009" i="14"/>
  <c r="C2010" i="14"/>
  <c r="D1991" i="14"/>
  <c r="I1991" i="14"/>
  <c r="C1992" i="14"/>
  <c r="D1973" i="14"/>
  <c r="I1973" i="14"/>
  <c r="C1974" i="14"/>
  <c r="D1955" i="14"/>
  <c r="I1955" i="14"/>
  <c r="C1956" i="14"/>
  <c r="D1937" i="14"/>
  <c r="I1937" i="14"/>
  <c r="C1938" i="14"/>
  <c r="D1919" i="14"/>
  <c r="I1919" i="14"/>
  <c r="C1920" i="14"/>
  <c r="D1901" i="14"/>
  <c r="I1901" i="14"/>
  <c r="C1902" i="14"/>
  <c r="D1883" i="14"/>
  <c r="I1883" i="14"/>
  <c r="C1884" i="14"/>
  <c r="D1865" i="14"/>
  <c r="I1865" i="14"/>
  <c r="C1866" i="14"/>
  <c r="D1847" i="14"/>
  <c r="I1847" i="14"/>
  <c r="C1848" i="14"/>
  <c r="D1829" i="14"/>
  <c r="I1829" i="14"/>
  <c r="C1830" i="14"/>
  <c r="D1811" i="14"/>
  <c r="I1811" i="14"/>
  <c r="C1812" i="14"/>
  <c r="D1793" i="14"/>
  <c r="I1793" i="14"/>
  <c r="C1794" i="14"/>
  <c r="D1775" i="14"/>
  <c r="I1775" i="14"/>
  <c r="C1776" i="14"/>
  <c r="D1757" i="14"/>
  <c r="I1757" i="14"/>
  <c r="C1758" i="14"/>
  <c r="D1739" i="14"/>
  <c r="I1739" i="14"/>
  <c r="C1740" i="14"/>
  <c r="D1721" i="14"/>
  <c r="I1721" i="14"/>
  <c r="C1722" i="14"/>
  <c r="D1703" i="14"/>
  <c r="I1703" i="14"/>
  <c r="C1704" i="14"/>
  <c r="D1685" i="14"/>
  <c r="I1685" i="14"/>
  <c r="C1686" i="14"/>
  <c r="D1667" i="14"/>
  <c r="I1667" i="14"/>
  <c r="C1668" i="14"/>
  <c r="D1649" i="14"/>
  <c r="I1649" i="14"/>
  <c r="C1650" i="14"/>
  <c r="D1631" i="14"/>
  <c r="I1631" i="14"/>
  <c r="C1632" i="14"/>
  <c r="D1613" i="14"/>
  <c r="I1613" i="14"/>
  <c r="C1614" i="14"/>
  <c r="D1595" i="14"/>
  <c r="I1595" i="14"/>
  <c r="C1596" i="14"/>
  <c r="D1577" i="14"/>
  <c r="I1577" i="14"/>
  <c r="C1578" i="14"/>
  <c r="D1559" i="14"/>
  <c r="I1559" i="14"/>
  <c r="C1560" i="14"/>
  <c r="D1541" i="14"/>
  <c r="I1541" i="14"/>
  <c r="C1542" i="14"/>
  <c r="D1523" i="14"/>
  <c r="I1523" i="14"/>
  <c r="C1524" i="14"/>
  <c r="D1505" i="14"/>
  <c r="I1505" i="14"/>
  <c r="C1506" i="14"/>
  <c r="D1487" i="14"/>
  <c r="I1487" i="14"/>
  <c r="C1488" i="14"/>
  <c r="D1469" i="14"/>
  <c r="I1469" i="14"/>
  <c r="C1470" i="14"/>
  <c r="D1451" i="14"/>
  <c r="I1451" i="14"/>
  <c r="C1452" i="14"/>
  <c r="D1433" i="14"/>
  <c r="I1433" i="14"/>
  <c r="C1434" i="14"/>
  <c r="D1415" i="14"/>
  <c r="I1415" i="14"/>
  <c r="C1416" i="14"/>
  <c r="D1397" i="14"/>
  <c r="C1398" i="14"/>
  <c r="I1397" i="14"/>
  <c r="D1379" i="14"/>
  <c r="I1379" i="14"/>
  <c r="C1380" i="14"/>
  <c r="D1361" i="14"/>
  <c r="I1361" i="14"/>
  <c r="C1362" i="14"/>
  <c r="D1343" i="14"/>
  <c r="I1343" i="14"/>
  <c r="C1344" i="14"/>
  <c r="D1325" i="14"/>
  <c r="I1325" i="14"/>
  <c r="C1326" i="14"/>
  <c r="D1307" i="14"/>
  <c r="I1307" i="14"/>
  <c r="C1308" i="14"/>
  <c r="D1289" i="14"/>
  <c r="I1289" i="14"/>
  <c r="C1290" i="14"/>
  <c r="D1271" i="14"/>
  <c r="I1271" i="14"/>
  <c r="C1272" i="14"/>
  <c r="D1253" i="14"/>
  <c r="I1253" i="14"/>
  <c r="C1254" i="14"/>
  <c r="D1235" i="14"/>
  <c r="I1235" i="14"/>
  <c r="C1236" i="14"/>
  <c r="D1217" i="14"/>
  <c r="I1217" i="14"/>
  <c r="C1218" i="14"/>
  <c r="D1199" i="14"/>
  <c r="I1199" i="14"/>
  <c r="C1200" i="14"/>
  <c r="D1181" i="14"/>
  <c r="I1181" i="14"/>
  <c r="C1182" i="14"/>
  <c r="D1163" i="14"/>
  <c r="I1163" i="14"/>
  <c r="C1164" i="14"/>
  <c r="D1145" i="14"/>
  <c r="I1145" i="14"/>
  <c r="C1146" i="14"/>
  <c r="D1127" i="14"/>
  <c r="I1127" i="14"/>
  <c r="C1128" i="14"/>
  <c r="D1109" i="14"/>
  <c r="I1109" i="14"/>
  <c r="C1110" i="14"/>
  <c r="D1091" i="14"/>
  <c r="I1091" i="14"/>
  <c r="C1092" i="14"/>
  <c r="D1073" i="14"/>
  <c r="I1073" i="14"/>
  <c r="C1074" i="14"/>
  <c r="D1055" i="14"/>
  <c r="I1055" i="14"/>
  <c r="C1056" i="14"/>
  <c r="D1037" i="14"/>
  <c r="I1037" i="14"/>
  <c r="C1038" i="14"/>
  <c r="D1019" i="14"/>
  <c r="I1019" i="14"/>
  <c r="C1020" i="14"/>
  <c r="D1001" i="14"/>
  <c r="I1001" i="14"/>
  <c r="C1002" i="14"/>
  <c r="D983" i="14"/>
  <c r="I983" i="14"/>
  <c r="C984" i="14"/>
  <c r="I965" i="14"/>
  <c r="D965" i="14"/>
  <c r="C966" i="14"/>
  <c r="D947" i="14"/>
  <c r="I947" i="14"/>
  <c r="C948" i="14"/>
  <c r="D929" i="14"/>
  <c r="I929" i="14"/>
  <c r="C930" i="14"/>
  <c r="D911" i="14"/>
  <c r="I911" i="14"/>
  <c r="C912" i="14"/>
  <c r="D893" i="14"/>
  <c r="I893" i="14"/>
  <c r="C894" i="14"/>
  <c r="D875" i="14"/>
  <c r="C876" i="14"/>
  <c r="I875" i="14"/>
  <c r="D857" i="14"/>
  <c r="I857" i="14"/>
  <c r="C858" i="14"/>
  <c r="D839" i="14"/>
  <c r="I839" i="14"/>
  <c r="C840" i="14"/>
  <c r="D821" i="14"/>
  <c r="I821" i="14"/>
  <c r="C822" i="14"/>
  <c r="D803" i="14"/>
  <c r="I803" i="14"/>
  <c r="C804" i="14"/>
  <c r="D785" i="14"/>
  <c r="I785" i="14"/>
  <c r="C786" i="14"/>
  <c r="D767" i="14"/>
  <c r="I767" i="14"/>
  <c r="C768" i="14"/>
  <c r="D749" i="14"/>
  <c r="I749" i="14"/>
  <c r="C750" i="14"/>
  <c r="I731" i="14"/>
  <c r="D731" i="14"/>
  <c r="C732" i="14"/>
  <c r="C714" i="14"/>
  <c r="I713" i="14"/>
  <c r="D713" i="14"/>
  <c r="D695" i="14"/>
  <c r="I695" i="14"/>
  <c r="C696" i="14"/>
  <c r="D677" i="14"/>
  <c r="I677" i="14"/>
  <c r="C678" i="14"/>
  <c r="I659" i="14"/>
  <c r="C660" i="14"/>
  <c r="D659" i="14"/>
  <c r="D641" i="14"/>
  <c r="I641" i="14"/>
  <c r="C642" i="14"/>
  <c r="D623" i="14"/>
  <c r="C624" i="14"/>
  <c r="I623" i="14"/>
  <c r="D605" i="14"/>
  <c r="I605" i="14"/>
  <c r="C606" i="14"/>
  <c r="D587" i="14"/>
  <c r="I587" i="14"/>
  <c r="C588" i="14"/>
  <c r="D569" i="14"/>
  <c r="I569" i="14"/>
  <c r="C570" i="14"/>
  <c r="D551" i="14"/>
  <c r="I551" i="14"/>
  <c r="C552" i="14"/>
  <c r="D533" i="14"/>
  <c r="I533" i="14"/>
  <c r="C534" i="14"/>
  <c r="D515" i="14"/>
  <c r="I515" i="14"/>
  <c r="C516" i="14"/>
  <c r="D497" i="14"/>
  <c r="I497" i="14"/>
  <c r="C498" i="14"/>
  <c r="D479" i="14"/>
  <c r="I479" i="14"/>
  <c r="C480" i="14"/>
  <c r="D461" i="14"/>
  <c r="I461" i="14"/>
  <c r="C462" i="14"/>
  <c r="D443" i="14"/>
  <c r="I443" i="14"/>
  <c r="C444" i="14"/>
  <c r="D425" i="14"/>
  <c r="I425" i="14"/>
  <c r="C426" i="14"/>
  <c r="D407" i="14"/>
  <c r="I407" i="14"/>
  <c r="C408" i="14"/>
  <c r="D389" i="14"/>
  <c r="I389" i="14"/>
  <c r="C390" i="14"/>
  <c r="D371" i="14"/>
  <c r="I371" i="14"/>
  <c r="C372" i="14"/>
  <c r="D353" i="14"/>
  <c r="I353" i="14"/>
  <c r="C354" i="14"/>
  <c r="D335" i="14"/>
  <c r="I335" i="14"/>
  <c r="C336" i="14"/>
  <c r="D317" i="14"/>
  <c r="I317" i="14"/>
  <c r="C318" i="14"/>
  <c r="D299" i="14"/>
  <c r="I299" i="14"/>
  <c r="C300" i="14"/>
  <c r="D281" i="14"/>
  <c r="I281" i="14"/>
  <c r="C282" i="14"/>
  <c r="D263" i="14"/>
  <c r="I263" i="14"/>
  <c r="C264" i="14"/>
  <c r="D245" i="14"/>
  <c r="I245" i="14"/>
  <c r="C246" i="14"/>
  <c r="D227" i="14"/>
  <c r="I227" i="14"/>
  <c r="J227" i="14"/>
  <c r="C228" i="14"/>
  <c r="A227" i="14"/>
  <c r="J28" i="14"/>
  <c r="A29" i="14"/>
  <c r="Q17" i="12" l="1"/>
  <c r="P32" i="10"/>
  <c r="P52" i="10" s="1"/>
  <c r="P54" i="10" s="1"/>
  <c r="V43" i="11"/>
  <c r="V45" i="11" s="1"/>
  <c r="K199" i="18"/>
  <c r="F200" i="18"/>
  <c r="I200" i="18" s="1"/>
  <c r="K200" i="18" s="1"/>
  <c r="Q37" i="12"/>
  <c r="Q32" i="12"/>
  <c r="Q42" i="12"/>
  <c r="Q36" i="12"/>
  <c r="Q31" i="12"/>
  <c r="Q41" i="12"/>
  <c r="Q35" i="12"/>
  <c r="Q30" i="12"/>
  <c r="Q40" i="12"/>
  <c r="Q38" i="12"/>
  <c r="Q33" i="12"/>
  <c r="Q43" i="12"/>
  <c r="O24" i="12"/>
  <c r="O25" i="12"/>
  <c r="O26" i="12"/>
  <c r="O27" i="12"/>
  <c r="O28" i="12"/>
  <c r="O22" i="12"/>
  <c r="T12" i="12"/>
  <c r="T11" i="12"/>
  <c r="T9" i="12"/>
  <c r="T10" i="12"/>
  <c r="U14" i="12"/>
  <c r="V8" i="12" s="1"/>
  <c r="Y25" i="18"/>
  <c r="Y10" i="12" s="1"/>
  <c r="M45" i="12"/>
  <c r="S34" i="12"/>
  <c r="S39" i="12"/>
  <c r="W8" i="12"/>
  <c r="S29" i="12"/>
  <c r="S33" i="12"/>
  <c r="S32" i="12"/>
  <c r="S31" i="12"/>
  <c r="S30" i="12"/>
  <c r="Y26" i="18"/>
  <c r="Y11" i="12" s="1"/>
  <c r="X20" i="18"/>
  <c r="W18" i="12" s="1"/>
  <c r="X21" i="18"/>
  <c r="W19" i="12" s="1"/>
  <c r="Y23" i="18"/>
  <c r="U29" i="18"/>
  <c r="F19" i="18"/>
  <c r="I19" i="18" s="1"/>
  <c r="K19" i="18" s="1"/>
  <c r="W10" i="18"/>
  <c r="I122" i="18"/>
  <c r="K122" i="18" s="1"/>
  <c r="W19" i="18" s="1"/>
  <c r="F327" i="18"/>
  <c r="I327" i="18" s="1"/>
  <c r="K327" i="18" s="1"/>
  <c r="F88" i="18"/>
  <c r="I88" i="18" s="1"/>
  <c r="K88" i="18" s="1"/>
  <c r="Y22" i="18" s="1"/>
  <c r="Y20" i="12" s="1"/>
  <c r="F32" i="18"/>
  <c r="I32" i="18" s="1"/>
  <c r="K32" i="18" s="1"/>
  <c r="F44" i="18"/>
  <c r="I44" i="18" s="1"/>
  <c r="K44" i="18" s="1"/>
  <c r="F56" i="18"/>
  <c r="I56" i="18" s="1"/>
  <c r="K56" i="18" s="1"/>
  <c r="F68" i="18"/>
  <c r="I68" i="18" s="1"/>
  <c r="K68" i="18" s="1"/>
  <c r="F275" i="18"/>
  <c r="I275" i="18" s="1"/>
  <c r="K275" i="18" s="1"/>
  <c r="Y27" i="18" s="1"/>
  <c r="Y12" i="12" s="1"/>
  <c r="F101" i="18"/>
  <c r="I101" i="18" s="1"/>
  <c r="K101" i="18" s="1"/>
  <c r="F113" i="18"/>
  <c r="I113" i="18" s="1"/>
  <c r="K113" i="18" s="1"/>
  <c r="F152" i="18"/>
  <c r="I152" i="18" s="1"/>
  <c r="K152" i="18" s="1"/>
  <c r="F164" i="18"/>
  <c r="I164" i="18" s="1"/>
  <c r="K164" i="18" s="1"/>
  <c r="F176" i="18"/>
  <c r="I176" i="18" s="1"/>
  <c r="K176" i="18" s="1"/>
  <c r="F188" i="18"/>
  <c r="I188" i="18" s="1"/>
  <c r="K188" i="18" s="1"/>
  <c r="Z25" i="18" s="1"/>
  <c r="AA10" i="12" s="1"/>
  <c r="F228" i="18"/>
  <c r="I228" i="18" s="1"/>
  <c r="K228" i="18" s="1"/>
  <c r="F252" i="18"/>
  <c r="I252" i="18" s="1"/>
  <c r="K252" i="18" s="1"/>
  <c r="F264" i="18"/>
  <c r="I264" i="18" s="1"/>
  <c r="K264" i="18" s="1"/>
  <c r="F288" i="18"/>
  <c r="I288" i="18" s="1"/>
  <c r="K288" i="18" s="1"/>
  <c r="F306" i="18"/>
  <c r="I306" i="18" s="1"/>
  <c r="K306" i="18" s="1"/>
  <c r="Y24" i="18" s="1"/>
  <c r="Y9" i="12" s="1"/>
  <c r="F312" i="18"/>
  <c r="I312" i="18" s="1"/>
  <c r="K312" i="18" s="1"/>
  <c r="F321" i="18"/>
  <c r="I321" i="18" s="1"/>
  <c r="K321" i="18" s="1"/>
  <c r="A2192" i="14"/>
  <c r="D2154" i="14"/>
  <c r="I2154" i="14"/>
  <c r="C2155" i="14"/>
  <c r="D2136" i="14"/>
  <c r="I2136" i="14"/>
  <c r="C2137" i="14"/>
  <c r="D2118" i="14"/>
  <c r="I2118" i="14"/>
  <c r="C2119" i="14"/>
  <c r="D2100" i="14"/>
  <c r="I2100" i="14"/>
  <c r="C2101" i="14"/>
  <c r="D2082" i="14"/>
  <c r="I2082" i="14"/>
  <c r="C2083" i="14"/>
  <c r="D2064" i="14"/>
  <c r="I2064" i="14"/>
  <c r="C2065" i="14"/>
  <c r="D2046" i="14"/>
  <c r="I2046" i="14"/>
  <c r="C2047" i="14"/>
  <c r="D2028" i="14"/>
  <c r="I2028" i="14"/>
  <c r="C2029" i="14"/>
  <c r="D2010" i="14"/>
  <c r="I2010" i="14"/>
  <c r="C2011" i="14"/>
  <c r="D1992" i="14"/>
  <c r="I1992" i="14"/>
  <c r="C1993" i="14"/>
  <c r="D1974" i="14"/>
  <c r="I1974" i="14"/>
  <c r="C1975" i="14"/>
  <c r="D1956" i="14"/>
  <c r="I1956" i="14"/>
  <c r="C1957" i="14"/>
  <c r="D1938" i="14"/>
  <c r="I1938" i="14"/>
  <c r="C1939" i="14"/>
  <c r="D1920" i="14"/>
  <c r="I1920" i="14"/>
  <c r="C1921" i="14"/>
  <c r="D1902" i="14"/>
  <c r="I1902" i="14"/>
  <c r="C1903" i="14"/>
  <c r="D1884" i="14"/>
  <c r="I1884" i="14"/>
  <c r="C1885" i="14"/>
  <c r="D1866" i="14"/>
  <c r="I1866" i="14"/>
  <c r="C1867" i="14"/>
  <c r="D1848" i="14"/>
  <c r="I1848" i="14"/>
  <c r="C1849" i="14"/>
  <c r="D1830" i="14"/>
  <c r="I1830" i="14"/>
  <c r="C1831" i="14"/>
  <c r="D1812" i="14"/>
  <c r="I1812" i="14"/>
  <c r="C1813" i="14"/>
  <c r="D1794" i="14"/>
  <c r="I1794" i="14"/>
  <c r="C1795" i="14"/>
  <c r="D1776" i="14"/>
  <c r="I1776" i="14"/>
  <c r="C1777" i="14"/>
  <c r="D1758" i="14"/>
  <c r="I1758" i="14"/>
  <c r="C1759" i="14"/>
  <c r="D1740" i="14"/>
  <c r="I1740" i="14"/>
  <c r="C1741" i="14"/>
  <c r="D1722" i="14"/>
  <c r="I1722" i="14"/>
  <c r="C1723" i="14"/>
  <c r="D1704" i="14"/>
  <c r="I1704" i="14"/>
  <c r="C1705" i="14"/>
  <c r="D1686" i="14"/>
  <c r="I1686" i="14"/>
  <c r="C1687" i="14"/>
  <c r="D1668" i="14"/>
  <c r="I1668" i="14"/>
  <c r="C1669" i="14"/>
  <c r="D1650" i="14"/>
  <c r="I1650" i="14"/>
  <c r="C1651" i="14"/>
  <c r="D1632" i="14"/>
  <c r="I1632" i="14"/>
  <c r="C1633" i="14"/>
  <c r="D1614" i="14"/>
  <c r="I1614" i="14"/>
  <c r="C1615" i="14"/>
  <c r="D1596" i="14"/>
  <c r="I1596" i="14"/>
  <c r="C1597" i="14"/>
  <c r="D1578" i="14"/>
  <c r="I1578" i="14"/>
  <c r="C1579" i="14"/>
  <c r="D1560" i="14"/>
  <c r="I1560" i="14"/>
  <c r="C1561" i="14"/>
  <c r="D1542" i="14"/>
  <c r="I1542" i="14"/>
  <c r="C1543" i="14"/>
  <c r="D1524" i="14"/>
  <c r="I1524" i="14"/>
  <c r="C1525" i="14"/>
  <c r="D1506" i="14"/>
  <c r="I1506" i="14"/>
  <c r="C1507" i="14"/>
  <c r="D1488" i="14"/>
  <c r="C1489" i="14"/>
  <c r="I1488" i="14"/>
  <c r="D1470" i="14"/>
  <c r="I1470" i="14"/>
  <c r="C1471" i="14"/>
  <c r="D1452" i="14"/>
  <c r="I1452" i="14"/>
  <c r="C1453" i="14"/>
  <c r="D1434" i="14"/>
  <c r="I1434" i="14"/>
  <c r="C1435" i="14"/>
  <c r="D1416" i="14"/>
  <c r="I1416" i="14"/>
  <c r="C1417" i="14"/>
  <c r="D1398" i="14"/>
  <c r="C1399" i="14"/>
  <c r="I1398" i="14"/>
  <c r="D1380" i="14"/>
  <c r="I1380" i="14"/>
  <c r="C1381" i="14"/>
  <c r="D1362" i="14"/>
  <c r="I1362" i="14"/>
  <c r="C1363" i="14"/>
  <c r="D1344" i="14"/>
  <c r="I1344" i="14"/>
  <c r="C1345" i="14"/>
  <c r="D1326" i="14"/>
  <c r="I1326" i="14"/>
  <c r="C1327" i="14"/>
  <c r="D1308" i="14"/>
  <c r="I1308" i="14"/>
  <c r="C1309" i="14"/>
  <c r="D1290" i="14"/>
  <c r="I1290" i="14"/>
  <c r="C1291" i="14"/>
  <c r="D1272" i="14"/>
  <c r="I1272" i="14"/>
  <c r="C1273" i="14"/>
  <c r="D1254" i="14"/>
  <c r="I1254" i="14"/>
  <c r="C1255" i="14"/>
  <c r="D1236" i="14"/>
  <c r="I1236" i="14"/>
  <c r="C1237" i="14"/>
  <c r="D1218" i="14"/>
  <c r="I1218" i="14"/>
  <c r="C1219" i="14"/>
  <c r="D1200" i="14"/>
  <c r="I1200" i="14"/>
  <c r="C1201" i="14"/>
  <c r="D1182" i="14"/>
  <c r="I1182" i="14"/>
  <c r="C1183" i="14"/>
  <c r="D1164" i="14"/>
  <c r="I1164" i="14"/>
  <c r="C1165" i="14"/>
  <c r="D1146" i="14"/>
  <c r="I1146" i="14"/>
  <c r="C1147" i="14"/>
  <c r="D1128" i="14"/>
  <c r="I1128" i="14"/>
  <c r="C1129" i="14"/>
  <c r="D1110" i="14"/>
  <c r="I1110" i="14"/>
  <c r="C1111" i="14"/>
  <c r="D1092" i="14"/>
  <c r="I1092" i="14"/>
  <c r="C1093" i="14"/>
  <c r="D1074" i="14"/>
  <c r="I1074" i="14"/>
  <c r="C1075" i="14"/>
  <c r="D1056" i="14"/>
  <c r="I1056" i="14"/>
  <c r="C1057" i="14"/>
  <c r="D1038" i="14"/>
  <c r="I1038" i="14"/>
  <c r="C1039" i="14"/>
  <c r="D1020" i="14"/>
  <c r="I1020" i="14"/>
  <c r="C1021" i="14"/>
  <c r="D1002" i="14"/>
  <c r="I1002" i="14"/>
  <c r="C1003" i="14"/>
  <c r="D984" i="14"/>
  <c r="I984" i="14"/>
  <c r="C985" i="14"/>
  <c r="I966" i="14"/>
  <c r="C967" i="14"/>
  <c r="D966" i="14"/>
  <c r="D948" i="14"/>
  <c r="C949" i="14"/>
  <c r="I948" i="14"/>
  <c r="I930" i="14"/>
  <c r="D930" i="14"/>
  <c r="C931" i="14"/>
  <c r="D912" i="14"/>
  <c r="I912" i="14"/>
  <c r="C913" i="14"/>
  <c r="I894" i="14"/>
  <c r="C895" i="14"/>
  <c r="D894" i="14"/>
  <c r="D876" i="14"/>
  <c r="I876" i="14"/>
  <c r="C877" i="14"/>
  <c r="D858" i="14"/>
  <c r="I858" i="14"/>
  <c r="C859" i="14"/>
  <c r="I840" i="14"/>
  <c r="D840" i="14"/>
  <c r="C841" i="14"/>
  <c r="D822" i="14"/>
  <c r="I822" i="14"/>
  <c r="C823" i="14"/>
  <c r="D804" i="14"/>
  <c r="I804" i="14"/>
  <c r="C805" i="14"/>
  <c r="D786" i="14"/>
  <c r="I786" i="14"/>
  <c r="C787" i="14"/>
  <c r="D768" i="14"/>
  <c r="I768" i="14"/>
  <c r="C769" i="14"/>
  <c r="D750" i="14"/>
  <c r="I750" i="14"/>
  <c r="C751" i="14"/>
  <c r="I732" i="14"/>
  <c r="C733" i="14"/>
  <c r="D732" i="14"/>
  <c r="D714" i="14"/>
  <c r="C715" i="14"/>
  <c r="I714" i="14"/>
  <c r="D696" i="14"/>
  <c r="I696" i="14"/>
  <c r="C697" i="14"/>
  <c r="I678" i="14"/>
  <c r="C679" i="14"/>
  <c r="D678" i="14"/>
  <c r="D660" i="14"/>
  <c r="I660" i="14"/>
  <c r="C661" i="14"/>
  <c r="D642" i="14"/>
  <c r="C643" i="14"/>
  <c r="I642" i="14"/>
  <c r="D624" i="14"/>
  <c r="I624" i="14"/>
  <c r="C625" i="14"/>
  <c r="D606" i="14"/>
  <c r="I606" i="14"/>
  <c r="C607" i="14"/>
  <c r="D588" i="14"/>
  <c r="I588" i="14"/>
  <c r="C589" i="14"/>
  <c r="D570" i="14"/>
  <c r="I570" i="14"/>
  <c r="C571" i="14"/>
  <c r="D552" i="14"/>
  <c r="I552" i="14"/>
  <c r="C553" i="14"/>
  <c r="D534" i="14"/>
  <c r="I534" i="14"/>
  <c r="C535" i="14"/>
  <c r="D516" i="14"/>
  <c r="I516" i="14"/>
  <c r="C517" i="14"/>
  <c r="D498" i="14"/>
  <c r="I498" i="14"/>
  <c r="C499" i="14"/>
  <c r="D480" i="14"/>
  <c r="I480" i="14"/>
  <c r="C481" i="14"/>
  <c r="D462" i="14"/>
  <c r="I462" i="14"/>
  <c r="C463" i="14"/>
  <c r="D444" i="14"/>
  <c r="I444" i="14"/>
  <c r="C445" i="14"/>
  <c r="D426" i="14"/>
  <c r="I426" i="14"/>
  <c r="C427" i="14"/>
  <c r="D408" i="14"/>
  <c r="I408" i="14"/>
  <c r="C409" i="14"/>
  <c r="D390" i="14"/>
  <c r="I390" i="14"/>
  <c r="C391" i="14"/>
  <c r="D372" i="14"/>
  <c r="I372" i="14"/>
  <c r="C373" i="14"/>
  <c r="D354" i="14"/>
  <c r="I354" i="14"/>
  <c r="C355" i="14"/>
  <c r="D336" i="14"/>
  <c r="I336" i="14"/>
  <c r="C337" i="14"/>
  <c r="D318" i="14"/>
  <c r="I318" i="14"/>
  <c r="C319" i="14"/>
  <c r="D300" i="14"/>
  <c r="I300" i="14"/>
  <c r="C301" i="14"/>
  <c r="D282" i="14"/>
  <c r="I282" i="14"/>
  <c r="C283" i="14"/>
  <c r="D264" i="14"/>
  <c r="I264" i="14"/>
  <c r="C265" i="14"/>
  <c r="D246" i="14"/>
  <c r="I246" i="14"/>
  <c r="C247" i="14"/>
  <c r="D228" i="14"/>
  <c r="I228" i="14"/>
  <c r="C229" i="14"/>
  <c r="A228" i="14"/>
  <c r="J228" i="14" s="1"/>
  <c r="J29" i="14"/>
  <c r="A30" i="14"/>
  <c r="Q25" i="12" l="1"/>
  <c r="Q24" i="12"/>
  <c r="Q27" i="12"/>
  <c r="Q28" i="12"/>
  <c r="Q22" i="12"/>
  <c r="Q26" i="12"/>
  <c r="X23" i="11"/>
  <c r="X43" i="11" s="1"/>
  <c r="X45" i="11" s="1"/>
  <c r="S17" i="12"/>
  <c r="R32" i="10"/>
  <c r="R52" i="10" s="1"/>
  <c r="R54" i="10" s="1"/>
  <c r="S38" i="12"/>
  <c r="S43" i="12"/>
  <c r="S37" i="12"/>
  <c r="S42" i="12"/>
  <c r="S35" i="12"/>
  <c r="S40" i="12"/>
  <c r="S36" i="12"/>
  <c r="S41" i="12"/>
  <c r="V10" i="12"/>
  <c r="V12" i="12"/>
  <c r="V9" i="12"/>
  <c r="V11" i="12"/>
  <c r="W14" i="12"/>
  <c r="X8" i="12" s="1"/>
  <c r="O45" i="12"/>
  <c r="Q45" i="12"/>
  <c r="U34" i="12"/>
  <c r="U29" i="12"/>
  <c r="U39" i="12"/>
  <c r="Y8" i="12"/>
  <c r="Z26" i="18"/>
  <c r="AA11" i="12" s="1"/>
  <c r="Y20" i="18"/>
  <c r="Y18" i="12" s="1"/>
  <c r="Y21" i="18"/>
  <c r="Y19" i="12" s="1"/>
  <c r="Z23" i="18"/>
  <c r="V29" i="18"/>
  <c r="F20" i="18"/>
  <c r="I20" i="18" s="1"/>
  <c r="K20" i="18" s="1"/>
  <c r="W11" i="18"/>
  <c r="W13" i="18" s="1"/>
  <c r="F123" i="18"/>
  <c r="F89" i="18"/>
  <c r="I89" i="18" s="1"/>
  <c r="K89" i="18" s="1"/>
  <c r="Z22" i="18" s="1"/>
  <c r="AA20" i="12" s="1"/>
  <c r="F33" i="18"/>
  <c r="I33" i="18" s="1"/>
  <c r="K33" i="18" s="1"/>
  <c r="F45" i="18"/>
  <c r="I45" i="18" s="1"/>
  <c r="K45" i="18" s="1"/>
  <c r="F57" i="18"/>
  <c r="I57" i="18" s="1"/>
  <c r="K57" i="18" s="1"/>
  <c r="F69" i="18"/>
  <c r="I69" i="18" s="1"/>
  <c r="K69" i="18" s="1"/>
  <c r="F276" i="18"/>
  <c r="I276" i="18" s="1"/>
  <c r="K276" i="18" s="1"/>
  <c r="Z27" i="18" s="1"/>
  <c r="F307" i="18"/>
  <c r="I307" i="18" s="1"/>
  <c r="K307" i="18" s="1"/>
  <c r="Z24" i="18" s="1"/>
  <c r="AA9" i="12" s="1"/>
  <c r="A2193" i="14"/>
  <c r="D2155" i="14"/>
  <c r="I2155" i="14"/>
  <c r="C2156" i="14"/>
  <c r="D2137" i="14"/>
  <c r="I2137" i="14"/>
  <c r="C2138" i="14"/>
  <c r="D2119" i="14"/>
  <c r="I2119" i="14"/>
  <c r="C2120" i="14"/>
  <c r="D2101" i="14"/>
  <c r="I2101" i="14"/>
  <c r="C2102" i="14"/>
  <c r="D2083" i="14"/>
  <c r="I2083" i="14"/>
  <c r="C2084" i="14"/>
  <c r="D2065" i="14"/>
  <c r="I2065" i="14"/>
  <c r="C2066" i="14"/>
  <c r="D2047" i="14"/>
  <c r="I2047" i="14"/>
  <c r="C2048" i="14"/>
  <c r="D2029" i="14"/>
  <c r="I2029" i="14"/>
  <c r="C2030" i="14"/>
  <c r="D2011" i="14"/>
  <c r="I2011" i="14"/>
  <c r="C2012" i="14"/>
  <c r="D1993" i="14"/>
  <c r="I1993" i="14"/>
  <c r="C1994" i="14"/>
  <c r="D1975" i="14"/>
  <c r="I1975" i="14"/>
  <c r="C1976" i="14"/>
  <c r="D1957" i="14"/>
  <c r="I1957" i="14"/>
  <c r="C1958" i="14"/>
  <c r="D1939" i="14"/>
  <c r="I1939" i="14"/>
  <c r="C1940" i="14"/>
  <c r="D1921" i="14"/>
  <c r="I1921" i="14"/>
  <c r="C1922" i="14"/>
  <c r="D1903" i="14"/>
  <c r="I1903" i="14"/>
  <c r="C1904" i="14"/>
  <c r="D1885" i="14"/>
  <c r="I1885" i="14"/>
  <c r="C1886" i="14"/>
  <c r="D1867" i="14"/>
  <c r="I1867" i="14"/>
  <c r="C1868" i="14"/>
  <c r="D1849" i="14"/>
  <c r="I1849" i="14"/>
  <c r="C1850" i="14"/>
  <c r="D1831" i="14"/>
  <c r="I1831" i="14"/>
  <c r="C1832" i="14"/>
  <c r="D1813" i="14"/>
  <c r="I1813" i="14"/>
  <c r="C1814" i="14"/>
  <c r="D1795" i="14"/>
  <c r="I1795" i="14"/>
  <c r="C1796" i="14"/>
  <c r="D1777" i="14"/>
  <c r="I1777" i="14"/>
  <c r="C1778" i="14"/>
  <c r="D1759" i="14"/>
  <c r="I1759" i="14"/>
  <c r="C1760" i="14"/>
  <c r="D1741" i="14"/>
  <c r="I1741" i="14"/>
  <c r="C1742" i="14"/>
  <c r="D1723" i="14"/>
  <c r="I1723" i="14"/>
  <c r="C1724" i="14"/>
  <c r="D1705" i="14"/>
  <c r="I1705" i="14"/>
  <c r="C1706" i="14"/>
  <c r="D1687" i="14"/>
  <c r="I1687" i="14"/>
  <c r="C1688" i="14"/>
  <c r="D1669" i="14"/>
  <c r="I1669" i="14"/>
  <c r="C1670" i="14"/>
  <c r="D1651" i="14"/>
  <c r="I1651" i="14"/>
  <c r="C1652" i="14"/>
  <c r="D1633" i="14"/>
  <c r="I1633" i="14"/>
  <c r="C1634" i="14"/>
  <c r="D1615" i="14"/>
  <c r="I1615" i="14"/>
  <c r="C1616" i="14"/>
  <c r="D1597" i="14"/>
  <c r="I1597" i="14"/>
  <c r="C1598" i="14"/>
  <c r="D1579" i="14"/>
  <c r="I1579" i="14"/>
  <c r="C1580" i="14"/>
  <c r="D1561" i="14"/>
  <c r="I1561" i="14"/>
  <c r="C1562" i="14"/>
  <c r="D1543" i="14"/>
  <c r="I1543" i="14"/>
  <c r="C1544" i="14"/>
  <c r="D1525" i="14"/>
  <c r="I1525" i="14"/>
  <c r="C1526" i="14"/>
  <c r="D1507" i="14"/>
  <c r="I1507" i="14"/>
  <c r="C1508" i="14"/>
  <c r="D1489" i="14"/>
  <c r="I1489" i="14"/>
  <c r="C1490" i="14"/>
  <c r="D1471" i="14"/>
  <c r="I1471" i="14"/>
  <c r="C1472" i="14"/>
  <c r="D1453" i="14"/>
  <c r="I1453" i="14"/>
  <c r="C1454" i="14"/>
  <c r="D1435" i="14"/>
  <c r="I1435" i="14"/>
  <c r="C1436" i="14"/>
  <c r="D1417" i="14"/>
  <c r="I1417" i="14"/>
  <c r="C1418" i="14"/>
  <c r="D1399" i="14"/>
  <c r="C1400" i="14"/>
  <c r="I1399" i="14"/>
  <c r="D1381" i="14"/>
  <c r="I1381" i="14"/>
  <c r="C1382" i="14"/>
  <c r="D1363" i="14"/>
  <c r="I1363" i="14"/>
  <c r="C1364" i="14"/>
  <c r="D1345" i="14"/>
  <c r="I1345" i="14"/>
  <c r="C1346" i="14"/>
  <c r="D1327" i="14"/>
  <c r="I1327" i="14"/>
  <c r="C1328" i="14"/>
  <c r="D1309" i="14"/>
  <c r="I1309" i="14"/>
  <c r="C1310" i="14"/>
  <c r="D1291" i="14"/>
  <c r="I1291" i="14"/>
  <c r="C1292" i="14"/>
  <c r="D1273" i="14"/>
  <c r="I1273" i="14"/>
  <c r="C1274" i="14"/>
  <c r="D1255" i="14"/>
  <c r="I1255" i="14"/>
  <c r="C1256" i="14"/>
  <c r="D1237" i="14"/>
  <c r="I1237" i="14"/>
  <c r="C1238" i="14"/>
  <c r="D1219" i="14"/>
  <c r="I1219" i="14"/>
  <c r="C1220" i="14"/>
  <c r="D1201" i="14"/>
  <c r="I1201" i="14"/>
  <c r="C1202" i="14"/>
  <c r="D1183" i="14"/>
  <c r="I1183" i="14"/>
  <c r="C1184" i="14"/>
  <c r="D1165" i="14"/>
  <c r="I1165" i="14"/>
  <c r="C1166" i="14"/>
  <c r="D1147" i="14"/>
  <c r="I1147" i="14"/>
  <c r="C1148" i="14"/>
  <c r="D1129" i="14"/>
  <c r="I1129" i="14"/>
  <c r="C1130" i="14"/>
  <c r="D1111" i="14"/>
  <c r="I1111" i="14"/>
  <c r="C1112" i="14"/>
  <c r="D1093" i="14"/>
  <c r="I1093" i="14"/>
  <c r="C1094" i="14"/>
  <c r="D1075" i="14"/>
  <c r="I1075" i="14"/>
  <c r="C1076" i="14"/>
  <c r="D1057" i="14"/>
  <c r="I1057" i="14"/>
  <c r="C1058" i="14"/>
  <c r="D1039" i="14"/>
  <c r="I1039" i="14"/>
  <c r="C1040" i="14"/>
  <c r="D1021" i="14"/>
  <c r="I1021" i="14"/>
  <c r="C1022" i="14"/>
  <c r="D1003" i="14"/>
  <c r="I1003" i="14"/>
  <c r="C1004" i="14"/>
  <c r="D985" i="14"/>
  <c r="I985" i="14"/>
  <c r="C986" i="14"/>
  <c r="D967" i="14"/>
  <c r="I967" i="14"/>
  <c r="C968" i="14"/>
  <c r="D949" i="14"/>
  <c r="I949" i="14"/>
  <c r="C950" i="14"/>
  <c r="D931" i="14"/>
  <c r="I931" i="14"/>
  <c r="C932" i="14"/>
  <c r="D913" i="14"/>
  <c r="C914" i="14"/>
  <c r="I913" i="14"/>
  <c r="D895" i="14"/>
  <c r="I895" i="14"/>
  <c r="C896" i="14"/>
  <c r="I877" i="14"/>
  <c r="C878" i="14"/>
  <c r="D877" i="14"/>
  <c r="D859" i="14"/>
  <c r="I859" i="14"/>
  <c r="C860" i="14"/>
  <c r="D841" i="14"/>
  <c r="I841" i="14"/>
  <c r="C842" i="14"/>
  <c r="D823" i="14"/>
  <c r="I823" i="14"/>
  <c r="C824" i="14"/>
  <c r="D805" i="14"/>
  <c r="C806" i="14"/>
  <c r="I805" i="14"/>
  <c r="D787" i="14"/>
  <c r="I787" i="14"/>
  <c r="C788" i="14"/>
  <c r="D769" i="14"/>
  <c r="I769" i="14"/>
  <c r="C770" i="14"/>
  <c r="D751" i="14"/>
  <c r="I751" i="14"/>
  <c r="C752" i="14"/>
  <c r="C734" i="14"/>
  <c r="D733" i="14"/>
  <c r="I733" i="14"/>
  <c r="D715" i="14"/>
  <c r="I715" i="14"/>
  <c r="C716" i="14"/>
  <c r="D697" i="14"/>
  <c r="I697" i="14"/>
  <c r="C698" i="14"/>
  <c r="I679" i="14"/>
  <c r="D679" i="14"/>
  <c r="C680" i="14"/>
  <c r="D661" i="14"/>
  <c r="C662" i="14"/>
  <c r="I661" i="14"/>
  <c r="D643" i="14"/>
  <c r="C644" i="14"/>
  <c r="I643" i="14"/>
  <c r="D625" i="14"/>
  <c r="I625" i="14"/>
  <c r="C626" i="14"/>
  <c r="D607" i="14"/>
  <c r="I607" i="14"/>
  <c r="C608" i="14"/>
  <c r="D589" i="14"/>
  <c r="I589" i="14"/>
  <c r="C590" i="14"/>
  <c r="D571" i="14"/>
  <c r="I571" i="14"/>
  <c r="C572" i="14"/>
  <c r="D553" i="14"/>
  <c r="I553" i="14"/>
  <c r="C554" i="14"/>
  <c r="D535" i="14"/>
  <c r="I535" i="14"/>
  <c r="C536" i="14"/>
  <c r="D517" i="14"/>
  <c r="I517" i="14"/>
  <c r="C518" i="14"/>
  <c r="D499" i="14"/>
  <c r="I499" i="14"/>
  <c r="C500" i="14"/>
  <c r="D481" i="14"/>
  <c r="I481" i="14"/>
  <c r="C482" i="14"/>
  <c r="D463" i="14"/>
  <c r="I463" i="14"/>
  <c r="C464" i="14"/>
  <c r="D445" i="14"/>
  <c r="I445" i="14"/>
  <c r="C446" i="14"/>
  <c r="D427" i="14"/>
  <c r="I427" i="14"/>
  <c r="C428" i="14"/>
  <c r="D409" i="14"/>
  <c r="I409" i="14"/>
  <c r="C410" i="14"/>
  <c r="D391" i="14"/>
  <c r="I391" i="14"/>
  <c r="C392" i="14"/>
  <c r="D373" i="14"/>
  <c r="I373" i="14"/>
  <c r="C374" i="14"/>
  <c r="D355" i="14"/>
  <c r="I355" i="14"/>
  <c r="C356" i="14"/>
  <c r="D337" i="14"/>
  <c r="I337" i="14"/>
  <c r="C338" i="14"/>
  <c r="D319" i="14"/>
  <c r="I319" i="14"/>
  <c r="C320" i="14"/>
  <c r="D301" i="14"/>
  <c r="I301" i="14"/>
  <c r="C302" i="14"/>
  <c r="D283" i="14"/>
  <c r="I283" i="14"/>
  <c r="C284" i="14"/>
  <c r="D265" i="14"/>
  <c r="I265" i="14"/>
  <c r="C266" i="14"/>
  <c r="D247" i="14"/>
  <c r="I247" i="14"/>
  <c r="C248" i="14"/>
  <c r="D229" i="14"/>
  <c r="I229" i="14"/>
  <c r="C230" i="14"/>
  <c r="A229" i="14"/>
  <c r="J229" i="14" s="1"/>
  <c r="J30" i="14"/>
  <c r="A31" i="14"/>
  <c r="S24" i="12" l="1"/>
  <c r="S28" i="12"/>
  <c r="S27" i="12"/>
  <c r="S26" i="12"/>
  <c r="S25" i="12"/>
  <c r="S22" i="12"/>
  <c r="Z23" i="11"/>
  <c r="U17" i="12"/>
  <c r="T32" i="10"/>
  <c r="T52" i="10" s="1"/>
  <c r="T54" i="10" s="1"/>
  <c r="U31" i="12"/>
  <c r="U36" i="12"/>
  <c r="U41" i="12"/>
  <c r="U33" i="12"/>
  <c r="U38" i="12"/>
  <c r="U43" i="12"/>
  <c r="U30" i="12"/>
  <c r="U35" i="12"/>
  <c r="U40" i="12"/>
  <c r="U32" i="12"/>
  <c r="U37" i="12"/>
  <c r="U42" i="12"/>
  <c r="X12" i="12"/>
  <c r="X9" i="12"/>
  <c r="X10" i="12"/>
  <c r="X11" i="12"/>
  <c r="Y14" i="12"/>
  <c r="Z8" i="12" s="1"/>
  <c r="S45" i="12"/>
  <c r="W34" i="12"/>
  <c r="W29" i="12"/>
  <c r="W39" i="12"/>
  <c r="AA8" i="12"/>
  <c r="AA12" i="12"/>
  <c r="Z20" i="18"/>
  <c r="AA18" i="12" s="1"/>
  <c r="Z21" i="18"/>
  <c r="AA19" i="12" s="1"/>
  <c r="F21" i="18"/>
  <c r="I21" i="18" s="1"/>
  <c r="K21" i="18" s="1"/>
  <c r="X10" i="18"/>
  <c r="I123" i="18"/>
  <c r="K123" i="18" s="1"/>
  <c r="X19" i="18" s="1"/>
  <c r="A2194" i="14"/>
  <c r="D2156" i="14"/>
  <c r="I2156" i="14"/>
  <c r="C2157" i="14"/>
  <c r="D2138" i="14"/>
  <c r="I2138" i="14"/>
  <c r="C2139" i="14"/>
  <c r="D2120" i="14"/>
  <c r="I2120" i="14"/>
  <c r="C2121" i="14"/>
  <c r="D2102" i="14"/>
  <c r="I2102" i="14"/>
  <c r="C2103" i="14"/>
  <c r="D2084" i="14"/>
  <c r="I2084" i="14"/>
  <c r="C2085" i="14"/>
  <c r="D2066" i="14"/>
  <c r="I2066" i="14"/>
  <c r="C2067" i="14"/>
  <c r="D2048" i="14"/>
  <c r="I2048" i="14"/>
  <c r="C2049" i="14"/>
  <c r="D2030" i="14"/>
  <c r="I2030" i="14"/>
  <c r="C2031" i="14"/>
  <c r="D2012" i="14"/>
  <c r="I2012" i="14"/>
  <c r="C2013" i="14"/>
  <c r="D1994" i="14"/>
  <c r="I1994" i="14"/>
  <c r="C1995" i="14"/>
  <c r="D1976" i="14"/>
  <c r="I1976" i="14"/>
  <c r="C1977" i="14"/>
  <c r="D1958" i="14"/>
  <c r="I1958" i="14"/>
  <c r="C1959" i="14"/>
  <c r="D1940" i="14"/>
  <c r="I1940" i="14"/>
  <c r="C1941" i="14"/>
  <c r="D1922" i="14"/>
  <c r="I1922" i="14"/>
  <c r="C1923" i="14"/>
  <c r="D1904" i="14"/>
  <c r="I1904" i="14"/>
  <c r="C1905" i="14"/>
  <c r="D1886" i="14"/>
  <c r="I1886" i="14"/>
  <c r="C1887" i="14"/>
  <c r="D1868" i="14"/>
  <c r="I1868" i="14"/>
  <c r="C1869" i="14"/>
  <c r="D1850" i="14"/>
  <c r="I1850" i="14"/>
  <c r="C1851" i="14"/>
  <c r="D1832" i="14"/>
  <c r="I1832" i="14"/>
  <c r="C1833" i="14"/>
  <c r="D1814" i="14"/>
  <c r="I1814" i="14"/>
  <c r="C1815" i="14"/>
  <c r="D1796" i="14"/>
  <c r="I1796" i="14"/>
  <c r="C1797" i="14"/>
  <c r="D1778" i="14"/>
  <c r="I1778" i="14"/>
  <c r="C1779" i="14"/>
  <c r="D1760" i="14"/>
  <c r="I1760" i="14"/>
  <c r="C1761" i="14"/>
  <c r="D1742" i="14"/>
  <c r="I1742" i="14"/>
  <c r="C1743" i="14"/>
  <c r="D1724" i="14"/>
  <c r="I1724" i="14"/>
  <c r="C1725" i="14"/>
  <c r="D1706" i="14"/>
  <c r="I1706" i="14"/>
  <c r="C1707" i="14"/>
  <c r="D1688" i="14"/>
  <c r="I1688" i="14"/>
  <c r="C1689" i="14"/>
  <c r="D1670" i="14"/>
  <c r="I1670" i="14"/>
  <c r="C1671" i="14"/>
  <c r="D1652" i="14"/>
  <c r="I1652" i="14"/>
  <c r="C1653" i="14"/>
  <c r="D1634" i="14"/>
  <c r="I1634" i="14"/>
  <c r="C1635" i="14"/>
  <c r="D1616" i="14"/>
  <c r="I1616" i="14"/>
  <c r="C1617" i="14"/>
  <c r="D1598" i="14"/>
  <c r="I1598" i="14"/>
  <c r="C1599" i="14"/>
  <c r="D1580" i="14"/>
  <c r="I1580" i="14"/>
  <c r="C1581" i="14"/>
  <c r="D1562" i="14"/>
  <c r="I1562" i="14"/>
  <c r="C1563" i="14"/>
  <c r="D1544" i="14"/>
  <c r="I1544" i="14"/>
  <c r="C1545" i="14"/>
  <c r="D1526" i="14"/>
  <c r="I1526" i="14"/>
  <c r="C1527" i="14"/>
  <c r="D1508" i="14"/>
  <c r="I1508" i="14"/>
  <c r="C1509" i="14"/>
  <c r="D1490" i="14"/>
  <c r="I1490" i="14"/>
  <c r="C1491" i="14"/>
  <c r="D1472" i="14"/>
  <c r="I1472" i="14"/>
  <c r="C1473" i="14"/>
  <c r="D1454" i="14"/>
  <c r="I1454" i="14"/>
  <c r="C1455" i="14"/>
  <c r="D1436" i="14"/>
  <c r="I1436" i="14"/>
  <c r="C1437" i="14"/>
  <c r="D1418" i="14"/>
  <c r="C1419" i="14"/>
  <c r="I1418" i="14"/>
  <c r="D1400" i="14"/>
  <c r="I1400" i="14"/>
  <c r="C1401" i="14"/>
  <c r="D1382" i="14"/>
  <c r="I1382" i="14"/>
  <c r="C1383" i="14"/>
  <c r="D1364" i="14"/>
  <c r="I1364" i="14"/>
  <c r="C1365" i="14"/>
  <c r="D1346" i="14"/>
  <c r="I1346" i="14"/>
  <c r="C1347" i="14"/>
  <c r="D1328" i="14"/>
  <c r="I1328" i="14"/>
  <c r="C1329" i="14"/>
  <c r="D1310" i="14"/>
  <c r="I1310" i="14"/>
  <c r="C1311" i="14"/>
  <c r="D1292" i="14"/>
  <c r="I1292" i="14"/>
  <c r="C1293" i="14"/>
  <c r="D1274" i="14"/>
  <c r="I1274" i="14"/>
  <c r="C1275" i="14"/>
  <c r="D1256" i="14"/>
  <c r="I1256" i="14"/>
  <c r="C1257" i="14"/>
  <c r="D1238" i="14"/>
  <c r="I1238" i="14"/>
  <c r="C1239" i="14"/>
  <c r="D1220" i="14"/>
  <c r="I1220" i="14"/>
  <c r="C1221" i="14"/>
  <c r="D1202" i="14"/>
  <c r="I1202" i="14"/>
  <c r="C1203" i="14"/>
  <c r="D1184" i="14"/>
  <c r="I1184" i="14"/>
  <c r="C1185" i="14"/>
  <c r="D1166" i="14"/>
  <c r="I1166" i="14"/>
  <c r="C1167" i="14"/>
  <c r="D1148" i="14"/>
  <c r="I1148" i="14"/>
  <c r="C1149" i="14"/>
  <c r="D1130" i="14"/>
  <c r="I1130" i="14"/>
  <c r="C1131" i="14"/>
  <c r="D1112" i="14"/>
  <c r="I1112" i="14"/>
  <c r="C1113" i="14"/>
  <c r="D1094" i="14"/>
  <c r="I1094" i="14"/>
  <c r="C1095" i="14"/>
  <c r="D1076" i="14"/>
  <c r="I1076" i="14"/>
  <c r="C1077" i="14"/>
  <c r="D1058" i="14"/>
  <c r="I1058" i="14"/>
  <c r="C1059" i="14"/>
  <c r="D1040" i="14"/>
  <c r="I1040" i="14"/>
  <c r="C1041" i="14"/>
  <c r="D1022" i="14"/>
  <c r="I1022" i="14"/>
  <c r="C1023" i="14"/>
  <c r="D1004" i="14"/>
  <c r="I1004" i="14"/>
  <c r="C1005" i="14"/>
  <c r="D986" i="14"/>
  <c r="I986" i="14"/>
  <c r="C987" i="14"/>
  <c r="D968" i="14"/>
  <c r="I968" i="14"/>
  <c r="C969" i="14"/>
  <c r="D950" i="14"/>
  <c r="I950" i="14"/>
  <c r="C951" i="14"/>
  <c r="D932" i="14"/>
  <c r="C933" i="14"/>
  <c r="I932" i="14"/>
  <c r="D914" i="14"/>
  <c r="I914" i="14"/>
  <c r="C915" i="14"/>
  <c r="D896" i="14"/>
  <c r="I896" i="14"/>
  <c r="C897" i="14"/>
  <c r="I878" i="14"/>
  <c r="D878" i="14"/>
  <c r="C879" i="14"/>
  <c r="I860" i="14"/>
  <c r="D860" i="14"/>
  <c r="C861" i="14"/>
  <c r="D842" i="14"/>
  <c r="I842" i="14"/>
  <c r="C843" i="14"/>
  <c r="D824" i="14"/>
  <c r="C825" i="14"/>
  <c r="I824" i="14"/>
  <c r="D806" i="14"/>
  <c r="I806" i="14"/>
  <c r="C807" i="14"/>
  <c r="D788" i="14"/>
  <c r="I788" i="14"/>
  <c r="C789" i="14"/>
  <c r="D770" i="14"/>
  <c r="I770" i="14"/>
  <c r="C771" i="14"/>
  <c r="D752" i="14"/>
  <c r="I752" i="14"/>
  <c r="C753" i="14"/>
  <c r="I734" i="14"/>
  <c r="D734" i="14"/>
  <c r="C735" i="14"/>
  <c r="C717" i="14"/>
  <c r="I716" i="14"/>
  <c r="D716" i="14"/>
  <c r="C699" i="14"/>
  <c r="D698" i="14"/>
  <c r="I698" i="14"/>
  <c r="D680" i="14"/>
  <c r="C681" i="14"/>
  <c r="I680" i="14"/>
  <c r="D662" i="14"/>
  <c r="C663" i="14"/>
  <c r="I662" i="14"/>
  <c r="C645" i="14"/>
  <c r="D644" i="14"/>
  <c r="I644" i="14"/>
  <c r="D626" i="14"/>
  <c r="C627" i="14"/>
  <c r="I626" i="14"/>
  <c r="D608" i="14"/>
  <c r="I608" i="14"/>
  <c r="C609" i="14"/>
  <c r="D590" i="14"/>
  <c r="I590" i="14"/>
  <c r="C591" i="14"/>
  <c r="D572" i="14"/>
  <c r="I572" i="14"/>
  <c r="C573" i="14"/>
  <c r="D554" i="14"/>
  <c r="I554" i="14"/>
  <c r="C555" i="14"/>
  <c r="D536" i="14"/>
  <c r="I536" i="14"/>
  <c r="C537" i="14"/>
  <c r="D518" i="14"/>
  <c r="I518" i="14"/>
  <c r="C519" i="14"/>
  <c r="D500" i="14"/>
  <c r="I500" i="14"/>
  <c r="C501" i="14"/>
  <c r="D482" i="14"/>
  <c r="I482" i="14"/>
  <c r="C483" i="14"/>
  <c r="D464" i="14"/>
  <c r="I464" i="14"/>
  <c r="C465" i="14"/>
  <c r="D446" i="14"/>
  <c r="I446" i="14"/>
  <c r="C447" i="14"/>
  <c r="D428" i="14"/>
  <c r="I428" i="14"/>
  <c r="C429" i="14"/>
  <c r="D410" i="14"/>
  <c r="I410" i="14"/>
  <c r="C411" i="14"/>
  <c r="D392" i="14"/>
  <c r="I392" i="14"/>
  <c r="C393" i="14"/>
  <c r="D374" i="14"/>
  <c r="I374" i="14"/>
  <c r="C375" i="14"/>
  <c r="D356" i="14"/>
  <c r="I356" i="14"/>
  <c r="C357" i="14"/>
  <c r="D338" i="14"/>
  <c r="I338" i="14"/>
  <c r="C339" i="14"/>
  <c r="D320" i="14"/>
  <c r="I320" i="14"/>
  <c r="C321" i="14"/>
  <c r="D302" i="14"/>
  <c r="I302" i="14"/>
  <c r="C303" i="14"/>
  <c r="D284" i="14"/>
  <c r="I284" i="14"/>
  <c r="C285" i="14"/>
  <c r="D266" i="14"/>
  <c r="I266" i="14"/>
  <c r="C267" i="14"/>
  <c r="D248" i="14"/>
  <c r="I248" i="14"/>
  <c r="C249" i="14"/>
  <c r="D230" i="14"/>
  <c r="I230" i="14"/>
  <c r="C231" i="14"/>
  <c r="A230" i="14"/>
  <c r="J230" i="14" s="1"/>
  <c r="J31" i="14"/>
  <c r="A32" i="14"/>
  <c r="U26" i="12" l="1"/>
  <c r="U28" i="12"/>
  <c r="U22" i="12"/>
  <c r="U24" i="12"/>
  <c r="U25" i="12"/>
  <c r="U27" i="12"/>
  <c r="AC23" i="11"/>
  <c r="AC43" i="11" s="1"/>
  <c r="AC45" i="11" s="1"/>
  <c r="Z43" i="11"/>
  <c r="Z45" i="11" s="1"/>
  <c r="W38" i="12"/>
  <c r="W33" i="12"/>
  <c r="W43" i="12"/>
  <c r="W35" i="12"/>
  <c r="W30" i="12"/>
  <c r="W40" i="12"/>
  <c r="W36" i="12"/>
  <c r="W31" i="12"/>
  <c r="W41" i="12"/>
  <c r="W37" i="12"/>
  <c r="W32" i="12"/>
  <c r="W42" i="12"/>
  <c r="Z11" i="12"/>
  <c r="Z12" i="12"/>
  <c r="Z9" i="12"/>
  <c r="Z10" i="12"/>
  <c r="AA14" i="12"/>
  <c r="AB8" i="12" s="1"/>
  <c r="U45" i="12"/>
  <c r="Y29" i="12"/>
  <c r="Y34" i="12"/>
  <c r="Y39" i="12"/>
  <c r="W29" i="18"/>
  <c r="X11" i="18"/>
  <c r="X13" i="18" s="1"/>
  <c r="F124" i="18"/>
  <c r="A2195" i="14"/>
  <c r="D2157" i="14"/>
  <c r="I2157" i="14"/>
  <c r="C2158" i="14"/>
  <c r="D2139" i="14"/>
  <c r="I2139" i="14"/>
  <c r="C2140" i="14"/>
  <c r="D2121" i="14"/>
  <c r="I2121" i="14"/>
  <c r="C2122" i="14"/>
  <c r="D2103" i="14"/>
  <c r="I2103" i="14"/>
  <c r="C2104" i="14"/>
  <c r="D2085" i="14"/>
  <c r="I2085" i="14"/>
  <c r="C2086" i="14"/>
  <c r="D2067" i="14"/>
  <c r="I2067" i="14"/>
  <c r="C2068" i="14"/>
  <c r="D2049" i="14"/>
  <c r="I2049" i="14"/>
  <c r="C2050" i="14"/>
  <c r="D2031" i="14"/>
  <c r="I2031" i="14"/>
  <c r="C2032" i="14"/>
  <c r="D2013" i="14"/>
  <c r="I2013" i="14"/>
  <c r="C2014" i="14"/>
  <c r="D1995" i="14"/>
  <c r="I1995" i="14"/>
  <c r="C1996" i="14"/>
  <c r="D1977" i="14"/>
  <c r="I1977" i="14"/>
  <c r="C1978" i="14"/>
  <c r="D1959" i="14"/>
  <c r="I1959" i="14"/>
  <c r="C1960" i="14"/>
  <c r="D1941" i="14"/>
  <c r="I1941" i="14"/>
  <c r="C1942" i="14"/>
  <c r="D1923" i="14"/>
  <c r="I1923" i="14"/>
  <c r="C1924" i="14"/>
  <c r="D1905" i="14"/>
  <c r="I1905" i="14"/>
  <c r="C1906" i="14"/>
  <c r="D1887" i="14"/>
  <c r="I1887" i="14"/>
  <c r="C1888" i="14"/>
  <c r="D1869" i="14"/>
  <c r="I1869" i="14"/>
  <c r="C1870" i="14"/>
  <c r="D1851" i="14"/>
  <c r="I1851" i="14"/>
  <c r="C1852" i="14"/>
  <c r="D1833" i="14"/>
  <c r="I1833" i="14"/>
  <c r="C1834" i="14"/>
  <c r="D1815" i="14"/>
  <c r="I1815" i="14"/>
  <c r="C1816" i="14"/>
  <c r="D1797" i="14"/>
  <c r="I1797" i="14"/>
  <c r="C1798" i="14"/>
  <c r="D1779" i="14"/>
  <c r="I1779" i="14"/>
  <c r="C1780" i="14"/>
  <c r="D1761" i="14"/>
  <c r="I1761" i="14"/>
  <c r="C1762" i="14"/>
  <c r="D1743" i="14"/>
  <c r="I1743" i="14"/>
  <c r="C1744" i="14"/>
  <c r="D1725" i="14"/>
  <c r="I1725" i="14"/>
  <c r="C1726" i="14"/>
  <c r="D1707" i="14"/>
  <c r="I1707" i="14"/>
  <c r="C1708" i="14"/>
  <c r="D1689" i="14"/>
  <c r="I1689" i="14"/>
  <c r="C1690" i="14"/>
  <c r="D1671" i="14"/>
  <c r="I1671" i="14"/>
  <c r="C1672" i="14"/>
  <c r="D1653" i="14"/>
  <c r="I1653" i="14"/>
  <c r="C1654" i="14"/>
  <c r="D1635" i="14"/>
  <c r="I1635" i="14"/>
  <c r="C1636" i="14"/>
  <c r="D1617" i="14"/>
  <c r="I1617" i="14"/>
  <c r="C1618" i="14"/>
  <c r="D1599" i="14"/>
  <c r="I1599" i="14"/>
  <c r="C1600" i="14"/>
  <c r="D1581" i="14"/>
  <c r="I1581" i="14"/>
  <c r="C1582" i="14"/>
  <c r="D1563" i="14"/>
  <c r="I1563" i="14"/>
  <c r="C1564" i="14"/>
  <c r="D1545" i="14"/>
  <c r="I1545" i="14"/>
  <c r="C1546" i="14"/>
  <c r="D1527" i="14"/>
  <c r="I1527" i="14"/>
  <c r="C1528" i="14"/>
  <c r="D1509" i="14"/>
  <c r="I1509" i="14"/>
  <c r="C1510" i="14"/>
  <c r="D1491" i="14"/>
  <c r="I1491" i="14"/>
  <c r="C1492" i="14"/>
  <c r="D1473" i="14"/>
  <c r="I1473" i="14"/>
  <c r="C1474" i="14"/>
  <c r="D1455" i="14"/>
  <c r="I1455" i="14"/>
  <c r="C1456" i="14"/>
  <c r="D1437" i="14"/>
  <c r="I1437" i="14"/>
  <c r="C1438" i="14"/>
  <c r="D1419" i="14"/>
  <c r="I1419" i="14"/>
  <c r="C1420" i="14"/>
  <c r="D1401" i="14"/>
  <c r="I1401" i="14"/>
  <c r="C1402" i="14"/>
  <c r="D1383" i="14"/>
  <c r="I1383" i="14"/>
  <c r="C1384" i="14"/>
  <c r="D1365" i="14"/>
  <c r="I1365" i="14"/>
  <c r="C1366" i="14"/>
  <c r="D1347" i="14"/>
  <c r="I1347" i="14"/>
  <c r="C1348" i="14"/>
  <c r="D1329" i="14"/>
  <c r="I1329" i="14"/>
  <c r="C1330" i="14"/>
  <c r="D1311" i="14"/>
  <c r="I1311" i="14"/>
  <c r="C1312" i="14"/>
  <c r="D1293" i="14"/>
  <c r="I1293" i="14"/>
  <c r="C1294" i="14"/>
  <c r="D1275" i="14"/>
  <c r="I1275" i="14"/>
  <c r="C1276" i="14"/>
  <c r="D1257" i="14"/>
  <c r="I1257" i="14"/>
  <c r="C1258" i="14"/>
  <c r="D1239" i="14"/>
  <c r="I1239" i="14"/>
  <c r="C1240" i="14"/>
  <c r="D1221" i="14"/>
  <c r="I1221" i="14"/>
  <c r="C1222" i="14"/>
  <c r="D1203" i="14"/>
  <c r="I1203" i="14"/>
  <c r="C1204" i="14"/>
  <c r="D1185" i="14"/>
  <c r="I1185" i="14"/>
  <c r="C1186" i="14"/>
  <c r="D1167" i="14"/>
  <c r="I1167" i="14"/>
  <c r="C1168" i="14"/>
  <c r="D1149" i="14"/>
  <c r="I1149" i="14"/>
  <c r="C1150" i="14"/>
  <c r="D1131" i="14"/>
  <c r="I1131" i="14"/>
  <c r="C1132" i="14"/>
  <c r="D1113" i="14"/>
  <c r="I1113" i="14"/>
  <c r="C1114" i="14"/>
  <c r="D1095" i="14"/>
  <c r="I1095" i="14"/>
  <c r="C1096" i="14"/>
  <c r="D1077" i="14"/>
  <c r="I1077" i="14"/>
  <c r="C1078" i="14"/>
  <c r="D1059" i="14"/>
  <c r="I1059" i="14"/>
  <c r="C1060" i="14"/>
  <c r="D1041" i="14"/>
  <c r="I1041" i="14"/>
  <c r="C1042" i="14"/>
  <c r="D1023" i="14"/>
  <c r="I1023" i="14"/>
  <c r="C1024" i="14"/>
  <c r="D1005" i="14"/>
  <c r="I1005" i="14"/>
  <c r="C1006" i="14"/>
  <c r="D987" i="14"/>
  <c r="I987" i="14"/>
  <c r="C988" i="14"/>
  <c r="D969" i="14"/>
  <c r="I969" i="14"/>
  <c r="C970" i="14"/>
  <c r="C952" i="14"/>
  <c r="D951" i="14"/>
  <c r="I951" i="14"/>
  <c r="D933" i="14"/>
  <c r="C934" i="14"/>
  <c r="I933" i="14"/>
  <c r="I915" i="14"/>
  <c r="D915" i="14"/>
  <c r="C916" i="14"/>
  <c r="D897" i="14"/>
  <c r="I897" i="14"/>
  <c r="C898" i="14"/>
  <c r="D879" i="14"/>
  <c r="I879" i="14"/>
  <c r="C880" i="14"/>
  <c r="D861" i="14"/>
  <c r="I861" i="14"/>
  <c r="C862" i="14"/>
  <c r="D843" i="14"/>
  <c r="I843" i="14"/>
  <c r="C844" i="14"/>
  <c r="D825" i="14"/>
  <c r="I825" i="14"/>
  <c r="C826" i="14"/>
  <c r="D807" i="14"/>
  <c r="I807" i="14"/>
  <c r="C808" i="14"/>
  <c r="D789" i="14"/>
  <c r="I789" i="14"/>
  <c r="C790" i="14"/>
  <c r="I771" i="14"/>
  <c r="C772" i="14"/>
  <c r="D771" i="14"/>
  <c r="D753" i="14"/>
  <c r="C754" i="14"/>
  <c r="I753" i="14"/>
  <c r="D735" i="14"/>
  <c r="I735" i="14"/>
  <c r="C736" i="14"/>
  <c r="I717" i="14"/>
  <c r="C718" i="14"/>
  <c r="D717" i="14"/>
  <c r="I699" i="14"/>
  <c r="D699" i="14"/>
  <c r="C700" i="14"/>
  <c r="C682" i="14"/>
  <c r="D681" i="14"/>
  <c r="I681" i="14"/>
  <c r="I663" i="14"/>
  <c r="D663" i="14"/>
  <c r="C664" i="14"/>
  <c r="I645" i="14"/>
  <c r="C646" i="14"/>
  <c r="D645" i="14"/>
  <c r="I627" i="14"/>
  <c r="D627" i="14"/>
  <c r="C628" i="14"/>
  <c r="D609" i="14"/>
  <c r="I609" i="14"/>
  <c r="C610" i="14"/>
  <c r="D591" i="14"/>
  <c r="I591" i="14"/>
  <c r="C592" i="14"/>
  <c r="D573" i="14"/>
  <c r="I573" i="14"/>
  <c r="C574" i="14"/>
  <c r="D555" i="14"/>
  <c r="I555" i="14"/>
  <c r="C556" i="14"/>
  <c r="D537" i="14"/>
  <c r="I537" i="14"/>
  <c r="C538" i="14"/>
  <c r="D519" i="14"/>
  <c r="I519" i="14"/>
  <c r="C520" i="14"/>
  <c r="D501" i="14"/>
  <c r="I501" i="14"/>
  <c r="C502" i="14"/>
  <c r="D483" i="14"/>
  <c r="I483" i="14"/>
  <c r="C484" i="14"/>
  <c r="D465" i="14"/>
  <c r="I465" i="14"/>
  <c r="C466" i="14"/>
  <c r="D447" i="14"/>
  <c r="I447" i="14"/>
  <c r="C448" i="14"/>
  <c r="D429" i="14"/>
  <c r="I429" i="14"/>
  <c r="C430" i="14"/>
  <c r="D411" i="14"/>
  <c r="I411" i="14"/>
  <c r="C412" i="14"/>
  <c r="D393" i="14"/>
  <c r="I393" i="14"/>
  <c r="C394" i="14"/>
  <c r="D375" i="14"/>
  <c r="I375" i="14"/>
  <c r="C376" i="14"/>
  <c r="D357" i="14"/>
  <c r="I357" i="14"/>
  <c r="C358" i="14"/>
  <c r="D339" i="14"/>
  <c r="I339" i="14"/>
  <c r="C340" i="14"/>
  <c r="D321" i="14"/>
  <c r="I321" i="14"/>
  <c r="C322" i="14"/>
  <c r="D303" i="14"/>
  <c r="I303" i="14"/>
  <c r="C304" i="14"/>
  <c r="D285" i="14"/>
  <c r="I285" i="14"/>
  <c r="C286" i="14"/>
  <c r="D267" i="14"/>
  <c r="I267" i="14"/>
  <c r="C268" i="14"/>
  <c r="D249" i="14"/>
  <c r="I249" i="14"/>
  <c r="C250" i="14"/>
  <c r="D231" i="14"/>
  <c r="I231" i="14"/>
  <c r="C232" i="14"/>
  <c r="A231" i="14"/>
  <c r="J231" i="14" s="1"/>
  <c r="J32" i="14"/>
  <c r="A33" i="14"/>
  <c r="W17" i="12" l="1"/>
  <c r="V32" i="10"/>
  <c r="Y37" i="12"/>
  <c r="Y32" i="12"/>
  <c r="Y42" i="12"/>
  <c r="Y38" i="12"/>
  <c r="Y33" i="12"/>
  <c r="Y43" i="12"/>
  <c r="Y35" i="12"/>
  <c r="Y30" i="12"/>
  <c r="Y40" i="12"/>
  <c r="Y36" i="12"/>
  <c r="Y31" i="12"/>
  <c r="Y41" i="12"/>
  <c r="AB12" i="12"/>
  <c r="AB11" i="12"/>
  <c r="AB9" i="12"/>
  <c r="AB10" i="12"/>
  <c r="AA34" i="12"/>
  <c r="AA29" i="12"/>
  <c r="AA39" i="12"/>
  <c r="Y10" i="18"/>
  <c r="I124" i="18"/>
  <c r="K124" i="18" s="1"/>
  <c r="Y19" i="18" s="1"/>
  <c r="A2196" i="14"/>
  <c r="D2158" i="14"/>
  <c r="I2158" i="14"/>
  <c r="C2159" i="14"/>
  <c r="D2140" i="14"/>
  <c r="I2140" i="14"/>
  <c r="C2141" i="14"/>
  <c r="D2122" i="14"/>
  <c r="I2122" i="14"/>
  <c r="C2123" i="14"/>
  <c r="D2104" i="14"/>
  <c r="I2104" i="14"/>
  <c r="C2105" i="14"/>
  <c r="D2086" i="14"/>
  <c r="I2086" i="14"/>
  <c r="C2087" i="14"/>
  <c r="D2068" i="14"/>
  <c r="I2068" i="14"/>
  <c r="C2069" i="14"/>
  <c r="D2050" i="14"/>
  <c r="I2050" i="14"/>
  <c r="C2051" i="14"/>
  <c r="D2032" i="14"/>
  <c r="I2032" i="14"/>
  <c r="C2033" i="14"/>
  <c r="D2014" i="14"/>
  <c r="I2014" i="14"/>
  <c r="C2015" i="14"/>
  <c r="D1996" i="14"/>
  <c r="I1996" i="14"/>
  <c r="C1997" i="14"/>
  <c r="D1978" i="14"/>
  <c r="I1978" i="14"/>
  <c r="C1979" i="14"/>
  <c r="D1960" i="14"/>
  <c r="I1960" i="14"/>
  <c r="C1961" i="14"/>
  <c r="D1942" i="14"/>
  <c r="I1942" i="14"/>
  <c r="C1943" i="14"/>
  <c r="D1924" i="14"/>
  <c r="I1924" i="14"/>
  <c r="C1925" i="14"/>
  <c r="D1906" i="14"/>
  <c r="I1906" i="14"/>
  <c r="C1907" i="14"/>
  <c r="D1888" i="14"/>
  <c r="I1888" i="14"/>
  <c r="C1889" i="14"/>
  <c r="D1870" i="14"/>
  <c r="I1870" i="14"/>
  <c r="C1871" i="14"/>
  <c r="D1852" i="14"/>
  <c r="I1852" i="14"/>
  <c r="C1853" i="14"/>
  <c r="D1834" i="14"/>
  <c r="I1834" i="14"/>
  <c r="C1835" i="14"/>
  <c r="D1816" i="14"/>
  <c r="I1816" i="14"/>
  <c r="C1817" i="14"/>
  <c r="D1798" i="14"/>
  <c r="I1798" i="14"/>
  <c r="C1799" i="14"/>
  <c r="D1780" i="14"/>
  <c r="I1780" i="14"/>
  <c r="C1781" i="14"/>
  <c r="D1762" i="14"/>
  <c r="I1762" i="14"/>
  <c r="C1763" i="14"/>
  <c r="D1744" i="14"/>
  <c r="I1744" i="14"/>
  <c r="C1745" i="14"/>
  <c r="D1726" i="14"/>
  <c r="I1726" i="14"/>
  <c r="C1727" i="14"/>
  <c r="D1708" i="14"/>
  <c r="I1708" i="14"/>
  <c r="C1709" i="14"/>
  <c r="D1690" i="14"/>
  <c r="I1690" i="14"/>
  <c r="C1691" i="14"/>
  <c r="D1672" i="14"/>
  <c r="I1672" i="14"/>
  <c r="C1673" i="14"/>
  <c r="D1654" i="14"/>
  <c r="I1654" i="14"/>
  <c r="C1655" i="14"/>
  <c r="D1636" i="14"/>
  <c r="I1636" i="14"/>
  <c r="C1637" i="14"/>
  <c r="D1618" i="14"/>
  <c r="I1618" i="14"/>
  <c r="C1619" i="14"/>
  <c r="D1600" i="14"/>
  <c r="I1600" i="14"/>
  <c r="C1601" i="14"/>
  <c r="D1582" i="14"/>
  <c r="I1582" i="14"/>
  <c r="C1583" i="14"/>
  <c r="D1564" i="14"/>
  <c r="I1564" i="14"/>
  <c r="C1565" i="14"/>
  <c r="D1546" i="14"/>
  <c r="I1546" i="14"/>
  <c r="C1547" i="14"/>
  <c r="D1528" i="14"/>
  <c r="I1528" i="14"/>
  <c r="C1529" i="14"/>
  <c r="D1510" i="14"/>
  <c r="I1510" i="14"/>
  <c r="C1511" i="14"/>
  <c r="D1492" i="14"/>
  <c r="I1492" i="14"/>
  <c r="C1493" i="14"/>
  <c r="D1474" i="14"/>
  <c r="I1474" i="14"/>
  <c r="C1475" i="14"/>
  <c r="D1456" i="14"/>
  <c r="I1456" i="14"/>
  <c r="C1457" i="14"/>
  <c r="D1438" i="14"/>
  <c r="I1438" i="14"/>
  <c r="C1439" i="14"/>
  <c r="D1420" i="14"/>
  <c r="I1420" i="14"/>
  <c r="C1421" i="14"/>
  <c r="D1402" i="14"/>
  <c r="C1403" i="14"/>
  <c r="I1402" i="14"/>
  <c r="D1384" i="14"/>
  <c r="I1384" i="14"/>
  <c r="C1385" i="14"/>
  <c r="D1366" i="14"/>
  <c r="I1366" i="14"/>
  <c r="C1367" i="14"/>
  <c r="D1348" i="14"/>
  <c r="I1348" i="14"/>
  <c r="C1349" i="14"/>
  <c r="D1330" i="14"/>
  <c r="I1330" i="14"/>
  <c r="C1331" i="14"/>
  <c r="D1312" i="14"/>
  <c r="I1312" i="14"/>
  <c r="C1313" i="14"/>
  <c r="D1294" i="14"/>
  <c r="I1294" i="14"/>
  <c r="C1295" i="14"/>
  <c r="D1276" i="14"/>
  <c r="I1276" i="14"/>
  <c r="C1277" i="14"/>
  <c r="D1258" i="14"/>
  <c r="I1258" i="14"/>
  <c r="C1259" i="14"/>
  <c r="D1240" i="14"/>
  <c r="I1240" i="14"/>
  <c r="C1241" i="14"/>
  <c r="D1222" i="14"/>
  <c r="I1222" i="14"/>
  <c r="C1223" i="14"/>
  <c r="D1204" i="14"/>
  <c r="I1204" i="14"/>
  <c r="C1205" i="14"/>
  <c r="D1186" i="14"/>
  <c r="I1186" i="14"/>
  <c r="C1187" i="14"/>
  <c r="D1168" i="14"/>
  <c r="I1168" i="14"/>
  <c r="C1169" i="14"/>
  <c r="D1150" i="14"/>
  <c r="I1150" i="14"/>
  <c r="C1151" i="14"/>
  <c r="D1132" i="14"/>
  <c r="I1132" i="14"/>
  <c r="C1133" i="14"/>
  <c r="D1114" i="14"/>
  <c r="I1114" i="14"/>
  <c r="C1115" i="14"/>
  <c r="D1096" i="14"/>
  <c r="I1096" i="14"/>
  <c r="C1097" i="14"/>
  <c r="D1078" i="14"/>
  <c r="I1078" i="14"/>
  <c r="C1079" i="14"/>
  <c r="D1060" i="14"/>
  <c r="I1060" i="14"/>
  <c r="C1061" i="14"/>
  <c r="D1042" i="14"/>
  <c r="I1042" i="14"/>
  <c r="C1043" i="14"/>
  <c r="D1024" i="14"/>
  <c r="I1024" i="14"/>
  <c r="C1025" i="14"/>
  <c r="D1006" i="14"/>
  <c r="I1006" i="14"/>
  <c r="C1007" i="14"/>
  <c r="D988" i="14"/>
  <c r="I988" i="14"/>
  <c r="C989" i="14"/>
  <c r="D970" i="14"/>
  <c r="I970" i="14"/>
  <c r="C971" i="14"/>
  <c r="D952" i="14"/>
  <c r="I952" i="14"/>
  <c r="C953" i="14"/>
  <c r="D934" i="14"/>
  <c r="I934" i="14"/>
  <c r="C935" i="14"/>
  <c r="D916" i="14"/>
  <c r="I916" i="14"/>
  <c r="C917" i="14"/>
  <c r="I898" i="14"/>
  <c r="D898" i="14"/>
  <c r="C899" i="14"/>
  <c r="D880" i="14"/>
  <c r="I880" i="14"/>
  <c r="C881" i="14"/>
  <c r="I862" i="14"/>
  <c r="D862" i="14"/>
  <c r="C863" i="14"/>
  <c r="I844" i="14"/>
  <c r="C845" i="14"/>
  <c r="D844" i="14"/>
  <c r="D826" i="14"/>
  <c r="C827" i="14"/>
  <c r="I826" i="14"/>
  <c r="D808" i="14"/>
  <c r="C809" i="14"/>
  <c r="I808" i="14"/>
  <c r="D790" i="14"/>
  <c r="I790" i="14"/>
  <c r="C791" i="14"/>
  <c r="I772" i="14"/>
  <c r="C773" i="14"/>
  <c r="D772" i="14"/>
  <c r="D754" i="14"/>
  <c r="I754" i="14"/>
  <c r="C755" i="14"/>
  <c r="D736" i="14"/>
  <c r="I736" i="14"/>
  <c r="C737" i="14"/>
  <c r="C719" i="14"/>
  <c r="D718" i="14"/>
  <c r="I718" i="14"/>
  <c r="D700" i="14"/>
  <c r="I700" i="14"/>
  <c r="C701" i="14"/>
  <c r="C683" i="14"/>
  <c r="I682" i="14"/>
  <c r="D682" i="14"/>
  <c r="D664" i="14"/>
  <c r="I664" i="14"/>
  <c r="C665" i="14"/>
  <c r="D646" i="14"/>
  <c r="I646" i="14"/>
  <c r="C647" i="14"/>
  <c r="D628" i="14"/>
  <c r="C629" i="14"/>
  <c r="I628" i="14"/>
  <c r="D610" i="14"/>
  <c r="I610" i="14"/>
  <c r="C611" i="14"/>
  <c r="D592" i="14"/>
  <c r="I592" i="14"/>
  <c r="C593" i="14"/>
  <c r="D574" i="14"/>
  <c r="I574" i="14"/>
  <c r="C575" i="14"/>
  <c r="D556" i="14"/>
  <c r="I556" i="14"/>
  <c r="C557" i="14"/>
  <c r="D538" i="14"/>
  <c r="I538" i="14"/>
  <c r="C539" i="14"/>
  <c r="D520" i="14"/>
  <c r="I520" i="14"/>
  <c r="C521" i="14"/>
  <c r="D502" i="14"/>
  <c r="I502" i="14"/>
  <c r="C503" i="14"/>
  <c r="D484" i="14"/>
  <c r="I484" i="14"/>
  <c r="C485" i="14"/>
  <c r="D466" i="14"/>
  <c r="I466" i="14"/>
  <c r="C467" i="14"/>
  <c r="D448" i="14"/>
  <c r="I448" i="14"/>
  <c r="C449" i="14"/>
  <c r="D430" i="14"/>
  <c r="I430" i="14"/>
  <c r="C431" i="14"/>
  <c r="D412" i="14"/>
  <c r="I412" i="14"/>
  <c r="C413" i="14"/>
  <c r="D394" i="14"/>
  <c r="I394" i="14"/>
  <c r="C395" i="14"/>
  <c r="D376" i="14"/>
  <c r="I376" i="14"/>
  <c r="C377" i="14"/>
  <c r="D358" i="14"/>
  <c r="I358" i="14"/>
  <c r="C359" i="14"/>
  <c r="D340" i="14"/>
  <c r="I340" i="14"/>
  <c r="C341" i="14"/>
  <c r="D322" i="14"/>
  <c r="I322" i="14"/>
  <c r="C323" i="14"/>
  <c r="D304" i="14"/>
  <c r="I304" i="14"/>
  <c r="C305" i="14"/>
  <c r="D286" i="14"/>
  <c r="I286" i="14"/>
  <c r="C287" i="14"/>
  <c r="D268" i="14"/>
  <c r="I268" i="14"/>
  <c r="C269" i="14"/>
  <c r="D250" i="14"/>
  <c r="I250" i="14"/>
  <c r="C251" i="14"/>
  <c r="D232" i="14"/>
  <c r="I232" i="14"/>
  <c r="C233" i="14"/>
  <c r="A232" i="14"/>
  <c r="J232" i="14" s="1"/>
  <c r="J33" i="14"/>
  <c r="A34" i="14"/>
  <c r="W27" i="12" l="1"/>
  <c r="W24" i="12"/>
  <c r="W26" i="12"/>
  <c r="W25" i="12"/>
  <c r="W22" i="12"/>
  <c r="W28" i="12"/>
  <c r="V52" i="10"/>
  <c r="V54" i="10" s="1"/>
  <c r="AA38" i="12"/>
  <c r="AA33" i="12"/>
  <c r="AA43" i="12"/>
  <c r="AA37" i="12"/>
  <c r="AA32" i="12"/>
  <c r="AA42" i="12"/>
  <c r="AA35" i="12"/>
  <c r="AA30" i="12"/>
  <c r="AA40" i="12"/>
  <c r="AA36" i="12"/>
  <c r="AA31" i="12"/>
  <c r="AA41" i="12"/>
  <c r="W45" i="12"/>
  <c r="X29" i="18"/>
  <c r="Y11" i="18"/>
  <c r="Y13" i="18" s="1"/>
  <c r="F125" i="18"/>
  <c r="A2197" i="14"/>
  <c r="D2159" i="14"/>
  <c r="I2159" i="14"/>
  <c r="C2160" i="14"/>
  <c r="D2141" i="14"/>
  <c r="I2141" i="14"/>
  <c r="C2142" i="14"/>
  <c r="D2123" i="14"/>
  <c r="I2123" i="14"/>
  <c r="C2124" i="14"/>
  <c r="D2105" i="14"/>
  <c r="I2105" i="14"/>
  <c r="C2106" i="14"/>
  <c r="D2087" i="14"/>
  <c r="I2087" i="14"/>
  <c r="C2088" i="14"/>
  <c r="D2069" i="14"/>
  <c r="I2069" i="14"/>
  <c r="C2070" i="14"/>
  <c r="D2051" i="14"/>
  <c r="I2051" i="14"/>
  <c r="C2052" i="14"/>
  <c r="D2033" i="14"/>
  <c r="I2033" i="14"/>
  <c r="C2034" i="14"/>
  <c r="D2015" i="14"/>
  <c r="I2015" i="14"/>
  <c r="C2016" i="14"/>
  <c r="D1997" i="14"/>
  <c r="I1997" i="14"/>
  <c r="C1998" i="14"/>
  <c r="D1979" i="14"/>
  <c r="I1979" i="14"/>
  <c r="C1980" i="14"/>
  <c r="D1961" i="14"/>
  <c r="I1961" i="14"/>
  <c r="C1962" i="14"/>
  <c r="D1943" i="14"/>
  <c r="I1943" i="14"/>
  <c r="C1944" i="14"/>
  <c r="D1925" i="14"/>
  <c r="I1925" i="14"/>
  <c r="C1926" i="14"/>
  <c r="D1907" i="14"/>
  <c r="I1907" i="14"/>
  <c r="C1908" i="14"/>
  <c r="D1889" i="14"/>
  <c r="I1889" i="14"/>
  <c r="C1890" i="14"/>
  <c r="D1871" i="14"/>
  <c r="I1871" i="14"/>
  <c r="C1872" i="14"/>
  <c r="D1853" i="14"/>
  <c r="I1853" i="14"/>
  <c r="C1854" i="14"/>
  <c r="D1835" i="14"/>
  <c r="I1835" i="14"/>
  <c r="C1836" i="14"/>
  <c r="D1817" i="14"/>
  <c r="I1817" i="14"/>
  <c r="C1818" i="14"/>
  <c r="D1799" i="14"/>
  <c r="I1799" i="14"/>
  <c r="C1800" i="14"/>
  <c r="D1781" i="14"/>
  <c r="I1781" i="14"/>
  <c r="C1782" i="14"/>
  <c r="D1763" i="14"/>
  <c r="I1763" i="14"/>
  <c r="C1764" i="14"/>
  <c r="D1745" i="14"/>
  <c r="I1745" i="14"/>
  <c r="C1746" i="14"/>
  <c r="D1727" i="14"/>
  <c r="I1727" i="14"/>
  <c r="C1728" i="14"/>
  <c r="D1709" i="14"/>
  <c r="I1709" i="14"/>
  <c r="C1710" i="14"/>
  <c r="D1691" i="14"/>
  <c r="I1691" i="14"/>
  <c r="C1692" i="14"/>
  <c r="D1673" i="14"/>
  <c r="I1673" i="14"/>
  <c r="C1674" i="14"/>
  <c r="D1655" i="14"/>
  <c r="I1655" i="14"/>
  <c r="C1656" i="14"/>
  <c r="D1637" i="14"/>
  <c r="I1637" i="14"/>
  <c r="C1638" i="14"/>
  <c r="D1619" i="14"/>
  <c r="I1619" i="14"/>
  <c r="C1620" i="14"/>
  <c r="D1601" i="14"/>
  <c r="I1601" i="14"/>
  <c r="C1602" i="14"/>
  <c r="D1583" i="14"/>
  <c r="I1583" i="14"/>
  <c r="C1584" i="14"/>
  <c r="D1565" i="14"/>
  <c r="I1565" i="14"/>
  <c r="C1566" i="14"/>
  <c r="D1547" i="14"/>
  <c r="I1547" i="14"/>
  <c r="C1548" i="14"/>
  <c r="D1529" i="14"/>
  <c r="I1529" i="14"/>
  <c r="C1530" i="14"/>
  <c r="D1511" i="14"/>
  <c r="I1511" i="14"/>
  <c r="C1512" i="14"/>
  <c r="D1493" i="14"/>
  <c r="I1493" i="14"/>
  <c r="C1494" i="14"/>
  <c r="D1475" i="14"/>
  <c r="I1475" i="14"/>
  <c r="C1476" i="14"/>
  <c r="D1457" i="14"/>
  <c r="I1457" i="14"/>
  <c r="C1458" i="14"/>
  <c r="D1439" i="14"/>
  <c r="I1439" i="14"/>
  <c r="C1440" i="14"/>
  <c r="D1421" i="14"/>
  <c r="I1421" i="14"/>
  <c r="C1422" i="14"/>
  <c r="D1403" i="14"/>
  <c r="C1404" i="14"/>
  <c r="I1403" i="14"/>
  <c r="D1385" i="14"/>
  <c r="I1385" i="14"/>
  <c r="C1386" i="14"/>
  <c r="D1367" i="14"/>
  <c r="I1367" i="14"/>
  <c r="C1368" i="14"/>
  <c r="D1349" i="14"/>
  <c r="I1349" i="14"/>
  <c r="C1350" i="14"/>
  <c r="D1331" i="14"/>
  <c r="I1331" i="14"/>
  <c r="C1332" i="14"/>
  <c r="D1313" i="14"/>
  <c r="I1313" i="14"/>
  <c r="C1314" i="14"/>
  <c r="D1295" i="14"/>
  <c r="I1295" i="14"/>
  <c r="C1296" i="14"/>
  <c r="D1277" i="14"/>
  <c r="I1277" i="14"/>
  <c r="C1278" i="14"/>
  <c r="D1259" i="14"/>
  <c r="I1259" i="14"/>
  <c r="C1260" i="14"/>
  <c r="D1241" i="14"/>
  <c r="I1241" i="14"/>
  <c r="C1242" i="14"/>
  <c r="D1223" i="14"/>
  <c r="I1223" i="14"/>
  <c r="C1224" i="14"/>
  <c r="D1205" i="14"/>
  <c r="I1205" i="14"/>
  <c r="C1206" i="14"/>
  <c r="D1187" i="14"/>
  <c r="I1187" i="14"/>
  <c r="C1188" i="14"/>
  <c r="D1169" i="14"/>
  <c r="I1169" i="14"/>
  <c r="C1170" i="14"/>
  <c r="D1151" i="14"/>
  <c r="I1151" i="14"/>
  <c r="C1152" i="14"/>
  <c r="D1133" i="14"/>
  <c r="I1133" i="14"/>
  <c r="C1134" i="14"/>
  <c r="D1115" i="14"/>
  <c r="I1115" i="14"/>
  <c r="C1116" i="14"/>
  <c r="D1097" i="14"/>
  <c r="I1097" i="14"/>
  <c r="C1098" i="14"/>
  <c r="D1079" i="14"/>
  <c r="I1079" i="14"/>
  <c r="C1080" i="14"/>
  <c r="D1061" i="14"/>
  <c r="I1061" i="14"/>
  <c r="C1062" i="14"/>
  <c r="D1043" i="14"/>
  <c r="I1043" i="14"/>
  <c r="C1044" i="14"/>
  <c r="D1025" i="14"/>
  <c r="I1025" i="14"/>
  <c r="C1026" i="14"/>
  <c r="D1007" i="14"/>
  <c r="I1007" i="14"/>
  <c r="C1008" i="14"/>
  <c r="D989" i="14"/>
  <c r="I989" i="14"/>
  <c r="C990" i="14"/>
  <c r="D971" i="14"/>
  <c r="I971" i="14"/>
  <c r="C972" i="14"/>
  <c r="D953" i="14"/>
  <c r="I953" i="14"/>
  <c r="C954" i="14"/>
  <c r="I935" i="14"/>
  <c r="D935" i="14"/>
  <c r="C936" i="14"/>
  <c r="D917" i="14"/>
  <c r="I917" i="14"/>
  <c r="C918" i="14"/>
  <c r="D899" i="14"/>
  <c r="I899" i="14"/>
  <c r="C900" i="14"/>
  <c r="I881" i="14"/>
  <c r="C882" i="14"/>
  <c r="D881" i="14"/>
  <c r="D863" i="14"/>
  <c r="I863" i="14"/>
  <c r="C864" i="14"/>
  <c r="I845" i="14"/>
  <c r="C846" i="14"/>
  <c r="D845" i="14"/>
  <c r="D827" i="14"/>
  <c r="I827" i="14"/>
  <c r="C828" i="14"/>
  <c r="I809" i="14"/>
  <c r="C810" i="14"/>
  <c r="D809" i="14"/>
  <c r="D791" i="14"/>
  <c r="I791" i="14"/>
  <c r="C792" i="14"/>
  <c r="D773" i="14"/>
  <c r="I773" i="14"/>
  <c r="C774" i="14"/>
  <c r="D755" i="14"/>
  <c r="I755" i="14"/>
  <c r="C756" i="14"/>
  <c r="C738" i="14"/>
  <c r="D737" i="14"/>
  <c r="I737" i="14"/>
  <c r="I719" i="14"/>
  <c r="D719" i="14"/>
  <c r="C720" i="14"/>
  <c r="I701" i="14"/>
  <c r="C702" i="14"/>
  <c r="D701" i="14"/>
  <c r="D683" i="14"/>
  <c r="I683" i="14"/>
  <c r="C684" i="14"/>
  <c r="I665" i="14"/>
  <c r="C666" i="14"/>
  <c r="D665" i="14"/>
  <c r="D647" i="14"/>
  <c r="I647" i="14"/>
  <c r="C648" i="14"/>
  <c r="D629" i="14"/>
  <c r="I629" i="14"/>
  <c r="C630" i="14"/>
  <c r="D611" i="14"/>
  <c r="I611" i="14"/>
  <c r="C612" i="14"/>
  <c r="D593" i="14"/>
  <c r="I593" i="14"/>
  <c r="C594" i="14"/>
  <c r="D575" i="14"/>
  <c r="I575" i="14"/>
  <c r="C576" i="14"/>
  <c r="D557" i="14"/>
  <c r="I557" i="14"/>
  <c r="C558" i="14"/>
  <c r="D539" i="14"/>
  <c r="I539" i="14"/>
  <c r="C540" i="14"/>
  <c r="D521" i="14"/>
  <c r="I521" i="14"/>
  <c r="C522" i="14"/>
  <c r="D503" i="14"/>
  <c r="I503" i="14"/>
  <c r="C504" i="14"/>
  <c r="D485" i="14"/>
  <c r="I485" i="14"/>
  <c r="C486" i="14"/>
  <c r="D467" i="14"/>
  <c r="I467" i="14"/>
  <c r="C468" i="14"/>
  <c r="D449" i="14"/>
  <c r="I449" i="14"/>
  <c r="C450" i="14"/>
  <c r="D431" i="14"/>
  <c r="I431" i="14"/>
  <c r="C432" i="14"/>
  <c r="D413" i="14"/>
  <c r="I413" i="14"/>
  <c r="C414" i="14"/>
  <c r="D395" i="14"/>
  <c r="I395" i="14"/>
  <c r="C396" i="14"/>
  <c r="D377" i="14"/>
  <c r="I377" i="14"/>
  <c r="C378" i="14"/>
  <c r="D359" i="14"/>
  <c r="I359" i="14"/>
  <c r="C360" i="14"/>
  <c r="D341" i="14"/>
  <c r="I341" i="14"/>
  <c r="C342" i="14"/>
  <c r="D323" i="14"/>
  <c r="I323" i="14"/>
  <c r="C324" i="14"/>
  <c r="D305" i="14"/>
  <c r="I305" i="14"/>
  <c r="C306" i="14"/>
  <c r="D287" i="14"/>
  <c r="I287" i="14"/>
  <c r="C288" i="14"/>
  <c r="D269" i="14"/>
  <c r="I269" i="14"/>
  <c r="C270" i="14"/>
  <c r="D251" i="14"/>
  <c r="I251" i="14"/>
  <c r="C252" i="14"/>
  <c r="D233" i="14"/>
  <c r="I233" i="14"/>
  <c r="J233" i="14"/>
  <c r="C234" i="14"/>
  <c r="A233" i="14"/>
  <c r="J34" i="14"/>
  <c r="A35" i="14"/>
  <c r="Y17" i="12" l="1"/>
  <c r="X32" i="10"/>
  <c r="Z10" i="18"/>
  <c r="I125" i="18"/>
  <c r="K125" i="18" s="1"/>
  <c r="Z19" i="18" s="1"/>
  <c r="A2198" i="14"/>
  <c r="D2160" i="14"/>
  <c r="I2160" i="14"/>
  <c r="C2161" i="14"/>
  <c r="D2142" i="14"/>
  <c r="I2142" i="14"/>
  <c r="C2143" i="14"/>
  <c r="D2124" i="14"/>
  <c r="I2124" i="14"/>
  <c r="C2125" i="14"/>
  <c r="D2106" i="14"/>
  <c r="I2106" i="14"/>
  <c r="C2107" i="14"/>
  <c r="D2088" i="14"/>
  <c r="I2088" i="14"/>
  <c r="C2089" i="14"/>
  <c r="D2070" i="14"/>
  <c r="I2070" i="14"/>
  <c r="C2071" i="14"/>
  <c r="D2052" i="14"/>
  <c r="I2052" i="14"/>
  <c r="C2053" i="14"/>
  <c r="D2034" i="14"/>
  <c r="I2034" i="14"/>
  <c r="C2035" i="14"/>
  <c r="D2016" i="14"/>
  <c r="I2016" i="14"/>
  <c r="C2017" i="14"/>
  <c r="D1998" i="14"/>
  <c r="I1998" i="14"/>
  <c r="C1999" i="14"/>
  <c r="D1980" i="14"/>
  <c r="I1980" i="14"/>
  <c r="C1981" i="14"/>
  <c r="D1962" i="14"/>
  <c r="I1962" i="14"/>
  <c r="C1963" i="14"/>
  <c r="D1944" i="14"/>
  <c r="I1944" i="14"/>
  <c r="C1945" i="14"/>
  <c r="D1926" i="14"/>
  <c r="I1926" i="14"/>
  <c r="C1927" i="14"/>
  <c r="D1908" i="14"/>
  <c r="I1908" i="14"/>
  <c r="C1909" i="14"/>
  <c r="D1890" i="14"/>
  <c r="I1890" i="14"/>
  <c r="C1891" i="14"/>
  <c r="D1872" i="14"/>
  <c r="I1872" i="14"/>
  <c r="C1873" i="14"/>
  <c r="D1854" i="14"/>
  <c r="I1854" i="14"/>
  <c r="C1855" i="14"/>
  <c r="D1836" i="14"/>
  <c r="I1836" i="14"/>
  <c r="C1837" i="14"/>
  <c r="D1818" i="14"/>
  <c r="I1818" i="14"/>
  <c r="C1819" i="14"/>
  <c r="D1800" i="14"/>
  <c r="I1800" i="14"/>
  <c r="C1801" i="14"/>
  <c r="D1782" i="14"/>
  <c r="I1782" i="14"/>
  <c r="C1783" i="14"/>
  <c r="D1764" i="14"/>
  <c r="I1764" i="14"/>
  <c r="C1765" i="14"/>
  <c r="D1746" i="14"/>
  <c r="I1746" i="14"/>
  <c r="C1747" i="14"/>
  <c r="D1728" i="14"/>
  <c r="I1728" i="14"/>
  <c r="C1729" i="14"/>
  <c r="D1710" i="14"/>
  <c r="I1710" i="14"/>
  <c r="C1711" i="14"/>
  <c r="D1692" i="14"/>
  <c r="I1692" i="14"/>
  <c r="C1693" i="14"/>
  <c r="D1674" i="14"/>
  <c r="I1674" i="14"/>
  <c r="C1675" i="14"/>
  <c r="D1656" i="14"/>
  <c r="I1656" i="14"/>
  <c r="C1657" i="14"/>
  <c r="D1638" i="14"/>
  <c r="I1638" i="14"/>
  <c r="C1639" i="14"/>
  <c r="D1620" i="14"/>
  <c r="I1620" i="14"/>
  <c r="C1621" i="14"/>
  <c r="D1602" i="14"/>
  <c r="I1602" i="14"/>
  <c r="C1603" i="14"/>
  <c r="D1584" i="14"/>
  <c r="I1584" i="14"/>
  <c r="C1585" i="14"/>
  <c r="D1566" i="14"/>
  <c r="I1566" i="14"/>
  <c r="C1567" i="14"/>
  <c r="D1548" i="14"/>
  <c r="I1548" i="14"/>
  <c r="C1549" i="14"/>
  <c r="D1530" i="14"/>
  <c r="I1530" i="14"/>
  <c r="C1531" i="14"/>
  <c r="D1512" i="14"/>
  <c r="I1512" i="14"/>
  <c r="C1513" i="14"/>
  <c r="D1494" i="14"/>
  <c r="I1494" i="14"/>
  <c r="C1495" i="14"/>
  <c r="D1476" i="14"/>
  <c r="I1476" i="14"/>
  <c r="C1477" i="14"/>
  <c r="D1458" i="14"/>
  <c r="I1458" i="14"/>
  <c r="C1459" i="14"/>
  <c r="D1440" i="14"/>
  <c r="I1440" i="14"/>
  <c r="C1441" i="14"/>
  <c r="D1422" i="14"/>
  <c r="I1422" i="14"/>
  <c r="C1423" i="14"/>
  <c r="D1404" i="14"/>
  <c r="I1404" i="14"/>
  <c r="C1405" i="14"/>
  <c r="D1386" i="14"/>
  <c r="I1386" i="14"/>
  <c r="C1387" i="14"/>
  <c r="D1368" i="14"/>
  <c r="I1368" i="14"/>
  <c r="C1369" i="14"/>
  <c r="D1350" i="14"/>
  <c r="I1350" i="14"/>
  <c r="C1351" i="14"/>
  <c r="D1332" i="14"/>
  <c r="I1332" i="14"/>
  <c r="C1333" i="14"/>
  <c r="D1314" i="14"/>
  <c r="I1314" i="14"/>
  <c r="C1315" i="14"/>
  <c r="D1296" i="14"/>
  <c r="I1296" i="14"/>
  <c r="C1297" i="14"/>
  <c r="D1278" i="14"/>
  <c r="I1278" i="14"/>
  <c r="C1279" i="14"/>
  <c r="D1260" i="14"/>
  <c r="I1260" i="14"/>
  <c r="C1261" i="14"/>
  <c r="D1242" i="14"/>
  <c r="I1242" i="14"/>
  <c r="C1243" i="14"/>
  <c r="D1224" i="14"/>
  <c r="I1224" i="14"/>
  <c r="C1225" i="14"/>
  <c r="D1206" i="14"/>
  <c r="I1206" i="14"/>
  <c r="C1207" i="14"/>
  <c r="D1188" i="14"/>
  <c r="I1188" i="14"/>
  <c r="C1189" i="14"/>
  <c r="D1170" i="14"/>
  <c r="I1170" i="14"/>
  <c r="C1171" i="14"/>
  <c r="D1152" i="14"/>
  <c r="I1152" i="14"/>
  <c r="C1153" i="14"/>
  <c r="D1134" i="14"/>
  <c r="I1134" i="14"/>
  <c r="C1135" i="14"/>
  <c r="D1116" i="14"/>
  <c r="I1116" i="14"/>
  <c r="C1117" i="14"/>
  <c r="D1098" i="14"/>
  <c r="I1098" i="14"/>
  <c r="C1099" i="14"/>
  <c r="D1080" i="14"/>
  <c r="I1080" i="14"/>
  <c r="C1081" i="14"/>
  <c r="D1062" i="14"/>
  <c r="I1062" i="14"/>
  <c r="C1063" i="14"/>
  <c r="D1044" i="14"/>
  <c r="I1044" i="14"/>
  <c r="C1045" i="14"/>
  <c r="D1026" i="14"/>
  <c r="I1026" i="14"/>
  <c r="C1027" i="14"/>
  <c r="D1008" i="14"/>
  <c r="I1008" i="14"/>
  <c r="C1009" i="14"/>
  <c r="D990" i="14"/>
  <c r="I990" i="14"/>
  <c r="C991" i="14"/>
  <c r="D972" i="14"/>
  <c r="I972" i="14"/>
  <c r="C973" i="14"/>
  <c r="D954" i="14"/>
  <c r="I954" i="14"/>
  <c r="C955" i="14"/>
  <c r="D936" i="14"/>
  <c r="I936" i="14"/>
  <c r="C937" i="14"/>
  <c r="I918" i="14"/>
  <c r="D918" i="14"/>
  <c r="C919" i="14"/>
  <c r="D900" i="14"/>
  <c r="I900" i="14"/>
  <c r="C901" i="14"/>
  <c r="D882" i="14"/>
  <c r="I882" i="14"/>
  <c r="C883" i="14"/>
  <c r="I864" i="14"/>
  <c r="C865" i="14"/>
  <c r="D864" i="14"/>
  <c r="I846" i="14"/>
  <c r="C847" i="14"/>
  <c r="D846" i="14"/>
  <c r="D828" i="14"/>
  <c r="I828" i="14"/>
  <c r="C829" i="14"/>
  <c r="D810" i="14"/>
  <c r="C811" i="14"/>
  <c r="I810" i="14"/>
  <c r="D792" i="14"/>
  <c r="I792" i="14"/>
  <c r="C793" i="14"/>
  <c r="I774" i="14"/>
  <c r="D774" i="14"/>
  <c r="C775" i="14"/>
  <c r="D756" i="14"/>
  <c r="I756" i="14"/>
  <c r="C757" i="14"/>
  <c r="C739" i="14"/>
  <c r="D738" i="14"/>
  <c r="I738" i="14"/>
  <c r="D720" i="14"/>
  <c r="I720" i="14"/>
  <c r="C721" i="14"/>
  <c r="D702" i="14"/>
  <c r="I702" i="14"/>
  <c r="C703" i="14"/>
  <c r="D684" i="14"/>
  <c r="I684" i="14"/>
  <c r="C685" i="14"/>
  <c r="D666" i="14"/>
  <c r="I666" i="14"/>
  <c r="C667" i="14"/>
  <c r="D648" i="14"/>
  <c r="I648" i="14"/>
  <c r="C649" i="14"/>
  <c r="D630" i="14"/>
  <c r="I630" i="14"/>
  <c r="C631" i="14"/>
  <c r="D612" i="14"/>
  <c r="I612" i="14"/>
  <c r="C613" i="14"/>
  <c r="D594" i="14"/>
  <c r="I594" i="14"/>
  <c r="C595" i="14"/>
  <c r="D576" i="14"/>
  <c r="I576" i="14"/>
  <c r="C577" i="14"/>
  <c r="D558" i="14"/>
  <c r="I558" i="14"/>
  <c r="C559" i="14"/>
  <c r="D540" i="14"/>
  <c r="I540" i="14"/>
  <c r="C541" i="14"/>
  <c r="D522" i="14"/>
  <c r="I522" i="14"/>
  <c r="C523" i="14"/>
  <c r="D504" i="14"/>
  <c r="I504" i="14"/>
  <c r="C505" i="14"/>
  <c r="D486" i="14"/>
  <c r="I486" i="14"/>
  <c r="C487" i="14"/>
  <c r="D468" i="14"/>
  <c r="I468" i="14"/>
  <c r="C469" i="14"/>
  <c r="D450" i="14"/>
  <c r="I450" i="14"/>
  <c r="C451" i="14"/>
  <c r="D432" i="14"/>
  <c r="I432" i="14"/>
  <c r="C433" i="14"/>
  <c r="D414" i="14"/>
  <c r="I414" i="14"/>
  <c r="C415" i="14"/>
  <c r="D396" i="14"/>
  <c r="I396" i="14"/>
  <c r="C397" i="14"/>
  <c r="D378" i="14"/>
  <c r="I378" i="14"/>
  <c r="C379" i="14"/>
  <c r="D360" i="14"/>
  <c r="I360" i="14"/>
  <c r="C361" i="14"/>
  <c r="D342" i="14"/>
  <c r="I342" i="14"/>
  <c r="C343" i="14"/>
  <c r="D324" i="14"/>
  <c r="I324" i="14"/>
  <c r="C325" i="14"/>
  <c r="D306" i="14"/>
  <c r="I306" i="14"/>
  <c r="C307" i="14"/>
  <c r="D288" i="14"/>
  <c r="I288" i="14"/>
  <c r="C289" i="14"/>
  <c r="D270" i="14"/>
  <c r="I270" i="14"/>
  <c r="C271" i="14"/>
  <c r="D252" i="14"/>
  <c r="I252" i="14"/>
  <c r="C253" i="14"/>
  <c r="D234" i="14"/>
  <c r="I234" i="14"/>
  <c r="C235" i="14"/>
  <c r="A234" i="14"/>
  <c r="J234" i="14" s="1"/>
  <c r="J35" i="14"/>
  <c r="A36" i="14"/>
  <c r="Y24" i="12" l="1"/>
  <c r="Y45" i="12" s="1"/>
  <c r="Y25" i="12"/>
  <c r="Y28" i="12"/>
  <c r="Y27" i="12"/>
  <c r="Y26" i="12"/>
  <c r="Y22" i="12"/>
  <c r="X52" i="10"/>
  <c r="X54" i="10" s="1"/>
  <c r="F33" i="16"/>
  <c r="H33" i="16" s="1"/>
  <c r="Y29" i="18"/>
  <c r="Z11" i="18"/>
  <c r="Z13" i="18" s="1"/>
  <c r="A2199" i="14"/>
  <c r="D2161" i="14"/>
  <c r="I2161" i="14"/>
  <c r="D2143" i="14"/>
  <c r="I2143" i="14"/>
  <c r="D2125" i="14"/>
  <c r="I2125" i="14"/>
  <c r="D2107" i="14"/>
  <c r="I2107" i="14"/>
  <c r="D2089" i="14"/>
  <c r="I2089" i="14"/>
  <c r="D2071" i="14"/>
  <c r="I2071" i="14"/>
  <c r="D2053" i="14"/>
  <c r="I2053" i="14"/>
  <c r="D2035" i="14"/>
  <c r="I2035" i="14"/>
  <c r="D2017" i="14"/>
  <c r="I2017" i="14"/>
  <c r="D1999" i="14"/>
  <c r="I1999" i="14"/>
  <c r="D1981" i="14"/>
  <c r="I1981" i="14"/>
  <c r="D1963" i="14"/>
  <c r="I1963" i="14"/>
  <c r="D1945" i="14"/>
  <c r="I1945" i="14"/>
  <c r="A1946" i="14"/>
  <c r="D1927" i="14"/>
  <c r="I1927" i="14"/>
  <c r="D1909" i="14"/>
  <c r="I1909" i="14"/>
  <c r="D1891" i="14"/>
  <c r="I1891" i="14"/>
  <c r="D1873" i="14"/>
  <c r="I1873" i="14"/>
  <c r="D1855" i="14"/>
  <c r="I1855" i="14"/>
  <c r="D1837" i="14"/>
  <c r="I1837" i="14"/>
  <c r="D1819" i="14"/>
  <c r="I1819" i="14"/>
  <c r="D1801" i="14"/>
  <c r="I1801" i="14"/>
  <c r="D1783" i="14"/>
  <c r="I1783" i="14"/>
  <c r="D1765" i="14"/>
  <c r="I1765" i="14"/>
  <c r="D1747" i="14"/>
  <c r="I1747" i="14"/>
  <c r="D1729" i="14"/>
  <c r="I1729" i="14"/>
  <c r="A1730" i="14"/>
  <c r="D1711" i="14"/>
  <c r="I1711" i="14"/>
  <c r="D1693" i="14"/>
  <c r="I1693" i="14"/>
  <c r="D1675" i="14"/>
  <c r="I1675" i="14"/>
  <c r="D1657" i="14"/>
  <c r="I1657" i="14"/>
  <c r="D1639" i="14"/>
  <c r="I1639" i="14"/>
  <c r="D1621" i="14"/>
  <c r="I1621" i="14"/>
  <c r="D1603" i="14"/>
  <c r="I1603" i="14"/>
  <c r="D1585" i="14"/>
  <c r="I1585" i="14"/>
  <c r="D1567" i="14"/>
  <c r="I1567" i="14"/>
  <c r="D1549" i="14"/>
  <c r="I1549" i="14"/>
  <c r="D1531" i="14"/>
  <c r="I1531" i="14"/>
  <c r="D1513" i="14"/>
  <c r="I1513" i="14"/>
  <c r="A1514" i="14"/>
  <c r="D1495" i="14"/>
  <c r="I1495" i="14"/>
  <c r="D1477" i="14"/>
  <c r="I1477" i="14"/>
  <c r="D1459" i="14"/>
  <c r="I1459" i="14"/>
  <c r="D1441" i="14"/>
  <c r="I1441" i="14"/>
  <c r="D1423" i="14"/>
  <c r="I1423" i="14"/>
  <c r="D1405" i="14"/>
  <c r="I1405" i="14"/>
  <c r="D1387" i="14"/>
  <c r="I1387" i="14"/>
  <c r="D1369" i="14"/>
  <c r="I1369" i="14"/>
  <c r="D1351" i="14"/>
  <c r="I1351" i="14"/>
  <c r="D1333" i="14"/>
  <c r="I1333" i="14"/>
  <c r="D1315" i="14"/>
  <c r="I1315" i="14"/>
  <c r="D1297" i="14"/>
  <c r="I1297" i="14"/>
  <c r="A1298" i="14"/>
  <c r="D1279" i="14"/>
  <c r="I1279" i="14"/>
  <c r="D1261" i="14"/>
  <c r="I1261" i="14"/>
  <c r="D1243" i="14"/>
  <c r="I1243" i="14"/>
  <c r="D1225" i="14"/>
  <c r="I1225" i="14"/>
  <c r="D1207" i="14"/>
  <c r="I1207" i="14"/>
  <c r="D1189" i="14"/>
  <c r="I1189" i="14"/>
  <c r="D1171" i="14"/>
  <c r="I1171" i="14"/>
  <c r="D1153" i="14"/>
  <c r="I1153" i="14"/>
  <c r="D1135" i="14"/>
  <c r="I1135" i="14"/>
  <c r="D1117" i="14"/>
  <c r="I1117" i="14"/>
  <c r="D1099" i="14"/>
  <c r="I1099" i="14"/>
  <c r="D1081" i="14"/>
  <c r="I1081" i="14"/>
  <c r="A1082" i="14"/>
  <c r="D1063" i="14"/>
  <c r="I1063" i="14"/>
  <c r="D1045" i="14"/>
  <c r="I1045" i="14"/>
  <c r="D1027" i="14"/>
  <c r="I1027" i="14"/>
  <c r="D1009" i="14"/>
  <c r="I1009" i="14"/>
  <c r="D991" i="14"/>
  <c r="I991" i="14"/>
  <c r="D973" i="14"/>
  <c r="I973" i="14"/>
  <c r="D955" i="14"/>
  <c r="I955" i="14"/>
  <c r="I937" i="14"/>
  <c r="D937" i="14"/>
  <c r="D919" i="14"/>
  <c r="I919" i="14"/>
  <c r="D901" i="14"/>
  <c r="I901" i="14"/>
  <c r="D883" i="14"/>
  <c r="I883" i="14"/>
  <c r="D865" i="14"/>
  <c r="I865" i="14"/>
  <c r="A866" i="14"/>
  <c r="D847" i="14"/>
  <c r="I847" i="14"/>
  <c r="D829" i="14"/>
  <c r="I829" i="14"/>
  <c r="D811" i="14"/>
  <c r="I811" i="14"/>
  <c r="I793" i="14"/>
  <c r="D793" i="14"/>
  <c r="D775" i="14"/>
  <c r="I775" i="14"/>
  <c r="I757" i="14"/>
  <c r="D757" i="14"/>
  <c r="D739" i="14"/>
  <c r="I739" i="14"/>
  <c r="I721" i="14"/>
  <c r="D721" i="14"/>
  <c r="D703" i="14"/>
  <c r="I703" i="14"/>
  <c r="D685" i="14"/>
  <c r="I685" i="14"/>
  <c r="D667" i="14"/>
  <c r="I667" i="14"/>
  <c r="D649" i="14"/>
  <c r="I649" i="14"/>
  <c r="A650" i="14"/>
  <c r="D631" i="14"/>
  <c r="I631" i="14"/>
  <c r="D613" i="14"/>
  <c r="I613" i="14"/>
  <c r="D595" i="14"/>
  <c r="I595" i="14"/>
  <c r="D577" i="14"/>
  <c r="I577" i="14"/>
  <c r="D559" i="14"/>
  <c r="I559" i="14"/>
  <c r="D541" i="14"/>
  <c r="I541" i="14"/>
  <c r="D523" i="14"/>
  <c r="I523" i="14"/>
  <c r="D505" i="14"/>
  <c r="I505" i="14"/>
  <c r="D487" i="14"/>
  <c r="I487" i="14"/>
  <c r="D469" i="14"/>
  <c r="I469" i="14"/>
  <c r="D451" i="14"/>
  <c r="I451" i="14"/>
  <c r="D433" i="14"/>
  <c r="I433" i="14"/>
  <c r="A434" i="14"/>
  <c r="D415" i="14"/>
  <c r="I415" i="14"/>
  <c r="D397" i="14"/>
  <c r="I397" i="14"/>
  <c r="D379" i="14"/>
  <c r="I379" i="14"/>
  <c r="D361" i="14"/>
  <c r="I361" i="14"/>
  <c r="D343" i="14"/>
  <c r="I343" i="14"/>
  <c r="D325" i="14"/>
  <c r="I325" i="14"/>
  <c r="D307" i="14"/>
  <c r="I307" i="14"/>
  <c r="D289" i="14"/>
  <c r="I289" i="14"/>
  <c r="D271" i="14"/>
  <c r="I271" i="14"/>
  <c r="D253" i="14"/>
  <c r="I253" i="14"/>
  <c r="D235" i="14"/>
  <c r="I235" i="14"/>
  <c r="A235" i="14"/>
  <c r="J36" i="14"/>
  <c r="A37" i="14"/>
  <c r="AA17" i="12" l="1"/>
  <c r="Z32" i="10"/>
  <c r="C22" i="17"/>
  <c r="H55" i="16"/>
  <c r="H50" i="16"/>
  <c r="H56" i="16" s="1"/>
  <c r="G18" i="16"/>
  <c r="H18" i="16" s="1"/>
  <c r="H52" i="16" s="1"/>
  <c r="A2200" i="14"/>
  <c r="J1946" i="14"/>
  <c r="A1947" i="14"/>
  <c r="J1730" i="14"/>
  <c r="A1731" i="14"/>
  <c r="J1514" i="14"/>
  <c r="A1515" i="14"/>
  <c r="J1298" i="14"/>
  <c r="A1299" i="14"/>
  <c r="J1082" i="14"/>
  <c r="E30" i="10" s="1"/>
  <c r="A1083" i="14"/>
  <c r="A867" i="14"/>
  <c r="J866" i="14"/>
  <c r="A651" i="14"/>
  <c r="J650" i="14"/>
  <c r="J434" i="14"/>
  <c r="A435" i="14"/>
  <c r="J37" i="14"/>
  <c r="A38" i="14"/>
  <c r="J235" i="14"/>
  <c r="A236" i="14"/>
  <c r="E21" i="11" l="1"/>
  <c r="AA25" i="12"/>
  <c r="AA24" i="12"/>
  <c r="AA27" i="12"/>
  <c r="AA28" i="12"/>
  <c r="AA26" i="12"/>
  <c r="AA22" i="12"/>
  <c r="AC32" i="10"/>
  <c r="AC52" i="10" s="1"/>
  <c r="AC54" i="10" s="1"/>
  <c r="Z52" i="10"/>
  <c r="Z54" i="10" s="1"/>
  <c r="H59" i="16"/>
  <c r="H60" i="16" s="1"/>
  <c r="C38" i="17"/>
  <c r="C40" i="17" s="1"/>
  <c r="C43" i="17" s="1"/>
  <c r="E22" i="17"/>
  <c r="E38" i="17" s="1"/>
  <c r="E40" i="17" s="1"/>
  <c r="E43" i="17" s="1"/>
  <c r="Z29" i="18"/>
  <c r="A2201" i="14"/>
  <c r="A1948" i="14"/>
  <c r="J1947" i="14"/>
  <c r="A1732" i="14"/>
  <c r="J1731" i="14"/>
  <c r="A1516" i="14"/>
  <c r="J1515" i="14"/>
  <c r="A1300" i="14"/>
  <c r="J1299" i="14"/>
  <c r="A1084" i="14"/>
  <c r="J1083" i="14"/>
  <c r="E31" i="10" s="1"/>
  <c r="A868" i="14"/>
  <c r="J867" i="14"/>
  <c r="A652" i="14"/>
  <c r="J651" i="14"/>
  <c r="A436" i="14"/>
  <c r="J435" i="14"/>
  <c r="J38" i="14"/>
  <c r="A39" i="14"/>
  <c r="A237" i="14"/>
  <c r="J236" i="14"/>
  <c r="E22" i="11" l="1"/>
  <c r="AA45" i="12"/>
  <c r="A2202" i="14"/>
  <c r="A1949" i="14"/>
  <c r="J1948" i="14"/>
  <c r="A1733" i="14"/>
  <c r="J1732" i="14"/>
  <c r="A1517" i="14"/>
  <c r="J1516" i="14"/>
  <c r="A1301" i="14"/>
  <c r="J1300" i="14"/>
  <c r="A1085" i="14"/>
  <c r="J1084" i="14"/>
  <c r="E32" i="10" s="1"/>
  <c r="A869" i="14"/>
  <c r="J868" i="14"/>
  <c r="A653" i="14"/>
  <c r="J652" i="14"/>
  <c r="A437" i="14"/>
  <c r="J436" i="14"/>
  <c r="J39" i="14"/>
  <c r="A40" i="14"/>
  <c r="A238" i="14"/>
  <c r="J237" i="14"/>
  <c r="E23" i="11" l="1"/>
  <c r="A2203" i="14"/>
  <c r="A1950" i="14"/>
  <c r="J1949" i="14"/>
  <c r="A1734" i="14"/>
  <c r="J1733" i="14"/>
  <c r="A1518" i="14"/>
  <c r="J1517" i="14"/>
  <c r="A1302" i="14"/>
  <c r="J1301" i="14"/>
  <c r="A1086" i="14"/>
  <c r="J1085" i="14"/>
  <c r="E33" i="10" s="1"/>
  <c r="A870" i="14"/>
  <c r="J869" i="14"/>
  <c r="A654" i="14"/>
  <c r="J653" i="14"/>
  <c r="A438" i="14"/>
  <c r="J437" i="14"/>
  <c r="J40" i="14"/>
  <c r="A41" i="14"/>
  <c r="A239" i="14"/>
  <c r="J238" i="14"/>
  <c r="E24" i="11" l="1"/>
  <c r="A2204" i="14"/>
  <c r="A1951" i="14"/>
  <c r="J1950" i="14"/>
  <c r="A1735" i="14"/>
  <c r="J1734" i="14"/>
  <c r="A1519" i="14"/>
  <c r="J1518" i="14"/>
  <c r="A1303" i="14"/>
  <c r="J1302" i="14"/>
  <c r="A1087" i="14"/>
  <c r="J1086" i="14"/>
  <c r="E34" i="10" s="1"/>
  <c r="A871" i="14"/>
  <c r="J870" i="14"/>
  <c r="A655" i="14"/>
  <c r="J654" i="14"/>
  <c r="A439" i="14"/>
  <c r="J438" i="14"/>
  <c r="J41" i="14"/>
  <c r="A42" i="14"/>
  <c r="A240" i="14"/>
  <c r="J239" i="14"/>
  <c r="E25" i="11" l="1"/>
  <c r="A2205" i="14"/>
  <c r="A1952" i="14"/>
  <c r="J1951" i="14"/>
  <c r="A1736" i="14"/>
  <c r="J1735" i="14"/>
  <c r="A1520" i="14"/>
  <c r="J1519" i="14"/>
  <c r="A1304" i="14"/>
  <c r="J1303" i="14"/>
  <c r="A1088" i="14"/>
  <c r="J1087" i="14"/>
  <c r="E35" i="10" s="1"/>
  <c r="A872" i="14"/>
  <c r="J871" i="14"/>
  <c r="A656" i="14"/>
  <c r="J655" i="14"/>
  <c r="A440" i="14"/>
  <c r="J439" i="14"/>
  <c r="J42" i="14"/>
  <c r="A43" i="14"/>
  <c r="A241" i="14"/>
  <c r="J240" i="14"/>
  <c r="E26" i="11" l="1"/>
  <c r="A2206" i="14"/>
  <c r="A1953" i="14"/>
  <c r="J1952" i="14"/>
  <c r="A1737" i="14"/>
  <c r="J1736" i="14"/>
  <c r="A1521" i="14"/>
  <c r="J1520" i="14"/>
  <c r="A1305" i="14"/>
  <c r="J1304" i="14"/>
  <c r="A1089" i="14"/>
  <c r="J1088" i="14"/>
  <c r="E36" i="10" s="1"/>
  <c r="A873" i="14"/>
  <c r="J872" i="14"/>
  <c r="A657" i="14"/>
  <c r="J656" i="14"/>
  <c r="A441" i="14"/>
  <c r="J440" i="14"/>
  <c r="J43" i="14"/>
  <c r="A44" i="14"/>
  <c r="A242" i="14"/>
  <c r="J241" i="14"/>
  <c r="E27" i="11" l="1"/>
  <c r="A2207" i="14"/>
  <c r="A1954" i="14"/>
  <c r="J1953" i="14"/>
  <c r="A1738" i="14"/>
  <c r="J1737" i="14"/>
  <c r="A1522" i="14"/>
  <c r="J1521" i="14"/>
  <c r="A1306" i="14"/>
  <c r="J1305" i="14"/>
  <c r="A1090" i="14"/>
  <c r="J1089" i="14"/>
  <c r="E37" i="10" s="1"/>
  <c r="A874" i="14"/>
  <c r="J873" i="14"/>
  <c r="A658" i="14"/>
  <c r="J657" i="14"/>
  <c r="A442" i="14"/>
  <c r="J441" i="14"/>
  <c r="J44" i="14"/>
  <c r="A45" i="14"/>
  <c r="A243" i="14"/>
  <c r="J242" i="14"/>
  <c r="E28" i="11" l="1"/>
  <c r="A2208" i="14"/>
  <c r="A1955" i="14"/>
  <c r="J1954" i="14"/>
  <c r="A1739" i="14"/>
  <c r="J1738" i="14"/>
  <c r="A1523" i="14"/>
  <c r="J1522" i="14"/>
  <c r="A1307" i="14"/>
  <c r="J1306" i="14"/>
  <c r="A1091" i="14"/>
  <c r="J1090" i="14"/>
  <c r="E38" i="10" s="1"/>
  <c r="A875" i="14"/>
  <c r="J874" i="14"/>
  <c r="A659" i="14"/>
  <c r="J658" i="14"/>
  <c r="A443" i="14"/>
  <c r="J442" i="14"/>
  <c r="J45" i="14"/>
  <c r="A46" i="14"/>
  <c r="A244" i="14"/>
  <c r="J243" i="14"/>
  <c r="E29" i="11" l="1"/>
  <c r="A2209" i="14"/>
  <c r="A1956" i="14"/>
  <c r="J1955" i="14"/>
  <c r="A1740" i="14"/>
  <c r="J1739" i="14"/>
  <c r="A1524" i="14"/>
  <c r="J1523" i="14"/>
  <c r="A1308" i="14"/>
  <c r="J1307" i="14"/>
  <c r="A1092" i="14"/>
  <c r="J1091" i="14"/>
  <c r="E39" i="10" s="1"/>
  <c r="A876" i="14"/>
  <c r="J875" i="14"/>
  <c r="A660" i="14"/>
  <c r="J659" i="14"/>
  <c r="A444" i="14"/>
  <c r="J443" i="14"/>
  <c r="J46" i="14"/>
  <c r="A47" i="14"/>
  <c r="A245" i="14"/>
  <c r="J244" i="14"/>
  <c r="E30" i="11" l="1"/>
  <c r="A2210" i="14"/>
  <c r="A1957" i="14"/>
  <c r="J1956" i="14"/>
  <c r="A1741" i="14"/>
  <c r="J1740" i="14"/>
  <c r="A1525" i="14"/>
  <c r="J1524" i="14"/>
  <c r="A1309" i="14"/>
  <c r="J1308" i="14"/>
  <c r="A1093" i="14"/>
  <c r="J1092" i="14"/>
  <c r="E40" i="10" s="1"/>
  <c r="A877" i="14"/>
  <c r="J876" i="14"/>
  <c r="A661" i="14"/>
  <c r="J660" i="14"/>
  <c r="A445" i="14"/>
  <c r="J444" i="14"/>
  <c r="J47" i="14"/>
  <c r="A48" i="14"/>
  <c r="A246" i="14"/>
  <c r="J245" i="14"/>
  <c r="E31" i="11" l="1"/>
  <c r="A2211" i="14"/>
  <c r="A1958" i="14"/>
  <c r="J1957" i="14"/>
  <c r="A1742" i="14"/>
  <c r="J1741" i="14"/>
  <c r="A1526" i="14"/>
  <c r="J1525" i="14"/>
  <c r="A1310" i="14"/>
  <c r="J1309" i="14"/>
  <c r="A1094" i="14"/>
  <c r="J1093" i="14"/>
  <c r="E41" i="10" s="1"/>
  <c r="A878" i="14"/>
  <c r="J877" i="14"/>
  <c r="A662" i="14"/>
  <c r="J661" i="14"/>
  <c r="A446" i="14"/>
  <c r="J445" i="14"/>
  <c r="J48" i="14"/>
  <c r="A49" i="14"/>
  <c r="A247" i="14"/>
  <c r="J246" i="14"/>
  <c r="E32" i="11" l="1"/>
  <c r="A2212" i="14"/>
  <c r="A1959" i="14"/>
  <c r="J1958" i="14"/>
  <c r="A1743" i="14"/>
  <c r="J1742" i="14"/>
  <c r="A1527" i="14"/>
  <c r="J1526" i="14"/>
  <c r="A1311" i="14"/>
  <c r="J1310" i="14"/>
  <c r="A1095" i="14"/>
  <c r="J1094" i="14"/>
  <c r="E42" i="10" s="1"/>
  <c r="A879" i="14"/>
  <c r="J878" i="14"/>
  <c r="A663" i="14"/>
  <c r="J662" i="14"/>
  <c r="A447" i="14"/>
  <c r="J446" i="14"/>
  <c r="J49" i="14"/>
  <c r="A50" i="14"/>
  <c r="A248" i="14"/>
  <c r="J247" i="14"/>
  <c r="E33" i="11" l="1"/>
  <c r="A2213" i="14"/>
  <c r="A1960" i="14"/>
  <c r="J1959" i="14"/>
  <c r="A1744" i="14"/>
  <c r="J1743" i="14"/>
  <c r="A1528" i="14"/>
  <c r="J1527" i="14"/>
  <c r="A1312" i="14"/>
  <c r="J1311" i="14"/>
  <c r="A1096" i="14"/>
  <c r="J1095" i="14"/>
  <c r="E43" i="10" s="1"/>
  <c r="A880" i="14"/>
  <c r="J879" i="14"/>
  <c r="A664" i="14"/>
  <c r="J663" i="14"/>
  <c r="A448" i="14"/>
  <c r="J447" i="14"/>
  <c r="J50" i="14"/>
  <c r="A51" i="14"/>
  <c r="A249" i="14"/>
  <c r="J248" i="14"/>
  <c r="E34" i="11" l="1"/>
  <c r="A2214" i="14"/>
  <c r="A1961" i="14"/>
  <c r="J1960" i="14"/>
  <c r="A1745" i="14"/>
  <c r="J1744" i="14"/>
  <c r="A1529" i="14"/>
  <c r="J1528" i="14"/>
  <c r="A1313" i="14"/>
  <c r="J1312" i="14"/>
  <c r="A1097" i="14"/>
  <c r="J1096" i="14"/>
  <c r="E44" i="10" s="1"/>
  <c r="A881" i="14"/>
  <c r="J880" i="14"/>
  <c r="A665" i="14"/>
  <c r="J664" i="14"/>
  <c r="A449" i="14"/>
  <c r="J448" i="14"/>
  <c r="J51" i="14"/>
  <c r="A52" i="14"/>
  <c r="A250" i="14"/>
  <c r="J249" i="14"/>
  <c r="E35" i="11" l="1"/>
  <c r="A2215" i="14"/>
  <c r="A1962" i="14"/>
  <c r="J1961" i="14"/>
  <c r="A1746" i="14"/>
  <c r="J1745" i="14"/>
  <c r="A1530" i="14"/>
  <c r="J1529" i="14"/>
  <c r="A1314" i="14"/>
  <c r="J1313" i="14"/>
  <c r="A1098" i="14"/>
  <c r="J1097" i="14"/>
  <c r="E45" i="10" s="1"/>
  <c r="A882" i="14"/>
  <c r="J881" i="14"/>
  <c r="A666" i="14"/>
  <c r="J665" i="14"/>
  <c r="E36" i="11" s="1"/>
  <c r="A450" i="14"/>
  <c r="J449" i="14"/>
  <c r="J52" i="14"/>
  <c r="A53" i="14"/>
  <c r="A251" i="14"/>
  <c r="J250" i="14"/>
  <c r="A2216" i="14" l="1"/>
  <c r="A1963" i="14"/>
  <c r="J1962" i="14"/>
  <c r="A1747" i="14"/>
  <c r="J1746" i="14"/>
  <c r="A1531" i="14"/>
  <c r="J1530" i="14"/>
  <c r="A1315" i="14"/>
  <c r="J1314" i="14"/>
  <c r="A1099" i="14"/>
  <c r="J1098" i="14"/>
  <c r="E46" i="10" s="1"/>
  <c r="A883" i="14"/>
  <c r="J882" i="14"/>
  <c r="A667" i="14"/>
  <c r="J666" i="14"/>
  <c r="E37" i="11" s="1"/>
  <c r="A451" i="14"/>
  <c r="J450" i="14"/>
  <c r="J53" i="14"/>
  <c r="A54" i="14"/>
  <c r="A252" i="14"/>
  <c r="J251" i="14"/>
  <c r="A2217" i="14" l="1"/>
  <c r="A1964" i="14"/>
  <c r="J1963" i="14"/>
  <c r="A1748" i="14"/>
  <c r="J1747" i="14"/>
  <c r="A1532" i="14"/>
  <c r="J1531" i="14"/>
  <c r="A1316" i="14"/>
  <c r="J1315" i="14"/>
  <c r="A1100" i="14"/>
  <c r="J1099" i="14"/>
  <c r="E47" i="10" s="1"/>
  <c r="A884" i="14"/>
  <c r="J883" i="14"/>
  <c r="A668" i="14"/>
  <c r="J667" i="14"/>
  <c r="A452" i="14"/>
  <c r="J451" i="14"/>
  <c r="J54" i="14"/>
  <c r="A55" i="14"/>
  <c r="A253" i="14"/>
  <c r="J252" i="14"/>
  <c r="E38" i="11" l="1"/>
  <c r="A2218" i="14"/>
  <c r="A1965" i="14"/>
  <c r="J1964" i="14"/>
  <c r="A1749" i="14"/>
  <c r="J1748" i="14"/>
  <c r="A1533" i="14"/>
  <c r="J1532" i="14"/>
  <c r="A1317" i="14"/>
  <c r="J1316" i="14"/>
  <c r="A1101" i="14"/>
  <c r="J1100" i="14"/>
  <c r="G30" i="10" s="1"/>
  <c r="J884" i="14"/>
  <c r="A885" i="14"/>
  <c r="A669" i="14"/>
  <c r="J668" i="14"/>
  <c r="A453" i="14"/>
  <c r="J452" i="14"/>
  <c r="J55" i="14"/>
  <c r="A56" i="14"/>
  <c r="A254" i="14"/>
  <c r="J253" i="14"/>
  <c r="G21" i="11" l="1"/>
  <c r="A2219" i="14"/>
  <c r="A1966" i="14"/>
  <c r="J1965" i="14"/>
  <c r="A1750" i="14"/>
  <c r="J1749" i="14"/>
  <c r="A1534" i="14"/>
  <c r="J1533" i="14"/>
  <c r="A1318" i="14"/>
  <c r="J1317" i="14"/>
  <c r="A1102" i="14"/>
  <c r="J1101" i="14"/>
  <c r="G31" i="10" s="1"/>
  <c r="A886" i="14"/>
  <c r="J885" i="14"/>
  <c r="A670" i="14"/>
  <c r="J669" i="14"/>
  <c r="A454" i="14"/>
  <c r="J453" i="14"/>
  <c r="J56" i="14"/>
  <c r="A57" i="14"/>
  <c r="A255" i="14"/>
  <c r="J254" i="14"/>
  <c r="G22" i="11" l="1"/>
  <c r="A2220" i="14"/>
  <c r="A1967" i="14"/>
  <c r="J1966" i="14"/>
  <c r="A1751" i="14"/>
  <c r="J1750" i="14"/>
  <c r="A1535" i="14"/>
  <c r="J1534" i="14"/>
  <c r="A1319" i="14"/>
  <c r="J1318" i="14"/>
  <c r="A1103" i="14"/>
  <c r="J1102" i="14"/>
  <c r="G32" i="10" s="1"/>
  <c r="A887" i="14"/>
  <c r="J886" i="14"/>
  <c r="A671" i="14"/>
  <c r="J670" i="14"/>
  <c r="A455" i="14"/>
  <c r="J454" i="14"/>
  <c r="J57" i="14"/>
  <c r="A58" i="14"/>
  <c r="A256" i="14"/>
  <c r="J255" i="14"/>
  <c r="G23" i="11" l="1"/>
  <c r="A2221" i="14"/>
  <c r="A1968" i="14"/>
  <c r="J1967" i="14"/>
  <c r="A1752" i="14"/>
  <c r="J1751" i="14"/>
  <c r="A1536" i="14"/>
  <c r="J1535" i="14"/>
  <c r="A1320" i="14"/>
  <c r="J1319" i="14"/>
  <c r="A1104" i="14"/>
  <c r="J1103" i="14"/>
  <c r="G33" i="10" s="1"/>
  <c r="A888" i="14"/>
  <c r="J887" i="14"/>
  <c r="A672" i="14"/>
  <c r="J671" i="14"/>
  <c r="A456" i="14"/>
  <c r="J455" i="14"/>
  <c r="J58" i="14"/>
  <c r="A59" i="14"/>
  <c r="A257" i="14"/>
  <c r="J256" i="14"/>
  <c r="G24" i="11" l="1"/>
  <c r="A2222" i="14"/>
  <c r="A1969" i="14"/>
  <c r="J1968" i="14"/>
  <c r="A1753" i="14"/>
  <c r="J1752" i="14"/>
  <c r="A1537" i="14"/>
  <c r="J1536" i="14"/>
  <c r="A1321" i="14"/>
  <c r="J1320" i="14"/>
  <c r="A1105" i="14"/>
  <c r="J1104" i="14"/>
  <c r="G34" i="10" s="1"/>
  <c r="A889" i="14"/>
  <c r="J888" i="14"/>
  <c r="A673" i="14"/>
  <c r="J672" i="14"/>
  <c r="A457" i="14"/>
  <c r="J456" i="14"/>
  <c r="J59" i="14"/>
  <c r="A60" i="14"/>
  <c r="A258" i="14"/>
  <c r="J257" i="14"/>
  <c r="G25" i="11" l="1"/>
  <c r="A2223" i="14"/>
  <c r="A1970" i="14"/>
  <c r="J1969" i="14"/>
  <c r="A1754" i="14"/>
  <c r="J1753" i="14"/>
  <c r="A1538" i="14"/>
  <c r="J1537" i="14"/>
  <c r="A1322" i="14"/>
  <c r="J1321" i="14"/>
  <c r="A1106" i="14"/>
  <c r="J1105" i="14"/>
  <c r="G35" i="10" s="1"/>
  <c r="A890" i="14"/>
  <c r="J889" i="14"/>
  <c r="A674" i="14"/>
  <c r="J673" i="14"/>
  <c r="A458" i="14"/>
  <c r="J457" i="14"/>
  <c r="J60" i="14"/>
  <c r="A61" i="14"/>
  <c r="A259" i="14"/>
  <c r="J258" i="14"/>
  <c r="G26" i="11" l="1"/>
  <c r="A2224" i="14"/>
  <c r="A1971" i="14"/>
  <c r="J1970" i="14"/>
  <c r="A1755" i="14"/>
  <c r="J1754" i="14"/>
  <c r="A1539" i="14"/>
  <c r="J1538" i="14"/>
  <c r="A1323" i="14"/>
  <c r="J1322" i="14"/>
  <c r="A1107" i="14"/>
  <c r="J1106" i="14"/>
  <c r="G36" i="10" s="1"/>
  <c r="A891" i="14"/>
  <c r="J890" i="14"/>
  <c r="A675" i="14"/>
  <c r="J674" i="14"/>
  <c r="A459" i="14"/>
  <c r="J458" i="14"/>
  <c r="J61" i="14"/>
  <c r="A62" i="14"/>
  <c r="A260" i="14"/>
  <c r="J259" i="14"/>
  <c r="G27" i="11" l="1"/>
  <c r="A2225" i="14"/>
  <c r="A1972" i="14"/>
  <c r="J1971" i="14"/>
  <c r="A1756" i="14"/>
  <c r="J1755" i="14"/>
  <c r="A1540" i="14"/>
  <c r="J1539" i="14"/>
  <c r="A1324" i="14"/>
  <c r="J1323" i="14"/>
  <c r="A1108" i="14"/>
  <c r="J1107" i="14"/>
  <c r="G37" i="10" s="1"/>
  <c r="A892" i="14"/>
  <c r="J891" i="14"/>
  <c r="A676" i="14"/>
  <c r="J675" i="14"/>
  <c r="A460" i="14"/>
  <c r="J459" i="14"/>
  <c r="J62" i="14"/>
  <c r="A63" i="14"/>
  <c r="A261" i="14"/>
  <c r="J260" i="14"/>
  <c r="G28" i="11" l="1"/>
  <c r="A2226" i="14"/>
  <c r="A1973" i="14"/>
  <c r="J1972" i="14"/>
  <c r="A1757" i="14"/>
  <c r="J1756" i="14"/>
  <c r="A1541" i="14"/>
  <c r="J1540" i="14"/>
  <c r="A1325" i="14"/>
  <c r="J1324" i="14"/>
  <c r="A1109" i="14"/>
  <c r="J1108" i="14"/>
  <c r="G38" i="10" s="1"/>
  <c r="A893" i="14"/>
  <c r="J892" i="14"/>
  <c r="A677" i="14"/>
  <c r="J676" i="14"/>
  <c r="A461" i="14"/>
  <c r="J460" i="14"/>
  <c r="J63" i="14"/>
  <c r="A64" i="14"/>
  <c r="A262" i="14"/>
  <c r="J261" i="14"/>
  <c r="G29" i="11" l="1"/>
  <c r="A2227" i="14"/>
  <c r="A1974" i="14"/>
  <c r="J1973" i="14"/>
  <c r="A1758" i="14"/>
  <c r="J1757" i="14"/>
  <c r="A1542" i="14"/>
  <c r="J1541" i="14"/>
  <c r="A1326" i="14"/>
  <c r="J1325" i="14"/>
  <c r="A1110" i="14"/>
  <c r="J1109" i="14"/>
  <c r="G39" i="10" s="1"/>
  <c r="A894" i="14"/>
  <c r="J893" i="14"/>
  <c r="A678" i="14"/>
  <c r="J677" i="14"/>
  <c r="A462" i="14"/>
  <c r="J461" i="14"/>
  <c r="J64" i="14"/>
  <c r="A65" i="14"/>
  <c r="A263" i="14"/>
  <c r="J262" i="14"/>
  <c r="G30" i="11" l="1"/>
  <c r="A2228" i="14"/>
  <c r="A1975" i="14"/>
  <c r="J1974" i="14"/>
  <c r="A1759" i="14"/>
  <c r="J1758" i="14"/>
  <c r="A1543" i="14"/>
  <c r="J1542" i="14"/>
  <c r="A1327" i="14"/>
  <c r="J1326" i="14"/>
  <c r="A1111" i="14"/>
  <c r="J1110" i="14"/>
  <c r="G40" i="10" s="1"/>
  <c r="A895" i="14"/>
  <c r="J894" i="14"/>
  <c r="A679" i="14"/>
  <c r="J678" i="14"/>
  <c r="A463" i="14"/>
  <c r="J462" i="14"/>
  <c r="J65" i="14"/>
  <c r="A66" i="14"/>
  <c r="A264" i="14"/>
  <c r="J263" i="14"/>
  <c r="G31" i="11" l="1"/>
  <c r="A2229" i="14"/>
  <c r="A1976" i="14"/>
  <c r="J1975" i="14"/>
  <c r="A1760" i="14"/>
  <c r="J1759" i="14"/>
  <c r="A1544" i="14"/>
  <c r="J1543" i="14"/>
  <c r="A1328" i="14"/>
  <c r="J1327" i="14"/>
  <c r="A1112" i="14"/>
  <c r="J1111" i="14"/>
  <c r="G41" i="10" s="1"/>
  <c r="A896" i="14"/>
  <c r="J895" i="14"/>
  <c r="A680" i="14"/>
  <c r="J679" i="14"/>
  <c r="A464" i="14"/>
  <c r="J463" i="14"/>
  <c r="J66" i="14"/>
  <c r="A67" i="14"/>
  <c r="A265" i="14"/>
  <c r="J264" i="14"/>
  <c r="G32" i="11" l="1"/>
  <c r="A2230" i="14"/>
  <c r="A1977" i="14"/>
  <c r="J1976" i="14"/>
  <c r="A1761" i="14"/>
  <c r="J1760" i="14"/>
  <c r="A1545" i="14"/>
  <c r="J1544" i="14"/>
  <c r="A1329" i="14"/>
  <c r="J1328" i="14"/>
  <c r="A1113" i="14"/>
  <c r="J1112" i="14"/>
  <c r="G42" i="10" s="1"/>
  <c r="A897" i="14"/>
  <c r="J896" i="14"/>
  <c r="A681" i="14"/>
  <c r="J680" i="14"/>
  <c r="A465" i="14"/>
  <c r="J464" i="14"/>
  <c r="J67" i="14"/>
  <c r="A68" i="14"/>
  <c r="A266" i="14"/>
  <c r="J265" i="14"/>
  <c r="G33" i="11" l="1"/>
  <c r="A2231" i="14"/>
  <c r="A1978" i="14"/>
  <c r="J1977" i="14"/>
  <c r="A1762" i="14"/>
  <c r="J1761" i="14"/>
  <c r="A1546" i="14"/>
  <c r="J1545" i="14"/>
  <c r="A1330" i="14"/>
  <c r="J1329" i="14"/>
  <c r="A1114" i="14"/>
  <c r="J1113" i="14"/>
  <c r="G43" i="10" s="1"/>
  <c r="A898" i="14"/>
  <c r="J897" i="14"/>
  <c r="A682" i="14"/>
  <c r="J681" i="14"/>
  <c r="A466" i="14"/>
  <c r="J465" i="14"/>
  <c r="J68" i="14"/>
  <c r="A69" i="14"/>
  <c r="A267" i="14"/>
  <c r="J266" i="14"/>
  <c r="G34" i="11" l="1"/>
  <c r="A2232" i="14"/>
  <c r="A1979" i="14"/>
  <c r="J1978" i="14"/>
  <c r="A1763" i="14"/>
  <c r="J1762" i="14"/>
  <c r="A1547" i="14"/>
  <c r="J1546" i="14"/>
  <c r="A1331" i="14"/>
  <c r="J1330" i="14"/>
  <c r="A1115" i="14"/>
  <c r="J1114" i="14"/>
  <c r="G44" i="10" s="1"/>
  <c r="A899" i="14"/>
  <c r="J898" i="14"/>
  <c r="A683" i="14"/>
  <c r="J682" i="14"/>
  <c r="A467" i="14"/>
  <c r="J466" i="14"/>
  <c r="J69" i="14"/>
  <c r="A70" i="14"/>
  <c r="A268" i="14"/>
  <c r="J267" i="14"/>
  <c r="G35" i="11" l="1"/>
  <c r="A2233" i="14"/>
  <c r="A1980" i="14"/>
  <c r="J1979" i="14"/>
  <c r="A1764" i="14"/>
  <c r="J1763" i="14"/>
  <c r="A1548" i="14"/>
  <c r="J1547" i="14"/>
  <c r="A1332" i="14"/>
  <c r="J1331" i="14"/>
  <c r="A1116" i="14"/>
  <c r="J1115" i="14"/>
  <c r="G45" i="10" s="1"/>
  <c r="A900" i="14"/>
  <c r="J899" i="14"/>
  <c r="A684" i="14"/>
  <c r="J683" i="14"/>
  <c r="A468" i="14"/>
  <c r="J467" i="14"/>
  <c r="J70" i="14"/>
  <c r="A71" i="14"/>
  <c r="A269" i="14"/>
  <c r="J268" i="14"/>
  <c r="G36" i="11" l="1"/>
  <c r="A2234" i="14"/>
  <c r="A1981" i="14"/>
  <c r="J1980" i="14"/>
  <c r="A1765" i="14"/>
  <c r="J1764" i="14"/>
  <c r="A1549" i="14"/>
  <c r="J1548" i="14"/>
  <c r="A1333" i="14"/>
  <c r="J1332" i="14"/>
  <c r="A1117" i="14"/>
  <c r="J1116" i="14"/>
  <c r="G46" i="10" s="1"/>
  <c r="A901" i="14"/>
  <c r="J900" i="14"/>
  <c r="A685" i="14"/>
  <c r="J684" i="14"/>
  <c r="A469" i="14"/>
  <c r="J468" i="14"/>
  <c r="J71" i="14"/>
  <c r="A72" i="14"/>
  <c r="A270" i="14"/>
  <c r="J269" i="14"/>
  <c r="G37" i="11" l="1"/>
  <c r="A2235" i="14"/>
  <c r="A1982" i="14"/>
  <c r="J1981" i="14"/>
  <c r="A1766" i="14"/>
  <c r="J1765" i="14"/>
  <c r="A1550" i="14"/>
  <c r="J1549" i="14"/>
  <c r="A1334" i="14"/>
  <c r="J1333" i="14"/>
  <c r="A1118" i="14"/>
  <c r="J1117" i="14"/>
  <c r="G47" i="10" s="1"/>
  <c r="A902" i="14"/>
  <c r="J901" i="14"/>
  <c r="J685" i="14"/>
  <c r="A686" i="14"/>
  <c r="A470" i="14"/>
  <c r="J469" i="14"/>
  <c r="J72" i="14"/>
  <c r="A73" i="14"/>
  <c r="A271" i="14"/>
  <c r="J270" i="14"/>
  <c r="G38" i="11" l="1"/>
  <c r="A2236" i="14"/>
  <c r="A1983" i="14"/>
  <c r="J1982" i="14"/>
  <c r="A1767" i="14"/>
  <c r="J1766" i="14"/>
  <c r="A1551" i="14"/>
  <c r="J1550" i="14"/>
  <c r="A1335" i="14"/>
  <c r="J1334" i="14"/>
  <c r="A1119" i="14"/>
  <c r="J1118" i="14"/>
  <c r="I30" i="10" s="1"/>
  <c r="J902" i="14"/>
  <c r="A903" i="14"/>
  <c r="J686" i="14"/>
  <c r="A687" i="14"/>
  <c r="A471" i="14"/>
  <c r="J470" i="14"/>
  <c r="J73" i="14"/>
  <c r="A74" i="14"/>
  <c r="A272" i="14"/>
  <c r="J271" i="14"/>
  <c r="I21" i="11" l="1"/>
  <c r="A2237" i="14"/>
  <c r="A1984" i="14"/>
  <c r="J1983" i="14"/>
  <c r="A1768" i="14"/>
  <c r="J1767" i="14"/>
  <c r="A1552" i="14"/>
  <c r="J1551" i="14"/>
  <c r="A1336" i="14"/>
  <c r="J1335" i="14"/>
  <c r="A1120" i="14"/>
  <c r="J1119" i="14"/>
  <c r="I31" i="10" s="1"/>
  <c r="A904" i="14"/>
  <c r="J903" i="14"/>
  <c r="A688" i="14"/>
  <c r="J687" i="14"/>
  <c r="A472" i="14"/>
  <c r="J471" i="14"/>
  <c r="J74" i="14"/>
  <c r="A75" i="14"/>
  <c r="A273" i="14"/>
  <c r="J272" i="14"/>
  <c r="I22" i="11" l="1"/>
  <c r="A2238" i="14"/>
  <c r="A1985" i="14"/>
  <c r="J1984" i="14"/>
  <c r="A1769" i="14"/>
  <c r="J1768" i="14"/>
  <c r="A1553" i="14"/>
  <c r="J1552" i="14"/>
  <c r="A1337" i="14"/>
  <c r="J1336" i="14"/>
  <c r="A1121" i="14"/>
  <c r="J1120" i="14"/>
  <c r="I32" i="10" s="1"/>
  <c r="A905" i="14"/>
  <c r="J904" i="14"/>
  <c r="A689" i="14"/>
  <c r="J688" i="14"/>
  <c r="I23" i="11" s="1"/>
  <c r="A473" i="14"/>
  <c r="J472" i="14"/>
  <c r="J75" i="14"/>
  <c r="A76" i="14"/>
  <c r="A274" i="14"/>
  <c r="J273" i="14"/>
  <c r="A2239" i="14" l="1"/>
  <c r="A1986" i="14"/>
  <c r="J1985" i="14"/>
  <c r="A1770" i="14"/>
  <c r="J1769" i="14"/>
  <c r="A1554" i="14"/>
  <c r="J1553" i="14"/>
  <c r="A1338" i="14"/>
  <c r="J1337" i="14"/>
  <c r="A1122" i="14"/>
  <c r="J1121" i="14"/>
  <c r="I33" i="10" s="1"/>
  <c r="A906" i="14"/>
  <c r="J905" i="14"/>
  <c r="A690" i="14"/>
  <c r="J689" i="14"/>
  <c r="A474" i="14"/>
  <c r="J473" i="14"/>
  <c r="J76" i="14"/>
  <c r="A77" i="14"/>
  <c r="A275" i="14"/>
  <c r="J274" i="14"/>
  <c r="I24" i="11" l="1"/>
  <c r="A2240" i="14"/>
  <c r="A1987" i="14"/>
  <c r="J1986" i="14"/>
  <c r="A1771" i="14"/>
  <c r="J1770" i="14"/>
  <c r="A1555" i="14"/>
  <c r="J1554" i="14"/>
  <c r="A1339" i="14"/>
  <c r="J1338" i="14"/>
  <c r="A1123" i="14"/>
  <c r="J1122" i="14"/>
  <c r="I34" i="10" s="1"/>
  <c r="A907" i="14"/>
  <c r="J906" i="14"/>
  <c r="A691" i="14"/>
  <c r="J690" i="14"/>
  <c r="A475" i="14"/>
  <c r="J474" i="14"/>
  <c r="J77" i="14"/>
  <c r="A78" i="14"/>
  <c r="A276" i="14"/>
  <c r="J275" i="14"/>
  <c r="I25" i="11" l="1"/>
  <c r="A2241" i="14"/>
  <c r="A1988" i="14"/>
  <c r="J1987" i="14"/>
  <c r="A1772" i="14"/>
  <c r="J1771" i="14"/>
  <c r="A1556" i="14"/>
  <c r="J1555" i="14"/>
  <c r="A1340" i="14"/>
  <c r="J1339" i="14"/>
  <c r="A1124" i="14"/>
  <c r="J1123" i="14"/>
  <c r="I35" i="10" s="1"/>
  <c r="A908" i="14"/>
  <c r="J907" i="14"/>
  <c r="A692" i="14"/>
  <c r="J691" i="14"/>
  <c r="A476" i="14"/>
  <c r="J475" i="14"/>
  <c r="J78" i="14"/>
  <c r="A79" i="14"/>
  <c r="A277" i="14"/>
  <c r="J276" i="14"/>
  <c r="I26" i="11" l="1"/>
  <c r="A2242" i="14"/>
  <c r="A1989" i="14"/>
  <c r="J1988" i="14"/>
  <c r="A1773" i="14"/>
  <c r="J1772" i="14"/>
  <c r="A1557" i="14"/>
  <c r="J1556" i="14"/>
  <c r="A1341" i="14"/>
  <c r="J1340" i="14"/>
  <c r="A1125" i="14"/>
  <c r="J1124" i="14"/>
  <c r="I36" i="10" s="1"/>
  <c r="A909" i="14"/>
  <c r="J908" i="14"/>
  <c r="A693" i="14"/>
  <c r="J692" i="14"/>
  <c r="A477" i="14"/>
  <c r="J476" i="14"/>
  <c r="J79" i="14"/>
  <c r="A80" i="14"/>
  <c r="A278" i="14"/>
  <c r="J277" i="14"/>
  <c r="I27" i="11" l="1"/>
  <c r="A2243" i="14"/>
  <c r="A1990" i="14"/>
  <c r="J1989" i="14"/>
  <c r="A1774" i="14"/>
  <c r="J1773" i="14"/>
  <c r="A1558" i="14"/>
  <c r="J1557" i="14"/>
  <c r="A1342" i="14"/>
  <c r="J1341" i="14"/>
  <c r="A1126" i="14"/>
  <c r="J1125" i="14"/>
  <c r="I37" i="10" s="1"/>
  <c r="A910" i="14"/>
  <c r="J909" i="14"/>
  <c r="A694" i="14"/>
  <c r="J693" i="14"/>
  <c r="A478" i="14"/>
  <c r="J477" i="14"/>
  <c r="J80" i="14"/>
  <c r="A81" i="14"/>
  <c r="A279" i="14"/>
  <c r="J278" i="14"/>
  <c r="I28" i="11" l="1"/>
  <c r="A2244" i="14"/>
  <c r="A1991" i="14"/>
  <c r="J1990" i="14"/>
  <c r="A1775" i="14"/>
  <c r="J1774" i="14"/>
  <c r="A1559" i="14"/>
  <c r="J1558" i="14"/>
  <c r="A1343" i="14"/>
  <c r="J1342" i="14"/>
  <c r="A1127" i="14"/>
  <c r="J1126" i="14"/>
  <c r="I38" i="10" s="1"/>
  <c r="A911" i="14"/>
  <c r="J910" i="14"/>
  <c r="A695" i="14"/>
  <c r="J694" i="14"/>
  <c r="A479" i="14"/>
  <c r="J478" i="14"/>
  <c r="J81" i="14"/>
  <c r="A82" i="14"/>
  <c r="A280" i="14"/>
  <c r="J279" i="14"/>
  <c r="I29" i="11" l="1"/>
  <c r="A2245" i="14"/>
  <c r="A1992" i="14"/>
  <c r="J1991" i="14"/>
  <c r="A1776" i="14"/>
  <c r="J1775" i="14"/>
  <c r="A1560" i="14"/>
  <c r="J1559" i="14"/>
  <c r="A1344" i="14"/>
  <c r="J1343" i="14"/>
  <c r="A1128" i="14"/>
  <c r="J1127" i="14"/>
  <c r="I39" i="10" s="1"/>
  <c r="A912" i="14"/>
  <c r="J911" i="14"/>
  <c r="A696" i="14"/>
  <c r="J695" i="14"/>
  <c r="A480" i="14"/>
  <c r="J479" i="14"/>
  <c r="J82" i="14"/>
  <c r="A83" i="14"/>
  <c r="A281" i="14"/>
  <c r="J280" i="14"/>
  <c r="I30" i="11" l="1"/>
  <c r="A2246" i="14"/>
  <c r="A1993" i="14"/>
  <c r="J1992" i="14"/>
  <c r="A1777" i="14"/>
  <c r="J1776" i="14"/>
  <c r="A1561" i="14"/>
  <c r="J1560" i="14"/>
  <c r="A1345" i="14"/>
  <c r="J1344" i="14"/>
  <c r="A1129" i="14"/>
  <c r="J1128" i="14"/>
  <c r="I40" i="10" s="1"/>
  <c r="A913" i="14"/>
  <c r="J912" i="14"/>
  <c r="A697" i="14"/>
  <c r="J696" i="14"/>
  <c r="A481" i="14"/>
  <c r="J480" i="14"/>
  <c r="J83" i="14"/>
  <c r="A84" i="14"/>
  <c r="A282" i="14"/>
  <c r="J281" i="14"/>
  <c r="I31" i="11" l="1"/>
  <c r="A2247" i="14"/>
  <c r="A1994" i="14"/>
  <c r="J1993" i="14"/>
  <c r="A1778" i="14"/>
  <c r="J1777" i="14"/>
  <c r="A1562" i="14"/>
  <c r="J1561" i="14"/>
  <c r="A1346" i="14"/>
  <c r="J1345" i="14"/>
  <c r="A1130" i="14"/>
  <c r="J1129" i="14"/>
  <c r="I41" i="10" s="1"/>
  <c r="A914" i="14"/>
  <c r="J913" i="14"/>
  <c r="A698" i="14"/>
  <c r="J697" i="14"/>
  <c r="A482" i="14"/>
  <c r="J481" i="14"/>
  <c r="J84" i="14"/>
  <c r="A85" i="14"/>
  <c r="A283" i="14"/>
  <c r="J282" i="14"/>
  <c r="I32" i="11" l="1"/>
  <c r="A2248" i="14"/>
  <c r="A1995" i="14"/>
  <c r="J1994" i="14"/>
  <c r="A1779" i="14"/>
  <c r="J1778" i="14"/>
  <c r="A1563" i="14"/>
  <c r="J1562" i="14"/>
  <c r="A1347" i="14"/>
  <c r="J1346" i="14"/>
  <c r="A1131" i="14"/>
  <c r="J1130" i="14"/>
  <c r="I42" i="10" s="1"/>
  <c r="A915" i="14"/>
  <c r="J914" i="14"/>
  <c r="A699" i="14"/>
  <c r="J698" i="14"/>
  <c r="A483" i="14"/>
  <c r="J482" i="14"/>
  <c r="J85" i="14"/>
  <c r="A86" i="14"/>
  <c r="A284" i="14"/>
  <c r="J283" i="14"/>
  <c r="I33" i="11" l="1"/>
  <c r="A2249" i="14"/>
  <c r="A1996" i="14"/>
  <c r="J1995" i="14"/>
  <c r="A1780" i="14"/>
  <c r="J1779" i="14"/>
  <c r="A1564" i="14"/>
  <c r="J1563" i="14"/>
  <c r="A1348" i="14"/>
  <c r="J1347" i="14"/>
  <c r="A1132" i="14"/>
  <c r="J1131" i="14"/>
  <c r="I43" i="10" s="1"/>
  <c r="A916" i="14"/>
  <c r="J915" i="14"/>
  <c r="A700" i="14"/>
  <c r="J699" i="14"/>
  <c r="A484" i="14"/>
  <c r="J483" i="14"/>
  <c r="J86" i="14"/>
  <c r="A87" i="14"/>
  <c r="A285" i="14"/>
  <c r="J284" i="14"/>
  <c r="I34" i="11" l="1"/>
  <c r="A2250" i="14"/>
  <c r="A1997" i="14"/>
  <c r="J1996" i="14"/>
  <c r="A1781" i="14"/>
  <c r="J1780" i="14"/>
  <c r="A1565" i="14"/>
  <c r="J1564" i="14"/>
  <c r="A1349" i="14"/>
  <c r="J1348" i="14"/>
  <c r="A1133" i="14"/>
  <c r="J1132" i="14"/>
  <c r="I44" i="10" s="1"/>
  <c r="A917" i="14"/>
  <c r="J916" i="14"/>
  <c r="A701" i="14"/>
  <c r="J700" i="14"/>
  <c r="I35" i="11" s="1"/>
  <c r="A485" i="14"/>
  <c r="J484" i="14"/>
  <c r="J87" i="14"/>
  <c r="A88" i="14"/>
  <c r="A286" i="14"/>
  <c r="J285" i="14"/>
  <c r="A2251" i="14" l="1"/>
  <c r="A1998" i="14"/>
  <c r="J1997" i="14"/>
  <c r="A1782" i="14"/>
  <c r="J1781" i="14"/>
  <c r="A1566" i="14"/>
  <c r="J1565" i="14"/>
  <c r="A1350" i="14"/>
  <c r="J1349" i="14"/>
  <c r="A1134" i="14"/>
  <c r="J1133" i="14"/>
  <c r="I45" i="10" s="1"/>
  <c r="A918" i="14"/>
  <c r="J917" i="14"/>
  <c r="A702" i="14"/>
  <c r="J701" i="14"/>
  <c r="I36" i="11" s="1"/>
  <c r="A486" i="14"/>
  <c r="J485" i="14"/>
  <c r="J88" i="14"/>
  <c r="A89" i="14"/>
  <c r="A287" i="14"/>
  <c r="J286" i="14"/>
  <c r="A2252" i="14" l="1"/>
  <c r="A1999" i="14"/>
  <c r="J1998" i="14"/>
  <c r="A1783" i="14"/>
  <c r="J1782" i="14"/>
  <c r="A1567" i="14"/>
  <c r="J1566" i="14"/>
  <c r="A1351" i="14"/>
  <c r="J1350" i="14"/>
  <c r="A1135" i="14"/>
  <c r="J1134" i="14"/>
  <c r="I46" i="10" s="1"/>
  <c r="A919" i="14"/>
  <c r="J918" i="14"/>
  <c r="A703" i="14"/>
  <c r="J702" i="14"/>
  <c r="I37" i="11" s="1"/>
  <c r="A487" i="14"/>
  <c r="J486" i="14"/>
  <c r="J89" i="14"/>
  <c r="A90" i="14"/>
  <c r="A288" i="14"/>
  <c r="J287" i="14"/>
  <c r="A2253" i="14" l="1"/>
  <c r="A2000" i="14"/>
  <c r="J1999" i="14"/>
  <c r="A1784" i="14"/>
  <c r="J1783" i="14"/>
  <c r="A1568" i="14"/>
  <c r="J1567" i="14"/>
  <c r="A1352" i="14"/>
  <c r="J1351" i="14"/>
  <c r="A1136" i="14"/>
  <c r="J1135" i="14"/>
  <c r="I47" i="10" s="1"/>
  <c r="A920" i="14"/>
  <c r="J919" i="14"/>
  <c r="J703" i="14"/>
  <c r="A704" i="14"/>
  <c r="A488" i="14"/>
  <c r="J487" i="14"/>
  <c r="J90" i="14"/>
  <c r="A91" i="14"/>
  <c r="A289" i="14"/>
  <c r="J288" i="14"/>
  <c r="I38" i="11" l="1"/>
  <c r="A2254" i="14"/>
  <c r="A2001" i="14"/>
  <c r="J2000" i="14"/>
  <c r="A1785" i="14"/>
  <c r="J1784" i="14"/>
  <c r="A1569" i="14"/>
  <c r="J1568" i="14"/>
  <c r="A1353" i="14"/>
  <c r="J1352" i="14"/>
  <c r="A1137" i="14"/>
  <c r="J1136" i="14"/>
  <c r="K30" i="10" s="1"/>
  <c r="J920" i="14"/>
  <c r="A921" i="14"/>
  <c r="J704" i="14"/>
  <c r="K21" i="11" s="1"/>
  <c r="A705" i="14"/>
  <c r="A489" i="14"/>
  <c r="J488" i="14"/>
  <c r="J91" i="14"/>
  <c r="A92" i="14"/>
  <c r="A290" i="14"/>
  <c r="J289" i="14"/>
  <c r="A2255" i="14" l="1"/>
  <c r="A2002" i="14"/>
  <c r="J2001" i="14"/>
  <c r="A1786" i="14"/>
  <c r="J1785" i="14"/>
  <c r="A1570" i="14"/>
  <c r="J1569" i="14"/>
  <c r="A1354" i="14"/>
  <c r="J1353" i="14"/>
  <c r="A1138" i="14"/>
  <c r="J1137" i="14"/>
  <c r="K31" i="10" s="1"/>
  <c r="A922" i="14"/>
  <c r="J921" i="14"/>
  <c r="A706" i="14"/>
  <c r="J705" i="14"/>
  <c r="A490" i="14"/>
  <c r="J489" i="14"/>
  <c r="J92" i="14"/>
  <c r="A93" i="14"/>
  <c r="A291" i="14"/>
  <c r="J290" i="14"/>
  <c r="K22" i="11" l="1"/>
  <c r="A2256" i="14"/>
  <c r="A2003" i="14"/>
  <c r="J2002" i="14"/>
  <c r="A1787" i="14"/>
  <c r="J1786" i="14"/>
  <c r="A1571" i="14"/>
  <c r="J1570" i="14"/>
  <c r="A1355" i="14"/>
  <c r="J1354" i="14"/>
  <c r="A1139" i="14"/>
  <c r="J1138" i="14"/>
  <c r="K32" i="10" s="1"/>
  <c r="A923" i="14"/>
  <c r="J922" i="14"/>
  <c r="A707" i="14"/>
  <c r="J706" i="14"/>
  <c r="A491" i="14"/>
  <c r="J490" i="14"/>
  <c r="J93" i="14"/>
  <c r="A94" i="14"/>
  <c r="A292" i="14"/>
  <c r="J291" i="14"/>
  <c r="K23" i="11" l="1"/>
  <c r="A2257" i="14"/>
  <c r="A2004" i="14"/>
  <c r="J2003" i="14"/>
  <c r="A1788" i="14"/>
  <c r="J1787" i="14"/>
  <c r="A1572" i="14"/>
  <c r="J1571" i="14"/>
  <c r="A1356" i="14"/>
  <c r="J1355" i="14"/>
  <c r="A1140" i="14"/>
  <c r="J1139" i="14"/>
  <c r="K33" i="10" s="1"/>
  <c r="A924" i="14"/>
  <c r="J923" i="14"/>
  <c r="A708" i="14"/>
  <c r="J707" i="14"/>
  <c r="A492" i="14"/>
  <c r="J491" i="14"/>
  <c r="J94" i="14"/>
  <c r="A95" i="14"/>
  <c r="A293" i="14"/>
  <c r="J292" i="14"/>
  <c r="K24" i="11" l="1"/>
  <c r="A2258" i="14"/>
  <c r="A2005" i="14"/>
  <c r="J2004" i="14"/>
  <c r="A1789" i="14"/>
  <c r="J1788" i="14"/>
  <c r="A1573" i="14"/>
  <c r="J1572" i="14"/>
  <c r="A1357" i="14"/>
  <c r="J1356" i="14"/>
  <c r="A1141" i="14"/>
  <c r="J1140" i="14"/>
  <c r="K34" i="10" s="1"/>
  <c r="A925" i="14"/>
  <c r="J924" i="14"/>
  <c r="A709" i="14"/>
  <c r="J708" i="14"/>
  <c r="A493" i="14"/>
  <c r="J492" i="14"/>
  <c r="J95" i="14"/>
  <c r="A96" i="14"/>
  <c r="A294" i="14"/>
  <c r="J293" i="14"/>
  <c r="K25" i="11" l="1"/>
  <c r="A2259" i="14"/>
  <c r="A2006" i="14"/>
  <c r="J2005" i="14"/>
  <c r="A1790" i="14"/>
  <c r="J1789" i="14"/>
  <c r="A1574" i="14"/>
  <c r="J1573" i="14"/>
  <c r="A1358" i="14"/>
  <c r="J1357" i="14"/>
  <c r="A1142" i="14"/>
  <c r="J1141" i="14"/>
  <c r="K35" i="10" s="1"/>
  <c r="A926" i="14"/>
  <c r="J925" i="14"/>
  <c r="A710" i="14"/>
  <c r="J709" i="14"/>
  <c r="A494" i="14"/>
  <c r="J493" i="14"/>
  <c r="J96" i="14"/>
  <c r="A97" i="14"/>
  <c r="A295" i="14"/>
  <c r="J294" i="14"/>
  <c r="K26" i="11" l="1"/>
  <c r="A2260" i="14"/>
  <c r="A2007" i="14"/>
  <c r="J2006" i="14"/>
  <c r="A1791" i="14"/>
  <c r="J1790" i="14"/>
  <c r="A1575" i="14"/>
  <c r="J1574" i="14"/>
  <c r="A1359" i="14"/>
  <c r="J1358" i="14"/>
  <c r="A1143" i="14"/>
  <c r="J1142" i="14"/>
  <c r="K36" i="10" s="1"/>
  <c r="A927" i="14"/>
  <c r="J926" i="14"/>
  <c r="A711" i="14"/>
  <c r="J710" i="14"/>
  <c r="A495" i="14"/>
  <c r="J494" i="14"/>
  <c r="J97" i="14"/>
  <c r="A98" i="14"/>
  <c r="A296" i="14"/>
  <c r="J295" i="14"/>
  <c r="K27" i="11" l="1"/>
  <c r="A2261" i="14"/>
  <c r="A2008" i="14"/>
  <c r="J2007" i="14"/>
  <c r="A1792" i="14"/>
  <c r="J1791" i="14"/>
  <c r="A1576" i="14"/>
  <c r="J1575" i="14"/>
  <c r="A1360" i="14"/>
  <c r="J1359" i="14"/>
  <c r="A1144" i="14"/>
  <c r="J1143" i="14"/>
  <c r="K37" i="10" s="1"/>
  <c r="A928" i="14"/>
  <c r="J927" i="14"/>
  <c r="A712" i="14"/>
  <c r="J711" i="14"/>
  <c r="A496" i="14"/>
  <c r="J495" i="14"/>
  <c r="J98" i="14"/>
  <c r="A99" i="14"/>
  <c r="A297" i="14"/>
  <c r="J296" i="14"/>
  <c r="K28" i="11" l="1"/>
  <c r="A2262" i="14"/>
  <c r="A2009" i="14"/>
  <c r="J2008" i="14"/>
  <c r="A1793" i="14"/>
  <c r="J1792" i="14"/>
  <c r="A1577" i="14"/>
  <c r="J1576" i="14"/>
  <c r="A1361" i="14"/>
  <c r="J1360" i="14"/>
  <c r="A1145" i="14"/>
  <c r="J1144" i="14"/>
  <c r="K38" i="10" s="1"/>
  <c r="A929" i="14"/>
  <c r="J928" i="14"/>
  <c r="A713" i="14"/>
  <c r="J712" i="14"/>
  <c r="A497" i="14"/>
  <c r="J496" i="14"/>
  <c r="J99" i="14"/>
  <c r="A100" i="14"/>
  <c r="A298" i="14"/>
  <c r="J297" i="14"/>
  <c r="K29" i="11" l="1"/>
  <c r="A2263" i="14"/>
  <c r="A2010" i="14"/>
  <c r="J2009" i="14"/>
  <c r="A1794" i="14"/>
  <c r="J1793" i="14"/>
  <c r="A1578" i="14"/>
  <c r="J1577" i="14"/>
  <c r="A1362" i="14"/>
  <c r="J1361" i="14"/>
  <c r="A1146" i="14"/>
  <c r="J1145" i="14"/>
  <c r="K39" i="10" s="1"/>
  <c r="A930" i="14"/>
  <c r="J929" i="14"/>
  <c r="A714" i="14"/>
  <c r="J713" i="14"/>
  <c r="A498" i="14"/>
  <c r="J497" i="14"/>
  <c r="J100" i="14"/>
  <c r="A101" i="14"/>
  <c r="A299" i="14"/>
  <c r="J298" i="14"/>
  <c r="K30" i="11" l="1"/>
  <c r="A2264" i="14"/>
  <c r="A2011" i="14"/>
  <c r="J2010" i="14"/>
  <c r="A1795" i="14"/>
  <c r="J1794" i="14"/>
  <c r="A1579" i="14"/>
  <c r="J1578" i="14"/>
  <c r="A1363" i="14"/>
  <c r="J1362" i="14"/>
  <c r="A1147" i="14"/>
  <c r="J1146" i="14"/>
  <c r="K40" i="10" s="1"/>
  <c r="A931" i="14"/>
  <c r="J930" i="14"/>
  <c r="A715" i="14"/>
  <c r="J714" i="14"/>
  <c r="A499" i="14"/>
  <c r="J498" i="14"/>
  <c r="J101" i="14"/>
  <c r="A102" i="14"/>
  <c r="A300" i="14"/>
  <c r="J299" i="14"/>
  <c r="K31" i="11" l="1"/>
  <c r="A2265" i="14"/>
  <c r="A2012" i="14"/>
  <c r="J2011" i="14"/>
  <c r="A1796" i="14"/>
  <c r="J1795" i="14"/>
  <c r="A1580" i="14"/>
  <c r="J1579" i="14"/>
  <c r="A1364" i="14"/>
  <c r="J1363" i="14"/>
  <c r="A1148" i="14"/>
  <c r="J1147" i="14"/>
  <c r="K41" i="10" s="1"/>
  <c r="A932" i="14"/>
  <c r="J931" i="14"/>
  <c r="A716" i="14"/>
  <c r="J715" i="14"/>
  <c r="A500" i="14"/>
  <c r="J499" i="14"/>
  <c r="J102" i="14"/>
  <c r="A103" i="14"/>
  <c r="A301" i="14"/>
  <c r="J300" i="14"/>
  <c r="K32" i="11" l="1"/>
  <c r="A2266" i="14"/>
  <c r="A2013" i="14"/>
  <c r="J2012" i="14"/>
  <c r="A1797" i="14"/>
  <c r="J1796" i="14"/>
  <c r="A1581" i="14"/>
  <c r="J1580" i="14"/>
  <c r="A1365" i="14"/>
  <c r="J1364" i="14"/>
  <c r="A1149" i="14"/>
  <c r="J1148" i="14"/>
  <c r="K42" i="10" s="1"/>
  <c r="A933" i="14"/>
  <c r="J932" i="14"/>
  <c r="A717" i="14"/>
  <c r="J716" i="14"/>
  <c r="A501" i="14"/>
  <c r="J500" i="14"/>
  <c r="J103" i="14"/>
  <c r="A104" i="14"/>
  <c r="A302" i="14"/>
  <c r="J301" i="14"/>
  <c r="K33" i="11" l="1"/>
  <c r="A2267" i="14"/>
  <c r="A2014" i="14"/>
  <c r="J2013" i="14"/>
  <c r="A1798" i="14"/>
  <c r="J1797" i="14"/>
  <c r="A1582" i="14"/>
  <c r="J1581" i="14"/>
  <c r="A1366" i="14"/>
  <c r="J1365" i="14"/>
  <c r="A1150" i="14"/>
  <c r="J1149" i="14"/>
  <c r="K43" i="10" s="1"/>
  <c r="A934" i="14"/>
  <c r="J933" i="14"/>
  <c r="A718" i="14"/>
  <c r="J717" i="14"/>
  <c r="A502" i="14"/>
  <c r="J501" i="14"/>
  <c r="J104" i="14"/>
  <c r="A105" i="14"/>
  <c r="A303" i="14"/>
  <c r="J302" i="14"/>
  <c r="K34" i="11" l="1"/>
  <c r="A2268" i="14"/>
  <c r="A2015" i="14"/>
  <c r="J2014" i="14"/>
  <c r="A1799" i="14"/>
  <c r="J1798" i="14"/>
  <c r="A1583" i="14"/>
  <c r="J1582" i="14"/>
  <c r="A1367" i="14"/>
  <c r="J1366" i="14"/>
  <c r="A1151" i="14"/>
  <c r="J1150" i="14"/>
  <c r="K44" i="10" s="1"/>
  <c r="A935" i="14"/>
  <c r="J934" i="14"/>
  <c r="A719" i="14"/>
  <c r="J718" i="14"/>
  <c r="A503" i="14"/>
  <c r="J502" i="14"/>
  <c r="J105" i="14"/>
  <c r="A106" i="14"/>
  <c r="A304" i="14"/>
  <c r="J303" i="14"/>
  <c r="K35" i="11" l="1"/>
  <c r="A2269" i="14"/>
  <c r="A2016" i="14"/>
  <c r="J2015" i="14"/>
  <c r="A1800" i="14"/>
  <c r="J1799" i="14"/>
  <c r="A1584" i="14"/>
  <c r="J1583" i="14"/>
  <c r="A1368" i="14"/>
  <c r="J1367" i="14"/>
  <c r="A1152" i="14"/>
  <c r="J1151" i="14"/>
  <c r="K45" i="10" s="1"/>
  <c r="A936" i="14"/>
  <c r="J935" i="14"/>
  <c r="A720" i="14"/>
  <c r="J719" i="14"/>
  <c r="A504" i="14"/>
  <c r="J503" i="14"/>
  <c r="J106" i="14"/>
  <c r="A107" i="14"/>
  <c r="A305" i="14"/>
  <c r="J304" i="14"/>
  <c r="K36" i="11" l="1"/>
  <c r="A2270" i="14"/>
  <c r="A2017" i="14"/>
  <c r="J2016" i="14"/>
  <c r="A1801" i="14"/>
  <c r="J1800" i="14"/>
  <c r="A1585" i="14"/>
  <c r="J1584" i="14"/>
  <c r="A1369" i="14"/>
  <c r="J1368" i="14"/>
  <c r="A1153" i="14"/>
  <c r="J1152" i="14"/>
  <c r="K46" i="10" s="1"/>
  <c r="A937" i="14"/>
  <c r="J936" i="14"/>
  <c r="A721" i="14"/>
  <c r="J720" i="14"/>
  <c r="A505" i="14"/>
  <c r="J504" i="14"/>
  <c r="J107" i="14"/>
  <c r="A108" i="14"/>
  <c r="A306" i="14"/>
  <c r="J305" i="14"/>
  <c r="K37" i="11" l="1"/>
  <c r="A2271" i="14"/>
  <c r="A2018" i="14"/>
  <c r="J2017" i="14"/>
  <c r="A1802" i="14"/>
  <c r="J1801" i="14"/>
  <c r="A1586" i="14"/>
  <c r="J1585" i="14"/>
  <c r="A1370" i="14"/>
  <c r="J1369" i="14"/>
  <c r="A1154" i="14"/>
  <c r="J1153" i="14"/>
  <c r="K47" i="10" s="1"/>
  <c r="A938" i="14"/>
  <c r="J937" i="14"/>
  <c r="A722" i="14"/>
  <c r="J721" i="14"/>
  <c r="A506" i="14"/>
  <c r="J505" i="14"/>
  <c r="J108" i="14"/>
  <c r="A109" i="14"/>
  <c r="A307" i="14"/>
  <c r="J306" i="14"/>
  <c r="K38" i="11" l="1"/>
  <c r="A2272" i="14"/>
  <c r="A2019" i="14"/>
  <c r="J2018" i="14"/>
  <c r="A1803" i="14"/>
  <c r="J1802" i="14"/>
  <c r="A1587" i="14"/>
  <c r="J1586" i="14"/>
  <c r="A1371" i="14"/>
  <c r="J1370" i="14"/>
  <c r="A1155" i="14"/>
  <c r="J1154" i="14"/>
  <c r="M30" i="10" s="1"/>
  <c r="J938" i="14"/>
  <c r="A939" i="14"/>
  <c r="J722" i="14"/>
  <c r="A723" i="14"/>
  <c r="A507" i="14"/>
  <c r="J506" i="14"/>
  <c r="J109" i="14"/>
  <c r="A110" i="14"/>
  <c r="A308" i="14"/>
  <c r="J307" i="14"/>
  <c r="M21" i="11" l="1"/>
  <c r="A2273" i="14"/>
  <c r="A2020" i="14"/>
  <c r="J2019" i="14"/>
  <c r="A1804" i="14"/>
  <c r="J1803" i="14"/>
  <c r="A1588" i="14"/>
  <c r="J1587" i="14"/>
  <c r="A1372" i="14"/>
  <c r="J1371" i="14"/>
  <c r="A1156" i="14"/>
  <c r="J1155" i="14"/>
  <c r="M31" i="10" s="1"/>
  <c r="A940" i="14"/>
  <c r="J939" i="14"/>
  <c r="A724" i="14"/>
  <c r="J723" i="14"/>
  <c r="A508" i="14"/>
  <c r="J507" i="14"/>
  <c r="J110" i="14"/>
  <c r="A111" i="14"/>
  <c r="A309" i="14"/>
  <c r="J308" i="14"/>
  <c r="M22" i="11" l="1"/>
  <c r="A2274" i="14"/>
  <c r="A2021" i="14"/>
  <c r="J2020" i="14"/>
  <c r="A1805" i="14"/>
  <c r="J1804" i="14"/>
  <c r="A1589" i="14"/>
  <c r="J1588" i="14"/>
  <c r="A1373" i="14"/>
  <c r="J1372" i="14"/>
  <c r="A1157" i="14"/>
  <c r="J1156" i="14"/>
  <c r="M32" i="10" s="1"/>
  <c r="A941" i="14"/>
  <c r="J940" i="14"/>
  <c r="A725" i="14"/>
  <c r="J724" i="14"/>
  <c r="A509" i="14"/>
  <c r="J508" i="14"/>
  <c r="J111" i="14"/>
  <c r="A112" i="14"/>
  <c r="A310" i="14"/>
  <c r="J309" i="14"/>
  <c r="M23" i="11" l="1"/>
  <c r="A2275" i="14"/>
  <c r="A2022" i="14"/>
  <c r="J2021" i="14"/>
  <c r="A1806" i="14"/>
  <c r="J1805" i="14"/>
  <c r="A1590" i="14"/>
  <c r="J1589" i="14"/>
  <c r="A1374" i="14"/>
  <c r="J1373" i="14"/>
  <c r="A1158" i="14"/>
  <c r="J1157" i="14"/>
  <c r="M33" i="10" s="1"/>
  <c r="A942" i="14"/>
  <c r="J941" i="14"/>
  <c r="A726" i="14"/>
  <c r="J725" i="14"/>
  <c r="A510" i="14"/>
  <c r="J509" i="14"/>
  <c r="J112" i="14"/>
  <c r="A113" i="14"/>
  <c r="A311" i="14"/>
  <c r="J310" i="14"/>
  <c r="M24" i="11" l="1"/>
  <c r="A2276" i="14"/>
  <c r="A2023" i="14"/>
  <c r="J2022" i="14"/>
  <c r="A1807" i="14"/>
  <c r="J1806" i="14"/>
  <c r="A1591" i="14"/>
  <c r="J1590" i="14"/>
  <c r="A1375" i="14"/>
  <c r="J1374" i="14"/>
  <c r="A1159" i="14"/>
  <c r="J1158" i="14"/>
  <c r="M34" i="10" s="1"/>
  <c r="A943" i="14"/>
  <c r="J942" i="14"/>
  <c r="A727" i="14"/>
  <c r="J726" i="14"/>
  <c r="A511" i="14"/>
  <c r="J510" i="14"/>
  <c r="J113" i="14"/>
  <c r="A114" i="14"/>
  <c r="A312" i="14"/>
  <c r="J311" i="14"/>
  <c r="M25" i="11" l="1"/>
  <c r="A2277" i="14"/>
  <c r="A2024" i="14"/>
  <c r="J2023" i="14"/>
  <c r="A1808" i="14"/>
  <c r="J1807" i="14"/>
  <c r="A1592" i="14"/>
  <c r="J1591" i="14"/>
  <c r="A1376" i="14"/>
  <c r="J1375" i="14"/>
  <c r="A1160" i="14"/>
  <c r="J1159" i="14"/>
  <c r="M35" i="10" s="1"/>
  <c r="A944" i="14"/>
  <c r="J943" i="14"/>
  <c r="A728" i="14"/>
  <c r="J727" i="14"/>
  <c r="A512" i="14"/>
  <c r="J511" i="14"/>
  <c r="J114" i="14"/>
  <c r="A115" i="14"/>
  <c r="A313" i="14"/>
  <c r="J312" i="14"/>
  <c r="M26" i="11" l="1"/>
  <c r="A2278" i="14"/>
  <c r="A2025" i="14"/>
  <c r="J2024" i="14"/>
  <c r="A1809" i="14"/>
  <c r="J1808" i="14"/>
  <c r="A1593" i="14"/>
  <c r="J1592" i="14"/>
  <c r="A1377" i="14"/>
  <c r="J1376" i="14"/>
  <c r="A1161" i="14"/>
  <c r="J1160" i="14"/>
  <c r="M36" i="10" s="1"/>
  <c r="A945" i="14"/>
  <c r="J944" i="14"/>
  <c r="A729" i="14"/>
  <c r="J728" i="14"/>
  <c r="A513" i="14"/>
  <c r="J512" i="14"/>
  <c r="J115" i="14"/>
  <c r="A116" i="14"/>
  <c r="A314" i="14"/>
  <c r="J313" i="14"/>
  <c r="M27" i="11" l="1"/>
  <c r="A2279" i="14"/>
  <c r="A2026" i="14"/>
  <c r="J2025" i="14"/>
  <c r="A1810" i="14"/>
  <c r="J1809" i="14"/>
  <c r="A1594" i="14"/>
  <c r="J1593" i="14"/>
  <c r="A1378" i="14"/>
  <c r="J1377" i="14"/>
  <c r="A1162" i="14"/>
  <c r="J1161" i="14"/>
  <c r="M37" i="10" s="1"/>
  <c r="A946" i="14"/>
  <c r="J945" i="14"/>
  <c r="A730" i="14"/>
  <c r="J729" i="14"/>
  <c r="A514" i="14"/>
  <c r="J513" i="14"/>
  <c r="J116" i="14"/>
  <c r="A117" i="14"/>
  <c r="A315" i="14"/>
  <c r="J314" i="14"/>
  <c r="M28" i="11" l="1"/>
  <c r="A2280" i="14"/>
  <c r="A2027" i="14"/>
  <c r="J2026" i="14"/>
  <c r="A1811" i="14"/>
  <c r="J1810" i="14"/>
  <c r="A1595" i="14"/>
  <c r="J1594" i="14"/>
  <c r="A1379" i="14"/>
  <c r="J1378" i="14"/>
  <c r="A1163" i="14"/>
  <c r="J1162" i="14"/>
  <c r="M38" i="10" s="1"/>
  <c r="A947" i="14"/>
  <c r="J946" i="14"/>
  <c r="A731" i="14"/>
  <c r="J730" i="14"/>
  <c r="A515" i="14"/>
  <c r="J514" i="14"/>
  <c r="J117" i="14"/>
  <c r="A118" i="14"/>
  <c r="A316" i="14"/>
  <c r="J315" i="14"/>
  <c r="M29" i="11" l="1"/>
  <c r="A2281" i="14"/>
  <c r="A2028" i="14"/>
  <c r="J2027" i="14"/>
  <c r="A1812" i="14"/>
  <c r="J1811" i="14"/>
  <c r="A1596" i="14"/>
  <c r="J1595" i="14"/>
  <c r="A1380" i="14"/>
  <c r="J1379" i="14"/>
  <c r="A1164" i="14"/>
  <c r="J1163" i="14"/>
  <c r="M39" i="10" s="1"/>
  <c r="A948" i="14"/>
  <c r="J947" i="14"/>
  <c r="A732" i="14"/>
  <c r="J731" i="14"/>
  <c r="A516" i="14"/>
  <c r="J515" i="14"/>
  <c r="J118" i="14"/>
  <c r="A119" i="14"/>
  <c r="A317" i="14"/>
  <c r="J316" i="14"/>
  <c r="M30" i="11" l="1"/>
  <c r="A2282" i="14"/>
  <c r="A2029" i="14"/>
  <c r="J2028" i="14"/>
  <c r="A1813" i="14"/>
  <c r="J1812" i="14"/>
  <c r="A1597" i="14"/>
  <c r="J1596" i="14"/>
  <c r="A1381" i="14"/>
  <c r="J1380" i="14"/>
  <c r="A1165" i="14"/>
  <c r="J1164" i="14"/>
  <c r="M40" i="10" s="1"/>
  <c r="A949" i="14"/>
  <c r="J948" i="14"/>
  <c r="A733" i="14"/>
  <c r="J732" i="14"/>
  <c r="A517" i="14"/>
  <c r="J516" i="14"/>
  <c r="J119" i="14"/>
  <c r="A120" i="14"/>
  <c r="A318" i="14"/>
  <c r="J317" i="14"/>
  <c r="M31" i="11" l="1"/>
  <c r="A2283" i="14"/>
  <c r="A2030" i="14"/>
  <c r="J2029" i="14"/>
  <c r="A1814" i="14"/>
  <c r="J1813" i="14"/>
  <c r="A1598" i="14"/>
  <c r="J1597" i="14"/>
  <c r="A1382" i="14"/>
  <c r="J1381" i="14"/>
  <c r="A1166" i="14"/>
  <c r="J1165" i="14"/>
  <c r="M41" i="10" s="1"/>
  <c r="A950" i="14"/>
  <c r="J949" i="14"/>
  <c r="A734" i="14"/>
  <c r="J733" i="14"/>
  <c r="A518" i="14"/>
  <c r="J517" i="14"/>
  <c r="J120" i="14"/>
  <c r="A121" i="14"/>
  <c r="A319" i="14"/>
  <c r="J318" i="14"/>
  <c r="M32" i="11" l="1"/>
  <c r="A2284" i="14"/>
  <c r="A2031" i="14"/>
  <c r="J2030" i="14"/>
  <c r="A1815" i="14"/>
  <c r="J1814" i="14"/>
  <c r="A1599" i="14"/>
  <c r="J1598" i="14"/>
  <c r="A1383" i="14"/>
  <c r="J1382" i="14"/>
  <c r="A1167" i="14"/>
  <c r="J1166" i="14"/>
  <c r="M42" i="10" s="1"/>
  <c r="A951" i="14"/>
  <c r="J950" i="14"/>
  <c r="A735" i="14"/>
  <c r="J734" i="14"/>
  <c r="A519" i="14"/>
  <c r="J518" i="14"/>
  <c r="J121" i="14"/>
  <c r="A122" i="14"/>
  <c r="A320" i="14"/>
  <c r="J319" i="14"/>
  <c r="M33" i="11" l="1"/>
  <c r="A2285" i="14"/>
  <c r="A2032" i="14"/>
  <c r="J2031" i="14"/>
  <c r="A1816" i="14"/>
  <c r="J1815" i="14"/>
  <c r="A1600" i="14"/>
  <c r="J1599" i="14"/>
  <c r="A1384" i="14"/>
  <c r="J1383" i="14"/>
  <c r="A1168" i="14"/>
  <c r="J1167" i="14"/>
  <c r="M43" i="10" s="1"/>
  <c r="A952" i="14"/>
  <c r="J951" i="14"/>
  <c r="A736" i="14"/>
  <c r="J735" i="14"/>
  <c r="A520" i="14"/>
  <c r="J519" i="14"/>
  <c r="J122" i="14"/>
  <c r="A123" i="14"/>
  <c r="A321" i="14"/>
  <c r="J320" i="14"/>
  <c r="M34" i="11" l="1"/>
  <c r="A2286" i="14"/>
  <c r="A2033" i="14"/>
  <c r="J2032" i="14"/>
  <c r="A1817" i="14"/>
  <c r="J1816" i="14"/>
  <c r="A1601" i="14"/>
  <c r="J1600" i="14"/>
  <c r="A1385" i="14"/>
  <c r="J1384" i="14"/>
  <c r="A1169" i="14"/>
  <c r="J1168" i="14"/>
  <c r="M44" i="10" s="1"/>
  <c r="A953" i="14"/>
  <c r="J952" i="14"/>
  <c r="A737" i="14"/>
  <c r="J736" i="14"/>
  <c r="A521" i="14"/>
  <c r="J520" i="14"/>
  <c r="J123" i="14"/>
  <c r="A124" i="14"/>
  <c r="A322" i="14"/>
  <c r="J321" i="14"/>
  <c r="M35" i="11" l="1"/>
  <c r="A2287" i="14"/>
  <c r="A2034" i="14"/>
  <c r="J2033" i="14"/>
  <c r="A1818" i="14"/>
  <c r="J1817" i="14"/>
  <c r="A1602" i="14"/>
  <c r="J1601" i="14"/>
  <c r="A1386" i="14"/>
  <c r="J1385" i="14"/>
  <c r="A1170" i="14"/>
  <c r="J1169" i="14"/>
  <c r="M45" i="10" s="1"/>
  <c r="A954" i="14"/>
  <c r="J953" i="14"/>
  <c r="A738" i="14"/>
  <c r="J737" i="14"/>
  <c r="A522" i="14"/>
  <c r="J521" i="14"/>
  <c r="J124" i="14"/>
  <c r="A125" i="14"/>
  <c r="A323" i="14"/>
  <c r="J322" i="14"/>
  <c r="M36" i="11" l="1"/>
  <c r="A2288" i="14"/>
  <c r="A2035" i="14"/>
  <c r="J2034" i="14"/>
  <c r="A1819" i="14"/>
  <c r="J1818" i="14"/>
  <c r="A1603" i="14"/>
  <c r="J1602" i="14"/>
  <c r="A1387" i="14"/>
  <c r="J1386" i="14"/>
  <c r="A1171" i="14"/>
  <c r="J1170" i="14"/>
  <c r="M46" i="10" s="1"/>
  <c r="A955" i="14"/>
  <c r="J954" i="14"/>
  <c r="A739" i="14"/>
  <c r="J738" i="14"/>
  <c r="A523" i="14"/>
  <c r="J522" i="14"/>
  <c r="J125" i="14"/>
  <c r="A126" i="14"/>
  <c r="A324" i="14"/>
  <c r="J323" i="14"/>
  <c r="M37" i="11" l="1"/>
  <c r="A2289" i="14"/>
  <c r="A2036" i="14"/>
  <c r="J2035" i="14"/>
  <c r="A1820" i="14"/>
  <c r="J1819" i="14"/>
  <c r="A1604" i="14"/>
  <c r="J1603" i="14"/>
  <c r="A1388" i="14"/>
  <c r="J1387" i="14"/>
  <c r="A1172" i="14"/>
  <c r="J1171" i="14"/>
  <c r="M47" i="10" s="1"/>
  <c r="A956" i="14"/>
  <c r="J955" i="14"/>
  <c r="A740" i="14"/>
  <c r="J739" i="14"/>
  <c r="A524" i="14"/>
  <c r="J523" i="14"/>
  <c r="J126" i="14"/>
  <c r="A127" i="14"/>
  <c r="A325" i="14"/>
  <c r="J324" i="14"/>
  <c r="M38" i="11" l="1"/>
  <c r="A2290" i="14"/>
  <c r="A2037" i="14"/>
  <c r="J2036" i="14"/>
  <c r="A1821" i="14"/>
  <c r="J1820" i="14"/>
  <c r="A1605" i="14"/>
  <c r="J1604" i="14"/>
  <c r="A1389" i="14"/>
  <c r="J1388" i="14"/>
  <c r="A1173" i="14"/>
  <c r="J1172" i="14"/>
  <c r="O30" i="10" s="1"/>
  <c r="J956" i="14"/>
  <c r="A957" i="14"/>
  <c r="J740" i="14"/>
  <c r="A741" i="14"/>
  <c r="A525" i="14"/>
  <c r="J524" i="14"/>
  <c r="J127" i="14"/>
  <c r="A128" i="14"/>
  <c r="A326" i="14"/>
  <c r="J325" i="14"/>
  <c r="O21" i="11" l="1"/>
  <c r="A2291" i="14"/>
  <c r="A2038" i="14"/>
  <c r="J2037" i="14"/>
  <c r="A1822" i="14"/>
  <c r="J1821" i="14"/>
  <c r="A1606" i="14"/>
  <c r="J1605" i="14"/>
  <c r="A1390" i="14"/>
  <c r="J1389" i="14"/>
  <c r="A1174" i="14"/>
  <c r="J1173" i="14"/>
  <c r="O31" i="10" s="1"/>
  <c r="A958" i="14"/>
  <c r="J957" i="14"/>
  <c r="A742" i="14"/>
  <c r="J741" i="14"/>
  <c r="A526" i="14"/>
  <c r="J525" i="14"/>
  <c r="J128" i="14"/>
  <c r="A129" i="14"/>
  <c r="A327" i="14"/>
  <c r="J326" i="14"/>
  <c r="O22" i="11" l="1"/>
  <c r="A2292" i="14"/>
  <c r="A2039" i="14"/>
  <c r="J2038" i="14"/>
  <c r="A1823" i="14"/>
  <c r="J1822" i="14"/>
  <c r="A1607" i="14"/>
  <c r="J1606" i="14"/>
  <c r="A1391" i="14"/>
  <c r="J1390" i="14"/>
  <c r="A1175" i="14"/>
  <c r="J1174" i="14"/>
  <c r="O32" i="10" s="1"/>
  <c r="A959" i="14"/>
  <c r="J958" i="14"/>
  <c r="A743" i="14"/>
  <c r="J742" i="14"/>
  <c r="A527" i="14"/>
  <c r="J526" i="14"/>
  <c r="J129" i="14"/>
  <c r="A130" i="14"/>
  <c r="A328" i="14"/>
  <c r="J327" i="14"/>
  <c r="O23" i="11" l="1"/>
  <c r="A2293" i="14"/>
  <c r="A2040" i="14"/>
  <c r="J2039" i="14"/>
  <c r="A1824" i="14"/>
  <c r="J1823" i="14"/>
  <c r="A1608" i="14"/>
  <c r="J1607" i="14"/>
  <c r="A1392" i="14"/>
  <c r="J1391" i="14"/>
  <c r="A1176" i="14"/>
  <c r="J1175" i="14"/>
  <c r="O33" i="10" s="1"/>
  <c r="A960" i="14"/>
  <c r="J959" i="14"/>
  <c r="A744" i="14"/>
  <c r="J743" i="14"/>
  <c r="A528" i="14"/>
  <c r="J527" i="14"/>
  <c r="J130" i="14"/>
  <c r="A131" i="14"/>
  <c r="A329" i="14"/>
  <c r="J328" i="14"/>
  <c r="O24" i="11" l="1"/>
  <c r="A2294" i="14"/>
  <c r="A2041" i="14"/>
  <c r="J2040" i="14"/>
  <c r="A1825" i="14"/>
  <c r="J1824" i="14"/>
  <c r="A1609" i="14"/>
  <c r="J1608" i="14"/>
  <c r="A1393" i="14"/>
  <c r="J1392" i="14"/>
  <c r="A1177" i="14"/>
  <c r="J1176" i="14"/>
  <c r="O34" i="10" s="1"/>
  <c r="A961" i="14"/>
  <c r="J960" i="14"/>
  <c r="A745" i="14"/>
  <c r="J744" i="14"/>
  <c r="A529" i="14"/>
  <c r="J528" i="14"/>
  <c r="J131" i="14"/>
  <c r="A132" i="14"/>
  <c r="A330" i="14"/>
  <c r="J329" i="14"/>
  <c r="O25" i="11" l="1"/>
  <c r="A2295" i="14"/>
  <c r="A2042" i="14"/>
  <c r="J2041" i="14"/>
  <c r="A1826" i="14"/>
  <c r="J1825" i="14"/>
  <c r="A1610" i="14"/>
  <c r="J1609" i="14"/>
  <c r="A1394" i="14"/>
  <c r="J1393" i="14"/>
  <c r="A1178" i="14"/>
  <c r="J1177" i="14"/>
  <c r="O35" i="10" s="1"/>
  <c r="A962" i="14"/>
  <c r="J961" i="14"/>
  <c r="A746" i="14"/>
  <c r="J745" i="14"/>
  <c r="A530" i="14"/>
  <c r="J529" i="14"/>
  <c r="J132" i="14"/>
  <c r="A133" i="14"/>
  <c r="A331" i="14"/>
  <c r="J330" i="14"/>
  <c r="O26" i="11" l="1"/>
  <c r="A2296" i="14"/>
  <c r="A2043" i="14"/>
  <c r="J2042" i="14"/>
  <c r="A1827" i="14"/>
  <c r="J1826" i="14"/>
  <c r="A1611" i="14"/>
  <c r="J1610" i="14"/>
  <c r="A1395" i="14"/>
  <c r="J1394" i="14"/>
  <c r="A1179" i="14"/>
  <c r="J1178" i="14"/>
  <c r="O36" i="10" s="1"/>
  <c r="A963" i="14"/>
  <c r="J962" i="14"/>
  <c r="A747" i="14"/>
  <c r="J746" i="14"/>
  <c r="A531" i="14"/>
  <c r="J530" i="14"/>
  <c r="J133" i="14"/>
  <c r="A134" i="14"/>
  <c r="A332" i="14"/>
  <c r="J331" i="14"/>
  <c r="O27" i="11" l="1"/>
  <c r="A2297" i="14"/>
  <c r="A2044" i="14"/>
  <c r="J2043" i="14"/>
  <c r="A1828" i="14"/>
  <c r="J1827" i="14"/>
  <c r="A1612" i="14"/>
  <c r="J1611" i="14"/>
  <c r="A1396" i="14"/>
  <c r="J1395" i="14"/>
  <c r="A1180" i="14"/>
  <c r="J1179" i="14"/>
  <c r="O37" i="10" s="1"/>
  <c r="A964" i="14"/>
  <c r="J963" i="14"/>
  <c r="A748" i="14"/>
  <c r="J747" i="14"/>
  <c r="A532" i="14"/>
  <c r="J531" i="14"/>
  <c r="J134" i="14"/>
  <c r="A135" i="14"/>
  <c r="A333" i="14"/>
  <c r="J332" i="14"/>
  <c r="O28" i="11" l="1"/>
  <c r="A2298" i="14"/>
  <c r="A2045" i="14"/>
  <c r="J2044" i="14"/>
  <c r="A1829" i="14"/>
  <c r="J1828" i="14"/>
  <c r="A1613" i="14"/>
  <c r="J1612" i="14"/>
  <c r="A1397" i="14"/>
  <c r="J1396" i="14"/>
  <c r="A1181" i="14"/>
  <c r="J1180" i="14"/>
  <c r="O38" i="10" s="1"/>
  <c r="A965" i="14"/>
  <c r="J964" i="14"/>
  <c r="A749" i="14"/>
  <c r="J748" i="14"/>
  <c r="A533" i="14"/>
  <c r="J532" i="14"/>
  <c r="J135" i="14"/>
  <c r="A136" i="14"/>
  <c r="A334" i="14"/>
  <c r="J333" i="14"/>
  <c r="O29" i="11" l="1"/>
  <c r="A2299" i="14"/>
  <c r="A2046" i="14"/>
  <c r="J2045" i="14"/>
  <c r="A1830" i="14"/>
  <c r="J1829" i="14"/>
  <c r="A1614" i="14"/>
  <c r="J1613" i="14"/>
  <c r="A1398" i="14"/>
  <c r="J1397" i="14"/>
  <c r="A1182" i="14"/>
  <c r="J1181" i="14"/>
  <c r="O39" i="10" s="1"/>
  <c r="A966" i="14"/>
  <c r="J965" i="14"/>
  <c r="A750" i="14"/>
  <c r="J749" i="14"/>
  <c r="A534" i="14"/>
  <c r="J533" i="14"/>
  <c r="J136" i="14"/>
  <c r="A137" i="14"/>
  <c r="A335" i="14"/>
  <c r="J334" i="14"/>
  <c r="O30" i="11" l="1"/>
  <c r="A2300" i="14"/>
  <c r="A2047" i="14"/>
  <c r="J2046" i="14"/>
  <c r="A1831" i="14"/>
  <c r="J1830" i="14"/>
  <c r="A1615" i="14"/>
  <c r="J1614" i="14"/>
  <c r="A1399" i="14"/>
  <c r="J1398" i="14"/>
  <c r="A1183" i="14"/>
  <c r="J1182" i="14"/>
  <c r="O40" i="10" s="1"/>
  <c r="A967" i="14"/>
  <c r="J966" i="14"/>
  <c r="A751" i="14"/>
  <c r="J750" i="14"/>
  <c r="O31" i="11" s="1"/>
  <c r="A535" i="14"/>
  <c r="J534" i="14"/>
  <c r="J137" i="14"/>
  <c r="A138" i="14"/>
  <c r="A336" i="14"/>
  <c r="J335" i="14"/>
  <c r="A2301" i="14" l="1"/>
  <c r="A2048" i="14"/>
  <c r="J2047" i="14"/>
  <c r="A1832" i="14"/>
  <c r="J1831" i="14"/>
  <c r="A1616" i="14"/>
  <c r="J1615" i="14"/>
  <c r="A1400" i="14"/>
  <c r="J1399" i="14"/>
  <c r="A1184" i="14"/>
  <c r="J1183" i="14"/>
  <c r="O41" i="10" s="1"/>
  <c r="A968" i="14"/>
  <c r="J967" i="14"/>
  <c r="A752" i="14"/>
  <c r="J751" i="14"/>
  <c r="O32" i="11" s="1"/>
  <c r="A536" i="14"/>
  <c r="J535" i="14"/>
  <c r="J138" i="14"/>
  <c r="A139" i="14"/>
  <c r="A337" i="14"/>
  <c r="J336" i="14"/>
  <c r="A2302" i="14" l="1"/>
  <c r="A2049" i="14"/>
  <c r="J2048" i="14"/>
  <c r="A1833" i="14"/>
  <c r="J1832" i="14"/>
  <c r="A1617" i="14"/>
  <c r="J1616" i="14"/>
  <c r="A1401" i="14"/>
  <c r="J1400" i="14"/>
  <c r="A1185" i="14"/>
  <c r="J1184" i="14"/>
  <c r="O42" i="10" s="1"/>
  <c r="A969" i="14"/>
  <c r="J968" i="14"/>
  <c r="A753" i="14"/>
  <c r="J752" i="14"/>
  <c r="A537" i="14"/>
  <c r="J536" i="14"/>
  <c r="J139" i="14"/>
  <c r="A140" i="14"/>
  <c r="A338" i="14"/>
  <c r="J337" i="14"/>
  <c r="O33" i="11" l="1"/>
  <c r="A2303" i="14"/>
  <c r="A2050" i="14"/>
  <c r="J2049" i="14"/>
  <c r="A1834" i="14"/>
  <c r="J1833" i="14"/>
  <c r="A1618" i="14"/>
  <c r="J1617" i="14"/>
  <c r="A1402" i="14"/>
  <c r="J1401" i="14"/>
  <c r="A1186" i="14"/>
  <c r="J1185" i="14"/>
  <c r="O43" i="10" s="1"/>
  <c r="A970" i="14"/>
  <c r="J969" i="14"/>
  <c r="A754" i="14"/>
  <c r="J753" i="14"/>
  <c r="O34" i="11" s="1"/>
  <c r="A538" i="14"/>
  <c r="J537" i="14"/>
  <c r="J140" i="14"/>
  <c r="A141" i="14"/>
  <c r="A339" i="14"/>
  <c r="J338" i="14"/>
  <c r="A2304" i="14" l="1"/>
  <c r="A2051" i="14"/>
  <c r="J2050" i="14"/>
  <c r="A1835" i="14"/>
  <c r="J1834" i="14"/>
  <c r="A1619" i="14"/>
  <c r="J1618" i="14"/>
  <c r="A1403" i="14"/>
  <c r="J1402" i="14"/>
  <c r="A1187" i="14"/>
  <c r="J1186" i="14"/>
  <c r="O44" i="10" s="1"/>
  <c r="A971" i="14"/>
  <c r="J970" i="14"/>
  <c r="A755" i="14"/>
  <c r="J754" i="14"/>
  <c r="A539" i="14"/>
  <c r="J538" i="14"/>
  <c r="J141" i="14"/>
  <c r="A142" i="14"/>
  <c r="A340" i="14"/>
  <c r="J339" i="14"/>
  <c r="O35" i="11" l="1"/>
  <c r="A2305" i="14"/>
  <c r="A2052" i="14"/>
  <c r="J2051" i="14"/>
  <c r="A1836" i="14"/>
  <c r="J1835" i="14"/>
  <c r="A1620" i="14"/>
  <c r="J1619" i="14"/>
  <c r="A1404" i="14"/>
  <c r="J1403" i="14"/>
  <c r="A1188" i="14"/>
  <c r="J1187" i="14"/>
  <c r="O45" i="10" s="1"/>
  <c r="A972" i="14"/>
  <c r="J971" i="14"/>
  <c r="A756" i="14"/>
  <c r="J755" i="14"/>
  <c r="O36" i="11" s="1"/>
  <c r="A540" i="14"/>
  <c r="J539" i="14"/>
  <c r="J142" i="14"/>
  <c r="A143" i="14"/>
  <c r="A341" i="14"/>
  <c r="J340" i="14"/>
  <c r="A2306" i="14" l="1"/>
  <c r="A2053" i="14"/>
  <c r="J2052" i="14"/>
  <c r="A1837" i="14"/>
  <c r="J1836" i="14"/>
  <c r="A1621" i="14"/>
  <c r="J1620" i="14"/>
  <c r="A1405" i="14"/>
  <c r="J1404" i="14"/>
  <c r="A1189" i="14"/>
  <c r="J1188" i="14"/>
  <c r="O46" i="10" s="1"/>
  <c r="A973" i="14"/>
  <c r="J972" i="14"/>
  <c r="A757" i="14"/>
  <c r="J756" i="14"/>
  <c r="O37" i="11" s="1"/>
  <c r="A541" i="14"/>
  <c r="J540" i="14"/>
  <c r="J143" i="14"/>
  <c r="A144" i="14"/>
  <c r="A342" i="14"/>
  <c r="J341" i="14"/>
  <c r="A2307" i="14" l="1"/>
  <c r="A2054" i="14"/>
  <c r="J2053" i="14"/>
  <c r="A1838" i="14"/>
  <c r="J1837" i="14"/>
  <c r="A1622" i="14"/>
  <c r="J1621" i="14"/>
  <c r="A1406" i="14"/>
  <c r="J1405" i="14"/>
  <c r="A1190" i="14"/>
  <c r="J1189" i="14"/>
  <c r="O47" i="10" s="1"/>
  <c r="A974" i="14"/>
  <c r="J973" i="14"/>
  <c r="A758" i="14"/>
  <c r="J757" i="14"/>
  <c r="O38" i="11" s="1"/>
  <c r="J541" i="14"/>
  <c r="A542" i="14"/>
  <c r="J144" i="14"/>
  <c r="A145" i="14"/>
  <c r="A343" i="14"/>
  <c r="J342" i="14"/>
  <c r="A2308" i="14" l="1"/>
  <c r="A2055" i="14"/>
  <c r="J2054" i="14"/>
  <c r="A1839" i="14"/>
  <c r="J1838" i="14"/>
  <c r="A1623" i="14"/>
  <c r="J1622" i="14"/>
  <c r="A1407" i="14"/>
  <c r="J1406" i="14"/>
  <c r="A1191" i="14"/>
  <c r="J1190" i="14"/>
  <c r="Q30" i="10" s="1"/>
  <c r="A975" i="14"/>
  <c r="J974" i="14"/>
  <c r="J758" i="14"/>
  <c r="Q21" i="11" s="1"/>
  <c r="A759" i="14"/>
  <c r="A543" i="14"/>
  <c r="J542" i="14"/>
  <c r="J145" i="14"/>
  <c r="A146" i="14"/>
  <c r="A344" i="14"/>
  <c r="J343" i="14"/>
  <c r="A2309" i="14" l="1"/>
  <c r="A2056" i="14"/>
  <c r="J2055" i="14"/>
  <c r="A1840" i="14"/>
  <c r="J1839" i="14"/>
  <c r="A1624" i="14"/>
  <c r="J1623" i="14"/>
  <c r="A1408" i="14"/>
  <c r="J1407" i="14"/>
  <c r="A1192" i="14"/>
  <c r="J1191" i="14"/>
  <c r="Q31" i="10" s="1"/>
  <c r="A976" i="14"/>
  <c r="J975" i="14"/>
  <c r="A760" i="14"/>
  <c r="J759" i="14"/>
  <c r="Q22" i="11" s="1"/>
  <c r="A544" i="14"/>
  <c r="J543" i="14"/>
  <c r="J146" i="14"/>
  <c r="A147" i="14"/>
  <c r="A345" i="14"/>
  <c r="J344" i="14"/>
  <c r="A2310" i="14" l="1"/>
  <c r="A2057" i="14"/>
  <c r="J2056" i="14"/>
  <c r="A1841" i="14"/>
  <c r="J1840" i="14"/>
  <c r="A1625" i="14"/>
  <c r="J1624" i="14"/>
  <c r="A1409" i="14"/>
  <c r="J1408" i="14"/>
  <c r="A1193" i="14"/>
  <c r="J1192" i="14"/>
  <c r="Q32" i="10" s="1"/>
  <c r="A977" i="14"/>
  <c r="J976" i="14"/>
  <c r="A761" i="14"/>
  <c r="J760" i="14"/>
  <c r="A545" i="14"/>
  <c r="J544" i="14"/>
  <c r="J147" i="14"/>
  <c r="A148" i="14"/>
  <c r="A346" i="14"/>
  <c r="J345" i="14"/>
  <c r="Q23" i="11" l="1"/>
  <c r="A2311" i="14"/>
  <c r="A2058" i="14"/>
  <c r="J2057" i="14"/>
  <c r="A1842" i="14"/>
  <c r="J1841" i="14"/>
  <c r="A1626" i="14"/>
  <c r="J1625" i="14"/>
  <c r="A1410" i="14"/>
  <c r="J1409" i="14"/>
  <c r="A1194" i="14"/>
  <c r="J1193" i="14"/>
  <c r="Q33" i="10" s="1"/>
  <c r="A978" i="14"/>
  <c r="J977" i="14"/>
  <c r="A762" i="14"/>
  <c r="J761" i="14"/>
  <c r="Q24" i="11" s="1"/>
  <c r="A546" i="14"/>
  <c r="J545" i="14"/>
  <c r="J148" i="14"/>
  <c r="A149" i="14"/>
  <c r="A347" i="14"/>
  <c r="J346" i="14"/>
  <c r="A2312" i="14" l="1"/>
  <c r="A2059" i="14"/>
  <c r="J2058" i="14"/>
  <c r="A1843" i="14"/>
  <c r="J1842" i="14"/>
  <c r="A1627" i="14"/>
  <c r="J1626" i="14"/>
  <c r="A1411" i="14"/>
  <c r="J1410" i="14"/>
  <c r="A1195" i="14"/>
  <c r="J1194" i="14"/>
  <c r="Q34" i="10" s="1"/>
  <c r="A979" i="14"/>
  <c r="J978" i="14"/>
  <c r="A763" i="14"/>
  <c r="J762" i="14"/>
  <c r="A547" i="14"/>
  <c r="J546" i="14"/>
  <c r="J149" i="14"/>
  <c r="A150" i="14"/>
  <c r="A348" i="14"/>
  <c r="J347" i="14"/>
  <c r="Q25" i="11" l="1"/>
  <c r="A2313" i="14"/>
  <c r="A2060" i="14"/>
  <c r="J2059" i="14"/>
  <c r="A1844" i="14"/>
  <c r="J1843" i="14"/>
  <c r="A1628" i="14"/>
  <c r="J1627" i="14"/>
  <c r="A1412" i="14"/>
  <c r="J1411" i="14"/>
  <c r="A1196" i="14"/>
  <c r="J1195" i="14"/>
  <c r="Q35" i="10" s="1"/>
  <c r="A980" i="14"/>
  <c r="J979" i="14"/>
  <c r="A764" i="14"/>
  <c r="J763" i="14"/>
  <c r="A548" i="14"/>
  <c r="J547" i="14"/>
  <c r="J150" i="14"/>
  <c r="A151" i="14"/>
  <c r="A349" i="14"/>
  <c r="J348" i="14"/>
  <c r="Q26" i="11" l="1"/>
  <c r="A2314" i="14"/>
  <c r="A2061" i="14"/>
  <c r="J2060" i="14"/>
  <c r="A1845" i="14"/>
  <c r="J1844" i="14"/>
  <c r="A1629" i="14"/>
  <c r="J1628" i="14"/>
  <c r="A1413" i="14"/>
  <c r="J1412" i="14"/>
  <c r="A1197" i="14"/>
  <c r="J1196" i="14"/>
  <c r="Q36" i="10" s="1"/>
  <c r="A981" i="14"/>
  <c r="J980" i="14"/>
  <c r="A765" i="14"/>
  <c r="J764" i="14"/>
  <c r="A549" i="14"/>
  <c r="J548" i="14"/>
  <c r="J151" i="14"/>
  <c r="A152" i="14"/>
  <c r="A350" i="14"/>
  <c r="J349" i="14"/>
  <c r="Q27" i="11" l="1"/>
  <c r="A2315" i="14"/>
  <c r="A2062" i="14"/>
  <c r="J2061" i="14"/>
  <c r="A1846" i="14"/>
  <c r="J1845" i="14"/>
  <c r="A1630" i="14"/>
  <c r="J1629" i="14"/>
  <c r="A1414" i="14"/>
  <c r="J1413" i="14"/>
  <c r="A1198" i="14"/>
  <c r="J1197" i="14"/>
  <c r="Q37" i="10" s="1"/>
  <c r="A982" i="14"/>
  <c r="J981" i="14"/>
  <c r="A766" i="14"/>
  <c r="J765" i="14"/>
  <c r="A550" i="14"/>
  <c r="J549" i="14"/>
  <c r="J152" i="14"/>
  <c r="A153" i="14"/>
  <c r="A351" i="14"/>
  <c r="J350" i="14"/>
  <c r="Q28" i="11" l="1"/>
  <c r="A2316" i="14"/>
  <c r="A2063" i="14"/>
  <c r="J2062" i="14"/>
  <c r="A1847" i="14"/>
  <c r="J1846" i="14"/>
  <c r="A1631" i="14"/>
  <c r="J1630" i="14"/>
  <c r="A1415" i="14"/>
  <c r="J1414" i="14"/>
  <c r="A1199" i="14"/>
  <c r="J1198" i="14"/>
  <c r="Q38" i="10" s="1"/>
  <c r="A983" i="14"/>
  <c r="J982" i="14"/>
  <c r="A767" i="14"/>
  <c r="J766" i="14"/>
  <c r="A551" i="14"/>
  <c r="J550" i="14"/>
  <c r="J153" i="14"/>
  <c r="A154" i="14"/>
  <c r="A352" i="14"/>
  <c r="J351" i="14"/>
  <c r="Q29" i="11" l="1"/>
  <c r="A2317" i="14"/>
  <c r="A2064" i="14"/>
  <c r="J2063" i="14"/>
  <c r="A1848" i="14"/>
  <c r="J1847" i="14"/>
  <c r="A1632" i="14"/>
  <c r="J1631" i="14"/>
  <c r="A1416" i="14"/>
  <c r="J1415" i="14"/>
  <c r="A1200" i="14"/>
  <c r="J1199" i="14"/>
  <c r="Q39" i="10" s="1"/>
  <c r="A984" i="14"/>
  <c r="J983" i="14"/>
  <c r="A768" i="14"/>
  <c r="J767" i="14"/>
  <c r="A552" i="14"/>
  <c r="J551" i="14"/>
  <c r="J154" i="14"/>
  <c r="A155" i="14"/>
  <c r="A353" i="14"/>
  <c r="J352" i="14"/>
  <c r="Q30" i="11" l="1"/>
  <c r="A2318" i="14"/>
  <c r="A2065" i="14"/>
  <c r="J2064" i="14"/>
  <c r="A1849" i="14"/>
  <c r="J1848" i="14"/>
  <c r="A1633" i="14"/>
  <c r="J1632" i="14"/>
  <c r="A1417" i="14"/>
  <c r="J1416" i="14"/>
  <c r="A1201" i="14"/>
  <c r="J1200" i="14"/>
  <c r="Q40" i="10" s="1"/>
  <c r="A985" i="14"/>
  <c r="J984" i="14"/>
  <c r="A769" i="14"/>
  <c r="J768" i="14"/>
  <c r="A553" i="14"/>
  <c r="J552" i="14"/>
  <c r="J155" i="14"/>
  <c r="A156" i="14"/>
  <c r="A354" i="14"/>
  <c r="J353" i="14"/>
  <c r="Q31" i="11" l="1"/>
  <c r="A2319" i="14"/>
  <c r="A2066" i="14"/>
  <c r="J2065" i="14"/>
  <c r="A1850" i="14"/>
  <c r="J1849" i="14"/>
  <c r="A1634" i="14"/>
  <c r="J1633" i="14"/>
  <c r="A1418" i="14"/>
  <c r="J1417" i="14"/>
  <c r="A1202" i="14"/>
  <c r="J1201" i="14"/>
  <c r="Q41" i="10" s="1"/>
  <c r="A986" i="14"/>
  <c r="J985" i="14"/>
  <c r="A770" i="14"/>
  <c r="J769" i="14"/>
  <c r="A554" i="14"/>
  <c r="J553" i="14"/>
  <c r="J156" i="14"/>
  <c r="A157" i="14"/>
  <c r="A355" i="14"/>
  <c r="J354" i="14"/>
  <c r="Q32" i="11" l="1"/>
  <c r="A2320" i="14"/>
  <c r="A2067" i="14"/>
  <c r="J2066" i="14"/>
  <c r="A1851" i="14"/>
  <c r="J1850" i="14"/>
  <c r="A1635" i="14"/>
  <c r="J1634" i="14"/>
  <c r="A1419" i="14"/>
  <c r="J1418" i="14"/>
  <c r="A1203" i="14"/>
  <c r="J1202" i="14"/>
  <c r="Q42" i="10" s="1"/>
  <c r="A987" i="14"/>
  <c r="J986" i="14"/>
  <c r="A771" i="14"/>
  <c r="J770" i="14"/>
  <c r="A555" i="14"/>
  <c r="J554" i="14"/>
  <c r="J157" i="14"/>
  <c r="A158" i="14"/>
  <c r="A356" i="14"/>
  <c r="J355" i="14"/>
  <c r="Q33" i="11" l="1"/>
  <c r="A2321" i="14"/>
  <c r="A2068" i="14"/>
  <c r="J2067" i="14"/>
  <c r="A1852" i="14"/>
  <c r="J1851" i="14"/>
  <c r="A1636" i="14"/>
  <c r="J1635" i="14"/>
  <c r="A1420" i="14"/>
  <c r="J1419" i="14"/>
  <c r="A1204" i="14"/>
  <c r="J1203" i="14"/>
  <c r="Q43" i="10" s="1"/>
  <c r="A988" i="14"/>
  <c r="J987" i="14"/>
  <c r="A772" i="14"/>
  <c r="J771" i="14"/>
  <c r="A556" i="14"/>
  <c r="J555" i="14"/>
  <c r="J158" i="14"/>
  <c r="A159" i="14"/>
  <c r="A357" i="14"/>
  <c r="J356" i="14"/>
  <c r="Q34" i="11" l="1"/>
  <c r="A2322" i="14"/>
  <c r="A2069" i="14"/>
  <c r="J2068" i="14"/>
  <c r="A1853" i="14"/>
  <c r="J1852" i="14"/>
  <c r="A1637" i="14"/>
  <c r="J1636" i="14"/>
  <c r="A1421" i="14"/>
  <c r="J1420" i="14"/>
  <c r="A1205" i="14"/>
  <c r="J1204" i="14"/>
  <c r="Q44" i="10" s="1"/>
  <c r="A989" i="14"/>
  <c r="J988" i="14"/>
  <c r="A773" i="14"/>
  <c r="J772" i="14"/>
  <c r="A557" i="14"/>
  <c r="J556" i="14"/>
  <c r="J159" i="14"/>
  <c r="A160" i="14"/>
  <c r="A358" i="14"/>
  <c r="J357" i="14"/>
  <c r="Q35" i="11" l="1"/>
  <c r="A2323" i="14"/>
  <c r="A2070" i="14"/>
  <c r="J2069" i="14"/>
  <c r="A1854" i="14"/>
  <c r="J1853" i="14"/>
  <c r="A1638" i="14"/>
  <c r="J1637" i="14"/>
  <c r="A1422" i="14"/>
  <c r="J1421" i="14"/>
  <c r="A1206" i="14"/>
  <c r="J1205" i="14"/>
  <c r="Q45" i="10" s="1"/>
  <c r="A990" i="14"/>
  <c r="J989" i="14"/>
  <c r="A774" i="14"/>
  <c r="J773" i="14"/>
  <c r="A558" i="14"/>
  <c r="J557" i="14"/>
  <c r="J160" i="14"/>
  <c r="A161" i="14"/>
  <c r="A359" i="14"/>
  <c r="J358" i="14"/>
  <c r="Q36" i="11" l="1"/>
  <c r="A2324" i="14"/>
  <c r="A2071" i="14"/>
  <c r="J2070" i="14"/>
  <c r="A1855" i="14"/>
  <c r="J1854" i="14"/>
  <c r="A1639" i="14"/>
  <c r="J1638" i="14"/>
  <c r="A1423" i="14"/>
  <c r="J1422" i="14"/>
  <c r="A1207" i="14"/>
  <c r="J1206" i="14"/>
  <c r="Q46" i="10" s="1"/>
  <c r="A991" i="14"/>
  <c r="J990" i="14"/>
  <c r="A775" i="14"/>
  <c r="J774" i="14"/>
  <c r="A559" i="14"/>
  <c r="J558" i="14"/>
  <c r="J161" i="14"/>
  <c r="A162" i="14"/>
  <c r="A360" i="14"/>
  <c r="J359" i="14"/>
  <c r="Q37" i="11" l="1"/>
  <c r="A2325" i="14"/>
  <c r="A2072" i="14"/>
  <c r="J2071" i="14"/>
  <c r="A1856" i="14"/>
  <c r="J1855" i="14"/>
  <c r="A1640" i="14"/>
  <c r="J1639" i="14"/>
  <c r="A1424" i="14"/>
  <c r="J1423" i="14"/>
  <c r="A1208" i="14"/>
  <c r="J1207" i="14"/>
  <c r="Q47" i="10" s="1"/>
  <c r="A992" i="14"/>
  <c r="J991" i="14"/>
  <c r="A776" i="14"/>
  <c r="J775" i="14"/>
  <c r="J559" i="14"/>
  <c r="A560" i="14"/>
  <c r="J162" i="14"/>
  <c r="A163" i="14"/>
  <c r="A361" i="14"/>
  <c r="J360" i="14"/>
  <c r="Q38" i="11" l="1"/>
  <c r="A2326" i="14"/>
  <c r="A2073" i="14"/>
  <c r="J2072" i="14"/>
  <c r="A1857" i="14"/>
  <c r="J1856" i="14"/>
  <c r="A1641" i="14"/>
  <c r="J1640" i="14"/>
  <c r="J1424" i="14"/>
  <c r="A1425" i="14"/>
  <c r="A1209" i="14"/>
  <c r="J1208" i="14"/>
  <c r="S30" i="10" s="1"/>
  <c r="A993" i="14"/>
  <c r="J992" i="14"/>
  <c r="J776" i="14"/>
  <c r="A777" i="14"/>
  <c r="A561" i="14"/>
  <c r="J560" i="14"/>
  <c r="J163" i="14"/>
  <c r="A164" i="14"/>
  <c r="A362" i="14"/>
  <c r="J361" i="14"/>
  <c r="S21" i="11" l="1"/>
  <c r="A2327" i="14"/>
  <c r="A2074" i="14"/>
  <c r="J2073" i="14"/>
  <c r="A1858" i="14"/>
  <c r="J1857" i="14"/>
  <c r="A1642" i="14"/>
  <c r="J1641" i="14"/>
  <c r="A1426" i="14"/>
  <c r="J1425" i="14"/>
  <c r="A1210" i="14"/>
  <c r="J1209" i="14"/>
  <c r="S31" i="10" s="1"/>
  <c r="A994" i="14"/>
  <c r="J993" i="14"/>
  <c r="A778" i="14"/>
  <c r="J777" i="14"/>
  <c r="A562" i="14"/>
  <c r="J561" i="14"/>
  <c r="J164" i="14"/>
  <c r="A165" i="14"/>
  <c r="A363" i="14"/>
  <c r="J362" i="14"/>
  <c r="S22" i="11" l="1"/>
  <c r="A2328" i="14"/>
  <c r="A2075" i="14"/>
  <c r="J2074" i="14"/>
  <c r="A1859" i="14"/>
  <c r="J1858" i="14"/>
  <c r="A1643" i="14"/>
  <c r="J1642" i="14"/>
  <c r="A1427" i="14"/>
  <c r="J1426" i="14"/>
  <c r="A1211" i="14"/>
  <c r="J1210" i="14"/>
  <c r="S32" i="10" s="1"/>
  <c r="A995" i="14"/>
  <c r="J994" i="14"/>
  <c r="A779" i="14"/>
  <c r="J778" i="14"/>
  <c r="A563" i="14"/>
  <c r="J562" i="14"/>
  <c r="J165" i="14"/>
  <c r="A166" i="14"/>
  <c r="A364" i="14"/>
  <c r="J363" i="14"/>
  <c r="S23" i="11" l="1"/>
  <c r="A2329" i="14"/>
  <c r="A2076" i="14"/>
  <c r="J2075" i="14"/>
  <c r="A1860" i="14"/>
  <c r="J1859" i="14"/>
  <c r="A1644" i="14"/>
  <c r="J1643" i="14"/>
  <c r="A1428" i="14"/>
  <c r="J1427" i="14"/>
  <c r="A1212" i="14"/>
  <c r="J1211" i="14"/>
  <c r="S33" i="10" s="1"/>
  <c r="A996" i="14"/>
  <c r="J995" i="14"/>
  <c r="A780" i="14"/>
  <c r="J779" i="14"/>
  <c r="A564" i="14"/>
  <c r="J563" i="14"/>
  <c r="J166" i="14"/>
  <c r="A167" i="14"/>
  <c r="A365" i="14"/>
  <c r="J364" i="14"/>
  <c r="S24" i="11" l="1"/>
  <c r="A2330" i="14"/>
  <c r="A2077" i="14"/>
  <c r="J2076" i="14"/>
  <c r="A1861" i="14"/>
  <c r="J1860" i="14"/>
  <c r="A1645" i="14"/>
  <c r="J1644" i="14"/>
  <c r="A1429" i="14"/>
  <c r="J1428" i="14"/>
  <c r="A1213" i="14"/>
  <c r="J1212" i="14"/>
  <c r="S34" i="10" s="1"/>
  <c r="A997" i="14"/>
  <c r="J996" i="14"/>
  <c r="A781" i="14"/>
  <c r="J780" i="14"/>
  <c r="A565" i="14"/>
  <c r="J564" i="14"/>
  <c r="J167" i="14"/>
  <c r="A168" i="14"/>
  <c r="A366" i="14"/>
  <c r="J365" i="14"/>
  <c r="S25" i="11" l="1"/>
  <c r="A2331" i="14"/>
  <c r="A2078" i="14"/>
  <c r="J2077" i="14"/>
  <c r="A1862" i="14"/>
  <c r="J1861" i="14"/>
  <c r="A1646" i="14"/>
  <c r="J1645" i="14"/>
  <c r="A1430" i="14"/>
  <c r="J1429" i="14"/>
  <c r="A1214" i="14"/>
  <c r="J1213" i="14"/>
  <c r="S35" i="10" s="1"/>
  <c r="A998" i="14"/>
  <c r="J997" i="14"/>
  <c r="A782" i="14"/>
  <c r="J781" i="14"/>
  <c r="A566" i="14"/>
  <c r="J565" i="14"/>
  <c r="J168" i="14"/>
  <c r="A169" i="14"/>
  <c r="A367" i="14"/>
  <c r="J366" i="14"/>
  <c r="S26" i="11" l="1"/>
  <c r="A2332" i="14"/>
  <c r="A2079" i="14"/>
  <c r="J2078" i="14"/>
  <c r="A1863" i="14"/>
  <c r="J1862" i="14"/>
  <c r="A1647" i="14"/>
  <c r="J1646" i="14"/>
  <c r="A1431" i="14"/>
  <c r="J1430" i="14"/>
  <c r="A1215" i="14"/>
  <c r="J1214" i="14"/>
  <c r="S36" i="10" s="1"/>
  <c r="A999" i="14"/>
  <c r="J998" i="14"/>
  <c r="A783" i="14"/>
  <c r="J782" i="14"/>
  <c r="A567" i="14"/>
  <c r="J566" i="14"/>
  <c r="J169" i="14"/>
  <c r="A170" i="14"/>
  <c r="A368" i="14"/>
  <c r="J367" i="14"/>
  <c r="S27" i="11" l="1"/>
  <c r="A2333" i="14"/>
  <c r="A2080" i="14"/>
  <c r="J2079" i="14"/>
  <c r="A1864" i="14"/>
  <c r="J1863" i="14"/>
  <c r="A1648" i="14"/>
  <c r="J1647" i="14"/>
  <c r="A1432" i="14"/>
  <c r="J1431" i="14"/>
  <c r="A1216" i="14"/>
  <c r="J1215" i="14"/>
  <c r="S37" i="10" s="1"/>
  <c r="A1000" i="14"/>
  <c r="J999" i="14"/>
  <c r="A784" i="14"/>
  <c r="J783" i="14"/>
  <c r="A568" i="14"/>
  <c r="J567" i="14"/>
  <c r="J170" i="14"/>
  <c r="A171" i="14"/>
  <c r="A369" i="14"/>
  <c r="J368" i="14"/>
  <c r="S28" i="11" l="1"/>
  <c r="A2334" i="14"/>
  <c r="A2081" i="14"/>
  <c r="J2080" i="14"/>
  <c r="A1865" i="14"/>
  <c r="J1864" i="14"/>
  <c r="A1649" i="14"/>
  <c r="J1648" i="14"/>
  <c r="A1433" i="14"/>
  <c r="J1432" i="14"/>
  <c r="A1217" i="14"/>
  <c r="J1216" i="14"/>
  <c r="S38" i="10" s="1"/>
  <c r="A1001" i="14"/>
  <c r="J1000" i="14"/>
  <c r="A785" i="14"/>
  <c r="J784" i="14"/>
  <c r="A569" i="14"/>
  <c r="J568" i="14"/>
  <c r="J171" i="14"/>
  <c r="A172" i="14"/>
  <c r="A370" i="14"/>
  <c r="J369" i="14"/>
  <c r="S29" i="11" l="1"/>
  <c r="A2335" i="14"/>
  <c r="A2082" i="14"/>
  <c r="J2081" i="14"/>
  <c r="A1866" i="14"/>
  <c r="J1865" i="14"/>
  <c r="A1650" i="14"/>
  <c r="J1649" i="14"/>
  <c r="A1434" i="14"/>
  <c r="J1433" i="14"/>
  <c r="A1218" i="14"/>
  <c r="J1217" i="14"/>
  <c r="S39" i="10" s="1"/>
  <c r="A1002" i="14"/>
  <c r="J1001" i="14"/>
  <c r="A786" i="14"/>
  <c r="J785" i="14"/>
  <c r="A570" i="14"/>
  <c r="J569" i="14"/>
  <c r="J172" i="14"/>
  <c r="A173" i="14"/>
  <c r="A371" i="14"/>
  <c r="J370" i="14"/>
  <c r="S30" i="11" l="1"/>
  <c r="A2336" i="14"/>
  <c r="A2083" i="14"/>
  <c r="J2082" i="14"/>
  <c r="A1867" i="14"/>
  <c r="J1866" i="14"/>
  <c r="A1651" i="14"/>
  <c r="J1650" i="14"/>
  <c r="A1435" i="14"/>
  <c r="J1434" i="14"/>
  <c r="A1219" i="14"/>
  <c r="J1218" i="14"/>
  <c r="S40" i="10" s="1"/>
  <c r="A1003" i="14"/>
  <c r="J1002" i="14"/>
  <c r="A787" i="14"/>
  <c r="J786" i="14"/>
  <c r="A571" i="14"/>
  <c r="J570" i="14"/>
  <c r="J173" i="14"/>
  <c r="A174" i="14"/>
  <c r="A372" i="14"/>
  <c r="J371" i="14"/>
  <c r="S31" i="11" l="1"/>
  <c r="A2337" i="14"/>
  <c r="A2084" i="14"/>
  <c r="J2083" i="14"/>
  <c r="A1868" i="14"/>
  <c r="J1867" i="14"/>
  <c r="A1652" i="14"/>
  <c r="J1651" i="14"/>
  <c r="A1436" i="14"/>
  <c r="J1435" i="14"/>
  <c r="A1220" i="14"/>
  <c r="J1219" i="14"/>
  <c r="S41" i="10" s="1"/>
  <c r="A1004" i="14"/>
  <c r="J1003" i="14"/>
  <c r="A788" i="14"/>
  <c r="J787" i="14"/>
  <c r="A572" i="14"/>
  <c r="J571" i="14"/>
  <c r="J174" i="14"/>
  <c r="A175" i="14"/>
  <c r="A373" i="14"/>
  <c r="J372" i="14"/>
  <c r="S32" i="11" l="1"/>
  <c r="A2338" i="14"/>
  <c r="A2085" i="14"/>
  <c r="J2084" i="14"/>
  <c r="A1869" i="14"/>
  <c r="J1868" i="14"/>
  <c r="A1653" i="14"/>
  <c r="J1652" i="14"/>
  <c r="A1437" i="14"/>
  <c r="J1436" i="14"/>
  <c r="A1221" i="14"/>
  <c r="J1220" i="14"/>
  <c r="S42" i="10" s="1"/>
  <c r="A1005" i="14"/>
  <c r="J1004" i="14"/>
  <c r="A789" i="14"/>
  <c r="J788" i="14"/>
  <c r="A573" i="14"/>
  <c r="J572" i="14"/>
  <c r="J175" i="14"/>
  <c r="A176" i="14"/>
  <c r="A374" i="14"/>
  <c r="J373" i="14"/>
  <c r="S33" i="11" l="1"/>
  <c r="A2339" i="14"/>
  <c r="A2086" i="14"/>
  <c r="J2085" i="14"/>
  <c r="A1870" i="14"/>
  <c r="J1869" i="14"/>
  <c r="A1654" i="14"/>
  <c r="J1653" i="14"/>
  <c r="A1438" i="14"/>
  <c r="J1437" i="14"/>
  <c r="A1222" i="14"/>
  <c r="J1221" i="14"/>
  <c r="S43" i="10" s="1"/>
  <c r="A1006" i="14"/>
  <c r="J1005" i="14"/>
  <c r="A790" i="14"/>
  <c r="J789" i="14"/>
  <c r="A574" i="14"/>
  <c r="J573" i="14"/>
  <c r="J176" i="14"/>
  <c r="A177" i="14"/>
  <c r="A375" i="14"/>
  <c r="J374" i="14"/>
  <c r="S34" i="11" l="1"/>
  <c r="A2340" i="14"/>
  <c r="A2087" i="14"/>
  <c r="J2086" i="14"/>
  <c r="A1871" i="14"/>
  <c r="J1870" i="14"/>
  <c r="A1655" i="14"/>
  <c r="J1654" i="14"/>
  <c r="A1439" i="14"/>
  <c r="J1438" i="14"/>
  <c r="A1223" i="14"/>
  <c r="J1222" i="14"/>
  <c r="S44" i="10" s="1"/>
  <c r="A1007" i="14"/>
  <c r="J1006" i="14"/>
  <c r="A791" i="14"/>
  <c r="J790" i="14"/>
  <c r="A575" i="14"/>
  <c r="J574" i="14"/>
  <c r="J177" i="14"/>
  <c r="A178" i="14"/>
  <c r="A376" i="14"/>
  <c r="J375" i="14"/>
  <c r="S35" i="11" l="1"/>
  <c r="A2341" i="14"/>
  <c r="A2088" i="14"/>
  <c r="J2087" i="14"/>
  <c r="A1872" i="14"/>
  <c r="J1871" i="14"/>
  <c r="A1656" i="14"/>
  <c r="J1655" i="14"/>
  <c r="A1440" i="14"/>
  <c r="J1439" i="14"/>
  <c r="A1224" i="14"/>
  <c r="J1223" i="14"/>
  <c r="S45" i="10" s="1"/>
  <c r="A1008" i="14"/>
  <c r="J1007" i="14"/>
  <c r="A792" i="14"/>
  <c r="J791" i="14"/>
  <c r="A576" i="14"/>
  <c r="J575" i="14"/>
  <c r="J178" i="14"/>
  <c r="A179" i="14"/>
  <c r="A377" i="14"/>
  <c r="J376" i="14"/>
  <c r="S36" i="11" l="1"/>
  <c r="A2342" i="14"/>
  <c r="A2089" i="14"/>
  <c r="J2088" i="14"/>
  <c r="A1873" i="14"/>
  <c r="J1872" i="14"/>
  <c r="A1657" i="14"/>
  <c r="J1656" i="14"/>
  <c r="A1441" i="14"/>
  <c r="J1440" i="14"/>
  <c r="A1225" i="14"/>
  <c r="J1224" i="14"/>
  <c r="S46" i="10" s="1"/>
  <c r="A1009" i="14"/>
  <c r="J1008" i="14"/>
  <c r="A793" i="14"/>
  <c r="J792" i="14"/>
  <c r="A577" i="14"/>
  <c r="J576" i="14"/>
  <c r="J179" i="14"/>
  <c r="A180" i="14"/>
  <c r="A378" i="14"/>
  <c r="J377" i="14"/>
  <c r="S37" i="11" l="1"/>
  <c r="A2343" i="14"/>
  <c r="A2090" i="14"/>
  <c r="J2089" i="14"/>
  <c r="A1874" i="14"/>
  <c r="J1873" i="14"/>
  <c r="A1658" i="14"/>
  <c r="J1657" i="14"/>
  <c r="A1442" i="14"/>
  <c r="J1441" i="14"/>
  <c r="A1226" i="14"/>
  <c r="J1225" i="14"/>
  <c r="S47" i="10" s="1"/>
  <c r="A1010" i="14"/>
  <c r="J1009" i="14"/>
  <c r="A794" i="14"/>
  <c r="J793" i="14"/>
  <c r="A578" i="14"/>
  <c r="J577" i="14"/>
  <c r="J180" i="14"/>
  <c r="A181" i="14"/>
  <c r="A379" i="14"/>
  <c r="J378" i="14"/>
  <c r="S38" i="11" l="1"/>
  <c r="A2344" i="14"/>
  <c r="A2091" i="14"/>
  <c r="J2090" i="14"/>
  <c r="A1875" i="14"/>
  <c r="J1874" i="14"/>
  <c r="A1659" i="14"/>
  <c r="J1658" i="14"/>
  <c r="A1443" i="14"/>
  <c r="J1442" i="14"/>
  <c r="A1227" i="14"/>
  <c r="J1226" i="14"/>
  <c r="U30" i="10" s="1"/>
  <c r="A1011" i="14"/>
  <c r="J1010" i="14"/>
  <c r="J794" i="14"/>
  <c r="A795" i="14"/>
  <c r="A579" i="14"/>
  <c r="J578" i="14"/>
  <c r="J181" i="14"/>
  <c r="A182" i="14"/>
  <c r="A380" i="14"/>
  <c r="J379" i="14"/>
  <c r="U21" i="11" l="1"/>
  <c r="A2345" i="14"/>
  <c r="A2092" i="14"/>
  <c r="J2091" i="14"/>
  <c r="A1876" i="14"/>
  <c r="J1875" i="14"/>
  <c r="A1660" i="14"/>
  <c r="J1659" i="14"/>
  <c r="A1444" i="14"/>
  <c r="J1443" i="14"/>
  <c r="A1228" i="14"/>
  <c r="J1227" i="14"/>
  <c r="U31" i="10" s="1"/>
  <c r="A1012" i="14"/>
  <c r="J1011" i="14"/>
  <c r="A796" i="14"/>
  <c r="J795" i="14"/>
  <c r="A580" i="14"/>
  <c r="J579" i="14"/>
  <c r="J182" i="14"/>
  <c r="A183" i="14"/>
  <c r="A381" i="14"/>
  <c r="J380" i="14"/>
  <c r="U22" i="11" l="1"/>
  <c r="A2346" i="14"/>
  <c r="A2093" i="14"/>
  <c r="J2092" i="14"/>
  <c r="A1877" i="14"/>
  <c r="J1876" i="14"/>
  <c r="A1661" i="14"/>
  <c r="J1660" i="14"/>
  <c r="A1445" i="14"/>
  <c r="J1444" i="14"/>
  <c r="A1229" i="14"/>
  <c r="J1228" i="14"/>
  <c r="U32" i="10" s="1"/>
  <c r="A1013" i="14"/>
  <c r="J1012" i="14"/>
  <c r="A797" i="14"/>
  <c r="J796" i="14"/>
  <c r="A581" i="14"/>
  <c r="J580" i="14"/>
  <c r="J183" i="14"/>
  <c r="A184" i="14"/>
  <c r="A382" i="14"/>
  <c r="J381" i="14"/>
  <c r="U23" i="11" l="1"/>
  <c r="A2347" i="14"/>
  <c r="A2094" i="14"/>
  <c r="J2093" i="14"/>
  <c r="A1878" i="14"/>
  <c r="J1877" i="14"/>
  <c r="A1662" i="14"/>
  <c r="J1661" i="14"/>
  <c r="A1446" i="14"/>
  <c r="J1445" i="14"/>
  <c r="A1230" i="14"/>
  <c r="J1229" i="14"/>
  <c r="U33" i="10" s="1"/>
  <c r="A1014" i="14"/>
  <c r="J1013" i="14"/>
  <c r="A798" i="14"/>
  <c r="J797" i="14"/>
  <c r="A582" i="14"/>
  <c r="J581" i="14"/>
  <c r="J184" i="14"/>
  <c r="A185" i="14"/>
  <c r="A383" i="14"/>
  <c r="J382" i="14"/>
  <c r="U24" i="11" l="1"/>
  <c r="A2348" i="14"/>
  <c r="A2095" i="14"/>
  <c r="J2094" i="14"/>
  <c r="A1879" i="14"/>
  <c r="J1878" i="14"/>
  <c r="A1663" i="14"/>
  <c r="J1662" i="14"/>
  <c r="A1447" i="14"/>
  <c r="J1446" i="14"/>
  <c r="A1231" i="14"/>
  <c r="J1230" i="14"/>
  <c r="U34" i="10" s="1"/>
  <c r="A1015" i="14"/>
  <c r="J1014" i="14"/>
  <c r="A799" i="14"/>
  <c r="J798" i="14"/>
  <c r="A583" i="14"/>
  <c r="J582" i="14"/>
  <c r="J185" i="14"/>
  <c r="A186" i="14"/>
  <c r="A384" i="14"/>
  <c r="J383" i="14"/>
  <c r="U25" i="11" l="1"/>
  <c r="A2349" i="14"/>
  <c r="A2096" i="14"/>
  <c r="J2095" i="14"/>
  <c r="A1880" i="14"/>
  <c r="J1879" i="14"/>
  <c r="A1664" i="14"/>
  <c r="J1663" i="14"/>
  <c r="A1448" i="14"/>
  <c r="J1447" i="14"/>
  <c r="A1232" i="14"/>
  <c r="J1231" i="14"/>
  <c r="U35" i="10" s="1"/>
  <c r="A1016" i="14"/>
  <c r="J1015" i="14"/>
  <c r="A800" i="14"/>
  <c r="J799" i="14"/>
  <c r="A584" i="14"/>
  <c r="J583" i="14"/>
  <c r="J186" i="14"/>
  <c r="A187" i="14"/>
  <c r="A385" i="14"/>
  <c r="J384" i="14"/>
  <c r="U26" i="11" l="1"/>
  <c r="A2350" i="14"/>
  <c r="A2097" i="14"/>
  <c r="J2096" i="14"/>
  <c r="A1881" i="14"/>
  <c r="J1880" i="14"/>
  <c r="A1665" i="14"/>
  <c r="J1664" i="14"/>
  <c r="A1449" i="14"/>
  <c r="J1448" i="14"/>
  <c r="A1233" i="14"/>
  <c r="J1232" i="14"/>
  <c r="U36" i="10" s="1"/>
  <c r="A1017" i="14"/>
  <c r="J1016" i="14"/>
  <c r="A801" i="14"/>
  <c r="J800" i="14"/>
  <c r="A585" i="14"/>
  <c r="J584" i="14"/>
  <c r="J187" i="14"/>
  <c r="A188" i="14"/>
  <c r="A386" i="14"/>
  <c r="J385" i="14"/>
  <c r="U27" i="11" l="1"/>
  <c r="A2351" i="14"/>
  <c r="A2098" i="14"/>
  <c r="J2097" i="14"/>
  <c r="A1882" i="14"/>
  <c r="J1881" i="14"/>
  <c r="A1666" i="14"/>
  <c r="J1665" i="14"/>
  <c r="A1450" i="14"/>
  <c r="J1449" i="14"/>
  <c r="A1234" i="14"/>
  <c r="J1233" i="14"/>
  <c r="U37" i="10" s="1"/>
  <c r="A1018" i="14"/>
  <c r="J1017" i="14"/>
  <c r="A802" i="14"/>
  <c r="J801" i="14"/>
  <c r="A586" i="14"/>
  <c r="J585" i="14"/>
  <c r="J188" i="14"/>
  <c r="A189" i="14"/>
  <c r="A387" i="14"/>
  <c r="J386" i="14"/>
  <c r="U28" i="11" l="1"/>
  <c r="A2352" i="14"/>
  <c r="A2099" i="14"/>
  <c r="J2098" i="14"/>
  <c r="A1883" i="14"/>
  <c r="J1882" i="14"/>
  <c r="A1667" i="14"/>
  <c r="J1666" i="14"/>
  <c r="A1451" i="14"/>
  <c r="J1450" i="14"/>
  <c r="A1235" i="14"/>
  <c r="J1234" i="14"/>
  <c r="U38" i="10" s="1"/>
  <c r="A1019" i="14"/>
  <c r="J1018" i="14"/>
  <c r="A803" i="14"/>
  <c r="J802" i="14"/>
  <c r="A587" i="14"/>
  <c r="J586" i="14"/>
  <c r="J189" i="14"/>
  <c r="A190" i="14"/>
  <c r="A388" i="14"/>
  <c r="J387" i="14"/>
  <c r="U29" i="11" l="1"/>
  <c r="A2353" i="14"/>
  <c r="A2100" i="14"/>
  <c r="J2099" i="14"/>
  <c r="A1884" i="14"/>
  <c r="J1883" i="14"/>
  <c r="A1668" i="14"/>
  <c r="J1667" i="14"/>
  <c r="A1452" i="14"/>
  <c r="J1451" i="14"/>
  <c r="A1236" i="14"/>
  <c r="J1235" i="14"/>
  <c r="U39" i="10" s="1"/>
  <c r="A1020" i="14"/>
  <c r="J1019" i="14"/>
  <c r="A804" i="14"/>
  <c r="J803" i="14"/>
  <c r="A588" i="14"/>
  <c r="J587" i="14"/>
  <c r="J190" i="14"/>
  <c r="A191" i="14"/>
  <c r="A389" i="14"/>
  <c r="J388" i="14"/>
  <c r="U30" i="11" l="1"/>
  <c r="A2354" i="14"/>
  <c r="A2101" i="14"/>
  <c r="J2100" i="14"/>
  <c r="A1885" i="14"/>
  <c r="J1884" i="14"/>
  <c r="A1669" i="14"/>
  <c r="J1668" i="14"/>
  <c r="A1453" i="14"/>
  <c r="J1452" i="14"/>
  <c r="A1237" i="14"/>
  <c r="J1236" i="14"/>
  <c r="U40" i="10" s="1"/>
  <c r="A1021" i="14"/>
  <c r="J1020" i="14"/>
  <c r="A805" i="14"/>
  <c r="J804" i="14"/>
  <c r="A589" i="14"/>
  <c r="J588" i="14"/>
  <c r="J191" i="14"/>
  <c r="A192" i="14"/>
  <c r="A390" i="14"/>
  <c r="J389" i="14"/>
  <c r="U31" i="11" l="1"/>
  <c r="A2355" i="14"/>
  <c r="A2102" i="14"/>
  <c r="J2101" i="14"/>
  <c r="A1886" i="14"/>
  <c r="J1885" i="14"/>
  <c r="A1670" i="14"/>
  <c r="J1669" i="14"/>
  <c r="A1454" i="14"/>
  <c r="J1453" i="14"/>
  <c r="A1238" i="14"/>
  <c r="J1237" i="14"/>
  <c r="U41" i="10" s="1"/>
  <c r="A1022" i="14"/>
  <c r="J1021" i="14"/>
  <c r="A806" i="14"/>
  <c r="J805" i="14"/>
  <c r="A590" i="14"/>
  <c r="J589" i="14"/>
  <c r="J192" i="14"/>
  <c r="A193" i="14"/>
  <c r="A391" i="14"/>
  <c r="J390" i="14"/>
  <c r="U32" i="11" l="1"/>
  <c r="A2356" i="14"/>
  <c r="A2103" i="14"/>
  <c r="J2102" i="14"/>
  <c r="A1887" i="14"/>
  <c r="J1886" i="14"/>
  <c r="A1671" i="14"/>
  <c r="J1670" i="14"/>
  <c r="A1455" i="14"/>
  <c r="J1454" i="14"/>
  <c r="A1239" i="14"/>
  <c r="J1238" i="14"/>
  <c r="U42" i="10" s="1"/>
  <c r="A1023" i="14"/>
  <c r="J1022" i="14"/>
  <c r="A807" i="14"/>
  <c r="J806" i="14"/>
  <c r="A591" i="14"/>
  <c r="J590" i="14"/>
  <c r="J193" i="14"/>
  <c r="A194" i="14"/>
  <c r="A392" i="14"/>
  <c r="J391" i="14"/>
  <c r="U33" i="11" l="1"/>
  <c r="A2357" i="14"/>
  <c r="A2104" i="14"/>
  <c r="J2103" i="14"/>
  <c r="A1888" i="14"/>
  <c r="J1887" i="14"/>
  <c r="A1672" i="14"/>
  <c r="J1671" i="14"/>
  <c r="A1456" i="14"/>
  <c r="J1455" i="14"/>
  <c r="A1240" i="14"/>
  <c r="J1239" i="14"/>
  <c r="U43" i="10" s="1"/>
  <c r="A1024" i="14"/>
  <c r="J1023" i="14"/>
  <c r="A808" i="14"/>
  <c r="J807" i="14"/>
  <c r="A592" i="14"/>
  <c r="J591" i="14"/>
  <c r="J194" i="14"/>
  <c r="A195" i="14"/>
  <c r="A393" i="14"/>
  <c r="J392" i="14"/>
  <c r="U34" i="11" l="1"/>
  <c r="A2358" i="14"/>
  <c r="A2105" i="14"/>
  <c r="J2104" i="14"/>
  <c r="A1889" i="14"/>
  <c r="J1888" i="14"/>
  <c r="A1673" i="14"/>
  <c r="J1672" i="14"/>
  <c r="A1457" i="14"/>
  <c r="J1456" i="14"/>
  <c r="A1241" i="14"/>
  <c r="J1240" i="14"/>
  <c r="U44" i="10" s="1"/>
  <c r="A1025" i="14"/>
  <c r="J1024" i="14"/>
  <c r="A809" i="14"/>
  <c r="J808" i="14"/>
  <c r="A593" i="14"/>
  <c r="J592" i="14"/>
  <c r="J195" i="14"/>
  <c r="A196" i="14"/>
  <c r="A394" i="14"/>
  <c r="J393" i="14"/>
  <c r="U35" i="11" l="1"/>
  <c r="A2359" i="14"/>
  <c r="A2106" i="14"/>
  <c r="J2105" i="14"/>
  <c r="A1890" i="14"/>
  <c r="J1889" i="14"/>
  <c r="A1674" i="14"/>
  <c r="J1673" i="14"/>
  <c r="A1458" i="14"/>
  <c r="J1457" i="14"/>
  <c r="A1242" i="14"/>
  <c r="J1241" i="14"/>
  <c r="U45" i="10" s="1"/>
  <c r="A1026" i="14"/>
  <c r="J1025" i="14"/>
  <c r="A810" i="14"/>
  <c r="J809" i="14"/>
  <c r="A594" i="14"/>
  <c r="J593" i="14"/>
  <c r="J196" i="14"/>
  <c r="A197" i="14"/>
  <c r="A395" i="14"/>
  <c r="J394" i="14"/>
  <c r="U36" i="11" l="1"/>
  <c r="A2360" i="14"/>
  <c r="A2107" i="14"/>
  <c r="J2106" i="14"/>
  <c r="A1891" i="14"/>
  <c r="J1890" i="14"/>
  <c r="A1675" i="14"/>
  <c r="J1674" i="14"/>
  <c r="A1459" i="14"/>
  <c r="J1458" i="14"/>
  <c r="A1243" i="14"/>
  <c r="J1242" i="14"/>
  <c r="U46" i="10" s="1"/>
  <c r="A1027" i="14"/>
  <c r="J1026" i="14"/>
  <c r="A811" i="14"/>
  <c r="J810" i="14"/>
  <c r="A595" i="14"/>
  <c r="J594" i="14"/>
  <c r="J197" i="14"/>
  <c r="A198" i="14"/>
  <c r="A396" i="14"/>
  <c r="J395" i="14"/>
  <c r="U37" i="11" l="1"/>
  <c r="A2361" i="14"/>
  <c r="A2108" i="14"/>
  <c r="J2107" i="14"/>
  <c r="A1892" i="14"/>
  <c r="J1891" i="14"/>
  <c r="A1676" i="14"/>
  <c r="J1675" i="14"/>
  <c r="A1460" i="14"/>
  <c r="J1459" i="14"/>
  <c r="A1244" i="14"/>
  <c r="J1243" i="14"/>
  <c r="U47" i="10" s="1"/>
  <c r="A1028" i="14"/>
  <c r="J1027" i="14"/>
  <c r="A812" i="14"/>
  <c r="J811" i="14"/>
  <c r="A596" i="14"/>
  <c r="J595" i="14"/>
  <c r="J198" i="14"/>
  <c r="A199" i="14"/>
  <c r="A397" i="14"/>
  <c r="J396" i="14"/>
  <c r="U38" i="11" l="1"/>
  <c r="A2362" i="14"/>
  <c r="A2109" i="14"/>
  <c r="J2108" i="14"/>
  <c r="A1893" i="14"/>
  <c r="J1892" i="14"/>
  <c r="A1677" i="14"/>
  <c r="J1676" i="14"/>
  <c r="A1461" i="14"/>
  <c r="J1460" i="14"/>
  <c r="A1245" i="14"/>
  <c r="J1244" i="14"/>
  <c r="W30" i="10" s="1"/>
  <c r="A1029" i="14"/>
  <c r="J1028" i="14"/>
  <c r="J812" i="14"/>
  <c r="A813" i="14"/>
  <c r="A597" i="14"/>
  <c r="J596" i="14"/>
  <c r="J199" i="14"/>
  <c r="A200" i="14"/>
  <c r="A398" i="14"/>
  <c r="J397" i="14"/>
  <c r="W21" i="11" l="1"/>
  <c r="A2363" i="14"/>
  <c r="A2110" i="14"/>
  <c r="J2109" i="14"/>
  <c r="A1894" i="14"/>
  <c r="J1893" i="14"/>
  <c r="A1678" i="14"/>
  <c r="J1677" i="14"/>
  <c r="A1462" i="14"/>
  <c r="J1461" i="14"/>
  <c r="A1246" i="14"/>
  <c r="J1245" i="14"/>
  <c r="W31" i="10" s="1"/>
  <c r="A1030" i="14"/>
  <c r="J1029" i="14"/>
  <c r="A814" i="14"/>
  <c r="J813" i="14"/>
  <c r="A598" i="14"/>
  <c r="J597" i="14"/>
  <c r="J200" i="14"/>
  <c r="A201" i="14"/>
  <c r="A399" i="14"/>
  <c r="J398" i="14"/>
  <c r="W22" i="11" l="1"/>
  <c r="A2364" i="14"/>
  <c r="A2111" i="14"/>
  <c r="J2110" i="14"/>
  <c r="A1895" i="14"/>
  <c r="J1894" i="14"/>
  <c r="A1679" i="14"/>
  <c r="J1678" i="14"/>
  <c r="A1463" i="14"/>
  <c r="J1462" i="14"/>
  <c r="A1247" i="14"/>
  <c r="J1246" i="14"/>
  <c r="W32" i="10" s="1"/>
  <c r="A1031" i="14"/>
  <c r="J1030" i="14"/>
  <c r="A815" i="14"/>
  <c r="J814" i="14"/>
  <c r="A599" i="14"/>
  <c r="J598" i="14"/>
  <c r="J201" i="14"/>
  <c r="A202" i="14"/>
  <c r="A400" i="14"/>
  <c r="J399" i="14"/>
  <c r="W23" i="11" l="1"/>
  <c r="A2365" i="14"/>
  <c r="A2112" i="14"/>
  <c r="J2111" i="14"/>
  <c r="A1896" i="14"/>
  <c r="J1895" i="14"/>
  <c r="A1680" i="14"/>
  <c r="J1679" i="14"/>
  <c r="A1464" i="14"/>
  <c r="J1463" i="14"/>
  <c r="A1248" i="14"/>
  <c r="J1247" i="14"/>
  <c r="W33" i="10" s="1"/>
  <c r="A1032" i="14"/>
  <c r="J1031" i="14"/>
  <c r="A816" i="14"/>
  <c r="J815" i="14"/>
  <c r="A600" i="14"/>
  <c r="J599" i="14"/>
  <c r="J202" i="14"/>
  <c r="A203" i="14"/>
  <c r="A401" i="14"/>
  <c r="J400" i="14"/>
  <c r="W24" i="11" l="1"/>
  <c r="A2366" i="14"/>
  <c r="A2113" i="14"/>
  <c r="J2112" i="14"/>
  <c r="A1897" i="14"/>
  <c r="J1896" i="14"/>
  <c r="A1681" i="14"/>
  <c r="J1680" i="14"/>
  <c r="A1465" i="14"/>
  <c r="J1464" i="14"/>
  <c r="A1249" i="14"/>
  <c r="J1248" i="14"/>
  <c r="W34" i="10" s="1"/>
  <c r="A1033" i="14"/>
  <c r="J1032" i="14"/>
  <c r="A817" i="14"/>
  <c r="J816" i="14"/>
  <c r="A601" i="14"/>
  <c r="J600" i="14"/>
  <c r="J203" i="14"/>
  <c r="A204" i="14"/>
  <c r="A402" i="14"/>
  <c r="J401" i="14"/>
  <c r="W25" i="11" l="1"/>
  <c r="A2367" i="14"/>
  <c r="A2114" i="14"/>
  <c r="J2113" i="14"/>
  <c r="A1898" i="14"/>
  <c r="J1897" i="14"/>
  <c r="A1682" i="14"/>
  <c r="J1681" i="14"/>
  <c r="A1466" i="14"/>
  <c r="J1465" i="14"/>
  <c r="A1250" i="14"/>
  <c r="J1249" i="14"/>
  <c r="W35" i="10" s="1"/>
  <c r="A1034" i="14"/>
  <c r="J1033" i="14"/>
  <c r="A818" i="14"/>
  <c r="J817" i="14"/>
  <c r="A602" i="14"/>
  <c r="J601" i="14"/>
  <c r="J204" i="14"/>
  <c r="A205" i="14"/>
  <c r="A403" i="14"/>
  <c r="J402" i="14"/>
  <c r="W26" i="11" l="1"/>
  <c r="A2368" i="14"/>
  <c r="A2115" i="14"/>
  <c r="J2114" i="14"/>
  <c r="A1899" i="14"/>
  <c r="J1898" i="14"/>
  <c r="A1683" i="14"/>
  <c r="J1682" i="14"/>
  <c r="A1467" i="14"/>
  <c r="J1466" i="14"/>
  <c r="A1251" i="14"/>
  <c r="J1250" i="14"/>
  <c r="W36" i="10" s="1"/>
  <c r="A1035" i="14"/>
  <c r="J1034" i="14"/>
  <c r="A819" i="14"/>
  <c r="J818" i="14"/>
  <c r="A603" i="14"/>
  <c r="J602" i="14"/>
  <c r="J205" i="14"/>
  <c r="A206" i="14"/>
  <c r="A404" i="14"/>
  <c r="J403" i="14"/>
  <c r="W27" i="11" l="1"/>
  <c r="A2369" i="14"/>
  <c r="A2116" i="14"/>
  <c r="J2115" i="14"/>
  <c r="A1900" i="14"/>
  <c r="J1899" i="14"/>
  <c r="A1684" i="14"/>
  <c r="J1683" i="14"/>
  <c r="A1468" i="14"/>
  <c r="J1467" i="14"/>
  <c r="A1252" i="14"/>
  <c r="J1251" i="14"/>
  <c r="W37" i="10" s="1"/>
  <c r="A1036" i="14"/>
  <c r="J1035" i="14"/>
  <c r="A820" i="14"/>
  <c r="J819" i="14"/>
  <c r="A604" i="14"/>
  <c r="J603" i="14"/>
  <c r="J206" i="14"/>
  <c r="A207" i="14"/>
  <c r="A405" i="14"/>
  <c r="J404" i="14"/>
  <c r="W28" i="11" l="1"/>
  <c r="A2370" i="14"/>
  <c r="A2117" i="14"/>
  <c r="J2116" i="14"/>
  <c r="A1901" i="14"/>
  <c r="J1900" i="14"/>
  <c r="A1685" i="14"/>
  <c r="J1684" i="14"/>
  <c r="A1469" i="14"/>
  <c r="J1468" i="14"/>
  <c r="A1253" i="14"/>
  <c r="J1252" i="14"/>
  <c r="W38" i="10" s="1"/>
  <c r="A1037" i="14"/>
  <c r="J1036" i="14"/>
  <c r="A821" i="14"/>
  <c r="J820" i="14"/>
  <c r="A605" i="14"/>
  <c r="J604" i="14"/>
  <c r="J207" i="14"/>
  <c r="A208" i="14"/>
  <c r="A406" i="14"/>
  <c r="J405" i="14"/>
  <c r="W29" i="11" l="1"/>
  <c r="A2371" i="14"/>
  <c r="A2118" i="14"/>
  <c r="J2117" i="14"/>
  <c r="A1902" i="14"/>
  <c r="J1901" i="14"/>
  <c r="A1686" i="14"/>
  <c r="J1685" i="14"/>
  <c r="A1470" i="14"/>
  <c r="J1469" i="14"/>
  <c r="A1254" i="14"/>
  <c r="J1253" i="14"/>
  <c r="W39" i="10" s="1"/>
  <c r="A1038" i="14"/>
  <c r="J1037" i="14"/>
  <c r="A822" i="14"/>
  <c r="J821" i="14"/>
  <c r="A606" i="14"/>
  <c r="J605" i="14"/>
  <c r="J208" i="14"/>
  <c r="A209" i="14"/>
  <c r="A407" i="14"/>
  <c r="J406" i="14"/>
  <c r="W30" i="11" l="1"/>
  <c r="A2372" i="14"/>
  <c r="A2119" i="14"/>
  <c r="J2118" i="14"/>
  <c r="A1903" i="14"/>
  <c r="J1902" i="14"/>
  <c r="A1687" i="14"/>
  <c r="J1686" i="14"/>
  <c r="A1471" i="14"/>
  <c r="J1470" i="14"/>
  <c r="A1255" i="14"/>
  <c r="J1254" i="14"/>
  <c r="W40" i="10" s="1"/>
  <c r="A1039" i="14"/>
  <c r="J1038" i="14"/>
  <c r="A823" i="14"/>
  <c r="J822" i="14"/>
  <c r="A607" i="14"/>
  <c r="J606" i="14"/>
  <c r="J209" i="14"/>
  <c r="A210" i="14"/>
  <c r="A408" i="14"/>
  <c r="J407" i="14"/>
  <c r="W31" i="11" l="1"/>
  <c r="A2373" i="14"/>
  <c r="A2120" i="14"/>
  <c r="J2119" i="14"/>
  <c r="A1904" i="14"/>
  <c r="J1903" i="14"/>
  <c r="A1688" i="14"/>
  <c r="J1687" i="14"/>
  <c r="A1472" i="14"/>
  <c r="J1471" i="14"/>
  <c r="A1256" i="14"/>
  <c r="J1255" i="14"/>
  <c r="W41" i="10" s="1"/>
  <c r="A1040" i="14"/>
  <c r="J1039" i="14"/>
  <c r="A824" i="14"/>
  <c r="J823" i="14"/>
  <c r="A608" i="14"/>
  <c r="J607" i="14"/>
  <c r="J210" i="14"/>
  <c r="A211" i="14"/>
  <c r="A409" i="14"/>
  <c r="J408" i="14"/>
  <c r="W32" i="11" l="1"/>
  <c r="A2374" i="14"/>
  <c r="A2121" i="14"/>
  <c r="J2120" i="14"/>
  <c r="A1905" i="14"/>
  <c r="J1904" i="14"/>
  <c r="A1689" i="14"/>
  <c r="J1688" i="14"/>
  <c r="A1473" i="14"/>
  <c r="J1472" i="14"/>
  <c r="A1257" i="14"/>
  <c r="J1256" i="14"/>
  <c r="W42" i="10" s="1"/>
  <c r="A1041" i="14"/>
  <c r="J1040" i="14"/>
  <c r="A825" i="14"/>
  <c r="J824" i="14"/>
  <c r="A609" i="14"/>
  <c r="J608" i="14"/>
  <c r="J211" i="14"/>
  <c r="A212" i="14"/>
  <c r="A410" i="14"/>
  <c r="J409" i="14"/>
  <c r="W33" i="11" l="1"/>
  <c r="A2375" i="14"/>
  <c r="A2122" i="14"/>
  <c r="J2121" i="14"/>
  <c r="A1906" i="14"/>
  <c r="J1905" i="14"/>
  <c r="A1690" i="14"/>
  <c r="J1689" i="14"/>
  <c r="A1474" i="14"/>
  <c r="J1473" i="14"/>
  <c r="A1258" i="14"/>
  <c r="J1257" i="14"/>
  <c r="W43" i="10" s="1"/>
  <c r="A1042" i="14"/>
  <c r="J1041" i="14"/>
  <c r="A826" i="14"/>
  <c r="J825" i="14"/>
  <c r="A610" i="14"/>
  <c r="J609" i="14"/>
  <c r="J212" i="14"/>
  <c r="A213" i="14"/>
  <c r="A411" i="14"/>
  <c r="J410" i="14"/>
  <c r="W34" i="11" l="1"/>
  <c r="A2376" i="14"/>
  <c r="A2123" i="14"/>
  <c r="J2122" i="14"/>
  <c r="A1907" i="14"/>
  <c r="J1906" i="14"/>
  <c r="A1691" i="14"/>
  <c r="J1690" i="14"/>
  <c r="A1475" i="14"/>
  <c r="J1474" i="14"/>
  <c r="A1259" i="14"/>
  <c r="J1258" i="14"/>
  <c r="W44" i="10" s="1"/>
  <c r="A1043" i="14"/>
  <c r="J1042" i="14"/>
  <c r="A827" i="14"/>
  <c r="J826" i="14"/>
  <c r="A611" i="14"/>
  <c r="J610" i="14"/>
  <c r="J213" i="14"/>
  <c r="A214" i="14"/>
  <c r="A412" i="14"/>
  <c r="J411" i="14"/>
  <c r="W35" i="11" l="1"/>
  <c r="A2377" i="14"/>
  <c r="A2124" i="14"/>
  <c r="J2123" i="14"/>
  <c r="A1908" i="14"/>
  <c r="J1907" i="14"/>
  <c r="A1692" i="14"/>
  <c r="J1691" i="14"/>
  <c r="A1476" i="14"/>
  <c r="J1475" i="14"/>
  <c r="A1260" i="14"/>
  <c r="J1259" i="14"/>
  <c r="W45" i="10" s="1"/>
  <c r="A1044" i="14"/>
  <c r="J1043" i="14"/>
  <c r="A828" i="14"/>
  <c r="J827" i="14"/>
  <c r="A612" i="14"/>
  <c r="J611" i="14"/>
  <c r="J214" i="14"/>
  <c r="A215" i="14"/>
  <c r="A413" i="14"/>
  <c r="J412" i="14"/>
  <c r="W36" i="11" l="1"/>
  <c r="A2378" i="14"/>
  <c r="A2125" i="14"/>
  <c r="J2124" i="14"/>
  <c r="A1909" i="14"/>
  <c r="J1908" i="14"/>
  <c r="A1693" i="14"/>
  <c r="J1692" i="14"/>
  <c r="A1477" i="14"/>
  <c r="J1476" i="14"/>
  <c r="A1261" i="14"/>
  <c r="J1260" i="14"/>
  <c r="W46" i="10" s="1"/>
  <c r="A1045" i="14"/>
  <c r="J1044" i="14"/>
  <c r="A829" i="14"/>
  <c r="J828" i="14"/>
  <c r="A613" i="14"/>
  <c r="J612" i="14"/>
  <c r="J215" i="14"/>
  <c r="A216" i="14"/>
  <c r="A414" i="14"/>
  <c r="J413" i="14"/>
  <c r="W37" i="11" l="1"/>
  <c r="A2379" i="14"/>
  <c r="A2126" i="14"/>
  <c r="J2125" i="14"/>
  <c r="A1910" i="14"/>
  <c r="J1909" i="14"/>
  <c r="A1694" i="14"/>
  <c r="J1693" i="14"/>
  <c r="A1478" i="14"/>
  <c r="J1477" i="14"/>
  <c r="A1262" i="14"/>
  <c r="J1261" i="14"/>
  <c r="W47" i="10" s="1"/>
  <c r="A1046" i="14"/>
  <c r="J1045" i="14"/>
  <c r="A830" i="14"/>
  <c r="J829" i="14"/>
  <c r="A614" i="14"/>
  <c r="J613" i="14"/>
  <c r="J216" i="14"/>
  <c r="A217" i="14"/>
  <c r="J217" i="14" s="1"/>
  <c r="A415" i="14"/>
  <c r="J414" i="14"/>
  <c r="W38" i="11" l="1"/>
  <c r="A2380" i="14"/>
  <c r="A2127" i="14"/>
  <c r="J2126" i="14"/>
  <c r="A1911" i="14"/>
  <c r="J1910" i="14"/>
  <c r="A1695" i="14"/>
  <c r="J1694" i="14"/>
  <c r="A1479" i="14"/>
  <c r="J1478" i="14"/>
  <c r="A1263" i="14"/>
  <c r="J1262" i="14"/>
  <c r="Y30" i="10" s="1"/>
  <c r="A1047" i="14"/>
  <c r="J1046" i="14"/>
  <c r="J830" i="14"/>
  <c r="A831" i="14"/>
  <c r="A615" i="14"/>
  <c r="J614" i="14"/>
  <c r="A416" i="14"/>
  <c r="J415" i="14"/>
  <c r="Y21" i="11" l="1"/>
  <c r="A2381" i="14"/>
  <c r="A2128" i="14"/>
  <c r="J2127" i="14"/>
  <c r="A1912" i="14"/>
  <c r="J1911" i="14"/>
  <c r="A1696" i="14"/>
  <c r="J1695" i="14"/>
  <c r="A1480" i="14"/>
  <c r="J1479" i="14"/>
  <c r="A1264" i="14"/>
  <c r="J1263" i="14"/>
  <c r="Y31" i="10" s="1"/>
  <c r="A1048" i="14"/>
  <c r="J1047" i="14"/>
  <c r="A832" i="14"/>
  <c r="J831" i="14"/>
  <c r="A616" i="14"/>
  <c r="J615" i="14"/>
  <c r="A417" i="14"/>
  <c r="J416" i="14"/>
  <c r="Y22" i="11" l="1"/>
  <c r="A2382" i="14"/>
  <c r="A2129" i="14"/>
  <c r="J2128" i="14"/>
  <c r="A1913" i="14"/>
  <c r="J1912" i="14"/>
  <c r="A1697" i="14"/>
  <c r="J1696" i="14"/>
  <c r="A1481" i="14"/>
  <c r="J1480" i="14"/>
  <c r="A1265" i="14"/>
  <c r="J1264" i="14"/>
  <c r="Y32" i="10" s="1"/>
  <c r="A1049" i="14"/>
  <c r="J1048" i="14"/>
  <c r="A833" i="14"/>
  <c r="J832" i="14"/>
  <c r="A617" i="14"/>
  <c r="J616" i="14"/>
  <c r="A418" i="14"/>
  <c r="J417" i="14"/>
  <c r="Y23" i="11" l="1"/>
  <c r="A2383" i="14"/>
  <c r="A2130" i="14"/>
  <c r="J2129" i="14"/>
  <c r="A1914" i="14"/>
  <c r="J1913" i="14"/>
  <c r="A1698" i="14"/>
  <c r="J1697" i="14"/>
  <c r="A1482" i="14"/>
  <c r="J1481" i="14"/>
  <c r="A1266" i="14"/>
  <c r="J1265" i="14"/>
  <c r="Y33" i="10" s="1"/>
  <c r="A1050" i="14"/>
  <c r="J1049" i="14"/>
  <c r="A834" i="14"/>
  <c r="J833" i="14"/>
  <c r="A618" i="14"/>
  <c r="J617" i="14"/>
  <c r="A419" i="14"/>
  <c r="J418" i="14"/>
  <c r="Y24" i="11" l="1"/>
  <c r="A2384" i="14"/>
  <c r="A2131" i="14"/>
  <c r="J2130" i="14"/>
  <c r="A1915" i="14"/>
  <c r="J1914" i="14"/>
  <c r="A1699" i="14"/>
  <c r="J1698" i="14"/>
  <c r="A1483" i="14"/>
  <c r="J1482" i="14"/>
  <c r="A1267" i="14"/>
  <c r="J1266" i="14"/>
  <c r="Y34" i="10" s="1"/>
  <c r="A1051" i="14"/>
  <c r="J1050" i="14"/>
  <c r="A835" i="14"/>
  <c r="J834" i="14"/>
  <c r="A619" i="14"/>
  <c r="J618" i="14"/>
  <c r="A420" i="14"/>
  <c r="J419" i="14"/>
  <c r="Y25" i="11" l="1"/>
  <c r="A2385" i="14"/>
  <c r="A2132" i="14"/>
  <c r="J2131" i="14"/>
  <c r="A1916" i="14"/>
  <c r="J1915" i="14"/>
  <c r="A1700" i="14"/>
  <c r="J1699" i="14"/>
  <c r="A1484" i="14"/>
  <c r="J1483" i="14"/>
  <c r="A1268" i="14"/>
  <c r="J1267" i="14"/>
  <c r="Y35" i="10" s="1"/>
  <c r="A1052" i="14"/>
  <c r="J1051" i="14"/>
  <c r="A836" i="14"/>
  <c r="J835" i="14"/>
  <c r="A620" i="14"/>
  <c r="J619" i="14"/>
  <c r="A421" i="14"/>
  <c r="J420" i="14"/>
  <c r="Y26" i="11" l="1"/>
  <c r="A2386" i="14"/>
  <c r="A2133" i="14"/>
  <c r="J2132" i="14"/>
  <c r="A1917" i="14"/>
  <c r="J1916" i="14"/>
  <c r="A1701" i="14"/>
  <c r="J1700" i="14"/>
  <c r="A1485" i="14"/>
  <c r="J1484" i="14"/>
  <c r="A1269" i="14"/>
  <c r="J1268" i="14"/>
  <c r="Y36" i="10" s="1"/>
  <c r="A1053" i="14"/>
  <c r="J1052" i="14"/>
  <c r="A837" i="14"/>
  <c r="J836" i="14"/>
  <c r="A621" i="14"/>
  <c r="J620" i="14"/>
  <c r="A422" i="14"/>
  <c r="J421" i="14"/>
  <c r="Y27" i="11" l="1"/>
  <c r="A2387" i="14"/>
  <c r="A2134" i="14"/>
  <c r="J2133" i="14"/>
  <c r="A1918" i="14"/>
  <c r="J1917" i="14"/>
  <c r="A1702" i="14"/>
  <c r="J1701" i="14"/>
  <c r="A1486" i="14"/>
  <c r="J1485" i="14"/>
  <c r="A1270" i="14"/>
  <c r="J1269" i="14"/>
  <c r="Y37" i="10" s="1"/>
  <c r="A1054" i="14"/>
  <c r="J1053" i="14"/>
  <c r="A838" i="14"/>
  <c r="J837" i="14"/>
  <c r="A622" i="14"/>
  <c r="J621" i="14"/>
  <c r="A423" i="14"/>
  <c r="J422" i="14"/>
  <c r="Y28" i="11" l="1"/>
  <c r="A2388" i="14"/>
  <c r="A2135" i="14"/>
  <c r="J2134" i="14"/>
  <c r="A1919" i="14"/>
  <c r="J1918" i="14"/>
  <c r="A1703" i="14"/>
  <c r="J1702" i="14"/>
  <c r="A1487" i="14"/>
  <c r="J1486" i="14"/>
  <c r="A1271" i="14"/>
  <c r="J1270" i="14"/>
  <c r="Y38" i="10" s="1"/>
  <c r="A1055" i="14"/>
  <c r="J1054" i="14"/>
  <c r="A839" i="14"/>
  <c r="J838" i="14"/>
  <c r="A623" i="14"/>
  <c r="J622" i="14"/>
  <c r="A424" i="14"/>
  <c r="J423" i="14"/>
  <c r="Y29" i="11" l="1"/>
  <c r="A2389" i="14"/>
  <c r="A2136" i="14"/>
  <c r="J2135" i="14"/>
  <c r="A1920" i="14"/>
  <c r="J1919" i="14"/>
  <c r="A1704" i="14"/>
  <c r="J1703" i="14"/>
  <c r="A1488" i="14"/>
  <c r="J1487" i="14"/>
  <c r="A1272" i="14"/>
  <c r="J1271" i="14"/>
  <c r="Y39" i="10" s="1"/>
  <c r="A1056" i="14"/>
  <c r="J1055" i="14"/>
  <c r="A840" i="14"/>
  <c r="J839" i="14"/>
  <c r="Y30" i="11" s="1"/>
  <c r="A624" i="14"/>
  <c r="J623" i="14"/>
  <c r="A425" i="14"/>
  <c r="J424" i="14"/>
  <c r="A2390" i="14" l="1"/>
  <c r="A2137" i="14"/>
  <c r="J2136" i="14"/>
  <c r="A1921" i="14"/>
  <c r="J1920" i="14"/>
  <c r="A1705" i="14"/>
  <c r="J1704" i="14"/>
  <c r="A1489" i="14"/>
  <c r="J1488" i="14"/>
  <c r="A1273" i="14"/>
  <c r="J1272" i="14"/>
  <c r="Y40" i="10" s="1"/>
  <c r="A1057" i="14"/>
  <c r="J1056" i="14"/>
  <c r="A841" i="14"/>
  <c r="J840" i="14"/>
  <c r="A625" i="14"/>
  <c r="J624" i="14"/>
  <c r="A426" i="14"/>
  <c r="J425" i="14"/>
  <c r="Y31" i="11" l="1"/>
  <c r="A2391" i="14"/>
  <c r="A2138" i="14"/>
  <c r="J2137" i="14"/>
  <c r="A1922" i="14"/>
  <c r="J1921" i="14"/>
  <c r="A1706" i="14"/>
  <c r="J1705" i="14"/>
  <c r="A1490" i="14"/>
  <c r="J1489" i="14"/>
  <c r="A1274" i="14"/>
  <c r="J1273" i="14"/>
  <c r="Y41" i="10" s="1"/>
  <c r="A1058" i="14"/>
  <c r="J1057" i="14"/>
  <c r="A842" i="14"/>
  <c r="J841" i="14"/>
  <c r="A626" i="14"/>
  <c r="J625" i="14"/>
  <c r="A427" i="14"/>
  <c r="J426" i="14"/>
  <c r="Y32" i="11" l="1"/>
  <c r="A2392" i="14"/>
  <c r="A2139" i="14"/>
  <c r="J2138" i="14"/>
  <c r="A1923" i="14"/>
  <c r="J1922" i="14"/>
  <c r="A1707" i="14"/>
  <c r="J1706" i="14"/>
  <c r="A1491" i="14"/>
  <c r="J1490" i="14"/>
  <c r="A1275" i="14"/>
  <c r="J1274" i="14"/>
  <c r="Y42" i="10" s="1"/>
  <c r="A1059" i="14"/>
  <c r="J1058" i="14"/>
  <c r="A843" i="14"/>
  <c r="J842" i="14"/>
  <c r="A627" i="14"/>
  <c r="J626" i="14"/>
  <c r="A428" i="14"/>
  <c r="J427" i="14"/>
  <c r="Y33" i="11" l="1"/>
  <c r="A2393" i="14"/>
  <c r="A2140" i="14"/>
  <c r="J2139" i="14"/>
  <c r="A1924" i="14"/>
  <c r="J1923" i="14"/>
  <c r="A1708" i="14"/>
  <c r="J1707" i="14"/>
  <c r="A1492" i="14"/>
  <c r="J1491" i="14"/>
  <c r="A1276" i="14"/>
  <c r="J1275" i="14"/>
  <c r="Y43" i="10" s="1"/>
  <c r="A1060" i="14"/>
  <c r="J1059" i="14"/>
  <c r="A844" i="14"/>
  <c r="J843" i="14"/>
  <c r="A628" i="14"/>
  <c r="J627" i="14"/>
  <c r="A429" i="14"/>
  <c r="J428" i="14"/>
  <c r="Y34" i="11" l="1"/>
  <c r="A2394" i="14"/>
  <c r="A2141" i="14"/>
  <c r="J2140" i="14"/>
  <c r="A1925" i="14"/>
  <c r="J1924" i="14"/>
  <c r="A1709" i="14"/>
  <c r="J1708" i="14"/>
  <c r="A1493" i="14"/>
  <c r="J1492" i="14"/>
  <c r="A1277" i="14"/>
  <c r="J1276" i="14"/>
  <c r="Y44" i="10" s="1"/>
  <c r="A1061" i="14"/>
  <c r="J1060" i="14"/>
  <c r="A845" i="14"/>
  <c r="J844" i="14"/>
  <c r="A629" i="14"/>
  <c r="J628" i="14"/>
  <c r="A430" i="14"/>
  <c r="J429" i="14"/>
  <c r="Y35" i="11" l="1"/>
  <c r="A2395" i="14"/>
  <c r="A2142" i="14"/>
  <c r="J2141" i="14"/>
  <c r="A1926" i="14"/>
  <c r="J1925" i="14"/>
  <c r="A1710" i="14"/>
  <c r="J1709" i="14"/>
  <c r="A1494" i="14"/>
  <c r="J1493" i="14"/>
  <c r="A1278" i="14"/>
  <c r="J1277" i="14"/>
  <c r="Y45" i="10" s="1"/>
  <c r="A1062" i="14"/>
  <c r="J1061" i="14"/>
  <c r="A846" i="14"/>
  <c r="J845" i="14"/>
  <c r="Y36" i="11" s="1"/>
  <c r="A630" i="14"/>
  <c r="J629" i="14"/>
  <c r="A431" i="14"/>
  <c r="J430" i="14"/>
  <c r="A2396" i="14" l="1"/>
  <c r="A2143" i="14"/>
  <c r="J2142" i="14"/>
  <c r="A1927" i="14"/>
  <c r="J1926" i="14"/>
  <c r="A1711" i="14"/>
  <c r="J1710" i="14"/>
  <c r="A1495" i="14"/>
  <c r="J1494" i="14"/>
  <c r="A1279" i="14"/>
  <c r="J1278" i="14"/>
  <c r="Y46" i="10" s="1"/>
  <c r="A1063" i="14"/>
  <c r="J1062" i="14"/>
  <c r="A847" i="14"/>
  <c r="J846" i="14"/>
  <c r="A631" i="14"/>
  <c r="J630" i="14"/>
  <c r="A432" i="14"/>
  <c r="J431" i="14"/>
  <c r="Y37" i="11" l="1"/>
  <c r="A2397" i="14"/>
  <c r="A2144" i="14"/>
  <c r="J2143" i="14"/>
  <c r="A1928" i="14"/>
  <c r="J1927" i="14"/>
  <c r="A1712" i="14"/>
  <c r="J1711" i="14"/>
  <c r="A1496" i="14"/>
  <c r="J1495" i="14"/>
  <c r="A1280" i="14"/>
  <c r="J1279" i="14"/>
  <c r="Y47" i="10" s="1"/>
  <c r="A1064" i="14"/>
  <c r="J1063" i="14"/>
  <c r="A848" i="14"/>
  <c r="J847" i="14"/>
  <c r="A632" i="14"/>
  <c r="J631" i="14"/>
  <c r="A433" i="14"/>
  <c r="J433" i="14" s="1"/>
  <c r="J432" i="14"/>
  <c r="Y38" i="11" l="1"/>
  <c r="A2398" i="14"/>
  <c r="A2145" i="14"/>
  <c r="J2144" i="14"/>
  <c r="A1929" i="14"/>
  <c r="J1928" i="14"/>
  <c r="A1713" i="14"/>
  <c r="J1712" i="14"/>
  <c r="A1497" i="14"/>
  <c r="J1496" i="14"/>
  <c r="A1281" i="14"/>
  <c r="J1280" i="14"/>
  <c r="AA30" i="10" s="1"/>
  <c r="A1065" i="14"/>
  <c r="J1064" i="14"/>
  <c r="A849" i="14"/>
  <c r="J848" i="14"/>
  <c r="A633" i="14"/>
  <c r="J632" i="14"/>
  <c r="AA21" i="11" l="1"/>
  <c r="AD21" i="11" s="1"/>
  <c r="AD30" i="10"/>
  <c r="A2399" i="14"/>
  <c r="A2146" i="14"/>
  <c r="J2145" i="14"/>
  <c r="A1930" i="14"/>
  <c r="J1929" i="14"/>
  <c r="A1714" i="14"/>
  <c r="J1713" i="14"/>
  <c r="A1498" i="14"/>
  <c r="J1497" i="14"/>
  <c r="A1282" i="14"/>
  <c r="J1281" i="14"/>
  <c r="AA31" i="10" s="1"/>
  <c r="A1066" i="14"/>
  <c r="J1065" i="14"/>
  <c r="A850" i="14"/>
  <c r="J849" i="14"/>
  <c r="A634" i="14"/>
  <c r="J633" i="14"/>
  <c r="AA22" i="11" l="1"/>
  <c r="AD22" i="11" s="1"/>
  <c r="AD31" i="10"/>
  <c r="A2400" i="14"/>
  <c r="A2147" i="14"/>
  <c r="J2146" i="14"/>
  <c r="A1931" i="14"/>
  <c r="J1930" i="14"/>
  <c r="A1715" i="14"/>
  <c r="J1714" i="14"/>
  <c r="A1499" i="14"/>
  <c r="J1498" i="14"/>
  <c r="A1283" i="14"/>
  <c r="J1282" i="14"/>
  <c r="AA32" i="10" s="1"/>
  <c r="A1067" i="14"/>
  <c r="J1066" i="14"/>
  <c r="A851" i="14"/>
  <c r="J850" i="14"/>
  <c r="A635" i="14"/>
  <c r="J634" i="14"/>
  <c r="AA23" i="11" l="1"/>
  <c r="AD23" i="11" s="1"/>
  <c r="AD32" i="10"/>
  <c r="A2401" i="14"/>
  <c r="A2148" i="14"/>
  <c r="J2147" i="14"/>
  <c r="A1932" i="14"/>
  <c r="J1931" i="14"/>
  <c r="A1716" i="14"/>
  <c r="J1715" i="14"/>
  <c r="A1500" i="14"/>
  <c r="J1499" i="14"/>
  <c r="A1284" i="14"/>
  <c r="J1283" i="14"/>
  <c r="AA33" i="10" s="1"/>
  <c r="A1068" i="14"/>
  <c r="J1067" i="14"/>
  <c r="A852" i="14"/>
  <c r="J851" i="14"/>
  <c r="A636" i="14"/>
  <c r="J635" i="14"/>
  <c r="AD33" i="10" l="1"/>
  <c r="AA24" i="11"/>
  <c r="AD24" i="11" s="1"/>
  <c r="N53" i="15"/>
  <c r="J53" i="15"/>
  <c r="C53" i="15"/>
  <c r="I53" i="15"/>
  <c r="L53" i="15"/>
  <c r="K53" i="15"/>
  <c r="M53" i="15"/>
  <c r="G53" i="15"/>
  <c r="E53" i="15"/>
  <c r="F53" i="15"/>
  <c r="D53" i="15"/>
  <c r="J12" i="13"/>
  <c r="P12" i="13"/>
  <c r="X12" i="13"/>
  <c r="T12" i="13"/>
  <c r="L12" i="13"/>
  <c r="H12" i="13"/>
  <c r="N12" i="13"/>
  <c r="R12" i="13"/>
  <c r="Z12" i="13"/>
  <c r="V12" i="13"/>
  <c r="D12" i="13"/>
  <c r="A2149" i="14"/>
  <c r="J2148" i="14"/>
  <c r="A1933" i="14"/>
  <c r="J1932" i="14"/>
  <c r="A1717" i="14"/>
  <c r="J1716" i="14"/>
  <c r="A1501" i="14"/>
  <c r="J1500" i="14"/>
  <c r="A1285" i="14"/>
  <c r="J1284" i="14"/>
  <c r="A1069" i="14"/>
  <c r="J1068" i="14"/>
  <c r="A853" i="14"/>
  <c r="J852" i="14"/>
  <c r="A637" i="14"/>
  <c r="J636" i="14"/>
  <c r="C55" i="15" l="1"/>
  <c r="AA34" i="10"/>
  <c r="AD34" i="10" s="1"/>
  <c r="AA25" i="11"/>
  <c r="AD25" i="11" s="1"/>
  <c r="A2150" i="14"/>
  <c r="J2149" i="14"/>
  <c r="A1934" i="14"/>
  <c r="J1933" i="14"/>
  <c r="A1718" i="14"/>
  <c r="J1717" i="14"/>
  <c r="A1502" i="14"/>
  <c r="J1501" i="14"/>
  <c r="A1286" i="14"/>
  <c r="J1285" i="14"/>
  <c r="AA35" i="10" s="1"/>
  <c r="AD35" i="10" s="1"/>
  <c r="A1070" i="14"/>
  <c r="J1069" i="14"/>
  <c r="A854" i="14"/>
  <c r="J853" i="14"/>
  <c r="A638" i="14"/>
  <c r="J637" i="14"/>
  <c r="D36" i="15" l="1"/>
  <c r="D55" i="15" s="1"/>
  <c r="AA26" i="11"/>
  <c r="AD26" i="11" s="1"/>
  <c r="A2151" i="14"/>
  <c r="J2150" i="14"/>
  <c r="A1935" i="14"/>
  <c r="J1934" i="14"/>
  <c r="A1719" i="14"/>
  <c r="J1718" i="14"/>
  <c r="A1503" i="14"/>
  <c r="J1502" i="14"/>
  <c r="A1287" i="14"/>
  <c r="J1286" i="14"/>
  <c r="AA36" i="10" s="1"/>
  <c r="AD36" i="10" s="1"/>
  <c r="A1071" i="14"/>
  <c r="J1070" i="14"/>
  <c r="A855" i="14"/>
  <c r="J854" i="14"/>
  <c r="A639" i="14"/>
  <c r="J638" i="14"/>
  <c r="E36" i="15" l="1"/>
  <c r="E55" i="15" s="1"/>
  <c r="AA27" i="11"/>
  <c r="AD27" i="11" s="1"/>
  <c r="A2152" i="14"/>
  <c r="J2151" i="14"/>
  <c r="H53" i="15"/>
  <c r="C57" i="15" s="1"/>
  <c r="F12" i="13"/>
  <c r="A1936" i="14"/>
  <c r="J1935" i="14"/>
  <c r="A1720" i="14"/>
  <c r="J1719" i="14"/>
  <c r="A1504" i="14"/>
  <c r="J1503" i="14"/>
  <c r="A1288" i="14"/>
  <c r="J1287" i="14"/>
  <c r="AA37" i="10" s="1"/>
  <c r="AD37" i="10" s="1"/>
  <c r="A1072" i="14"/>
  <c r="J1071" i="14"/>
  <c r="A856" i="14"/>
  <c r="J855" i="14"/>
  <c r="A640" i="14"/>
  <c r="J639" i="14"/>
  <c r="AA28" i="11" l="1"/>
  <c r="AD28" i="11" s="1"/>
  <c r="F36" i="15"/>
  <c r="F55" i="15" s="1"/>
  <c r="K57" i="15"/>
  <c r="D57" i="15"/>
  <c r="D59" i="15" s="1"/>
  <c r="E57" i="15"/>
  <c r="E59" i="15" s="1"/>
  <c r="F57" i="15"/>
  <c r="G57" i="15"/>
  <c r="I57" i="15"/>
  <c r="J57" i="15"/>
  <c r="L57" i="15"/>
  <c r="M57" i="15"/>
  <c r="C59" i="15"/>
  <c r="H57" i="15"/>
  <c r="N57" i="15"/>
  <c r="A2153" i="14"/>
  <c r="J2152" i="14"/>
  <c r="A1937" i="14"/>
  <c r="J1936" i="14"/>
  <c r="A1721" i="14"/>
  <c r="J1720" i="14"/>
  <c r="A1505" i="14"/>
  <c r="J1504" i="14"/>
  <c r="A1289" i="14"/>
  <c r="J1288" i="14"/>
  <c r="AA38" i="10" s="1"/>
  <c r="AD38" i="10" s="1"/>
  <c r="A1073" i="14"/>
  <c r="J1072" i="14"/>
  <c r="A857" i="14"/>
  <c r="J856" i="14"/>
  <c r="A641" i="14"/>
  <c r="J640" i="14"/>
  <c r="F59" i="15" l="1"/>
  <c r="G36" i="15"/>
  <c r="G55" i="15" s="1"/>
  <c r="AA29" i="11"/>
  <c r="AD29" i="11" s="1"/>
  <c r="A2154" i="14"/>
  <c r="J2153" i="14"/>
  <c r="A1938" i="14"/>
  <c r="J1937" i="14"/>
  <c r="A1722" i="14"/>
  <c r="J1721" i="14"/>
  <c r="A1506" i="14"/>
  <c r="J1505" i="14"/>
  <c r="A1290" i="14"/>
  <c r="J1289" i="14"/>
  <c r="AA39" i="10" s="1"/>
  <c r="AD39" i="10" s="1"/>
  <c r="A1074" i="14"/>
  <c r="J1073" i="14"/>
  <c r="A858" i="14"/>
  <c r="J857" i="14"/>
  <c r="A642" i="14"/>
  <c r="J641" i="14"/>
  <c r="AA30" i="11" l="1"/>
  <c r="AD30" i="11" s="1"/>
  <c r="G59" i="15"/>
  <c r="H36" i="15"/>
  <c r="H55" i="15" s="1"/>
  <c r="A2155" i="14"/>
  <c r="J2154" i="14"/>
  <c r="A1939" i="14"/>
  <c r="J1938" i="14"/>
  <c r="A1723" i="14"/>
  <c r="J1722" i="14"/>
  <c r="A1507" i="14"/>
  <c r="J1506" i="14"/>
  <c r="A1291" i="14"/>
  <c r="J1290" i="14"/>
  <c r="AA40" i="10" s="1"/>
  <c r="AD40" i="10" s="1"/>
  <c r="A1075" i="14"/>
  <c r="J1074" i="14"/>
  <c r="A859" i="14"/>
  <c r="J858" i="14"/>
  <c r="A643" i="14"/>
  <c r="J642" i="14"/>
  <c r="H59" i="15" l="1"/>
  <c r="I36" i="15"/>
  <c r="I55" i="15" s="1"/>
  <c r="AA31" i="11"/>
  <c r="AD31" i="11" s="1"/>
  <c r="A2156" i="14"/>
  <c r="J2155" i="14"/>
  <c r="A1940" i="14"/>
  <c r="J1939" i="14"/>
  <c r="A1724" i="14"/>
  <c r="J1723" i="14"/>
  <c r="A1508" i="14"/>
  <c r="J1507" i="14"/>
  <c r="A1292" i="14"/>
  <c r="J1291" i="14"/>
  <c r="AA41" i="10" s="1"/>
  <c r="AD41" i="10" s="1"/>
  <c r="A1076" i="14"/>
  <c r="J1075" i="14"/>
  <c r="A860" i="14"/>
  <c r="J859" i="14"/>
  <c r="A644" i="14"/>
  <c r="J643" i="14"/>
  <c r="AA32" i="11" l="1"/>
  <c r="AD32" i="11" s="1"/>
  <c r="I59" i="15"/>
  <c r="J36" i="15"/>
  <c r="J55" i="15" s="1"/>
  <c r="A2157" i="14"/>
  <c r="J2156" i="14"/>
  <c r="A1941" i="14"/>
  <c r="J1940" i="14"/>
  <c r="A1725" i="14"/>
  <c r="J1724" i="14"/>
  <c r="A1509" i="14"/>
  <c r="J1508" i="14"/>
  <c r="A1293" i="14"/>
  <c r="J1292" i="14"/>
  <c r="AA42" i="10" s="1"/>
  <c r="AD42" i="10" s="1"/>
  <c r="A1077" i="14"/>
  <c r="J1076" i="14"/>
  <c r="A861" i="14"/>
  <c r="J860" i="14"/>
  <c r="A645" i="14"/>
  <c r="J644" i="14"/>
  <c r="J59" i="15" l="1"/>
  <c r="K36" i="15"/>
  <c r="K55" i="15" s="1"/>
  <c r="AA33" i="11"/>
  <c r="AD33" i="11" s="1"/>
  <c r="A2158" i="14"/>
  <c r="J2157" i="14"/>
  <c r="A1942" i="14"/>
  <c r="J1941" i="14"/>
  <c r="A1726" i="14"/>
  <c r="J1725" i="14"/>
  <c r="A1510" i="14"/>
  <c r="J1509" i="14"/>
  <c r="A1294" i="14"/>
  <c r="J1293" i="14"/>
  <c r="AA43" i="10" s="1"/>
  <c r="AD43" i="10" s="1"/>
  <c r="A1078" i="14"/>
  <c r="J1077" i="14"/>
  <c r="A862" i="14"/>
  <c r="J861" i="14"/>
  <c r="A646" i="14"/>
  <c r="J645" i="14"/>
  <c r="K59" i="15" l="1"/>
  <c r="L36" i="15"/>
  <c r="L55" i="15" s="1"/>
  <c r="AA34" i="11"/>
  <c r="AD34" i="11" s="1"/>
  <c r="A2159" i="14"/>
  <c r="J2158" i="14"/>
  <c r="A1943" i="14"/>
  <c r="J1942" i="14"/>
  <c r="A1727" i="14"/>
  <c r="J1726" i="14"/>
  <c r="A1511" i="14"/>
  <c r="J1510" i="14"/>
  <c r="A1295" i="14"/>
  <c r="J1294" i="14"/>
  <c r="AA44" i="10" s="1"/>
  <c r="AD44" i="10" s="1"/>
  <c r="A1079" i="14"/>
  <c r="J1078" i="14"/>
  <c r="A863" i="14"/>
  <c r="J862" i="14"/>
  <c r="A647" i="14"/>
  <c r="J646" i="14"/>
  <c r="L59" i="15" l="1"/>
  <c r="M36" i="15"/>
  <c r="M55" i="15" s="1"/>
  <c r="AA35" i="11"/>
  <c r="AD35" i="11" s="1"/>
  <c r="A2160" i="14"/>
  <c r="J2159" i="14"/>
  <c r="A1944" i="14"/>
  <c r="J1943" i="14"/>
  <c r="A1728" i="14"/>
  <c r="J1727" i="14"/>
  <c r="A1512" i="14"/>
  <c r="J1511" i="14"/>
  <c r="A1296" i="14"/>
  <c r="J1295" i="14"/>
  <c r="AA45" i="10" s="1"/>
  <c r="AD45" i="10" s="1"/>
  <c r="A1080" i="14"/>
  <c r="J1079" i="14"/>
  <c r="A864" i="14"/>
  <c r="J863" i="14"/>
  <c r="A648" i="14"/>
  <c r="J647" i="14"/>
  <c r="AA36" i="11" l="1"/>
  <c r="AD36" i="11" s="1"/>
  <c r="M59" i="15"/>
  <c r="N36" i="15"/>
  <c r="N55" i="15" s="1"/>
  <c r="N59" i="15" s="1"/>
  <c r="A2161" i="14"/>
  <c r="J2160" i="14"/>
  <c r="A1945" i="14"/>
  <c r="J1945" i="14" s="1"/>
  <c r="J1944" i="14"/>
  <c r="A1729" i="14"/>
  <c r="J1729" i="14" s="1"/>
  <c r="J1728" i="14"/>
  <c r="A1513" i="14"/>
  <c r="J1513" i="14" s="1"/>
  <c r="J1512" i="14"/>
  <c r="A1297" i="14"/>
  <c r="J1297" i="14" s="1"/>
  <c r="J1296" i="14"/>
  <c r="AA46" i="10" s="1"/>
  <c r="AD46" i="10" s="1"/>
  <c r="A1081" i="14"/>
  <c r="J1081" i="14" s="1"/>
  <c r="J1080" i="14"/>
  <c r="A865" i="14"/>
  <c r="J865" i="14" s="1"/>
  <c r="J864" i="14"/>
  <c r="A649" i="14"/>
  <c r="J649" i="14" s="1"/>
  <c r="J648" i="14"/>
  <c r="AA38" i="11" l="1"/>
  <c r="AD38" i="11" s="1"/>
  <c r="AA37" i="11"/>
  <c r="AD37" i="11" s="1"/>
  <c r="D4" i="13"/>
  <c r="D6" i="13"/>
  <c r="D13" i="13"/>
  <c r="D14" i="13"/>
  <c r="D3" i="13"/>
  <c r="D5" i="13"/>
  <c r="L14" i="13"/>
  <c r="N15" i="13"/>
  <c r="J15" i="13"/>
  <c r="D15" i="13"/>
  <c r="J14" i="13"/>
  <c r="T4" i="13"/>
  <c r="N3" i="13"/>
  <c r="H4" i="13"/>
  <c r="R4" i="13"/>
  <c r="L4" i="13"/>
  <c r="X4" i="13"/>
  <c r="N14" i="13"/>
  <c r="H14" i="13"/>
  <c r="F4" i="13"/>
  <c r="X6" i="13"/>
  <c r="L6" i="13"/>
  <c r="P6" i="13"/>
  <c r="H7" i="13"/>
  <c r="T6" i="13"/>
  <c r="R7" i="13"/>
  <c r="D7" i="13"/>
  <c r="X7" i="13"/>
  <c r="N13" i="13"/>
  <c r="P14" i="13"/>
  <c r="X15" i="13"/>
  <c r="T5" i="13"/>
  <c r="L5" i="13"/>
  <c r="N4" i="13"/>
  <c r="P4" i="13"/>
  <c r="T7" i="13"/>
  <c r="T13" i="13"/>
  <c r="P13" i="13"/>
  <c r="F13" i="13"/>
  <c r="J13" i="13"/>
  <c r="L13" i="13"/>
  <c r="X13" i="13"/>
  <c r="R13" i="13"/>
  <c r="V13" i="13"/>
  <c r="H13" i="13"/>
  <c r="L15" i="13"/>
  <c r="H3" i="13"/>
  <c r="X14" i="13"/>
  <c r="R15" i="13"/>
  <c r="F3" i="13"/>
  <c r="R14" i="13"/>
  <c r="V14" i="13"/>
  <c r="P15" i="13"/>
  <c r="L3" i="13"/>
  <c r="R3" i="13"/>
  <c r="V4" i="13"/>
  <c r="H5" i="13"/>
  <c r="J3" i="13"/>
  <c r="N5" i="13"/>
  <c r="P5" i="13"/>
  <c r="F15" i="13"/>
  <c r="P3" i="13"/>
  <c r="V5" i="13"/>
  <c r="V7" i="13"/>
  <c r="T14" i="13"/>
  <c r="H15" i="13"/>
  <c r="T3" i="13"/>
  <c r="V3" i="13"/>
  <c r="F5" i="13"/>
  <c r="H6" i="13"/>
  <c r="N6" i="13"/>
  <c r="R6" i="13"/>
  <c r="F14" i="13"/>
  <c r="R5" i="13"/>
  <c r="J6" i="13"/>
  <c r="V15" i="13"/>
  <c r="T15" i="13"/>
  <c r="J5" i="13"/>
  <c r="X5" i="13"/>
  <c r="F6" i="13"/>
  <c r="V6" i="13"/>
  <c r="N7" i="13"/>
  <c r="L7" i="13"/>
  <c r="J7" i="13"/>
  <c r="P7" i="13"/>
  <c r="F7" i="13"/>
  <c r="X3" i="13"/>
  <c r="J4" i="13"/>
  <c r="Z14" i="13"/>
  <c r="J2161" i="14"/>
  <c r="AA47" i="10" s="1"/>
  <c r="AD47" i="10" s="1"/>
  <c r="D17" i="13" l="1"/>
  <c r="D9" i="13"/>
  <c r="E3" i="13" s="1"/>
  <c r="N9" i="13"/>
  <c r="O3" i="13" s="1"/>
  <c r="N17" i="13"/>
  <c r="T17" i="13"/>
  <c r="P17" i="13"/>
  <c r="F17" i="13"/>
  <c r="J17" i="13"/>
  <c r="L17" i="13"/>
  <c r="X17" i="13"/>
  <c r="R17" i="13"/>
  <c r="V17" i="13"/>
  <c r="H17" i="13"/>
  <c r="H9" i="13"/>
  <c r="I3" i="13" s="1"/>
  <c r="F9" i="13"/>
  <c r="G3" i="13" s="1"/>
  <c r="L9" i="13"/>
  <c r="M3" i="13" s="1"/>
  <c r="R9" i="13"/>
  <c r="S3" i="13" s="1"/>
  <c r="J9" i="13"/>
  <c r="K3" i="13" s="1"/>
  <c r="P9" i="13"/>
  <c r="Q3" i="13" s="1"/>
  <c r="T9" i="13"/>
  <c r="U3" i="13" s="1"/>
  <c r="V9" i="13"/>
  <c r="W3" i="13" s="1"/>
  <c r="X9" i="13"/>
  <c r="Y3" i="13" s="1"/>
  <c r="X19" i="13" l="1"/>
  <c r="J2362" i="14" s="1" a="1"/>
  <c r="J2362" i="14" s="1"/>
  <c r="X34" i="13"/>
  <c r="J2377" i="14" s="1" a="1"/>
  <c r="J2377" i="14" s="1"/>
  <c r="X24" i="13"/>
  <c r="J2367" i="14" s="1" a="1"/>
  <c r="J2367" i="14" s="1"/>
  <c r="X29" i="13"/>
  <c r="J2372" i="14" s="1" a="1"/>
  <c r="J2372" i="14" s="1"/>
  <c r="E7" i="13"/>
  <c r="E5" i="13"/>
  <c r="E6" i="13"/>
  <c r="E4" i="13"/>
  <c r="O7" i="13"/>
  <c r="O6" i="13"/>
  <c r="O4" i="13"/>
  <c r="O5" i="13"/>
  <c r="I6" i="13"/>
  <c r="I4" i="13"/>
  <c r="I5" i="13"/>
  <c r="I7" i="13"/>
  <c r="G7" i="13"/>
  <c r="G5" i="13"/>
  <c r="G6" i="13"/>
  <c r="G4" i="13"/>
  <c r="M7" i="13"/>
  <c r="M5" i="13"/>
  <c r="M6" i="13"/>
  <c r="M4" i="13"/>
  <c r="S5" i="13"/>
  <c r="S6" i="13"/>
  <c r="S7" i="13"/>
  <c r="S4" i="13"/>
  <c r="K4" i="13"/>
  <c r="K7" i="13"/>
  <c r="K5" i="13"/>
  <c r="K6" i="13"/>
  <c r="Q7" i="13"/>
  <c r="Q4" i="13"/>
  <c r="Q6" i="13"/>
  <c r="Q5" i="13"/>
  <c r="U4" i="13"/>
  <c r="U7" i="13"/>
  <c r="U5" i="13"/>
  <c r="U6" i="13"/>
  <c r="W7" i="13"/>
  <c r="W4" i="13"/>
  <c r="W6" i="13"/>
  <c r="W5" i="13"/>
  <c r="Y5" i="13"/>
  <c r="Y7" i="13"/>
  <c r="Y6" i="13"/>
  <c r="Y4" i="13"/>
  <c r="D29" i="13"/>
  <c r="J2172" i="14" s="1" a="1"/>
  <c r="J2172" i="14" s="1"/>
  <c r="D24" i="13"/>
  <c r="J2167" i="14" s="1" a="1"/>
  <c r="J2167" i="14" s="1"/>
  <c r="D34" i="13"/>
  <c r="J2177" i="14" s="1" a="1"/>
  <c r="J2177" i="14" s="1"/>
  <c r="D19" i="13"/>
  <c r="N34" i="13"/>
  <c r="J2277" i="14" s="1" a="1"/>
  <c r="J2277" i="14" s="1"/>
  <c r="N24" i="13"/>
  <c r="J2267" i="14" s="1" a="1"/>
  <c r="J2267" i="14" s="1"/>
  <c r="N29" i="13"/>
  <c r="J2272" i="14" s="1" a="1"/>
  <c r="J2272" i="14" s="1"/>
  <c r="N19" i="13"/>
  <c r="H24" i="13"/>
  <c r="J2207" i="14" s="1" a="1"/>
  <c r="J2207" i="14" s="1"/>
  <c r="H29" i="13"/>
  <c r="J2212" i="14" s="1" a="1"/>
  <c r="J2212" i="14" s="1"/>
  <c r="H34" i="13"/>
  <c r="J2217" i="14" s="1" a="1"/>
  <c r="J2217" i="14" s="1"/>
  <c r="H19" i="13"/>
  <c r="F24" i="13"/>
  <c r="J2187" i="14" s="1" a="1"/>
  <c r="J2187" i="14" s="1"/>
  <c r="F29" i="13"/>
  <c r="J2192" i="14" s="1" a="1"/>
  <c r="J2192" i="14" s="1"/>
  <c r="F34" i="13"/>
  <c r="J2197" i="14" s="1" a="1"/>
  <c r="J2197" i="14" s="1"/>
  <c r="F19" i="13"/>
  <c r="L34" i="13"/>
  <c r="J2257" i="14" s="1" a="1"/>
  <c r="J2257" i="14" s="1"/>
  <c r="L24" i="13"/>
  <c r="J2247" i="14" s="1" a="1"/>
  <c r="J2247" i="14" s="1"/>
  <c r="L29" i="13"/>
  <c r="J2252" i="14" s="1" a="1"/>
  <c r="J2252" i="14" s="1"/>
  <c r="L19" i="13"/>
  <c r="R34" i="13"/>
  <c r="J2317" i="14" s="1" a="1"/>
  <c r="J2317" i="14" s="1"/>
  <c r="R24" i="13"/>
  <c r="J2307" i="14" s="1" a="1"/>
  <c r="J2307" i="14" s="1"/>
  <c r="R29" i="13"/>
  <c r="J2312" i="14" s="1" a="1"/>
  <c r="J2312" i="14" s="1"/>
  <c r="R19" i="13"/>
  <c r="J24" i="13"/>
  <c r="J2227" i="14" s="1" a="1"/>
  <c r="J2227" i="14" s="1"/>
  <c r="J29" i="13"/>
  <c r="J2232" i="14" s="1" a="1"/>
  <c r="J2232" i="14" s="1"/>
  <c r="J34" i="13"/>
  <c r="J2237" i="14" s="1" a="1"/>
  <c r="J2237" i="14" s="1"/>
  <c r="J19" i="13"/>
  <c r="P34" i="13"/>
  <c r="J2297" i="14" s="1" a="1"/>
  <c r="J2297" i="14" s="1"/>
  <c r="P24" i="13"/>
  <c r="J2287" i="14" s="1" a="1"/>
  <c r="J2287" i="14" s="1"/>
  <c r="P29" i="13"/>
  <c r="J2292" i="14" s="1" a="1"/>
  <c r="J2292" i="14" s="1"/>
  <c r="P19" i="13"/>
  <c r="T29" i="13"/>
  <c r="J2332" i="14" s="1" a="1"/>
  <c r="J2332" i="14" s="1"/>
  <c r="T24" i="13"/>
  <c r="J2327" i="14" s="1" a="1"/>
  <c r="J2327" i="14" s="1"/>
  <c r="T34" i="13"/>
  <c r="J2337" i="14" s="1" a="1"/>
  <c r="J2337" i="14" s="1"/>
  <c r="T19" i="13"/>
  <c r="V29" i="13"/>
  <c r="J2352" i="14" s="1" a="1"/>
  <c r="J2352" i="14" s="1"/>
  <c r="V24" i="13"/>
  <c r="J2347" i="14" s="1" a="1"/>
  <c r="J2347" i="14" s="1"/>
  <c r="V34" i="13"/>
  <c r="J2357" i="14" s="1" a="1"/>
  <c r="J2357" i="14" s="1"/>
  <c r="V19" i="13"/>
  <c r="D38" i="13" l="1"/>
  <c r="J2181" i="14" s="1" a="1"/>
  <c r="J2181" i="14" s="1"/>
  <c r="D33" i="13"/>
  <c r="J2176" i="14" s="1" a="1"/>
  <c r="J2176" i="14" s="1"/>
  <c r="D28" i="13"/>
  <c r="J2171" i="14" s="1" a="1"/>
  <c r="J2171" i="14" s="1"/>
  <c r="D23" i="13"/>
  <c r="J2166" i="14" s="1" a="1"/>
  <c r="J2166" i="14" s="1"/>
  <c r="D36" i="13"/>
  <c r="J2179" i="14" s="1" a="1"/>
  <c r="J2179" i="14" s="1"/>
  <c r="D31" i="13"/>
  <c r="J2174" i="14" s="1" a="1"/>
  <c r="J2174" i="14" s="1"/>
  <c r="D26" i="13"/>
  <c r="J2169" i="14" s="1" a="1"/>
  <c r="J2169" i="14" s="1"/>
  <c r="D21" i="13"/>
  <c r="J2164" i="14" s="1" a="1"/>
  <c r="J2164" i="14" s="1"/>
  <c r="D37" i="13"/>
  <c r="J2180" i="14" s="1" a="1"/>
  <c r="J2180" i="14" s="1"/>
  <c r="D32" i="13"/>
  <c r="J2175" i="14" s="1" a="1"/>
  <c r="J2175" i="14" s="1"/>
  <c r="D27" i="13"/>
  <c r="J2170" i="14" s="1" a="1"/>
  <c r="J2170" i="14" s="1"/>
  <c r="D22" i="13"/>
  <c r="J2165" i="14" s="1" a="1"/>
  <c r="J2165" i="14" s="1"/>
  <c r="D35" i="13"/>
  <c r="J2178" i="14" s="1" a="1"/>
  <c r="J2178" i="14" s="1"/>
  <c r="D30" i="13"/>
  <c r="J2173" i="14" s="1" a="1"/>
  <c r="J2173" i="14" s="1"/>
  <c r="D25" i="13"/>
  <c r="J2168" i="14" s="1" a="1"/>
  <c r="J2168" i="14" s="1"/>
  <c r="D20" i="13"/>
  <c r="N28" i="13"/>
  <c r="J2271" i="14" s="1" a="1"/>
  <c r="J2271" i="14" s="1"/>
  <c r="N33" i="13"/>
  <c r="J2276" i="14" s="1" a="1"/>
  <c r="J2276" i="14" s="1"/>
  <c r="N38" i="13"/>
  <c r="J2281" i="14" s="1" a="1"/>
  <c r="J2281" i="14" s="1"/>
  <c r="N23" i="13"/>
  <c r="J2266" i="14" s="1" a="1"/>
  <c r="J2266" i="14" s="1"/>
  <c r="J2431" i="14" s="1"/>
  <c r="N27" i="13"/>
  <c r="J2270" i="14" s="1" a="1"/>
  <c r="J2270" i="14" s="1"/>
  <c r="N32" i="13"/>
  <c r="J2275" i="14" s="1" a="1"/>
  <c r="J2275" i="14" s="1"/>
  <c r="N37" i="13"/>
  <c r="J2280" i="14" s="1" a="1"/>
  <c r="J2280" i="14" s="1"/>
  <c r="N22" i="13"/>
  <c r="J2265" i="14" s="1" a="1"/>
  <c r="J2265" i="14" s="1"/>
  <c r="N25" i="13"/>
  <c r="J2268" i="14" s="1" a="1"/>
  <c r="J2268" i="14" s="1"/>
  <c r="N30" i="13"/>
  <c r="J2273" i="14" s="1" a="1"/>
  <c r="J2273" i="14" s="1"/>
  <c r="N35" i="13"/>
  <c r="J2278" i="14" s="1" a="1"/>
  <c r="J2278" i="14" s="1"/>
  <c r="N20" i="13"/>
  <c r="J2263" i="14" s="1" a="1"/>
  <c r="J2263" i="14" s="1"/>
  <c r="N26" i="13"/>
  <c r="J2269" i="14" s="1" a="1"/>
  <c r="J2269" i="14" s="1"/>
  <c r="N31" i="13"/>
  <c r="J2274" i="14" s="1" a="1"/>
  <c r="J2274" i="14" s="1"/>
  <c r="N36" i="13"/>
  <c r="J2279" i="14" s="1" a="1"/>
  <c r="J2279" i="14" s="1"/>
  <c r="N21" i="13"/>
  <c r="H32" i="13"/>
  <c r="J2215" i="14" s="1" a="1"/>
  <c r="J2215" i="14" s="1"/>
  <c r="H37" i="13"/>
  <c r="J2220" i="14" s="1" a="1"/>
  <c r="J2220" i="14" s="1"/>
  <c r="H27" i="13"/>
  <c r="J2210" i="14" s="1" a="1"/>
  <c r="J2210" i="14" s="1"/>
  <c r="H22" i="13"/>
  <c r="J2205" i="14" s="1" a="1"/>
  <c r="J2205" i="14" s="1"/>
  <c r="J2415" i="14" s="1"/>
  <c r="H30" i="13"/>
  <c r="J2213" i="14" s="1" a="1"/>
  <c r="J2213" i="14" s="1"/>
  <c r="H35" i="13"/>
  <c r="J2218" i="14" s="1" a="1"/>
  <c r="J2218" i="14" s="1"/>
  <c r="H25" i="13"/>
  <c r="J2208" i="14" s="1" a="1"/>
  <c r="J2208" i="14" s="1"/>
  <c r="H20" i="13"/>
  <c r="H31" i="13"/>
  <c r="J2214" i="14" s="1" a="1"/>
  <c r="J2214" i="14" s="1"/>
  <c r="H36" i="13"/>
  <c r="J2219" i="14" s="1" a="1"/>
  <c r="J2219" i="14" s="1"/>
  <c r="H26" i="13"/>
  <c r="J2209" i="14" s="1" a="1"/>
  <c r="J2209" i="14" s="1"/>
  <c r="H21" i="13"/>
  <c r="J2204" i="14" s="1" a="1"/>
  <c r="J2204" i="14" s="1"/>
  <c r="H28" i="13"/>
  <c r="J2211" i="14" s="1" a="1"/>
  <c r="J2211" i="14" s="1"/>
  <c r="H33" i="13"/>
  <c r="J2216" i="14" s="1" a="1"/>
  <c r="J2216" i="14" s="1"/>
  <c r="H38" i="13"/>
  <c r="J2221" i="14" s="1" a="1"/>
  <c r="J2221" i="14" s="1"/>
  <c r="H23" i="13"/>
  <c r="J2206" i="14" s="1" a="1"/>
  <c r="J2206" i="14" s="1"/>
  <c r="F28" i="13"/>
  <c r="J2191" i="14" s="1" a="1"/>
  <c r="J2191" i="14" s="1"/>
  <c r="F33" i="13"/>
  <c r="J2196" i="14" s="1" a="1"/>
  <c r="J2196" i="14" s="1"/>
  <c r="F38" i="13"/>
  <c r="J2201" i="14" s="1" a="1"/>
  <c r="J2201" i="14" s="1"/>
  <c r="F23" i="13"/>
  <c r="J2186" i="14" s="1" a="1"/>
  <c r="J2186" i="14" s="1"/>
  <c r="J2411" i="14" s="1"/>
  <c r="F26" i="13"/>
  <c r="J2189" i="14" s="1" a="1"/>
  <c r="J2189" i="14" s="1"/>
  <c r="F31" i="13"/>
  <c r="J2194" i="14" s="1" a="1"/>
  <c r="J2194" i="14" s="1"/>
  <c r="F36" i="13"/>
  <c r="J2199" i="14" s="1" a="1"/>
  <c r="J2199" i="14" s="1"/>
  <c r="F21" i="13"/>
  <c r="J2184" i="14" s="1" a="1"/>
  <c r="J2184" i="14" s="1"/>
  <c r="J2409" i="14" s="1"/>
  <c r="F27" i="13"/>
  <c r="J2190" i="14" s="1" a="1"/>
  <c r="J2190" i="14" s="1"/>
  <c r="F32" i="13"/>
  <c r="J2195" i="14" s="1" a="1"/>
  <c r="J2195" i="14" s="1"/>
  <c r="F37" i="13"/>
  <c r="J2200" i="14" s="1" a="1"/>
  <c r="J2200" i="14" s="1"/>
  <c r="F22" i="13"/>
  <c r="J2185" i="14" s="1" a="1"/>
  <c r="J2185" i="14" s="1"/>
  <c r="F25" i="13"/>
  <c r="J2188" i="14" s="1" a="1"/>
  <c r="J2188" i="14" s="1"/>
  <c r="F30" i="13"/>
  <c r="J2193" i="14" s="1" a="1"/>
  <c r="J2193" i="14" s="1"/>
  <c r="F35" i="13"/>
  <c r="J2198" i="14" s="1" a="1"/>
  <c r="J2198" i="14" s="1"/>
  <c r="F20" i="13"/>
  <c r="L38" i="13"/>
  <c r="J2261" i="14" s="1" a="1"/>
  <c r="J2261" i="14" s="1"/>
  <c r="L28" i="13"/>
  <c r="J2251" i="14" s="1" a="1"/>
  <c r="J2251" i="14" s="1"/>
  <c r="L33" i="13"/>
  <c r="J2256" i="14" s="1" a="1"/>
  <c r="J2256" i="14" s="1"/>
  <c r="L23" i="13"/>
  <c r="J2246" i="14" s="1" a="1"/>
  <c r="J2246" i="14" s="1"/>
  <c r="L36" i="13"/>
  <c r="J2259" i="14" s="1" a="1"/>
  <c r="J2259" i="14" s="1"/>
  <c r="L26" i="13"/>
  <c r="J2249" i="14" s="1" a="1"/>
  <c r="J2249" i="14" s="1"/>
  <c r="L31" i="13"/>
  <c r="J2254" i="14" s="1" a="1"/>
  <c r="J2254" i="14" s="1"/>
  <c r="L21" i="13"/>
  <c r="J2244" i="14" s="1" a="1"/>
  <c r="J2244" i="14" s="1"/>
  <c r="L37" i="13"/>
  <c r="J2260" i="14" s="1" a="1"/>
  <c r="J2260" i="14" s="1"/>
  <c r="L27" i="13"/>
  <c r="J2250" i="14" s="1" a="1"/>
  <c r="J2250" i="14" s="1"/>
  <c r="L32" i="13"/>
  <c r="J2255" i="14" s="1" a="1"/>
  <c r="J2255" i="14" s="1"/>
  <c r="L22" i="13"/>
  <c r="J2245" i="14" s="1" a="1"/>
  <c r="J2245" i="14" s="1"/>
  <c r="L35" i="13"/>
  <c r="J2258" i="14" s="1" a="1"/>
  <c r="J2258" i="14" s="1"/>
  <c r="L25" i="13"/>
  <c r="J2248" i="14" s="1" a="1"/>
  <c r="J2248" i="14" s="1"/>
  <c r="L30" i="13"/>
  <c r="J2253" i="14" s="1" a="1"/>
  <c r="J2253" i="14" s="1"/>
  <c r="L20" i="13"/>
  <c r="R36" i="13"/>
  <c r="J2319" i="14" s="1" a="1"/>
  <c r="J2319" i="14" s="1"/>
  <c r="R26" i="13"/>
  <c r="J2309" i="14" s="1" a="1"/>
  <c r="J2309" i="14" s="1"/>
  <c r="R31" i="13"/>
  <c r="J2314" i="14" s="1" a="1"/>
  <c r="J2314" i="14" s="1"/>
  <c r="R21" i="13"/>
  <c r="R32" i="13"/>
  <c r="J2315" i="14" s="1" a="1"/>
  <c r="J2315" i="14" s="1"/>
  <c r="R37" i="13"/>
  <c r="J2320" i="14" s="1" a="1"/>
  <c r="J2320" i="14" s="1"/>
  <c r="R27" i="13"/>
  <c r="J2310" i="14" s="1" a="1"/>
  <c r="J2310" i="14" s="1"/>
  <c r="R22" i="13"/>
  <c r="J2305" i="14" s="1" a="1"/>
  <c r="J2305" i="14" s="1"/>
  <c r="J2440" i="14" s="1"/>
  <c r="R33" i="13"/>
  <c r="J2316" i="14" s="1" a="1"/>
  <c r="J2316" i="14" s="1"/>
  <c r="R28" i="13"/>
  <c r="J2311" i="14" s="1" a="1"/>
  <c r="J2311" i="14" s="1"/>
  <c r="R38" i="13"/>
  <c r="J2321" i="14" s="1" a="1"/>
  <c r="J2321" i="14" s="1"/>
  <c r="R23" i="13"/>
  <c r="J2306" i="14" s="1" a="1"/>
  <c r="J2306" i="14" s="1"/>
  <c r="J2441" i="14" s="1"/>
  <c r="R35" i="13"/>
  <c r="J2318" i="14" s="1" a="1"/>
  <c r="J2318" i="14" s="1"/>
  <c r="R30" i="13"/>
  <c r="J2313" i="14" s="1" a="1"/>
  <c r="J2313" i="14" s="1"/>
  <c r="R25" i="13"/>
  <c r="J2308" i="14" s="1" a="1"/>
  <c r="J2308" i="14" s="1"/>
  <c r="R20" i="13"/>
  <c r="J2303" i="14" s="1" a="1"/>
  <c r="J2303" i="14" s="1"/>
  <c r="J25" i="13"/>
  <c r="J2228" i="14" s="1" a="1"/>
  <c r="J2228" i="14" s="1"/>
  <c r="J30" i="13"/>
  <c r="J2233" i="14" s="1" a="1"/>
  <c r="J2233" i="14" s="1"/>
  <c r="J35" i="13"/>
  <c r="J2238" i="14" s="1" a="1"/>
  <c r="J2238" i="14" s="1"/>
  <c r="J20" i="13"/>
  <c r="J2223" i="14" s="1" a="1"/>
  <c r="J2223" i="14" s="1"/>
  <c r="J2418" i="14" s="1"/>
  <c r="J28" i="13"/>
  <c r="J2231" i="14" s="1" a="1"/>
  <c r="J2231" i="14" s="1"/>
  <c r="J33" i="13"/>
  <c r="J2236" i="14" s="1" a="1"/>
  <c r="J2236" i="14" s="1"/>
  <c r="J38" i="13"/>
  <c r="J2241" i="14" s="1" a="1"/>
  <c r="J2241" i="14" s="1"/>
  <c r="J23" i="13"/>
  <c r="J2226" i="14" s="1" a="1"/>
  <c r="J2226" i="14" s="1"/>
  <c r="J2421" i="14" s="1"/>
  <c r="J26" i="13"/>
  <c r="J2229" i="14" s="1" a="1"/>
  <c r="J2229" i="14" s="1"/>
  <c r="J31" i="13"/>
  <c r="J2234" i="14" s="1" a="1"/>
  <c r="J2234" i="14" s="1"/>
  <c r="J36" i="13"/>
  <c r="J2239" i="14" s="1" a="1"/>
  <c r="J2239" i="14" s="1"/>
  <c r="J21" i="13"/>
  <c r="J27" i="13"/>
  <c r="J2230" i="14" s="1" a="1"/>
  <c r="J2230" i="14" s="1"/>
  <c r="J32" i="13"/>
  <c r="J2235" i="14" s="1" a="1"/>
  <c r="J2235" i="14" s="1"/>
  <c r="J37" i="13"/>
  <c r="J2240" i="14" s="1" a="1"/>
  <c r="J2240" i="14" s="1"/>
  <c r="J22" i="13"/>
  <c r="J2225" i="14" s="1" a="1"/>
  <c r="J2225" i="14" s="1"/>
  <c r="P28" i="13"/>
  <c r="J2291" i="14" s="1" a="1"/>
  <c r="J2291" i="14" s="1"/>
  <c r="P33" i="13"/>
  <c r="J2296" i="14" s="1" a="1"/>
  <c r="J2296" i="14" s="1"/>
  <c r="P38" i="13"/>
  <c r="J2301" i="14" s="1" a="1"/>
  <c r="J2301" i="14" s="1"/>
  <c r="P23" i="13"/>
  <c r="P25" i="13"/>
  <c r="J2288" i="14" s="1" a="1"/>
  <c r="J2288" i="14" s="1"/>
  <c r="P30" i="13"/>
  <c r="J2293" i="14" s="1" a="1"/>
  <c r="J2293" i="14" s="1"/>
  <c r="P35" i="13"/>
  <c r="J2298" i="14" s="1" a="1"/>
  <c r="J2298" i="14" s="1"/>
  <c r="P20" i="13"/>
  <c r="J2283" i="14" s="1" a="1"/>
  <c r="J2283" i="14" s="1"/>
  <c r="P27" i="13"/>
  <c r="J2290" i="14" s="1" a="1"/>
  <c r="J2290" i="14" s="1"/>
  <c r="P32" i="13"/>
  <c r="J2295" i="14" s="1" a="1"/>
  <c r="J2295" i="14" s="1"/>
  <c r="P37" i="13"/>
  <c r="J2300" i="14" s="1" a="1"/>
  <c r="J2300" i="14" s="1"/>
  <c r="P22" i="13"/>
  <c r="J2285" i="14" s="1" a="1"/>
  <c r="J2285" i="14" s="1"/>
  <c r="J2435" i="14" s="1"/>
  <c r="P26" i="13"/>
  <c r="J2289" i="14" s="1" a="1"/>
  <c r="J2289" i="14" s="1"/>
  <c r="P31" i="13"/>
  <c r="J2294" i="14" s="1" a="1"/>
  <c r="J2294" i="14" s="1"/>
  <c r="P36" i="13"/>
  <c r="J2299" i="14" s="1" a="1"/>
  <c r="J2299" i="14" s="1"/>
  <c r="P21" i="13"/>
  <c r="J2284" i="14" s="1" a="1"/>
  <c r="J2284" i="14" s="1"/>
  <c r="T25" i="13"/>
  <c r="J2328" i="14" s="1" a="1"/>
  <c r="J2328" i="14" s="1"/>
  <c r="T35" i="13"/>
  <c r="J2338" i="14" s="1" a="1"/>
  <c r="J2338" i="14" s="1"/>
  <c r="T30" i="13"/>
  <c r="J2333" i="14" s="1" a="1"/>
  <c r="J2333" i="14" s="1"/>
  <c r="T20" i="13"/>
  <c r="T28" i="13"/>
  <c r="J2331" i="14" s="1" a="1"/>
  <c r="J2331" i="14" s="1"/>
  <c r="T38" i="13"/>
  <c r="J2341" i="14" s="1" a="1"/>
  <c r="J2341" i="14" s="1"/>
  <c r="T33" i="13"/>
  <c r="J2336" i="14" s="1" a="1"/>
  <c r="J2336" i="14" s="1"/>
  <c r="T23" i="13"/>
  <c r="J2326" i="14" s="1" a="1"/>
  <c r="J2326" i="14" s="1"/>
  <c r="T26" i="13"/>
  <c r="J2329" i="14" s="1" a="1"/>
  <c r="J2329" i="14" s="1"/>
  <c r="T36" i="13"/>
  <c r="J2339" i="14" s="1" a="1"/>
  <c r="J2339" i="14" s="1"/>
  <c r="T31" i="13"/>
  <c r="J2334" i="14" s="1" a="1"/>
  <c r="J2334" i="14" s="1"/>
  <c r="T21" i="13"/>
  <c r="J2324" i="14" s="1" a="1"/>
  <c r="J2324" i="14" s="1"/>
  <c r="T27" i="13"/>
  <c r="J2330" i="14" s="1" a="1"/>
  <c r="J2330" i="14" s="1"/>
  <c r="T37" i="13"/>
  <c r="J2340" i="14" s="1" a="1"/>
  <c r="J2340" i="14" s="1"/>
  <c r="T32" i="13"/>
  <c r="J2335" i="14" s="1" a="1"/>
  <c r="J2335" i="14" s="1"/>
  <c r="T22" i="13"/>
  <c r="J2325" i="14" s="1" a="1"/>
  <c r="J2325" i="14" s="1"/>
  <c r="J2445" i="14" s="1"/>
  <c r="V33" i="13"/>
  <c r="J2356" i="14" s="1" a="1"/>
  <c r="J2356" i="14" s="1"/>
  <c r="V38" i="13"/>
  <c r="J2361" i="14" s="1" a="1"/>
  <c r="J2361" i="14" s="1"/>
  <c r="V28" i="13"/>
  <c r="J2351" i="14" s="1" a="1"/>
  <c r="J2351" i="14" s="1"/>
  <c r="V23" i="13"/>
  <c r="J2346" i="14" s="1" a="1"/>
  <c r="J2346" i="14" s="1"/>
  <c r="J2451" i="14" s="1"/>
  <c r="V30" i="13"/>
  <c r="J2353" i="14" s="1" a="1"/>
  <c r="J2353" i="14" s="1"/>
  <c r="V35" i="13"/>
  <c r="J2358" i="14" s="1" a="1"/>
  <c r="J2358" i="14" s="1"/>
  <c r="V25" i="13"/>
  <c r="J2348" i="14" s="1" a="1"/>
  <c r="J2348" i="14" s="1"/>
  <c r="V20" i="13"/>
  <c r="V32" i="13"/>
  <c r="J2355" i="14" s="1" a="1"/>
  <c r="J2355" i="14" s="1"/>
  <c r="V37" i="13"/>
  <c r="J2360" i="14" s="1" a="1"/>
  <c r="J2360" i="14" s="1"/>
  <c r="V27" i="13"/>
  <c r="J2350" i="14" s="1" a="1"/>
  <c r="J2350" i="14" s="1"/>
  <c r="V22" i="13"/>
  <c r="J2345" i="14" s="1" a="1"/>
  <c r="J2345" i="14" s="1"/>
  <c r="J2450" i="14" s="1"/>
  <c r="V31" i="13"/>
  <c r="J2354" i="14" s="1" a="1"/>
  <c r="J2354" i="14" s="1"/>
  <c r="V36" i="13"/>
  <c r="J2359" i="14" s="1" a="1"/>
  <c r="J2359" i="14" s="1"/>
  <c r="V26" i="13"/>
  <c r="J2349" i="14" s="1" a="1"/>
  <c r="J2349" i="14" s="1"/>
  <c r="V21" i="13"/>
  <c r="J2344" i="14" s="1" a="1"/>
  <c r="J2344" i="14" s="1"/>
  <c r="J2449" i="14" s="1"/>
  <c r="X26" i="13"/>
  <c r="J2369" i="14" s="1" a="1"/>
  <c r="J2369" i="14" s="1"/>
  <c r="X36" i="13"/>
  <c r="J2379" i="14" s="1" a="1"/>
  <c r="J2379" i="14" s="1"/>
  <c r="X31" i="13"/>
  <c r="J2374" i="14" s="1" a="1"/>
  <c r="J2374" i="14" s="1"/>
  <c r="X21" i="13"/>
  <c r="J2364" i="14" s="1" a="1"/>
  <c r="J2364" i="14" s="1"/>
  <c r="X38" i="13"/>
  <c r="J2381" i="14" s="1" a="1"/>
  <c r="J2381" i="14" s="1"/>
  <c r="X33" i="13"/>
  <c r="J2376" i="14" s="1" a="1"/>
  <c r="J2376" i="14" s="1"/>
  <c r="X28" i="13"/>
  <c r="J2371" i="14" s="1" a="1"/>
  <c r="J2371" i="14" s="1"/>
  <c r="X23" i="13"/>
  <c r="J2366" i="14" s="1" a="1"/>
  <c r="J2366" i="14" s="1"/>
  <c r="X37" i="13"/>
  <c r="J2380" i="14" s="1" a="1"/>
  <c r="J2380" i="14" s="1"/>
  <c r="X32" i="13"/>
  <c r="J2375" i="14" s="1" a="1"/>
  <c r="J2375" i="14" s="1"/>
  <c r="X27" i="13"/>
  <c r="J2370" i="14" s="1" a="1"/>
  <c r="J2370" i="14" s="1"/>
  <c r="X22" i="13"/>
  <c r="J2365" i="14" s="1" a="1"/>
  <c r="J2365" i="14" s="1"/>
  <c r="J2455" i="14" s="1"/>
  <c r="X30" i="13"/>
  <c r="J2373" i="14" s="1" a="1"/>
  <c r="J2373" i="14" s="1"/>
  <c r="X25" i="13"/>
  <c r="J2368" i="14" s="1" a="1"/>
  <c r="J2368" i="14" s="1"/>
  <c r="X35" i="13"/>
  <c r="J2378" i="14" s="1" a="1"/>
  <c r="J2378" i="14" s="1"/>
  <c r="X20" i="13"/>
  <c r="J2452" i="14"/>
  <c r="J2162" i="14" a="1"/>
  <c r="J2162" i="14" s="1"/>
  <c r="J2262" i="14" a="1"/>
  <c r="J2262" i="14" s="1"/>
  <c r="J2202" i="14" a="1"/>
  <c r="J2202" i="14" s="1"/>
  <c r="J2182" i="14" a="1"/>
  <c r="J2182" i="14" s="1"/>
  <c r="J2242" i="14" a="1"/>
  <c r="J2242" i="14" s="1"/>
  <c r="J2302" i="14" a="1"/>
  <c r="J2302" i="14" s="1"/>
  <c r="J2222" i="14" a="1"/>
  <c r="J2222" i="14" s="1"/>
  <c r="J2282" i="14" a="1"/>
  <c r="J2282" i="14" s="1"/>
  <c r="J2322" i="14" a="1"/>
  <c r="J2322" i="14" s="1"/>
  <c r="J2342" i="14" a="1"/>
  <c r="J2342" i="14" s="1"/>
  <c r="J2428" i="14" l="1"/>
  <c r="J2425" i="14"/>
  <c r="J2456" i="14"/>
  <c r="J2434" i="14"/>
  <c r="J2420" i="14"/>
  <c r="J2406" i="14"/>
  <c r="J2404" i="14"/>
  <c r="J2405" i="14"/>
  <c r="J2414" i="14"/>
  <c r="J2446" i="14"/>
  <c r="J2426" i="14"/>
  <c r="J2410" i="14"/>
  <c r="J2430" i="14"/>
  <c r="J2433" i="14"/>
  <c r="J2444" i="14"/>
  <c r="J2224" i="14" a="1"/>
  <c r="J2224" i="14" s="1"/>
  <c r="J40" i="13"/>
  <c r="J2286" i="14" a="1"/>
  <c r="J2286" i="14" s="1"/>
  <c r="P40" i="13"/>
  <c r="J2323" i="14" a="1"/>
  <c r="J2323" i="14" s="1"/>
  <c r="T40" i="13"/>
  <c r="J2343" i="14" a="1"/>
  <c r="J2343" i="14" s="1"/>
  <c r="V40" i="13"/>
  <c r="X40" i="13"/>
  <c r="J2363" i="14" a="1"/>
  <c r="J2363" i="14" s="1"/>
  <c r="J2402" i="14"/>
  <c r="J2427" i="14"/>
  <c r="J2412" i="14"/>
  <c r="J2407" i="14"/>
  <c r="J2422" i="14"/>
  <c r="J2437" i="14"/>
  <c r="J2417" i="14"/>
  <c r="J2432" i="14"/>
  <c r="J2442" i="14"/>
  <c r="J2447" i="14"/>
  <c r="J2416" i="14"/>
  <c r="J2424" i="14"/>
  <c r="J2438" i="14"/>
  <c r="J2454" i="14"/>
  <c r="J2163" i="14" a="1"/>
  <c r="J2163" i="14" s="1"/>
  <c r="D40" i="13"/>
  <c r="J2264" i="14" a="1"/>
  <c r="J2264" i="14" s="1"/>
  <c r="N40" i="13"/>
  <c r="J2203" i="14" a="1"/>
  <c r="J2203" i="14" s="1"/>
  <c r="H40" i="13"/>
  <c r="J2183" i="14" a="1"/>
  <c r="J2183" i="14" s="1"/>
  <c r="F40" i="13"/>
  <c r="J2243" i="14" a="1"/>
  <c r="J2243" i="14" s="1"/>
  <c r="J2423" i="14" s="1"/>
  <c r="L40" i="13"/>
  <c r="J2304" i="14" a="1"/>
  <c r="J2304" i="14" s="1"/>
  <c r="J2439" i="14" s="1"/>
  <c r="R40" i="13"/>
  <c r="M40" i="11" l="1"/>
  <c r="M43" i="11" s="1"/>
  <c r="M45" i="11" s="1"/>
  <c r="S49" i="10"/>
  <c r="S52" i="10" s="1"/>
  <c r="S54" i="10" s="1"/>
  <c r="S40" i="11"/>
  <c r="S43" i="11" s="1"/>
  <c r="S45" i="11" s="1"/>
  <c r="J2443" i="14"/>
  <c r="J2429" i="14"/>
  <c r="J2436" i="14"/>
  <c r="Q49" i="10" s="1"/>
  <c r="Q52" i="10" s="1"/>
  <c r="Q54" i="10" s="1"/>
  <c r="Q40" i="11"/>
  <c r="Q43" i="11" s="1"/>
  <c r="Q45" i="11" s="1"/>
  <c r="J2419" i="14"/>
  <c r="J2413" i="14"/>
  <c r="J2448" i="14"/>
  <c r="J2408" i="14"/>
  <c r="G49" i="10" s="1"/>
  <c r="G52" i="10" s="1"/>
  <c r="G54" i="10" s="1"/>
  <c r="G40" i="11"/>
  <c r="G43" i="11" s="1"/>
  <c r="G45" i="11" s="1"/>
  <c r="J2403" i="14"/>
  <c r="J2453" i="14"/>
  <c r="M49" i="10"/>
  <c r="M52" i="10" s="1"/>
  <c r="M54" i="10" s="1"/>
  <c r="K49" i="10" l="1"/>
  <c r="K52" i="10" s="1"/>
  <c r="K54" i="10" s="1"/>
  <c r="K40" i="11"/>
  <c r="K43" i="11" s="1"/>
  <c r="K45" i="11" s="1"/>
  <c r="O49" i="10"/>
  <c r="O52" i="10" s="1"/>
  <c r="O54" i="10" s="1"/>
  <c r="O40" i="11"/>
  <c r="O43" i="11" s="1"/>
  <c r="O45" i="11" s="1"/>
  <c r="W49" i="10"/>
  <c r="W52" i="10" s="1"/>
  <c r="W54" i="10" s="1"/>
  <c r="W40" i="11"/>
  <c r="W43" i="11" s="1"/>
  <c r="W45" i="11" s="1"/>
  <c r="Y49" i="10"/>
  <c r="Y52" i="10" s="1"/>
  <c r="Y54" i="10" s="1"/>
  <c r="Y40" i="11"/>
  <c r="Y43" i="11" s="1"/>
  <c r="Y45" i="11" s="1"/>
  <c r="U49" i="10"/>
  <c r="U52" i="10" s="1"/>
  <c r="U54" i="10" s="1"/>
  <c r="U40" i="11"/>
  <c r="U43" i="11" s="1"/>
  <c r="U45" i="11" s="1"/>
  <c r="I49" i="10"/>
  <c r="I52" i="10" s="1"/>
  <c r="I54" i="10" s="1"/>
  <c r="I40" i="11"/>
  <c r="I43" i="11" s="1"/>
  <c r="I45" i="11" s="1"/>
  <c r="E49" i="10"/>
  <c r="E52" i="10" s="1"/>
  <c r="E54" i="10" s="1"/>
  <c r="E40" i="11"/>
  <c r="E43" i="11" s="1"/>
  <c r="E45" i="11" s="1"/>
  <c r="Z3" i="13" l="1"/>
  <c r="Z4" i="13"/>
  <c r="Z5" i="13"/>
  <c r="Z7" i="13"/>
  <c r="Z6" i="13"/>
  <c r="Z13" i="13"/>
  <c r="Z15" i="13"/>
  <c r="Z9" i="13" l="1"/>
  <c r="AA3" i="13" s="1"/>
  <c r="Z17" i="13"/>
  <c r="Z24" i="13" l="1"/>
  <c r="J2387" i="14" s="1" a="1"/>
  <c r="J2387" i="14" s="1"/>
  <c r="Z34" i="13"/>
  <c r="J2397" i="14" s="1" a="1"/>
  <c r="J2397" i="14" s="1"/>
  <c r="AA4" i="13"/>
  <c r="AA6" i="13"/>
  <c r="AA7" i="13"/>
  <c r="AA5" i="13"/>
  <c r="Z29" i="13"/>
  <c r="J2392" i="14" s="1" a="1"/>
  <c r="J2392" i="14" s="1"/>
  <c r="Z19" i="13"/>
  <c r="Z35" i="13" l="1"/>
  <c r="J2398" i="14" s="1" a="1"/>
  <c r="J2398" i="14" s="1"/>
  <c r="Z25" i="13"/>
  <c r="J2388" i="14" s="1" a="1"/>
  <c r="J2388" i="14" s="1"/>
  <c r="Z30" i="13"/>
  <c r="J2393" i="14" s="1" a="1"/>
  <c r="J2393" i="14" s="1"/>
  <c r="Z20" i="13"/>
  <c r="Z27" i="13"/>
  <c r="J2390" i="14" s="1" a="1"/>
  <c r="J2390" i="14" s="1"/>
  <c r="Z37" i="13"/>
  <c r="J2400" i="14" s="1" a="1"/>
  <c r="J2400" i="14" s="1"/>
  <c r="Z32" i="13"/>
  <c r="J2395" i="14" s="1" a="1"/>
  <c r="J2395" i="14" s="1"/>
  <c r="Z22" i="13"/>
  <c r="J2385" i="14" s="1" a="1"/>
  <c r="J2385" i="14" s="1"/>
  <c r="Z28" i="13"/>
  <c r="J2391" i="14" s="1" a="1"/>
  <c r="J2391" i="14" s="1"/>
  <c r="Z38" i="13"/>
  <c r="J2401" i="14" s="1" a="1"/>
  <c r="J2401" i="14" s="1"/>
  <c r="Z33" i="13"/>
  <c r="J2396" i="14" s="1" a="1"/>
  <c r="J2396" i="14" s="1"/>
  <c r="Z23" i="13"/>
  <c r="J2386" i="14" s="1" a="1"/>
  <c r="J2386" i="14" s="1"/>
  <c r="Z36" i="13"/>
  <c r="J2399" i="14" s="1" a="1"/>
  <c r="J2399" i="14" s="1"/>
  <c r="Z26" i="13"/>
  <c r="J2389" i="14" s="1" a="1"/>
  <c r="J2389" i="14" s="1"/>
  <c r="Z31" i="13"/>
  <c r="J2394" i="14" s="1" a="1"/>
  <c r="J2394" i="14" s="1"/>
  <c r="Z21" i="13"/>
  <c r="J2384" i="14" s="1" a="1"/>
  <c r="J2384" i="14" s="1"/>
  <c r="J2382" i="14" a="1"/>
  <c r="J2382" i="14" s="1"/>
  <c r="J2460" i="14" l="1"/>
  <c r="J2461" i="14"/>
  <c r="J2459" i="14"/>
  <c r="J2457" i="14"/>
  <c r="J2383" i="14" a="1"/>
  <c r="J2383" i="14" s="1"/>
  <c r="Z40" i="13"/>
  <c r="J2458" i="14" l="1"/>
  <c r="AA49" i="10" s="1"/>
  <c r="AA52" i="10" s="1"/>
  <c r="AA54" i="10" s="1"/>
  <c r="AA40" i="11"/>
  <c r="AA43" i="11" s="1"/>
  <c r="AA45" i="11" s="1"/>
  <c r="AD40" i="11" l="1"/>
  <c r="AD43" i="11" s="1"/>
  <c r="AD49" i="10"/>
  <c r="AD52" i="10" s="1"/>
  <c r="AE52" i="10" l="1"/>
  <c r="AE53" i="10" s="1"/>
  <c r="AD54" i="10"/>
  <c r="AE43" i="11"/>
  <c r="AE44" i="11" s="1"/>
  <c r="AD45" i="1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<sst xmlns="http://schemas.openxmlformats.org/spreadsheetml/2006/main" count="23304" uniqueCount="814">
  <si>
    <t>Personnel Allocation % by Cost Center and Month</t>
  </si>
  <si>
    <t>Basis: Total FTE per cost center / Total FTE for the organization, each month</t>
  </si>
  <si>
    <t>Cost Center</t>
  </si>
  <si>
    <t>CC Name</t>
  </si>
  <si>
    <t>1010</t>
  </si>
  <si>
    <t>Executive</t>
  </si>
  <si>
    <t>1030</t>
  </si>
  <si>
    <t>Human Resources</t>
  </si>
  <si>
    <t>1040</t>
  </si>
  <si>
    <t>Finance</t>
  </si>
  <si>
    <t>1050</t>
  </si>
  <si>
    <t>Business Development</t>
  </si>
  <si>
    <t>2010</t>
  </si>
  <si>
    <t>Latin America</t>
  </si>
  <si>
    <t>2020</t>
  </si>
  <si>
    <t>MENA</t>
  </si>
  <si>
    <t>2030</t>
  </si>
  <si>
    <t>Sub-Saharan Africa</t>
  </si>
  <si>
    <t>2040</t>
  </si>
  <si>
    <t>Europe</t>
  </si>
  <si>
    <t>2050</t>
  </si>
  <si>
    <t>SE Asia</t>
  </si>
  <si>
    <t>Total</t>
  </si>
  <si>
    <t>Usage: reference this table by Cost Center + Month to allocate 5000/5010/5020/5030 for that month, instead of a single fixed annual percentage.</t>
  </si>
  <si>
    <t>Sum of Total</t>
  </si>
  <si>
    <t>Date</t>
  </si>
  <si>
    <t>Account Number</t>
  </si>
  <si>
    <t>Account Name</t>
  </si>
  <si>
    <t>5000</t>
  </si>
  <si>
    <t>5010</t>
  </si>
  <si>
    <t>5020</t>
  </si>
  <si>
    <t>5030</t>
  </si>
  <si>
    <t>5200</t>
  </si>
  <si>
    <t>5210</t>
  </si>
  <si>
    <t>Variance Analysis: Department</t>
  </si>
  <si>
    <t>Variance Analysis: Program</t>
  </si>
  <si>
    <t>Same concept as the Variance by Department tab. This compares approved budgets from individual cost centers (eg, Executive, Finance). Keep in mind that Management and General, or M&amp;G, is not included with indirect costs.</t>
  </si>
  <si>
    <t>Account Type</t>
  </si>
  <si>
    <t>Cash Flow Category</t>
  </si>
  <si>
    <t>Normal Balance</t>
  </si>
  <si>
    <t>1000</t>
  </si>
  <si>
    <t>Cash - Operating</t>
  </si>
  <si>
    <t>Asset</t>
  </si>
  <si>
    <t>Cash</t>
  </si>
  <si>
    <t>Debit</t>
  </si>
  <si>
    <t>Cash - Payroll</t>
  </si>
  <si>
    <t>1020</t>
  </si>
  <si>
    <t>Cash - Money Market/Reserve</t>
  </si>
  <si>
    <t>1100</t>
  </si>
  <si>
    <t>Accounts Receivable - Trade</t>
  </si>
  <si>
    <t>Operating</t>
  </si>
  <si>
    <t>1110</t>
  </si>
  <si>
    <t>Grants Receivable</t>
  </si>
  <si>
    <t>1200</t>
  </si>
  <si>
    <t>Prepaid Expenses</t>
  </si>
  <si>
    <t>1300</t>
  </si>
  <si>
    <t>Property and Equipment</t>
  </si>
  <si>
    <t>Investing</t>
  </si>
  <si>
    <t>1310</t>
  </si>
  <si>
    <t>Accumulated Depreciation</t>
  </si>
  <si>
    <t>Credit</t>
  </si>
  <si>
    <t>1400</t>
  </si>
  <si>
    <t>Security Deposits</t>
  </si>
  <si>
    <t>2000</t>
  </si>
  <si>
    <t>Accounts Payable</t>
  </si>
  <si>
    <t>Liability</t>
  </si>
  <si>
    <t>Accrued Payroll</t>
  </si>
  <si>
    <t>Accrued Vacation/PTO</t>
  </si>
  <si>
    <t>2100</t>
  </si>
  <si>
    <t>Deferred Revenue</t>
  </si>
  <si>
    <t>2200</t>
  </si>
  <si>
    <t>Refundable Grant Advances</t>
  </si>
  <si>
    <t>2300</t>
  </si>
  <si>
    <t>Notes Payable - Current</t>
  </si>
  <si>
    <t>Financing</t>
  </si>
  <si>
    <t>2400</t>
  </si>
  <si>
    <t>Notes Payable - Long Term</t>
  </si>
  <si>
    <t>3000</t>
  </si>
  <si>
    <t>Net Assets - Unrestricted</t>
  </si>
  <si>
    <t>Equity</t>
  </si>
  <si>
    <t>N/A</t>
  </si>
  <si>
    <t>3100</t>
  </si>
  <si>
    <t>Net Assets - Temporarily Restricted</t>
  </si>
  <si>
    <t>4000</t>
  </si>
  <si>
    <t>Contract Revenue</t>
  </si>
  <si>
    <t>Revenue</t>
  </si>
  <si>
    <t>4010</t>
  </si>
  <si>
    <t>Grant Revenue - Federal</t>
  </si>
  <si>
    <t>4020</t>
  </si>
  <si>
    <t>Grant Revenue - Foundation</t>
  </si>
  <si>
    <t>4100</t>
  </si>
  <si>
    <t>Fee for Service Revenue</t>
  </si>
  <si>
    <t>4200</t>
  </si>
  <si>
    <t>Interest Income</t>
  </si>
  <si>
    <t>4900</t>
  </si>
  <si>
    <t>Other Revenue</t>
  </si>
  <si>
    <t>Salaries and Wages</t>
  </si>
  <si>
    <t>Expense</t>
  </si>
  <si>
    <t>Payroll Taxes</t>
  </si>
  <si>
    <t>Employee Benefits</t>
  </si>
  <si>
    <t>Retirement Contributions</t>
  </si>
  <si>
    <t>5100</t>
  </si>
  <si>
    <t>Contract Labor / Consultants</t>
  </si>
  <si>
    <t>Rent</t>
  </si>
  <si>
    <t>Utilities</t>
  </si>
  <si>
    <t>5300</t>
  </si>
  <si>
    <t>Office Supplies</t>
  </si>
  <si>
    <t>5310</t>
  </si>
  <si>
    <t>Software and Subscriptions</t>
  </si>
  <si>
    <t>5400</t>
  </si>
  <si>
    <t>Travel</t>
  </si>
  <si>
    <t>5410</t>
  </si>
  <si>
    <t>Meals and Entertainment</t>
  </si>
  <si>
    <t>5500</t>
  </si>
  <si>
    <t>Professional Fees - Legal</t>
  </si>
  <si>
    <t>5510</t>
  </si>
  <si>
    <t>Professional Fees - Accounting/Audit</t>
  </si>
  <si>
    <t>5600</t>
  </si>
  <si>
    <t>Insurance</t>
  </si>
  <si>
    <t>5700</t>
  </si>
  <si>
    <t>Depreciation Expense</t>
  </si>
  <si>
    <t>5800</t>
  </si>
  <si>
    <t>Bank Fees</t>
  </si>
  <si>
    <t>5900</t>
  </si>
  <si>
    <t>Interest Expense</t>
  </si>
  <si>
    <t>5950</t>
  </si>
  <si>
    <t>Miscellaneous Expense</t>
  </si>
  <si>
    <t>5990</t>
  </si>
  <si>
    <t>Indirect Cost Allocation</t>
  </si>
  <si>
    <t>Indirect</t>
  </si>
  <si>
    <t>CC Type</t>
  </si>
  <si>
    <t>Admin</t>
  </si>
  <si>
    <t>M &amp; G</t>
  </si>
  <si>
    <t>Programs</t>
  </si>
  <si>
    <t>Month</t>
  </si>
  <si>
    <t>Employee ID</t>
  </si>
  <si>
    <t>Employee Name</t>
  </si>
  <si>
    <t>FTE</t>
  </si>
  <si>
    <t>E1001</t>
  </si>
  <si>
    <t>Amara Dubois</t>
  </si>
  <si>
    <t>E1002</t>
  </si>
  <si>
    <t>Omar Dubois</t>
  </si>
  <si>
    <t>E1003</t>
  </si>
  <si>
    <t>Zara Abara</t>
  </si>
  <si>
    <t>E1004</t>
  </si>
  <si>
    <t>Amara Ibrahim</t>
  </si>
  <si>
    <t>E1005</t>
  </si>
  <si>
    <t>Yuki Dubois</t>
  </si>
  <si>
    <t>E1006</t>
  </si>
  <si>
    <t>Elena Hassan</t>
  </si>
  <si>
    <t>E1007</t>
  </si>
  <si>
    <t>Daniel Muller</t>
  </si>
  <si>
    <t>E1008</t>
  </si>
  <si>
    <t>Kwame Muller</t>
  </si>
  <si>
    <t>E1009</t>
  </si>
  <si>
    <t>Carlos Ibrahim</t>
  </si>
  <si>
    <t>E1010</t>
  </si>
  <si>
    <t>Priya Khan</t>
  </si>
  <si>
    <t>E1011</t>
  </si>
  <si>
    <t>Anna Owusu</t>
  </si>
  <si>
    <t>E1012</t>
  </si>
  <si>
    <t>Nadia Ibrahim</t>
  </si>
  <si>
    <t>E1013</t>
  </si>
  <si>
    <t>Diego Diallo</t>
  </si>
  <si>
    <t>E1014</t>
  </si>
  <si>
    <t>Daniel Diallo</t>
  </si>
  <si>
    <t>E1015</t>
  </si>
  <si>
    <t>Aisha Okafor</t>
  </si>
  <si>
    <t>E1016</t>
  </si>
  <si>
    <t>Fatima Owusu</t>
  </si>
  <si>
    <t>E1017</t>
  </si>
  <si>
    <t>Kwame Silva</t>
  </si>
  <si>
    <t>E1018</t>
  </si>
  <si>
    <t>Amara Petrov</t>
  </si>
  <si>
    <t>E1019</t>
  </si>
  <si>
    <t>Yuki Chen</t>
  </si>
  <si>
    <t>E1020</t>
  </si>
  <si>
    <t>Ahmed Garcia</t>
  </si>
  <si>
    <t>E1021</t>
  </si>
  <si>
    <t>Noah Khan</t>
  </si>
  <si>
    <t>E1022</t>
  </si>
  <si>
    <t>Sofia Santos</t>
  </si>
  <si>
    <t>E1023</t>
  </si>
  <si>
    <t>Zara Sharma</t>
  </si>
  <si>
    <t>E1024</t>
  </si>
  <si>
    <t>Layla Costa</t>
  </si>
  <si>
    <t>E1025</t>
  </si>
  <si>
    <t>Chidi Chen</t>
  </si>
  <si>
    <t>E1028</t>
  </si>
  <si>
    <t>Ines Mensah</t>
  </si>
  <si>
    <t>E1026</t>
  </si>
  <si>
    <t>Chidi Rodriguez</t>
  </si>
  <si>
    <t>E1027</t>
  </si>
  <si>
    <t>Nadia Rodriguez</t>
  </si>
  <si>
    <t>E1029</t>
  </si>
  <si>
    <t>Nadia Khan</t>
  </si>
  <si>
    <t>E1030</t>
  </si>
  <si>
    <t>Maria Dubois</t>
  </si>
  <si>
    <t>Total Employees:</t>
  </si>
  <si>
    <t>Insurance Premium Amortization Schedule</t>
  </si>
  <si>
    <t>Two policies, $8,100/quarter each, straight-lined over the 3 months of each quarter</t>
  </si>
  <si>
    <t>Policy</t>
  </si>
  <si>
    <t>Programs Travel/Accident Policy</t>
  </si>
  <si>
    <t>Admin Workers' Compensation Policy</t>
  </si>
  <si>
    <t>Total Monthly Insurance Expense</t>
  </si>
  <si>
    <t>Programs Travel/Accident Policy — Allocated by Program Headcount Mix</t>
  </si>
  <si>
    <t>Admin Workers' Compensation Policy — Allocated by Admin Headcount Mix</t>
  </si>
  <si>
    <t>July 1, 2025 - June 30, 2026</t>
  </si>
  <si>
    <t>Jul-25</t>
  </si>
  <si>
    <t>Aug-25</t>
  </si>
  <si>
    <t>Sep-25</t>
  </si>
  <si>
    <t>Oct-25</t>
  </si>
  <si>
    <t>Nov-25</t>
  </si>
  <si>
    <t>Dec-25</t>
  </si>
  <si>
    <t>Jan-26</t>
  </si>
  <si>
    <t>Feb-26</t>
  </si>
  <si>
    <t>Mar-26</t>
  </si>
  <si>
    <t>Apr-26</t>
  </si>
  <si>
    <t>May-26</t>
  </si>
  <si>
    <t>Jun-26</t>
  </si>
  <si>
    <t>JE Number</t>
  </si>
  <si>
    <t>Description</t>
  </si>
  <si>
    <t>Source</t>
  </si>
  <si>
    <t>JE-1345</t>
  </si>
  <si>
    <t>Signed Latin American restricted grant</t>
  </si>
  <si>
    <t>GL</t>
  </si>
  <si>
    <t>JE-1321</t>
  </si>
  <si>
    <t>Reclassify restricted grant revenue to 3100 - Latin America (Jul-25)</t>
  </si>
  <si>
    <t>Reclassify restricted grant revenue to 3100 - MENA (Jul-25)</t>
  </si>
  <si>
    <t>Reclassify restricted grant revenue to 3100 - Sub-Saharan Africa (Jul-25)</t>
  </si>
  <si>
    <t>Reclassify restricted grant revenue to 3100 - Europe (Jul-25)</t>
  </si>
  <si>
    <t>Reclassify restricted grant revenue to 3100 - SE Asia (Jul-25)</t>
  </si>
  <si>
    <t>Reclassify restricted grant revenue to 3100 (Jul-25)</t>
  </si>
  <si>
    <t>JE-1322</t>
  </si>
  <si>
    <t>Net assets released from restriction (Jul-25)</t>
  </si>
  <si>
    <t>JE-1323</t>
  </si>
  <si>
    <t>Reclassify restricted grant revenue to 3100 - Latin America (Aug-25)</t>
  </si>
  <si>
    <t>Reclassify restricted grant revenue to 3100 - MENA (Aug-25)</t>
  </si>
  <si>
    <t>Reclassify restricted grant revenue to 3100 - Sub-Saharan Africa (Aug-25)</t>
  </si>
  <si>
    <t>Reclassify restricted grant revenue to 3100 - Europe (Aug-25)</t>
  </si>
  <si>
    <t>Reclassify restricted grant revenue to 3100 - SE Asia (Aug-25)</t>
  </si>
  <si>
    <t>Reclassify restricted grant revenue to 3100 (Aug-25)</t>
  </si>
  <si>
    <t>JE-1324</t>
  </si>
  <si>
    <t>Net assets released from restriction (Aug-25)</t>
  </si>
  <si>
    <t>JE-1325</t>
  </si>
  <si>
    <t>Reclassify restricted grant revenue to 3100 - Latin America (Sep-25)</t>
  </si>
  <si>
    <t>Reclassify restricted grant revenue to 3100 - MENA (Sep-25)</t>
  </si>
  <si>
    <t>Reclassify restricted grant revenue to 3100 - Sub-Saharan Africa (Sep-25)</t>
  </si>
  <si>
    <t>Reclassify restricted grant revenue to 3100 - Europe (Sep-25)</t>
  </si>
  <si>
    <t>Reclassify restricted grant revenue to 3100 - SE Asia (Sep-25)</t>
  </si>
  <si>
    <t>Reclassify restricted grant revenue to 3100 (Sep-25)</t>
  </si>
  <si>
    <t>JE-1326</t>
  </si>
  <si>
    <t>Net assets released from restriction (Sep-25)</t>
  </si>
  <si>
    <t>JE-1327</t>
  </si>
  <si>
    <t>Reclassify restricted grant revenue to 3100 - Latin America (Oct-25)</t>
  </si>
  <si>
    <t>Reclassify restricted grant revenue to 3100 - MENA (Oct-25)</t>
  </si>
  <si>
    <t>Reclassify restricted grant revenue to 3100 - Sub-Saharan Africa (Oct-25)</t>
  </si>
  <si>
    <t>Reclassify restricted grant revenue to 3100 - Europe (Oct-25)</t>
  </si>
  <si>
    <t>Reclassify restricted grant revenue to 3100 - SE Asia (Oct-25)</t>
  </si>
  <si>
    <t>Reclassify restricted grant revenue to 3100 (Oct-25)</t>
  </si>
  <si>
    <t>JE-1328</t>
  </si>
  <si>
    <t>Net assets released from restriction (Oct-25)</t>
  </si>
  <si>
    <t>JE-1329</t>
  </si>
  <si>
    <t>Reclassify restricted grant revenue to 3100 - Latin America (Nov-25)</t>
  </si>
  <si>
    <t>Reclassify restricted grant revenue to 3100 - MENA (Nov-25)</t>
  </si>
  <si>
    <t>Reclassify restricted grant revenue to 3100 - Sub-Saharan Africa (Nov-25)</t>
  </si>
  <si>
    <t>Reclassify restricted grant revenue to 3100 - Europe (Nov-25)</t>
  </si>
  <si>
    <t>Reclassify restricted grant revenue to 3100 - SE Asia (Nov-25)</t>
  </si>
  <si>
    <t>Reclassify restricted grant revenue to 3100 (Nov-25)</t>
  </si>
  <si>
    <t>JE-1330</t>
  </si>
  <si>
    <t>Net assets released from restriction (Nov-25)</t>
  </si>
  <si>
    <t>JE-1331</t>
  </si>
  <si>
    <t>Reclassify restricted grant revenue to 3100 - Latin America (Dec-25)</t>
  </si>
  <si>
    <t>Reclassify restricted grant revenue to 3100 - MENA (Dec-25)</t>
  </si>
  <si>
    <t>Reclassify restricted grant revenue to 3100 - Sub-Saharan Africa (Dec-25)</t>
  </si>
  <si>
    <t>Reclassify restricted grant revenue to 3100 - Europe (Dec-25)</t>
  </si>
  <si>
    <t>Reclassify restricted grant revenue to 3100 - SE Asia (Dec-25)</t>
  </si>
  <si>
    <t>Reclassify restricted grant revenue to 3100 (Dec-25)</t>
  </si>
  <si>
    <t>JE-1332</t>
  </si>
  <si>
    <t>Net assets released from restriction (Dec-25)</t>
  </si>
  <si>
    <t>JE-1333</t>
  </si>
  <si>
    <t>Reclassify restricted grant revenue to 3100 - Latin America (Jan-26)</t>
  </si>
  <si>
    <t>Reclassify restricted grant revenue to 3100 - MENA (Jan-26)</t>
  </si>
  <si>
    <t>Reclassify restricted grant revenue to 3100 - Sub-Saharan Africa (Jan-26)</t>
  </si>
  <si>
    <t>Reclassify restricted grant revenue to 3100 - Europe (Jan-26)</t>
  </si>
  <si>
    <t>Reclassify restricted grant revenue to 3100 - SE Asia (Jan-26)</t>
  </si>
  <si>
    <t>Reclassify restricted grant revenue to 3100 (Jan-26)</t>
  </si>
  <si>
    <t>JE-1334</t>
  </si>
  <si>
    <t>Net assets released from restriction (Jan-26)</t>
  </si>
  <si>
    <t>JE-1335</t>
  </si>
  <si>
    <t>Reclassify restricted grant revenue to 3100 - Latin America (Feb-26)</t>
  </si>
  <si>
    <t>Reclassify restricted grant revenue to 3100 - MENA (Feb-26)</t>
  </si>
  <si>
    <t>Reclassify restricted grant revenue to 3100 - Sub-Saharan Africa (Feb-26)</t>
  </si>
  <si>
    <t>Reclassify restricted grant revenue to 3100 - Europe (Feb-26)</t>
  </si>
  <si>
    <t>Reclassify restricted grant revenue to 3100 - SE Asia (Feb-26)</t>
  </si>
  <si>
    <t>Reclassify restricted grant revenue to 3100 (Feb-26)</t>
  </si>
  <si>
    <t>JE-1336</t>
  </si>
  <si>
    <t>Net assets released from restriction (Feb-26)</t>
  </si>
  <si>
    <t>JE-1337</t>
  </si>
  <si>
    <t>Reclassify restricted grant revenue to 3100 - Latin America (Mar-26)</t>
  </si>
  <si>
    <t>Reclassify restricted grant revenue to 3100 - MENA (Mar-26)</t>
  </si>
  <si>
    <t>Reclassify restricted grant revenue to 3100 - Sub-Saharan Africa (Mar-26)</t>
  </si>
  <si>
    <t>Reclassify restricted grant revenue to 3100 - Europe (Mar-26)</t>
  </si>
  <si>
    <t>Reclassify restricted grant revenue to 3100 - SE Asia (Mar-26)</t>
  </si>
  <si>
    <t>Reclassify restricted grant revenue to 3100 (Mar-26)</t>
  </si>
  <si>
    <t>JE-1338</t>
  </si>
  <si>
    <t>Net assets released from restriction (Mar-26)</t>
  </si>
  <si>
    <t>JE-1339</t>
  </si>
  <si>
    <t>Reclassify restricted grant revenue to 3100 - Latin America (Apr-26)</t>
  </si>
  <si>
    <t>Reclassify restricted grant revenue to 3100 - MENA (Apr-26)</t>
  </si>
  <si>
    <t>Reclassify restricted grant revenue to 3100 - Sub-Saharan Africa (Apr-26)</t>
  </si>
  <si>
    <t>Reclassify restricted grant revenue to 3100 - Europe (Apr-26)</t>
  </si>
  <si>
    <t>Reclassify restricted grant revenue to 3100 - SE Asia (Apr-26)</t>
  </si>
  <si>
    <t>Reclassify restricted grant revenue to 3100 (Apr-26)</t>
  </si>
  <si>
    <t>JE-1340</t>
  </si>
  <si>
    <t>Net assets released from restriction (Apr-26)</t>
  </si>
  <si>
    <t>JE-1341</t>
  </si>
  <si>
    <t>Reclassify restricted grant revenue to 3100 - Latin America (May-26)</t>
  </si>
  <si>
    <t>Reclassify restricted grant revenue to 3100 - MENA (May-26)</t>
  </si>
  <si>
    <t>Reclassify restricted grant revenue to 3100 - Sub-Saharan Africa (May-26)</t>
  </si>
  <si>
    <t>Reclassify restricted grant revenue to 3100 - Europe (May-26)</t>
  </si>
  <si>
    <t>Reclassify restricted grant revenue to 3100 - SE Asia (May-26)</t>
  </si>
  <si>
    <t>Reclassify restricted grant revenue to 3100 (May-26)</t>
  </si>
  <si>
    <t>JE-1342</t>
  </si>
  <si>
    <t>Net assets released from restriction (May-26)</t>
  </si>
  <si>
    <t>JE-1343</t>
  </si>
  <si>
    <t>Reclassify restricted grant revenue to 3100 - Latin America (Jun-26)</t>
  </si>
  <si>
    <t>Reclassify restricted grant revenue to 3100 - MENA (Jun-26)</t>
  </si>
  <si>
    <t>Reclassify restricted grant revenue to 3100 - Sub-Saharan Africa (Jun-26)</t>
  </si>
  <si>
    <t>Reclassify restricted grant revenue to 3100 - Europe (Jun-26)</t>
  </si>
  <si>
    <t>Reclassify restricted grant revenue to 3100 - SE Asia (Jun-26)</t>
  </si>
  <si>
    <t>Reclassify restricted grant revenue to 3100 (Jun-26)</t>
  </si>
  <si>
    <t>JE-1344</t>
  </si>
  <si>
    <t>Net assets released from restriction (Jun-26)</t>
  </si>
  <si>
    <t>JE-1307</t>
  </si>
  <si>
    <t>Latin America Allocation</t>
  </si>
  <si>
    <t>MENA Allocation</t>
  </si>
  <si>
    <t>Sub-Saharan Africa Allocation</t>
  </si>
  <si>
    <t>Europe Allocation</t>
  </si>
  <si>
    <t>SE Asia Allocation</t>
  </si>
  <si>
    <t>JE-1308</t>
  </si>
  <si>
    <t>JE-1309</t>
  </si>
  <si>
    <t>JE-1310</t>
  </si>
  <si>
    <t>JE-1311</t>
  </si>
  <si>
    <t>JE-1312</t>
  </si>
  <si>
    <t>JE-1313</t>
  </si>
  <si>
    <t>JE-1314</t>
  </si>
  <si>
    <t>JE-1315</t>
  </si>
  <si>
    <t>JE-1316</t>
  </si>
  <si>
    <t>JE-1317</t>
  </si>
  <si>
    <t>JE-1318</t>
  </si>
  <si>
    <t>JE-1294</t>
  </si>
  <si>
    <t>Monthly Revenue Entry</t>
  </si>
  <si>
    <t>JE-1300</t>
  </si>
  <si>
    <t>JE-1299</t>
  </si>
  <si>
    <t>JE-1298</t>
  </si>
  <si>
    <t>JE-1297</t>
  </si>
  <si>
    <t>JE-1296</t>
  </si>
  <si>
    <t>JE-1295</t>
  </si>
  <si>
    <t>JE-1293</t>
  </si>
  <si>
    <t>JE-1292</t>
  </si>
  <si>
    <t>JE-1291</t>
  </si>
  <si>
    <t>JE-1290</t>
  </si>
  <si>
    <t>JE-1289</t>
  </si>
  <si>
    <t>JE-1288</t>
  </si>
  <si>
    <t>Monthly Personnel Allocation</t>
  </si>
  <si>
    <t>JE-1287</t>
  </si>
  <si>
    <t>JE-1286</t>
  </si>
  <si>
    <t>JE-1285</t>
  </si>
  <si>
    <t>JE-1284</t>
  </si>
  <si>
    <t>JE-1283</t>
  </si>
  <si>
    <t>JE-1282</t>
  </si>
  <si>
    <t>JE-1281</t>
  </si>
  <si>
    <t>JE-1280</t>
  </si>
  <si>
    <t>JE-1279</t>
  </si>
  <si>
    <t>JE-1278</t>
  </si>
  <si>
    <t>JE-1277</t>
  </si>
  <si>
    <t>JE-1276</t>
  </si>
  <si>
    <t>JE-1275</t>
  </si>
  <si>
    <t>JE-1274</t>
  </si>
  <si>
    <t>JE-1273</t>
  </si>
  <si>
    <t>JE-1272</t>
  </si>
  <si>
    <t>JE-1271</t>
  </si>
  <si>
    <t>JE-1270</t>
  </si>
  <si>
    <t>JE-1269</t>
  </si>
  <si>
    <t>JE-1268</t>
  </si>
  <si>
    <t>JE-1267</t>
  </si>
  <si>
    <t>JE-1266</t>
  </si>
  <si>
    <t>JE-1265</t>
  </si>
  <si>
    <t>JE-1264</t>
  </si>
  <si>
    <t>JE-1263</t>
  </si>
  <si>
    <t>JE-1262</t>
  </si>
  <si>
    <t>JE-1261</t>
  </si>
  <si>
    <t>JE-1260</t>
  </si>
  <si>
    <t>JE-1259</t>
  </si>
  <si>
    <t>JE-1258</t>
  </si>
  <si>
    <t>JE-1257</t>
  </si>
  <si>
    <t>JE-1256</t>
  </si>
  <si>
    <t>JE-1255</t>
  </si>
  <si>
    <t>JE-1254</t>
  </si>
  <si>
    <t>JE-1253</t>
  </si>
  <si>
    <t>JE-1252</t>
  </si>
  <si>
    <t>JE-1251</t>
  </si>
  <si>
    <t>JE-1250</t>
  </si>
  <si>
    <t>JE-1249</t>
  </si>
  <si>
    <t>JE-1248</t>
  </si>
  <si>
    <t>JE-1247</t>
  </si>
  <si>
    <t>JE-1246</t>
  </si>
  <si>
    <t>JE-1245</t>
  </si>
  <si>
    <t>JE-1244</t>
  </si>
  <si>
    <t>JE-1243</t>
  </si>
  <si>
    <t>JE-1242</t>
  </si>
  <si>
    <t>JE-1241</t>
  </si>
  <si>
    <t>JE-1000</t>
  </si>
  <si>
    <t>Opening balances as of 6/30/2025</t>
  </si>
  <si>
    <t>Opening</t>
  </si>
  <si>
    <t>JE-1004</t>
  </si>
  <si>
    <t>Monthly utilities</t>
  </si>
  <si>
    <t>JE-1006</t>
  </si>
  <si>
    <t>Quarterly insurance premium</t>
  </si>
  <si>
    <t>JE-1007</t>
  </si>
  <si>
    <t>Office supplies purchase</t>
  </si>
  <si>
    <t>JE-1011</t>
  </si>
  <si>
    <t>AP disbursement run</t>
  </si>
  <si>
    <t>JE-1023</t>
  </si>
  <si>
    <t>JE-1025</t>
  </si>
  <si>
    <t>JE-1026</t>
  </si>
  <si>
    <t>JE-1030</t>
  </si>
  <si>
    <t>JE-1037</t>
  </si>
  <si>
    <t>Legal fees</t>
  </si>
  <si>
    <t>JE-1043</t>
  </si>
  <si>
    <t>JE-1045</t>
  </si>
  <si>
    <t>JE-1048</t>
  </si>
  <si>
    <t>JE-1055</t>
  </si>
  <si>
    <t>Professional fees - audit/accounting</t>
  </si>
  <si>
    <t>JE-1060</t>
  </si>
  <si>
    <t>JE-1062</t>
  </si>
  <si>
    <t>JE-1063</t>
  </si>
  <si>
    <t>JE-1065</t>
  </si>
  <si>
    <t>Consultant / contract labor invoice</t>
  </si>
  <si>
    <t>JE-1067</t>
  </si>
  <si>
    <t>JE-1079</t>
  </si>
  <si>
    <t>JE-1081</t>
  </si>
  <si>
    <t>JE-1082</t>
  </si>
  <si>
    <t>JE-1084</t>
  </si>
  <si>
    <t>JE-1086</t>
  </si>
  <si>
    <t>JE-1097</t>
  </si>
  <si>
    <t>JE-1099</t>
  </si>
  <si>
    <t>JE-1100</t>
  </si>
  <si>
    <t>JE-1103</t>
  </si>
  <si>
    <t>JE-1105</t>
  </si>
  <si>
    <t>JE-1116</t>
  </si>
  <si>
    <t>JE-1118</t>
  </si>
  <si>
    <t>JE-1119</t>
  </si>
  <si>
    <t>JE-1120</t>
  </si>
  <si>
    <t>JE-1123</t>
  </si>
  <si>
    <t>JE-1125</t>
  </si>
  <si>
    <t>JE-1136</t>
  </si>
  <si>
    <t>JE-1138</t>
  </si>
  <si>
    <t>JE-1142</t>
  </si>
  <si>
    <t>JE-1153</t>
  </si>
  <si>
    <t>JE-1155</t>
  </si>
  <si>
    <t>JE-1156</t>
  </si>
  <si>
    <t>JE-1160</t>
  </si>
  <si>
    <t>JE-1167</t>
  </si>
  <si>
    <t>JE-1172</t>
  </si>
  <si>
    <t>JE-1174</t>
  </si>
  <si>
    <t>JE-1175</t>
  </si>
  <si>
    <t>JE-1178</t>
  </si>
  <si>
    <t>JE-1180</t>
  </si>
  <si>
    <t>JE-1193</t>
  </si>
  <si>
    <t>JE-1195</t>
  </si>
  <si>
    <t>JE-1198</t>
  </si>
  <si>
    <t>JE-1205</t>
  </si>
  <si>
    <t>JE-1211</t>
  </si>
  <si>
    <t>JE-1213</t>
  </si>
  <si>
    <t>JE-1216</t>
  </si>
  <si>
    <t>JE-1223</t>
  </si>
  <si>
    <t>JE-1229</t>
  </si>
  <si>
    <t>Monthly Insurance Allocation</t>
  </si>
  <si>
    <t>JE-1230</t>
  </si>
  <si>
    <t>JE-1231</t>
  </si>
  <si>
    <t>JE-1232</t>
  </si>
  <si>
    <t>Deferred revenue recognized - annual contract</t>
  </si>
  <si>
    <t>JE-1227</t>
  </si>
  <si>
    <t>Draw on line of credit for bridge financing</t>
  </si>
  <si>
    <t>JE-1226</t>
  </si>
  <si>
    <t>Purchase of office equipment</t>
  </si>
  <si>
    <t>JE-1225</t>
  </si>
  <si>
    <t>Miscellaneous expense</t>
  </si>
  <si>
    <t>JE-1224</t>
  </si>
  <si>
    <t>Note payable - monthly debt service</t>
  </si>
  <si>
    <t>JE-1222</t>
  </si>
  <si>
    <t>JE-1233</t>
  </si>
  <si>
    <t>JE-1017</t>
  </si>
  <si>
    <t>Monthly depreciation expense</t>
  </si>
  <si>
    <t>JE-1220</t>
  </si>
  <si>
    <t>Interest income on money market reserve</t>
  </si>
  <si>
    <t>Accrue grant revenue earned - federal</t>
  </si>
  <si>
    <t>JE-1218</t>
  </si>
  <si>
    <t>Federal grant reimbursement draw</t>
  </si>
  <si>
    <t>Client contract payment received</t>
  </si>
  <si>
    <t>JE-1215</t>
  </si>
  <si>
    <t>Monthly bank service charges</t>
  </si>
  <si>
    <t>JE-1214</t>
  </si>
  <si>
    <t>Business meals</t>
  </si>
  <si>
    <t>JE-1212</t>
  </si>
  <si>
    <t>Software and subscription renewals</t>
  </si>
  <si>
    <t>JE-1003</t>
  </si>
  <si>
    <t>Monthly office rent</t>
  </si>
  <si>
    <t>JE-1207</t>
  </si>
  <si>
    <t>Miscellaneous other revenue</t>
  </si>
  <si>
    <t>JE-1206</t>
  </si>
  <si>
    <t>JE-1204</t>
  </si>
  <si>
    <t>JE-1202</t>
  </si>
  <si>
    <t>JE-1200</t>
  </si>
  <si>
    <t>JE-1197</t>
  </si>
  <si>
    <t>JE-1196</t>
  </si>
  <si>
    <t>Staff travel - program site visit</t>
  </si>
  <si>
    <t>JE-1194</t>
  </si>
  <si>
    <t>JE-1189</t>
  </si>
  <si>
    <t>JE-1188</t>
  </si>
  <si>
    <t>JE-1187</t>
  </si>
  <si>
    <t>JE-1234</t>
  </si>
  <si>
    <t>JE-1185</t>
  </si>
  <si>
    <t>Foundation grant award recognized</t>
  </si>
  <si>
    <t>JE-1182</t>
  </si>
  <si>
    <t>JE-1179</t>
  </si>
  <si>
    <t>JE-1177</t>
  </si>
  <si>
    <t>JE-1176</t>
  </si>
  <si>
    <t>JE-1173</t>
  </si>
  <si>
    <t>JE-1168</t>
  </si>
  <si>
    <t>JE-1166</t>
  </si>
  <si>
    <t>JE-1164</t>
  </si>
  <si>
    <t>JE-1162</t>
  </si>
  <si>
    <t>JE-1235</t>
  </si>
  <si>
    <t>JE-1159</t>
  </si>
  <si>
    <t>JE-1158</t>
  </si>
  <si>
    <t>JE-1157</t>
  </si>
  <si>
    <t>JE-1154</t>
  </si>
  <si>
    <t>JE-1149</t>
  </si>
  <si>
    <t>JE-1148</t>
  </si>
  <si>
    <t>JE-1146</t>
  </si>
  <si>
    <t>JE-1144</t>
  </si>
  <si>
    <t>JE-1141</t>
  </si>
  <si>
    <t>JE-1140</t>
  </si>
  <si>
    <t>JE-1139</t>
  </si>
  <si>
    <t>JE-1137</t>
  </si>
  <si>
    <t>JE-1132</t>
  </si>
  <si>
    <t>JE-1131</t>
  </si>
  <si>
    <t>JE-1130</t>
  </si>
  <si>
    <t>JE-1128</t>
  </si>
  <si>
    <t>JE-1236</t>
  </si>
  <si>
    <t>JE-1124</t>
  </si>
  <si>
    <t>JE-1122</t>
  </si>
  <si>
    <t>JE-1121</t>
  </si>
  <si>
    <t>JE-1117</t>
  </si>
  <si>
    <t>JE-1112</t>
  </si>
  <si>
    <t>JE-1111</t>
  </si>
  <si>
    <t>JE-1109</t>
  </si>
  <si>
    <t>JE-1107</t>
  </si>
  <si>
    <t>JE-1104</t>
  </si>
  <si>
    <t>JE-1237</t>
  </si>
  <si>
    <t>JE-1102</t>
  </si>
  <si>
    <t>JE-1101</t>
  </si>
  <si>
    <t>JE-1098</t>
  </si>
  <si>
    <t>JE-1093</t>
  </si>
  <si>
    <t>JE-1092</t>
  </si>
  <si>
    <t>JE-1090</t>
  </si>
  <si>
    <t>JE-1088</t>
  </si>
  <si>
    <t>JE-1085</t>
  </si>
  <si>
    <t>JE-1083</t>
  </si>
  <si>
    <t>JE-1080</t>
  </si>
  <si>
    <t>JE-1238</t>
  </si>
  <si>
    <t>JE-1075</t>
  </si>
  <si>
    <t>JE-1074</t>
  </si>
  <si>
    <t>JE-1072</t>
  </si>
  <si>
    <t>JE-1069</t>
  </si>
  <si>
    <t>JE-1066</t>
  </si>
  <si>
    <t>JE-1064</t>
  </si>
  <si>
    <t>JE-1061</t>
  </si>
  <si>
    <t>JE-1056</t>
  </si>
  <si>
    <t>JE-1054</t>
  </si>
  <si>
    <t>JE-1239</t>
  </si>
  <si>
    <t>JE-1052</t>
  </si>
  <si>
    <t>JE-1050</t>
  </si>
  <si>
    <t>JE-1047</t>
  </si>
  <si>
    <t>JE-1046</t>
  </si>
  <si>
    <t>JE-1044</t>
  </si>
  <si>
    <t>JE-1039</t>
  </si>
  <si>
    <t>JE-1038</t>
  </si>
  <si>
    <t>JE-1036</t>
  </si>
  <si>
    <t>JE-1034</t>
  </si>
  <si>
    <t>JE-1032</t>
  </si>
  <si>
    <t>JE-1029</t>
  </si>
  <si>
    <t>JE-1028</t>
  </si>
  <si>
    <t>JE-1027</t>
  </si>
  <si>
    <t>JE-1024</t>
  </si>
  <si>
    <t>JE-1240</t>
  </si>
  <si>
    <t>JE-1019</t>
  </si>
  <si>
    <t>JE-1018</t>
  </si>
  <si>
    <t>JE-1016</t>
  </si>
  <si>
    <t>JE-1013</t>
  </si>
  <si>
    <t>JE-1010</t>
  </si>
  <si>
    <t>JE-1009</t>
  </si>
  <si>
    <t>JE-1008</t>
  </si>
  <si>
    <t>JE-1005</t>
  </si>
  <si>
    <t>Opening Balance</t>
  </si>
  <si>
    <t>Accrue payroll liability</t>
  </si>
  <si>
    <t>JE-1401</t>
  </si>
  <si>
    <t>Payroll paid - pay out payroll</t>
  </si>
  <si>
    <t>JE-1402</t>
  </si>
  <si>
    <t>JE-1403</t>
  </si>
  <si>
    <t>JE-1404</t>
  </si>
  <si>
    <t>JE-1405</t>
  </si>
  <si>
    <t>JE-1406</t>
  </si>
  <si>
    <t>JE-1407</t>
  </si>
  <si>
    <t>JE-1408</t>
  </si>
  <si>
    <t>JE-1409</t>
  </si>
  <si>
    <t>JE-1410</t>
  </si>
  <si>
    <t>JE-1411</t>
  </si>
  <si>
    <t>JE-1412</t>
  </si>
  <si>
    <t>JE-1501</t>
  </si>
  <si>
    <t>Accrue PTO/vacation liability</t>
  </si>
  <si>
    <t>JE-1502</t>
  </si>
  <si>
    <t>JE-1503</t>
  </si>
  <si>
    <t>JE-1504</t>
  </si>
  <si>
    <t>JE-1505</t>
  </si>
  <si>
    <t>JE-1506</t>
  </si>
  <si>
    <t>JE-1507</t>
  </si>
  <si>
    <t>JE-1508</t>
  </si>
  <si>
    <t>JE-1509</t>
  </si>
  <si>
    <t>JE-1510</t>
  </si>
  <si>
    <t>JE-1511</t>
  </si>
  <si>
    <t>JE-1512</t>
  </si>
  <si>
    <t>Department:</t>
  </si>
  <si>
    <t>Actual</t>
  </si>
  <si>
    <t>Budget</t>
  </si>
  <si>
    <t>Total Revenue</t>
  </si>
  <si>
    <t>Total Expense</t>
  </si>
  <si>
    <t>Net Operating Income (Loss)</t>
  </si>
  <si>
    <t>Cost Center:</t>
  </si>
  <si>
    <t>Expense Report: Budget vs Actual</t>
  </si>
  <si>
    <t>Cost Center Name</t>
  </si>
  <si>
    <t>Type</t>
  </si>
  <si>
    <t>Allocation</t>
  </si>
  <si>
    <t>Sequence</t>
  </si>
  <si>
    <t>Cost Center Description</t>
  </si>
  <si>
    <t>Department</t>
  </si>
  <si>
    <t>Payroll</t>
  </si>
  <si>
    <t>Ending Balance</t>
  </si>
  <si>
    <t>Monthly Cash Forecast</t>
  </si>
  <si>
    <t>increase on expense</t>
  </si>
  <si>
    <t>July 1, 2026 - June 30, 2027</t>
  </si>
  <si>
    <t>decrease on revenue</t>
  </si>
  <si>
    <t>Payment on line of credit</t>
  </si>
  <si>
    <t>Average Expense, adjusted</t>
  </si>
  <si>
    <t>Months of Cash on Hand</t>
  </si>
  <si>
    <t>Trial Balance</t>
  </si>
  <si>
    <t>Beginning Bal.</t>
  </si>
  <si>
    <t>Total Debits</t>
  </si>
  <si>
    <t>Total Credits</t>
  </si>
  <si>
    <t>Net Balance</t>
  </si>
  <si>
    <t>Net Income - Current Year (closes to Net Assets)</t>
  </si>
  <si>
    <t>Statement of Activities</t>
  </si>
  <si>
    <t>For the Year Ended June 30, 2026</t>
  </si>
  <si>
    <t>Note: Grant Revenue (Federal and Foundation) is presented as Without Donor Restrictions pending release, consistent with revenue recognized once the related conditions were substantially met during the year; see Notes below for the restriction classification basis applied.</t>
  </si>
  <si>
    <t>Without Donor
Restrictions</t>
  </si>
  <si>
    <t>With Donor
Restrictions</t>
  </si>
  <si>
    <t>Revenue and Support</t>
  </si>
  <si>
    <t>Net Assets Released from Restriction</t>
  </si>
  <si>
    <t>Total Revenue and Support</t>
  </si>
  <si>
    <t>Expenses</t>
  </si>
  <si>
    <t>Total Expenses</t>
  </si>
  <si>
    <t>Change in Net Assets</t>
  </si>
  <si>
    <t>Net Assets, Beginning of Year</t>
  </si>
  <si>
    <t>Net Assets, End of Year</t>
  </si>
  <si>
    <t>Notes</t>
  </si>
  <si>
    <t>1.</t>
  </si>
  <si>
    <t>This statement presents revenue and net assets in two classes, Without Donor Restrictions and With Donor Restrictions, as required under ASC 958.</t>
  </si>
  <si>
    <t>2.</t>
  </si>
  <si>
    <t>3.</t>
  </si>
  <si>
    <t>All expenses are presented as reductions of net assets Without Donor Restrictions, reflecting the standard presentation that restricted funds are released from restriction as the related expenses are incurred.</t>
  </si>
  <si>
    <t>This statement is generated from underlying transaction detail maintained on the Trial Balance, Allocated Transactions, and Chart of Accounts tabs of this workbook.</t>
  </si>
  <si>
    <t>Indirect Expense</t>
  </si>
  <si>
    <t>Grand Total</t>
  </si>
  <si>
    <t>Sum of FTE</t>
  </si>
  <si>
    <t>2025</t>
  </si>
  <si>
    <t>2026</t>
  </si>
  <si>
    <t>Years (Month)</t>
  </si>
  <si>
    <t>PTO Detail by Employee</t>
  </si>
  <si>
    <t>Monthly accrual: 10.0 hours/employee (15 days/yr ÷ 12 months × 8 hrs/day). Beginning hours balance derived from the $18,500.00 opening 2020 balance at a blended $25.00/hr rate (both figures are stated assumptions, not sourced data). Hours Taken are illustrative entries for portfolio realism, not actual timesheet data.</t>
  </si>
  <si>
    <t>Legend: blue = editable input (Hours Taken); black = formula</t>
  </si>
  <si>
    <t>Note: negative balances reflect employees who used PTO in advance of accrual (a common employer-permitted policy), not errors.</t>
  </si>
  <si>
    <t>Beginning Hours</t>
  </si>
  <si>
    <t>Hours Accrued</t>
  </si>
  <si>
    <t>Hours Taken</t>
  </si>
  <si>
    <t>Ending Hours Balance</t>
  </si>
  <si>
    <t>Ending Hours</t>
  </si>
  <si>
    <t>Difference</t>
  </si>
  <si>
    <t>Hourly Rate</t>
  </si>
  <si>
    <t>Ending Balance $</t>
  </si>
  <si>
    <t>Salary Information</t>
  </si>
  <si>
    <t>Paid monthly, all full-time. Hourly rate calculated by salary / working hours</t>
  </si>
  <si>
    <t>Monthly Pay per Employee</t>
  </si>
  <si>
    <t>Hourly Pay per Employee</t>
  </si>
  <si>
    <t>Work Hours per Month</t>
  </si>
  <si>
    <t>Probability reflects funder relationship strength, prior-year renewal history, and award stage as of budget preparation; all figures are planning estimates, not signed awards. Expected Value = Total Award x Probability.</t>
  </si>
  <si>
    <t>Funder Type</t>
  </si>
  <si>
    <t>Grant Name</t>
  </si>
  <si>
    <t>Total Award</t>
  </si>
  <si>
    <t>Probability</t>
  </si>
  <si>
    <t>Expected Value</t>
  </si>
  <si>
    <t>Expected Award Date</t>
  </si>
  <si>
    <t>Recognition Start</t>
  </si>
  <si>
    <t>Federal</t>
  </si>
  <si>
    <t>Latin America Resilience Renewal</t>
  </si>
  <si>
    <t>Foundation</t>
  </si>
  <si>
    <t>Ford Foundation Community Grant</t>
  </si>
  <si>
    <t>State Dept MENA Stabilization Award</t>
  </si>
  <si>
    <t>Open Society MENA Civic Grant</t>
  </si>
  <si>
    <t>Sub-Saharan Health Systems Renewal</t>
  </si>
  <si>
    <t>Gates Foundation Program Extension</t>
  </si>
  <si>
    <t>State Dept Europe Partnership Renewal</t>
  </si>
  <si>
    <t>Robert Bosch Stiftung Grant</t>
  </si>
  <si>
    <t>USAID SE Asia Development Renewal</t>
  </si>
  <si>
    <t>Tides Foundation SE Asia Grant</t>
  </si>
  <si>
    <t>Latin America New Initiative (Pending)</t>
  </si>
  <si>
    <t>MacArthur SE Asia Exploratory Grant</t>
  </si>
  <si>
    <t>FY26 Revenue Pipeline</t>
  </si>
  <si>
    <t>Latin America Resilience Renewal - Latin America Recognition</t>
  </si>
  <si>
    <t>Ford Foundation Community Grant - Latin America Recognition</t>
  </si>
  <si>
    <t>State Dept MENA Stabilization Award - MENA Recognition</t>
  </si>
  <si>
    <t>Open Society MENA Civic Grant - MENA Recognition</t>
  </si>
  <si>
    <t>Sub-Saharan Health Systems Renewal - Sub-Saharan Africa Recognition</t>
  </si>
  <si>
    <t>Gates Foundation Program Extension - Sub-Saharan Africa Recognition</t>
  </si>
  <si>
    <t>State Dept Europe Partnership Renewal - Europe Recognition</t>
  </si>
  <si>
    <t>Robert Bosch Stiftung Grant - Europe Recognition</t>
  </si>
  <si>
    <t>SE Asia Development Renewal - SE Asia Recognition</t>
  </si>
  <si>
    <t>Tides Foundation SE Asia Grant - SE Asia Recognition</t>
  </si>
  <si>
    <t>Latin America New Initiative (Pending) - Latin America Recognition</t>
  </si>
  <si>
    <t>MacArthur SE Asia Exploratory Grant - SE Asia Recognition</t>
  </si>
  <si>
    <t>Allocation % by Cost Center and Month</t>
  </si>
  <si>
    <t>This tab compares actual monthly expenses against the approved budget, by department (or by program), so you can see at a glance where spending is tracking to plan and where it's running ahead or behind. A positive variance means actual spending was under budget for that month; a negative variance means it exceeded budget. Use the drop-down menu to select between different departments in yellow, in the upper left corner (C1).</t>
  </si>
  <si>
    <t>All</t>
  </si>
  <si>
    <t xml:space="preserve"> </t>
  </si>
  <si>
    <t>Purchase of parcel</t>
  </si>
  <si>
    <t>Fixed Asset List</t>
  </si>
  <si>
    <t>As of June 30, 2026</t>
  </si>
  <si>
    <t>Asset ID</t>
  </si>
  <si>
    <t>Category</t>
  </si>
  <si>
    <t>Cost</t>
  </si>
  <si>
    <t>Useful Life (Years)</t>
  </si>
  <si>
    <t>In-Service Date</t>
  </si>
  <si>
    <t>Monthly Depreciation</t>
  </si>
  <si>
    <t>Accum. Depr. as of 6/30/2025</t>
  </si>
  <si>
    <t>FY26 Depreciation Expense</t>
  </si>
  <si>
    <t>Accum. Depr. as of 6/30/2026</t>
  </si>
  <si>
    <t>Net Book Value 6/30/2026</t>
  </si>
  <si>
    <t>FA-001</t>
  </si>
  <si>
    <t>Server - Primary Infrastructure</t>
  </si>
  <si>
    <t>IT Equipment</t>
  </si>
  <si>
    <t>FA-002</t>
  </si>
  <si>
    <t>Server - Backup/DR</t>
  </si>
  <si>
    <t>FA-003</t>
  </si>
  <si>
    <t>Office Furniture - HQ</t>
  </si>
  <si>
    <t>Furniture &amp; Fixtures</t>
  </si>
  <si>
    <t>FA-004</t>
  </si>
  <si>
    <t>Laptops and Workstations (Batch 1)</t>
  </si>
  <si>
    <t>FA-005</t>
  </si>
  <si>
    <t>Laptops and Workstations (Batch 2)</t>
  </si>
  <si>
    <t>FA-006</t>
  </si>
  <si>
    <t>Leasehold Improvements - HQ Office</t>
  </si>
  <si>
    <t>Leasehold Improvements</t>
  </si>
  <si>
    <t>FA-007</t>
  </si>
  <si>
    <t>Leasehold Improvements - Program Office</t>
  </si>
  <si>
    <t>FA-008</t>
  </si>
  <si>
    <t>Land - Adjoining Parcel</t>
  </si>
  <si>
    <t>Land</t>
  </si>
  <si>
    <t>N/A - Land</t>
  </si>
  <si>
    <t>Monthly Depreciation Schedule</t>
  </si>
  <si>
    <t>Total Monthly Depreciation</t>
  </si>
  <si>
    <t>All depreciable assets use straight-line depreciation, no salvage value, per company policy.</t>
  </si>
  <si>
    <t>Indirect Pool - Indirect Expense</t>
  </si>
  <si>
    <t>All administrative expenses are allocated to program expenses, based on program expense cost pools</t>
  </si>
  <si>
    <t/>
  </si>
  <si>
    <t>Fake, Inc.</t>
  </si>
  <si>
    <t>How to Navigate This Workbook</t>
  </si>
  <si>
    <t>The short version</t>
  </si>
  <si>
    <t>The arrow buttons</t>
  </si>
  <si>
    <t>A suggested path through the story</t>
  </si>
  <si>
    <t>Every tab has a plain-language explanation below: what it shows, why it exists, and who would actually use it. Read this page top to bottom once, and every other tab in this workbook will make sense without me in the room.</t>
  </si>
  <si>
    <t>Expense Report: Budget vs. Actual</t>
  </si>
  <si>
    <t>Tabs</t>
  </si>
  <si>
    <t>Cash Flow Forecast</t>
  </si>
  <si>
    <t xml:space="preserve">This tab compares actual monthly expenses against the approved budget, by department (or by program), so you can see at a glance where spending is tracking to plan and where it's running ahead or behind. A positive variance means spending was underbudget. A negative difference is the opposite. </t>
  </si>
  <si>
    <t>Insurance Amortization</t>
  </si>
  <si>
    <t>A trial balance shows the total for each account as of a certain date. There are certain accounts that have rolling balances, and others that only accumulate throughout the fiscal year. You can see the accounts that roll over year after year by their opening balances, which were accumulated throught he end of last year.</t>
  </si>
  <si>
    <t>Indirect Pool</t>
  </si>
  <si>
    <t>Indirect costs are what the company spends on administrative expenses. Because this is a nonprofit, and the administrative expenses have to be paid by grants or donations, these costs are assigned to program expenses. You can see how these costs are broken down, administratively, then distributed to the various programs, in this tab.</t>
  </si>
  <si>
    <t>Insurance at this company (not health insurance, but travel insurance and workers comp) is pre-paid quarterly. Since those amounts apply to three months of coverage, they are spread out across the following months, and spread to appropriate cost centers using allocations. The policies are listed in the top rows and then allocated across various cost centers below.</t>
  </si>
  <si>
    <t>Personnel &amp; Rent Allocation</t>
  </si>
  <si>
    <t>Expenses need to be allcoated. For this compay, a large base of expenses are in payroll. Payroll has to be allocated by time worked, and in this company many of the employees work for just one cost center, with some exceptions. Then there are employees that are hired, or terminated, with periods of vacancy in between. There is a separate tab for headcount that is hidden to see that breakdown. 
This allocation tab refers back to headcount, by month and by cost center. Rent is also allocated in a similar way because these people occupy the office space in some fashion.</t>
  </si>
  <si>
    <t>This is all spoofed salary data, not based on any company. The salary information here is tied out to the payroll expense and used for other calculations, such as paid time off.</t>
  </si>
  <si>
    <t>PTO Accrual</t>
  </si>
  <si>
    <t>Paid time off is accrued according to company policy, as specified in the tab. The hours are given to the employees at the beginning of their tenure, are accrued and paid out as the employee continues to work, and then paid out in full when the employee is terminated.
Putting PTO accruals in Excel is a very realistic scenario. There are some payroll providers that keep this information in their database, but we often need checks and balances, especially with how the time off is allocated in the general leger.</t>
  </si>
  <si>
    <t>Fixed Asset List and Depreciation Schedule</t>
  </si>
  <si>
    <t>Fixed Assets are capital expenses, like servers, large equipment, and land. Fixed assets have to be listed for all companies, be given a useful life of a certain amount of years, and follow a depreciation convention. In this company our assets depreciate with a straight-line method, meaning it is the same amount of depreciation expense each month for each asset, until the end of its useful life.
There is no salvage value according to our policy. Land, as a rule, does not depreciate.</t>
  </si>
  <si>
    <t>FY2026 Financial Workbook - A Working Model of How This Organization Runs on Numbers</t>
  </si>
  <si>
    <t>⚠ EVERYTHING IN THIS WORKBOOK IS FICTIONAL. Every employee, salary, grant, vendor, asset, and dollar figure here is invented for demonstration purposes. Names, payroll records, PTO balances, fixed assets, and account activity are all synthetic data built to look and behave like a real nonprofit's books--none of it describes an actual company, employee, or transaction.</t>
  </si>
  <si>
    <t>You'll see gray arrow-shaped buttons placed near the top of each major tab. Click one and it jumps you straight to the tab it's labeled for.</t>
  </si>
  <si>
    <t>The company</t>
  </si>
  <si>
    <t>Fake, Inc. is an international nonprofit with a budget of $2.5M per year, with programs receiving income from grants, contracts, and fees for services. The programs are simple, broken down by region, such as MENA (Middle East and North Africa), Latin America, Sub-Saharan Africa, and Europe. Expenses are minimal, and there are restrictions that are released based on time and purpose.</t>
  </si>
  <si>
    <t>1) Start here on Company Overview for the full picture. 
2) Trial Balance to see the complete financial position in one place. 
3) Statement of Activities for the GAAP-format summary a board would actually see. 
4) Variance by Department / Variance by Program to see how actual spending compares to budget. 
5) Cash Flow Forecast to see where the organization is headed over the next twelve months. 
6) The supporting schedules (Fixed Asset List, PTO Accrual, Insurance Amortization, Personnel &amp; Rent Allocation, Salary Information, Indirect Pool) for the detailed, auditable backup behind every number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</si>
</sst>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7" formatCode="&quot;$&quot;#,##0.00_);\(&quot;$&quot;#,##0.00\)"/>
    <numFmt numFmtId="44" formatCode="_(&quot;$&quot;* #,##0.00_);_(&quot;$&quot;* \(#,##0.00\);_(&quot;$&quot;* &quot;-&quot;??_);_(@_)"/>
    <numFmt numFmtId="43" formatCode="_(* #,##0.00_);_(* \(#,##0.00\);_(* &quot;-&quot;??_);_(@_)"/>
    <numFmt numFmtId="164" formatCode="m/d/yyyy"/>
    <numFmt numFmtId="165" formatCode="[$-409]mmm\-yy;@"/>
    <numFmt numFmtId="166" formatCode="\$#,##0.00;&quot;($&quot;#,##0.00\);\-"/>
    <numFmt numFmtId="167" formatCode="_(* #,##0.00_);_(* \(#,##0.00\);_(* \-??_);_(@_)"/>
    <numFmt numFmtId="168" formatCode="_(* #,##0_);_(* \(#,##0\);_(* \-??_);_(@_)"/>
    <numFmt numFmtId="169" formatCode="mm/dd/yyyy"/>
    <numFmt numFmtId="170" formatCode="[$-409]mmmm\-yy;@"/>
    <numFmt numFmtId="171" formatCode="#,##0.00;\(#,##0.00\);\-"/>
    <numFmt numFmtId="174" formatCode="#,##0.0;\(#,##0.0\);\-"/>
    <numFmt numFmtId="176" formatCode="_(* #,##0.0_);_(* \(#,##0.0\);_(* &quot;-&quot;??_);_(@_)"/>
    <numFmt numFmtId="180" formatCode="&quot;$&quot;#,##0.00"/>
  </numFmts>
  <fonts count="30">
    <font>
      <sz val="11"/>
      <color theme="1"/>
      <name val="Calibri"/>
      <family val="2"/>
      <charset val="1"/>
    </font>
    <font>
      <b/>
      <sz val="11"/>
      <color theme="1"/>
      <name val="Calibri"/>
      <family val="2"/>
      <charset val="1"/>
    </font>
    <font>
      <b/>
      <sz val="10"/>
      <color rgb="FFFFFFFF"/>
      <name val="Arial"/>
      <family val="2"/>
      <charset val="1"/>
    </font>
    <font>
      <sz val="10"/>
      <name val="Arial"/>
      <family val="2"/>
      <charset val="1"/>
    </font>
    <font>
      <b/>
      <sz val="10"/>
      <name val="Arial"/>
      <family val="2"/>
      <charset val="1"/>
    </font>
    <font>
      <sz val="11"/>
      <color theme="1"/>
      <name val="Calibri"/>
      <family val="2"/>
      <charset val="1"/>
    </font>
    <font>
      <sz val="8"/>
      <name val="Calibri"/>
      <family val="2"/>
      <charset val="1"/>
    </font>
    <font>
      <b/>
      <sz val="10"/>
      <color rgb="FFFFFFFF"/>
      <name val="Helvetica Light"/>
    </font>
    <font>
      <sz val="11"/>
      <color theme="1"/>
      <name val="Helvetica Light"/>
    </font>
    <font>
      <sz val="10"/>
      <name val="Helvetica Light"/>
    </font>
    <font>
      <b/>
      <sz val="10"/>
      <name val="Helvetica Light"/>
    </font>
    <font>
      <b/>
      <sz val="11"/>
      <color theme="1"/>
      <name val="Helvetica Light"/>
    </font>
    <font>
      <b/>
      <sz val="12"/>
      <name val="Helvetica Light"/>
    </font>
    <font>
      <i/>
      <sz val="9"/>
      <name val="Helvetica Light"/>
    </font>
    <font>
      <sz val="11"/>
      <color theme="0"/>
      <name val="Helvetica Light"/>
    </font>
    <font>
      <b/>
      <sz val="14"/>
      <name val="Helvetica Light"/>
    </font>
    <font>
      <sz val="11"/>
      <name val="Helvetica Light"/>
    </font>
    <font>
      <sz val="10"/>
      <color rgb="FF0000FF"/>
      <name val="Helvetica Light"/>
    </font>
    <font>
      <i/>
      <sz val="11"/>
      <color theme="1"/>
      <name val="Helvetica Light"/>
    </font>
    <font>
      <i/>
      <sz val="11"/>
      <color theme="0" tint="-0.499984740745262"/>
      <name val="Helvetica Light"/>
    </font>
    <font>
      <i/>
      <sz val="10"/>
      <color theme="0" tint="-0.499984740745262"/>
      <name val="Helvetica Light"/>
    </font>
    <font>
      <i/>
      <sz val="11"/>
      <color theme="0" tint="-0.34998626667073579"/>
      <name val="Helvetica Light"/>
    </font>
    <font>
      <sz val="14"/>
      <name val="Helvetica Light"/>
    </font>
    <font>
      <b/>
      <sz val="22"/>
      <color theme="2" tint="-0.749992370372631"/>
      <name val="Helvetica Light"/>
    </font>
    <font>
      <sz val="11"/>
      <color theme="2" tint="-0.749992370372631"/>
      <name val="Helvetica Light"/>
    </font>
    <font>
      <b/>
      <sz val="11"/>
      <name val="Helvetica Light"/>
    </font>
    <font>
      <b/>
      <sz val="14"/>
      <color theme="1"/>
      <name val="Helvetica Light"/>
    </font>
    <font>
      <b/>
      <u val="double"/>
      <sz val="11"/>
      <color theme="2" tint="-0.749961851863155"/>
      <name val="Helvetica Light"/>
    </font>
    <font>
      <i/>
      <sz val="10"/>
      <color rgb="FF833C0C"/>
      <name val="Helvetica Light"/>
    </font>
    <font>
      <sz val="13"/>
      <color rgb="FF595959"/>
      <name val="Helvetica Light"/>
    </font>
  </fonts>
  <fills count="19">
    <fill>
      <patternFill patternType="none"/>
    </fill>
    <fill>
      <patternFill patternType="gray125"/>
    </fill>
    <fill>
      <patternFill patternType="solid">
        <fgColor rgb="FF1F4E78"/>
        <bgColor rgb="FF1F497D"/>
      </patternFill>
    </fill>
    <fill>
      <patternFill patternType="solid">
        <fgColor theme="3"/>
        <bgColor rgb="FF1F4E78"/>
      </patternFill>
    </fill>
    <fill>
      <patternFill patternType="solid">
        <fgColor rgb="FFFFFF00"/>
        <bgColor rgb="FFFFFF00"/>
      </patternFill>
    </fill>
    <fill>
      <patternFill patternType="solid">
        <fgColor theme="0" tint="-4.9989318521683403E-2"/>
        <bgColor rgb="FFEEECE1"/>
      </patternFill>
    </fill>
    <fill>
      <patternFill patternType="solid">
        <fgColor theme="4" tint="0.79979857783745845"/>
        <bgColor rgb="FFEEECE1"/>
      </patternFill>
    </fill>
    <fill>
      <patternFill patternType="solid">
        <fgColor theme="2"/>
        <bgColor rgb="FFF2F2F2"/>
      </patternFill>
    </fill>
    <fill>
      <patternFill patternType="solid">
        <fgColor theme="4" tint="0.79998168889431442"/>
        <bgColor theme="4" tint="0.79998168889431442"/>
      </patternFill>
    </fill>
    <fill>
      <patternFill patternType="solid">
        <fgColor theme="4" tint="-0.249977111117893"/>
        <bgColor theme="4" tint="-0.249977111117893"/>
      </patternFill>
    </fill>
    <fill>
      <patternFill patternType="solid">
        <fgColor rgb="FF1F4E78"/>
        <bgColor rgb="FF003366"/>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249977111117893"/>
        <bgColor rgb="FF1F4E78"/>
      </patternFill>
    </fill>
    <fill>
      <patternFill patternType="solid">
        <fgColor theme="6" tint="0.79998168889431442"/>
        <bgColor indexed="64"/>
      </patternFill>
    </fill>
    <fill>
      <patternFill patternType="gray0625"/>
    </fill>
    <fill>
      <patternFill patternType="gray0625">
        <bgColor theme="6" tint="0.79998168889431442"/>
      </patternFill>
    </fill>
    <fill>
      <patternFill patternType="lightDown">
        <fgColor theme="6" tint="0.79995117038483843"/>
        <bgColor indexed="65"/>
      </patternFill>
    </fill>
    <fill>
      <patternFill patternType="lightGrid">
        <fgColor rgb="FFF5E3D6"/>
        <bgColor rgb="FFFCE4D6"/>
      </patternFill>
    </fill>
  </fills>
  <borders count="18">
    <border>
      <left/>
      <right/>
      <top/>
      <bottom/>
      <diagonal/>
    </border>
    <border>
      <left style="thin">
        <color rgb="FFB7B7B7"/>
      </left>
      <right style="thin">
        <color rgb="FFB7B7B7"/>
      </right>
      <top style="thin">
        <color rgb="FFB7B7B7"/>
      </top>
      <bottom style="thin">
        <color rgb="FFB7B7B7"/>
      </bottom>
      <diagonal/>
    </border>
    <border>
      <left/>
      <right/>
      <top style="thin">
        <color auto="1"/>
      </top>
      <bottom style="medium">
        <color auto="1"/>
      </bottom>
      <diagonal/>
    </border>
    <border>
      <left/>
      <right/>
      <top style="thin">
        <color auto="1"/>
      </top>
      <bottom style="double">
        <color auto="1"/>
      </bottom>
      <diagonal/>
    </border>
    <border>
      <left/>
      <right/>
      <top style="thin">
        <color auto="1"/>
      </top>
      <bottom/>
      <diagonal/>
    </border>
    <border>
      <left/>
      <right/>
      <top style="double">
        <color auto="1"/>
      </top>
      <bottom/>
      <diagonal/>
    </border>
    <border>
      <left/>
      <right/>
      <top/>
      <bottom style="thin">
        <color theme="4" tint="0.39997558519241921"/>
      </bottom>
      <diagonal/>
    </border>
    <border>
      <left/>
      <right/>
      <top style="thin">
        <color theme="4" tint="0.39997558519241921"/>
      </top>
      <bottom/>
      <diagonal/>
    </border>
    <border>
      <left/>
      <right/>
      <top/>
      <bottom style="thin">
        <color theme="4" tint="-0.249977111117893"/>
      </bottom>
      <diagonal/>
    </border>
    <border>
      <left/>
      <right/>
      <top style="thin">
        <color theme="4" tint="-0.249977111117893"/>
      </top>
      <bottom style="thin">
        <color theme="4" tint="0.59999389629810485"/>
      </bottom>
      <diagonal/>
    </border>
    <border>
      <left/>
      <right/>
      <top style="thin">
        <color rgb="FFB7B7B7"/>
      </top>
      <bottom/>
      <diagonal/>
    </border>
    <border>
      <left style="dashDotDot">
        <color auto="1"/>
      </left>
      <right/>
      <top style="dashDotDot">
        <color auto="1"/>
      </top>
      <bottom/>
      <diagonal/>
    </border>
    <border>
      <left/>
      <right style="dashDotDot">
        <color auto="1"/>
      </right>
      <top style="dashDotDot">
        <color auto="1"/>
      </top>
      <bottom/>
      <diagonal/>
    </border>
    <border>
      <left style="dashDotDot">
        <color auto="1"/>
      </left>
      <right/>
      <top/>
      <bottom style="dashDotDot">
        <color auto="1"/>
      </bottom>
      <diagonal/>
    </border>
    <border>
      <left/>
      <right style="dashDotDot">
        <color auto="1"/>
      </right>
      <top/>
      <bottom style="dashDotDot">
        <color auto="1"/>
      </bottom>
      <diagonal/>
    </border>
    <border>
      <left/>
      <right/>
      <top style="slantDashDot">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10">
    <xf numFmtId="0" fontId="0" fillId="0" borderId="0"/>
    <xf numFmtId="0" fontId="5" fillId="0" borderId="0">
      <alignment horizontal="left"/>
    </xf>
    <xf numFmtId="0" fontId="5" fillId="0" borderId="0"/>
    <xf numFmtId="0" fontId="5" fillId="0" borderId="0"/>
    <xf numFmtId="0" fontId="1" fillId="0" borderId="0"/>
    <xf numFmtId="0" fontId="1" fillId="0" borderId="0">
      <alignment horizontal="left"/>
    </xf>
    <xf numFmtId="0" fontId="5"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cellStyleXfs>
  <cellXfs count="173">
    <xf numFmtId="0" fontId="0" fillId="0" borderId="0" xfId="0"/>
    <xf numFmtId="0" fontId="3" fillId="0" borderId="1" xfId="0" applyFont="1" applyBorder="1" applyAlignment="1">
      <alignment horizontal="center"/>
    </xf>
    <xf numFmtId="0" fontId="3" fillId="0" borderId="1" xfId="0" applyFont="1" applyBorder="1"/>
    <xf numFmtId="49" fontId="3" fillId="0" borderId="1" xfId="0" applyNumberFormat="1" applyFont="1" applyBorder="1" applyAlignment="1">
      <alignment horizontal="center"/>
    </xf>
    <xf numFmtId="165" fontId="2" fillId="2"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167" fontId="3" fillId="0" borderId="1" xfId="0" applyNumberFormat="1" applyFont="1" applyBorder="1"/>
    <xf numFmtId="9" fontId="3" fillId="0" borderId="1" xfId="0" applyNumberFormat="1" applyFont="1" applyBorder="1"/>
    <xf numFmtId="166" fontId="3" fillId="0" borderId="0" xfId="0" applyNumberFormat="1" applyFont="1"/>
    <xf numFmtId="166" fontId="4" fillId="0" borderId="0" xfId="0" applyNumberFormat="1" applyFont="1"/>
    <xf numFmtId="164" fontId="7" fillId="3"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0" fontId="8" fillId="0" borderId="0" xfId="0" applyFont="1"/>
    <xf numFmtId="164" fontId="9" fillId="0" borderId="1" xfId="0" applyNumberFormat="1" applyFont="1" applyBorder="1"/>
    <xf numFmtId="0" fontId="9" fillId="0" borderId="1" xfId="0" applyFont="1" applyBorder="1"/>
    <xf numFmtId="49" fontId="9" fillId="0" borderId="1" xfId="0" applyNumberFormat="1" applyFont="1" applyBorder="1"/>
    <xf numFmtId="166" fontId="9" fillId="0" borderId="1" xfId="0" applyNumberFormat="1" applyFont="1" applyBorder="1"/>
    <xf numFmtId="49" fontId="9" fillId="0" borderId="1" xfId="0" applyNumberFormat="1" applyFont="1" applyBorder="1" applyAlignment="1">
      <alignment horizontal="center"/>
    </xf>
    <xf numFmtId="49" fontId="9" fillId="0" borderId="1" xfId="0" applyNumberFormat="1" applyFont="1" applyBorder="1" applyAlignment="1">
      <alignment horizontal="left"/>
    </xf>
    <xf numFmtId="0" fontId="9" fillId="0" borderId="1" xfId="0" applyFont="1" applyBorder="1" applyAlignment="1">
      <alignment horizontal="center"/>
    </xf>
    <xf numFmtId="164" fontId="8" fillId="0" borderId="0" xfId="0" applyNumberFormat="1" applyFont="1"/>
    <xf numFmtId="166" fontId="8" fillId="0" borderId="0" xfId="0" applyNumberFormat="1" applyFont="1"/>
    <xf numFmtId="165" fontId="7" fillId="2" borderId="1" xfId="0" applyNumberFormat="1" applyFont="1" applyFill="1" applyBorder="1" applyAlignment="1">
      <alignment horizontal="center" vertical="center"/>
    </xf>
    <xf numFmtId="167" fontId="9" fillId="0" borderId="1" xfId="0" applyNumberFormat="1" applyFont="1" applyBorder="1"/>
    <xf numFmtId="9" fontId="9" fillId="0" borderId="1" xfId="0" applyNumberFormat="1" applyFont="1" applyBorder="1"/>
    <xf numFmtId="166" fontId="9" fillId="0" borderId="0" xfId="0" applyNumberFormat="1" applyFont="1"/>
    <xf numFmtId="166" fontId="10" fillId="0" borderId="0" xfId="0" applyNumberFormat="1" applyFont="1"/>
    <xf numFmtId="0" fontId="8" fillId="0" borderId="0" xfId="0" applyFont="1" applyAlignment="1">
      <alignment horizontal="centerContinuous"/>
    </xf>
    <xf numFmtId="0" fontId="11" fillId="0" borderId="0" xfId="0" applyFont="1" applyAlignment="1">
      <alignment horizontal="center"/>
    </xf>
    <xf numFmtId="0" fontId="9" fillId="0" borderId="1" xfId="0" applyFont="1" applyBorder="1" applyAlignment="1">
      <alignment horizontal="left"/>
    </xf>
    <xf numFmtId="43" fontId="9" fillId="0" borderId="1" xfId="7" applyFont="1" applyBorder="1"/>
    <xf numFmtId="0" fontId="10" fillId="7" borderId="2" xfId="0" applyFont="1" applyFill="1" applyBorder="1" applyAlignment="1">
      <alignment horizontal="right"/>
    </xf>
    <xf numFmtId="7" fontId="10" fillId="7" borderId="2" xfId="0" applyNumberFormat="1" applyFont="1" applyFill="1" applyBorder="1"/>
    <xf numFmtId="0" fontId="9" fillId="0" borderId="0" xfId="0" applyFont="1" applyAlignment="1">
      <alignment horizontal="left"/>
    </xf>
    <xf numFmtId="43" fontId="8" fillId="0" borderId="0" xfId="7" applyFont="1"/>
    <xf numFmtId="7" fontId="10" fillId="7" borderId="2" xfId="7" applyNumberFormat="1" applyFont="1" applyFill="1" applyBorder="1"/>
    <xf numFmtId="7" fontId="8" fillId="0" borderId="0" xfId="0" applyNumberFormat="1" applyFont="1"/>
    <xf numFmtId="0" fontId="11" fillId="0" borderId="0" xfId="0" applyFont="1" applyAlignment="1">
      <alignment horizontal="right"/>
    </xf>
    <xf numFmtId="7" fontId="10" fillId="0" borderId="0" xfId="0" applyNumberFormat="1" applyFont="1"/>
    <xf numFmtId="0" fontId="8" fillId="0" borderId="0" xfId="0" applyFont="1" applyAlignment="1">
      <alignment horizontal="right"/>
    </xf>
    <xf numFmtId="167" fontId="11" fillId="0" borderId="0" xfId="0" applyNumberFormat="1" applyFont="1"/>
    <xf numFmtId="0" fontId="12" fillId="0" borderId="0" xfId="0" applyFont="1"/>
    <xf numFmtId="0" fontId="13" fillId="0" borderId="0" xfId="0" applyFont="1"/>
    <xf numFmtId="0" fontId="7" fillId="2" borderId="1" xfId="0" applyFont="1" applyFill="1" applyBorder="1" applyAlignment="1">
      <alignment horizontal="center" vertical="center"/>
    </xf>
    <xf numFmtId="10" fontId="9" fillId="0" borderId="1" xfId="0" applyNumberFormat="1" applyFont="1" applyBorder="1"/>
    <xf numFmtId="9" fontId="9" fillId="0" borderId="0" xfId="0" applyNumberFormat="1" applyFont="1"/>
    <xf numFmtId="0" fontId="8" fillId="0" borderId="1" xfId="0" applyFont="1" applyBorder="1" applyAlignment="1">
      <alignment horizontal="center"/>
    </xf>
    <xf numFmtId="0" fontId="10" fillId="0" borderId="1" xfId="0" applyFont="1" applyBorder="1"/>
    <xf numFmtId="10" fontId="10" fillId="0" borderId="1" xfId="0" applyNumberFormat="1" applyFont="1" applyBorder="1"/>
    <xf numFmtId="0" fontId="8" fillId="0" borderId="0" xfId="0" pivotButton="1" applyFont="1"/>
    <xf numFmtId="43" fontId="8" fillId="0" borderId="0" xfId="0" applyNumberFormat="1" applyFont="1"/>
    <xf numFmtId="2" fontId="9" fillId="0" borderId="1" xfId="0" applyNumberFormat="1" applyFont="1" applyBorder="1" applyAlignment="1">
      <alignment horizontal="center"/>
    </xf>
    <xf numFmtId="0" fontId="15" fillId="0" borderId="0" xfId="0" applyFont="1"/>
    <xf numFmtId="0" fontId="16" fillId="0" borderId="0" xfId="0" applyFont="1"/>
    <xf numFmtId="0" fontId="13" fillId="0" borderId="0" xfId="0" applyFont="1" applyAlignment="1">
      <alignment vertical="top"/>
    </xf>
    <xf numFmtId="0" fontId="13" fillId="0" borderId="0" xfId="0" applyFont="1" applyAlignment="1">
      <alignment vertical="top" wrapText="1"/>
    </xf>
    <xf numFmtId="0" fontId="7" fillId="10" borderId="1" xfId="0" applyFont="1" applyFill="1" applyBorder="1" applyAlignment="1">
      <alignment horizontal="center" vertical="center" wrapText="1"/>
    </xf>
    <xf numFmtId="165" fontId="9" fillId="0" borderId="1" xfId="0" applyNumberFormat="1" applyFont="1" applyBorder="1" applyAlignment="1">
      <alignment horizontal="center"/>
    </xf>
    <xf numFmtId="174" fontId="9" fillId="0" borderId="1" xfId="0" applyNumberFormat="1" applyFont="1" applyBorder="1"/>
    <xf numFmtId="174" fontId="17" fillId="0" borderId="1" xfId="0" applyNumberFormat="1" applyFont="1" applyBorder="1"/>
    <xf numFmtId="171" fontId="9" fillId="0" borderId="1" xfId="0" applyNumberFormat="1" applyFont="1" applyBorder="1"/>
    <xf numFmtId="176" fontId="8" fillId="0" borderId="0" xfId="7" applyNumberFormat="1" applyFont="1"/>
    <xf numFmtId="174" fontId="9" fillId="0" borderId="1" xfId="0" applyNumberFormat="1" applyFont="1" applyBorder="1" applyAlignment="1"/>
    <xf numFmtId="174" fontId="17" fillId="0" borderId="1" xfId="0" applyNumberFormat="1" applyFont="1" applyBorder="1" applyAlignment="1"/>
    <xf numFmtId="171" fontId="9" fillId="0" borderId="1" xfId="0" applyNumberFormat="1" applyFont="1" applyBorder="1" applyAlignment="1"/>
    <xf numFmtId="176" fontId="11" fillId="0" borderId="3" xfId="7" applyNumberFormat="1" applyFont="1" applyBorder="1"/>
    <xf numFmtId="0" fontId="8" fillId="0" borderId="0" xfId="0" applyFont="1" applyBorder="1" applyAlignment="1">
      <alignment horizontal="center"/>
    </xf>
    <xf numFmtId="0" fontId="10" fillId="0" borderId="0" xfId="0" applyFont="1" applyBorder="1" applyAlignment="1">
      <alignment horizontal="right"/>
    </xf>
    <xf numFmtId="43" fontId="10" fillId="0" borderId="3" xfId="0" applyNumberFormat="1" applyFont="1" applyBorder="1"/>
    <xf numFmtId="0" fontId="13" fillId="0" borderId="0" xfId="0" applyFont="1" applyAlignment="1">
      <alignment vertical="top" wrapText="1"/>
    </xf>
    <xf numFmtId="180" fontId="11" fillId="0" borderId="0" xfId="0" applyNumberFormat="1" applyFont="1"/>
    <xf numFmtId="2" fontId="8" fillId="0" borderId="0" xfId="0" applyNumberFormat="1" applyFont="1"/>
    <xf numFmtId="0" fontId="11" fillId="0" borderId="10" xfId="0" applyFont="1" applyBorder="1"/>
    <xf numFmtId="10" fontId="8" fillId="0" borderId="0" xfId="9" applyNumberFormat="1" applyFont="1"/>
    <xf numFmtId="0" fontId="11" fillId="0" borderId="0" xfId="0" applyFont="1" applyBorder="1"/>
    <xf numFmtId="2" fontId="8" fillId="12" borderId="0" xfId="0" applyNumberFormat="1" applyFont="1" applyFill="1"/>
    <xf numFmtId="43" fontId="8" fillId="12" borderId="0" xfId="7" applyFont="1" applyFill="1"/>
    <xf numFmtId="0" fontId="11" fillId="0" borderId="6" xfId="0" applyFont="1" applyBorder="1"/>
    <xf numFmtId="0" fontId="11" fillId="8" borderId="7" xfId="0" applyFont="1" applyFill="1" applyBorder="1"/>
    <xf numFmtId="180" fontId="11" fillId="8" borderId="7" xfId="8" applyNumberFormat="1" applyFont="1" applyFill="1" applyBorder="1"/>
    <xf numFmtId="0" fontId="11" fillId="4" borderId="0" xfId="0" applyFont="1" applyFill="1"/>
    <xf numFmtId="0" fontId="18" fillId="0" borderId="0" xfId="0" applyFont="1" applyAlignment="1">
      <alignment horizontal="center"/>
    </xf>
    <xf numFmtId="0" fontId="19" fillId="5" borderId="0" xfId="0" applyFont="1" applyFill="1" applyAlignment="1">
      <alignment horizontal="center"/>
    </xf>
    <xf numFmtId="167" fontId="9" fillId="0" borderId="0" xfId="0" applyNumberFormat="1" applyFont="1"/>
    <xf numFmtId="168" fontId="20" fillId="5" borderId="0" xfId="0" applyNumberFormat="1" applyFont="1" applyFill="1"/>
    <xf numFmtId="167" fontId="8" fillId="0" borderId="0" xfId="0" applyNumberFormat="1" applyFont="1"/>
    <xf numFmtId="168" fontId="9" fillId="0" borderId="0" xfId="0" applyNumberFormat="1" applyFont="1"/>
    <xf numFmtId="168" fontId="8" fillId="0" borderId="0" xfId="0" applyNumberFormat="1" applyFont="1"/>
    <xf numFmtId="168" fontId="10" fillId="0" borderId="2" xfId="0" applyNumberFormat="1" applyFont="1" applyBorder="1"/>
    <xf numFmtId="168" fontId="20" fillId="5" borderId="2" xfId="0" applyNumberFormat="1" applyFont="1" applyFill="1" applyBorder="1"/>
    <xf numFmtId="168" fontId="9" fillId="5" borderId="2" xfId="0" applyNumberFormat="1" applyFont="1" applyFill="1" applyBorder="1"/>
    <xf numFmtId="49" fontId="8" fillId="6" borderId="0" xfId="0" applyNumberFormat="1" applyFont="1" applyFill="1"/>
    <xf numFmtId="0" fontId="8" fillId="6" borderId="0" xfId="0" applyFont="1" applyFill="1"/>
    <xf numFmtId="168" fontId="9" fillId="6" borderId="0" xfId="0" applyNumberFormat="1" applyFont="1" applyFill="1"/>
    <xf numFmtId="168" fontId="20" fillId="6" borderId="0" xfId="0" applyNumberFormat="1" applyFont="1" applyFill="1"/>
    <xf numFmtId="168" fontId="8" fillId="6" borderId="0" xfId="0" applyNumberFormat="1" applyFont="1" applyFill="1"/>
    <xf numFmtId="168" fontId="19" fillId="0" borderId="0" xfId="0" applyNumberFormat="1" applyFont="1"/>
    <xf numFmtId="168" fontId="11" fillId="0" borderId="2" xfId="0" applyNumberFormat="1" applyFont="1" applyBorder="1"/>
    <xf numFmtId="168" fontId="21" fillId="0" borderId="2" xfId="0" applyNumberFormat="1" applyFont="1" applyBorder="1"/>
    <xf numFmtId="168" fontId="11" fillId="0" borderId="3" xfId="0" applyNumberFormat="1" applyFont="1" applyBorder="1"/>
    <xf numFmtId="168" fontId="21" fillId="0" borderId="3" xfId="0" applyNumberFormat="1" applyFont="1" applyBorder="1"/>
    <xf numFmtId="168" fontId="8" fillId="0" borderId="3" xfId="0" applyNumberFormat="1" applyFont="1" applyBorder="1"/>
    <xf numFmtId="0" fontId="8" fillId="4" borderId="0" xfId="0" applyFont="1" applyFill="1" applyAlignment="1">
      <alignment horizontal="left"/>
    </xf>
    <xf numFmtId="0" fontId="8" fillId="4" borderId="0" xfId="0" applyFont="1" applyFill="1"/>
    <xf numFmtId="0" fontId="8" fillId="0" borderId="0" xfId="0" applyFont="1" applyAlignment="1">
      <alignment horizontal="left"/>
    </xf>
    <xf numFmtId="0" fontId="8" fillId="0" borderId="0" xfId="0" applyFont="1" applyAlignment="1">
      <alignment horizontal="center"/>
    </xf>
    <xf numFmtId="167" fontId="20" fillId="5" borderId="0" xfId="0" applyNumberFormat="1" applyFont="1" applyFill="1"/>
    <xf numFmtId="167" fontId="20" fillId="5" borderId="2" xfId="0" applyNumberFormat="1" applyFont="1" applyFill="1" applyBorder="1"/>
    <xf numFmtId="168" fontId="8" fillId="5" borderId="0" xfId="0" applyNumberFormat="1" applyFont="1" applyFill="1"/>
    <xf numFmtId="168" fontId="21" fillId="5" borderId="2" xfId="0" applyNumberFormat="1" applyFont="1" applyFill="1" applyBorder="1"/>
    <xf numFmtId="168" fontId="8" fillId="5" borderId="2" xfId="0" applyNumberFormat="1" applyFont="1" applyFill="1" applyBorder="1"/>
    <xf numFmtId="0" fontId="7" fillId="3" borderId="1" xfId="0" applyFont="1" applyFill="1" applyBorder="1" applyAlignment="1">
      <alignment horizontal="left" vertical="center"/>
    </xf>
    <xf numFmtId="169" fontId="9" fillId="0" borderId="1" xfId="0" applyNumberFormat="1" applyFont="1" applyBorder="1"/>
    <xf numFmtId="0" fontId="8" fillId="0" borderId="1" xfId="0" applyFont="1" applyBorder="1"/>
    <xf numFmtId="171" fontId="10" fillId="0" borderId="1" xfId="0" applyNumberFormat="1" applyFont="1" applyBorder="1"/>
    <xf numFmtId="9" fontId="8" fillId="0" borderId="1" xfId="0" applyNumberFormat="1" applyFont="1" applyBorder="1"/>
    <xf numFmtId="169" fontId="8" fillId="0" borderId="1" xfId="0" applyNumberFormat="1" applyFont="1" applyBorder="1"/>
    <xf numFmtId="166" fontId="10" fillId="0" borderId="1" xfId="0" applyNumberFormat="1" applyFont="1" applyBorder="1"/>
    <xf numFmtId="4" fontId="8" fillId="0" borderId="0" xfId="0" applyNumberFormat="1" applyFont="1"/>
    <xf numFmtId="0" fontId="10" fillId="0" borderId="0" xfId="0" applyFont="1"/>
    <xf numFmtId="166" fontId="11" fillId="0" borderId="3" xfId="0" applyNumberFormat="1" applyFont="1" applyBorder="1"/>
    <xf numFmtId="166" fontId="11" fillId="0" borderId="2" xfId="0" applyNumberFormat="1" applyFont="1" applyBorder="1"/>
    <xf numFmtId="43" fontId="11" fillId="0" borderId="3" xfId="7" applyFont="1" applyBorder="1"/>
    <xf numFmtId="9" fontId="11" fillId="11" borderId="11" xfId="0" applyNumberFormat="1" applyFont="1" applyFill="1" applyBorder="1"/>
    <xf numFmtId="0" fontId="11" fillId="11" borderId="12" xfId="0" applyFont="1" applyFill="1" applyBorder="1"/>
    <xf numFmtId="9" fontId="11" fillId="11" borderId="13" xfId="0" applyNumberFormat="1" applyFont="1" applyFill="1" applyBorder="1"/>
    <xf numFmtId="0" fontId="11" fillId="11" borderId="14" xfId="0" applyFont="1" applyFill="1" applyBorder="1"/>
    <xf numFmtId="0" fontId="9" fillId="0" borderId="15" xfId="0" applyFont="1" applyBorder="1" applyAlignment="1">
      <alignment horizontal="left"/>
    </xf>
    <xf numFmtId="0" fontId="8" fillId="0" borderId="15" xfId="0" applyFont="1" applyBorder="1"/>
    <xf numFmtId="0" fontId="8" fillId="0" borderId="0" xfId="0" applyFont="1"/>
    <xf numFmtId="0" fontId="8" fillId="0" borderId="0" xfId="0" applyFont="1" applyAlignment="1"/>
    <xf numFmtId="0" fontId="10" fillId="0" borderId="0" xfId="0" applyFont="1" applyBorder="1"/>
    <xf numFmtId="0" fontId="8" fillId="0" borderId="0" xfId="0" applyFont="1" applyBorder="1"/>
    <xf numFmtId="166" fontId="8" fillId="0" borderId="0" xfId="0" applyNumberFormat="1" applyFont="1" applyBorder="1"/>
    <xf numFmtId="166" fontId="10" fillId="0" borderId="0" xfId="0" applyNumberFormat="1" applyFont="1" applyBorder="1"/>
    <xf numFmtId="0" fontId="9" fillId="0" borderId="0" xfId="0" applyFont="1" applyBorder="1"/>
    <xf numFmtId="166" fontId="9" fillId="0" borderId="0" xfId="0" applyNumberFormat="1" applyFont="1" applyBorder="1"/>
    <xf numFmtId="43" fontId="10" fillId="0" borderId="1" xfId="7" applyFont="1" applyBorder="1"/>
    <xf numFmtId="165" fontId="7" fillId="0" borderId="0" xfId="0" applyNumberFormat="1" applyFont="1" applyFill="1" applyAlignment="1"/>
    <xf numFmtId="165" fontId="7" fillId="9" borderId="9" xfId="0" applyNumberFormat="1" applyFont="1" applyFill="1" applyBorder="1" applyAlignment="1"/>
    <xf numFmtId="1" fontId="7" fillId="9" borderId="9" xfId="0" applyNumberFormat="1" applyFont="1" applyFill="1" applyBorder="1" applyAlignment="1"/>
    <xf numFmtId="0" fontId="14" fillId="9" borderId="8" xfId="0" applyFont="1" applyFill="1" applyBorder="1"/>
    <xf numFmtId="165" fontId="7" fillId="9" borderId="9" xfId="0" applyNumberFormat="1" applyFont="1" applyFill="1" applyBorder="1" applyAlignment="1">
      <alignment horizontal="center" wrapText="1"/>
    </xf>
    <xf numFmtId="164" fontId="7" fillId="13" borderId="1" xfId="0" applyNumberFormat="1" applyFont="1" applyFill="1" applyBorder="1" applyAlignment="1">
      <alignment horizontal="center" vertical="center"/>
    </xf>
    <xf numFmtId="170" fontId="7" fillId="13" borderId="1" xfId="0" applyNumberFormat="1" applyFont="1" applyFill="1" applyBorder="1" applyAlignment="1">
      <alignment horizontal="center" vertical="center"/>
    </xf>
    <xf numFmtId="0" fontId="22" fillId="0" borderId="0" xfId="0" applyFont="1"/>
    <xf numFmtId="43" fontId="9" fillId="14" borderId="1" xfId="7" applyFont="1" applyFill="1" applyBorder="1"/>
    <xf numFmtId="0" fontId="10" fillId="0" borderId="1" xfId="0" applyFont="1" applyBorder="1" applyAlignment="1">
      <alignment horizontal="right"/>
    </xf>
    <xf numFmtId="0" fontId="23" fillId="0" borderId="0" xfId="0" applyFont="1" applyAlignment="1">
      <alignment horizontal="left" vertical="top"/>
    </xf>
    <xf numFmtId="0" fontId="24" fillId="0" borderId="0" xfId="0" applyFont="1"/>
    <xf numFmtId="0" fontId="16" fillId="0" borderId="1" xfId="0" applyFont="1" applyBorder="1" applyAlignment="1">
      <alignment horizontal="left" vertical="top" wrapText="1"/>
    </xf>
    <xf numFmtId="0" fontId="16" fillId="0" borderId="0" xfId="0" applyFont="1" applyBorder="1" applyAlignment="1">
      <alignment vertical="top" wrapText="1"/>
    </xf>
    <xf numFmtId="0" fontId="9" fillId="0" borderId="0" xfId="0" applyFont="1"/>
    <xf numFmtId="171" fontId="9" fillId="0" borderId="0" xfId="0" applyNumberFormat="1" applyFont="1"/>
    <xf numFmtId="171" fontId="10" fillId="0" borderId="4" xfId="0" applyNumberFormat="1" applyFont="1" applyBorder="1"/>
    <xf numFmtId="171" fontId="10" fillId="0" borderId="5" xfId="0" applyNumberFormat="1" applyFont="1" applyBorder="1"/>
    <xf numFmtId="0" fontId="9" fillId="0" borderId="0" xfId="0" applyFont="1" applyAlignment="1">
      <alignment vertical="top" wrapText="1"/>
    </xf>
    <xf numFmtId="165" fontId="7" fillId="9" borderId="9" xfId="0" applyNumberFormat="1" applyFont="1" applyFill="1" applyBorder="1" applyAlignment="1">
      <alignment horizontal="center" vertical="center" wrapText="1"/>
    </xf>
    <xf numFmtId="0" fontId="8" fillId="0" borderId="0" xfId="0" applyFont="1" applyFill="1"/>
    <xf numFmtId="0" fontId="25" fillId="15" borderId="1" xfId="0" applyFont="1" applyFill="1" applyBorder="1" applyAlignment="1">
      <alignment horizontal="center" vertical="center" wrapText="1"/>
    </xf>
    <xf numFmtId="0" fontId="8" fillId="15" borderId="0" xfId="0" applyFont="1" applyFill="1"/>
    <xf numFmtId="0" fontId="9" fillId="15" borderId="0" xfId="0" applyFont="1" applyFill="1"/>
    <xf numFmtId="0" fontId="9" fillId="15" borderId="1" xfId="0" applyFont="1" applyFill="1" applyBorder="1" applyAlignment="1">
      <alignment horizontal="left"/>
    </xf>
    <xf numFmtId="0" fontId="9" fillId="16" borderId="1" xfId="0" applyFont="1" applyFill="1" applyBorder="1" applyAlignment="1">
      <alignment horizontal="left"/>
    </xf>
    <xf numFmtId="0" fontId="26" fillId="0" borderId="0" xfId="0" applyFont="1"/>
    <xf numFmtId="0" fontId="16" fillId="0" borderId="0" xfId="0" applyFont="1" applyAlignment="1">
      <alignment horizontal="left"/>
    </xf>
    <xf numFmtId="0" fontId="26" fillId="0" borderId="0" xfId="0" applyFont="1" applyFill="1"/>
    <xf numFmtId="0" fontId="29" fillId="0" borderId="0" xfId="0" applyFont="1" applyAlignment="1">
      <alignment vertical="top"/>
    </xf>
    <xf numFmtId="0" fontId="8" fillId="0" borderId="0" xfId="0" applyNumberFormat="1" applyFont="1" applyAlignment="1">
      <alignment horizontal="left"/>
    </xf>
    <xf numFmtId="0" fontId="27" fillId="17" borderId="1" xfId="0" applyFont="1" applyFill="1" applyBorder="1" applyAlignment="1">
      <alignment horizontal="center" vertical="center" wrapText="1"/>
    </xf>
    <xf numFmtId="0" fontId="28" fillId="18" borderId="16" xfId="0" applyFont="1" applyFill="1" applyBorder="1" applyAlignment="1">
      <alignment horizontal="left" vertical="top" wrapText="1"/>
    </xf>
    <xf numFmtId="0" fontId="28" fillId="18" borderId="17" xfId="0" applyFont="1" applyFill="1" applyBorder="1" applyAlignment="1">
      <alignment horizontal="left" vertical="top" wrapText="1"/>
    </xf>
    <xf numFmtId="49" fontId="9" fillId="0" borderId="0" xfId="0" applyNumberFormat="1" applyFont="1"/>
  </cellXfs>
  <cellStyles count="10">
    <cellStyle name="Comma" xfId="7" builtinId="3"/>
    <cellStyle name="Currency" xfId="8" builtinId="4"/>
    <cellStyle name="Normal" xfId="0" builtinId="0"/>
    <cellStyle name="Percent" xfId="9" builtinId="5"/>
    <cellStyle name="Pivot Table Category" xfId="1" xr:uid="{00000000-0005-0000-0000-000001000000}"/>
    <cellStyle name="Pivot Table Corner" xfId="2" xr:uid="{00000000-0005-0000-0000-000002000000}"/>
    <cellStyle name="Pivot Table Field" xfId="3" xr:uid="{00000000-0005-0000-0000-000003000000}"/>
    <cellStyle name="Pivot Table Result" xfId="4" xr:uid="{00000000-0005-0000-0000-000004000000}"/>
    <cellStyle name="Pivot Table Title" xfId="5" xr:uid="{00000000-0005-0000-0000-000005000000}"/>
    <cellStyle name="Pivot Table Value" xfId="6" xr:uid="{00000000-0005-0000-0000-000006000000}"/>
  </cellStyles>
  <dxfs count="127">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fgColor theme="4" tint="-0.249977111117893"/>
          <bgColor theme="4" tint="-0.249977111117893"/>
        </patternFill>
      </fill>
    </dxf>
    <dxf>
      <numFmt numFmtId="165" formatCode="[$-409]mmm\-yy;@"/>
    </dxf>
    <dxf>
      <numFmt numFmtId="0" formatCode="General"/>
      <fill>
        <patternFill patternType="none">
          <fgColor indexed="64"/>
          <bgColor indexed="65"/>
        </patternFill>
      </fill>
      <alignment horizontal="general" vertical="bottom" textRotation="0" wrapText="0" indent="0" justifyLastLine="0" shrinkToFit="0" readingOrder="0"/>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strike val="0"/>
        <outline val="0"/>
        <shadow val="0"/>
        <u val="none"/>
        <vertAlign val="baseline"/>
        <name val="Helvetica Light"/>
        <scheme val="none"/>
      </font>
    </dxf>
    <dxf>
      <font>
        <strike val="0"/>
        <outline val="0"/>
        <shadow val="0"/>
        <u val="none"/>
        <vertAlign val="baseline"/>
        <name val="Helvetica Light"/>
        <scheme val="none"/>
      </font>
    </dxf>
    <dxf>
      <font>
        <strike val="0"/>
        <outline val="0"/>
        <shadow val="0"/>
        <u val="none"/>
        <vertAlign val="baseline"/>
        <name val="Helvetica Light"/>
        <scheme val="none"/>
      </font>
    </dxf>
    <dxf>
      <font>
        <strike val="0"/>
        <outline val="0"/>
        <shadow val="0"/>
        <u val="none"/>
        <vertAlign val="baseline"/>
        <name val="Helvetica Light"/>
        <scheme val="none"/>
      </font>
    </dxf>
    <dxf>
      <font>
        <strike val="0"/>
        <outline val="0"/>
        <shadow val="0"/>
        <u val="none"/>
        <vertAlign val="baseline"/>
        <name val="Helvetica Light"/>
        <scheme val="none"/>
      </font>
    </dxf>
    <dxf>
      <font>
        <strike val="0"/>
        <outline val="0"/>
        <shadow val="0"/>
        <u val="none"/>
        <vertAlign val="baseline"/>
        <name val="Helvetica Light"/>
        <scheme val="none"/>
      </font>
    </dxf>
    <dxf>
      <font>
        <strike val="0"/>
        <outline val="0"/>
        <shadow val="0"/>
        <u val="none"/>
        <vertAlign val="baseline"/>
        <name val="Helvetica Light"/>
        <scheme val="none"/>
      </font>
    </dxf>
    <dxf>
      <font>
        <strike val="0"/>
        <outline val="0"/>
        <shadow val="0"/>
        <u val="none"/>
        <vertAlign val="baseline"/>
        <name val="Helvetica Light"/>
        <scheme val="none"/>
      </font>
    </dxf>
    <dxf>
      <font>
        <strike val="0"/>
        <outline val="0"/>
        <shadow val="0"/>
        <u val="none"/>
        <vertAlign val="baseline"/>
        <name val="Helvetica Light"/>
        <scheme val="none"/>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name val="Helvetica Light"/>
      </font>
    </dxf>
    <dxf>
      <font>
        <b/>
      </font>
    </dxf>
    <dxf>
      <numFmt numFmtId="180" formatCode="&quot;$&quot;#,##0.00"/>
    </dxf>
    <dxf>
      <alignment horizontal="left"/>
    </dxf>
    <dxf>
      <alignment horizontal="left"/>
    </dxf>
    <dxf>
      <font>
        <b/>
        <sz val="10"/>
        <color rgb="FFFFFFFF"/>
        <name val="Arial"/>
      </font>
      <fill>
        <patternFill patternType="solid">
          <fgColor rgb="FF1F497D"/>
          <bgColor rgb="FF1F4E78"/>
        </patternFill>
      </fill>
      <alignment horizontal="center" vertical="center"/>
    </dxf>
    <dxf>
      <font>
        <b/>
        <sz val="10"/>
        <color rgb="FFFFFFFF"/>
        <name val="Arial"/>
      </font>
      <fill>
        <patternFill patternType="solid">
          <fgColor rgb="FF1F497D"/>
          <bgColor rgb="FF1F4E78"/>
        </patternFill>
      </fill>
      <alignment horizontal="center" vertical="center"/>
    </dxf>
    <dxf>
      <font>
        <b/>
        <sz val="10"/>
        <color rgb="FFFFFFFF"/>
        <name val="Arial"/>
      </font>
      <numFmt numFmtId="165" formatCode="[$-409]mmm\-yy;@"/>
      <fill>
        <patternFill patternType="solid">
          <fgColor rgb="FF1F497D"/>
          <bgColor rgb="FF1F4E78"/>
        </patternFill>
      </fill>
      <alignment horizontal="center" vertical="center"/>
    </dxf>
    <dxf>
      <font>
        <b/>
        <sz val="10"/>
        <color rgb="FFFFFFFF"/>
        <name val="Arial"/>
      </font>
      <numFmt numFmtId="165" formatCode="[$-409]mmm\-yy;@"/>
      <fill>
        <patternFill patternType="solid">
          <fgColor rgb="FF1F497D"/>
          <bgColor rgb="FF1F4E78"/>
        </patternFill>
      </fill>
      <alignment horizontal="center" vertical="center"/>
    </dxf>
    <dxf>
      <font>
        <b/>
        <sz val="10"/>
        <color rgb="FFFFFFFF"/>
        <name val="Arial"/>
      </font>
      <numFmt numFmtId="165" formatCode="[$-409]mmm\-yy;@"/>
      <fill>
        <patternFill patternType="solid">
          <fgColor rgb="FF1F497D"/>
          <bgColor rgb="FF1F4E78"/>
        </patternFill>
      </fill>
      <alignment horizontal="center" vertical="center"/>
    </dxf>
    <dxf>
      <font>
        <b/>
        <sz val="10"/>
        <color rgb="FFFFFFFF"/>
        <name val="Arial"/>
      </font>
      <numFmt numFmtId="165" formatCode="[$-409]mmm\-yy;@"/>
      <fill>
        <patternFill patternType="solid">
          <fgColor rgb="FF1F497D"/>
          <bgColor rgb="FF1F4E78"/>
        </patternFill>
      </fill>
      <alignment horizontal="center" vertical="center"/>
    </dxf>
    <dxf>
      <font>
        <b/>
        <sz val="10"/>
        <color rgb="FFFFFFFF"/>
        <name val="Arial"/>
      </font>
      <numFmt numFmtId="165" formatCode="[$-409]mmm\-yy;@"/>
      <fill>
        <patternFill patternType="solid">
          <fgColor rgb="FF1F497D"/>
          <bgColor rgb="FF1F4E78"/>
        </patternFill>
      </fill>
      <alignment horizontal="center" vertical="center"/>
    </dxf>
    <dxf>
      <font>
        <b/>
        <sz val="10"/>
        <color rgb="FFFFFFFF"/>
        <name val="Arial"/>
      </font>
      <numFmt numFmtId="165" formatCode="[$-409]mmm\-yy;@"/>
      <fill>
        <patternFill patternType="solid">
          <fgColor rgb="FF1F497D"/>
          <bgColor rgb="FF1F4E78"/>
        </patternFill>
      </fill>
      <alignment horizontal="center" vertical="center"/>
    </dxf>
    <dxf>
      <numFmt numFmtId="35" formatCode="_(* #,##0.00_);_(* \(#,##0.00\);_(* &quot;-&quot;??_);_(@_)"/>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B7B7B7"/>
      <rgbColor rgb="FF808080"/>
      <rgbColor rgb="FF9999FF"/>
      <rgbColor rgb="FF993366"/>
      <rgbColor rgb="FFF2F2F2"/>
      <rgbColor rgb="FFDC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EECE1"/>
      <rgbColor rgb="FFC6EFCE"/>
      <rgbColor rgb="FFFFFF99"/>
      <rgbColor rgb="FF99CCFF"/>
      <rgbColor rgb="FFFF99CC"/>
      <rgbColor rgb="FFCC99FF"/>
      <rgbColor rgb="FFFFC7CE"/>
      <rgbColor rgb="FF3366FF"/>
      <rgbColor rgb="FF33CCCC"/>
      <rgbColor rgb="FF99CC00"/>
      <rgbColor rgb="FFFFCC00"/>
      <rgbColor rgb="FFF79646"/>
      <rgbColor rgb="FFFF6600"/>
      <rgbColor rgb="FF666699"/>
      <rgbColor rgb="FF948A54"/>
      <rgbColor rgb="FF1F4E78"/>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mruColors>
      <color rgb="FF00F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2.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1.xml"/><Relationship Id="rId27"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cap="none" baseline="0">
                <a:solidFill>
                  <a:schemeClr val="lt1">
                    <a:lumMod val="85000"/>
                  </a:schemeClr>
                </a:solidFill>
                <a:latin typeface="HELVETICA LIGHT" panose="020B0403020202020204" pitchFamily="34" charset="0"/>
                <a:ea typeface="+mn-ea"/>
                <a:cs typeface="+mn-cs"/>
              </a:defRPr>
            </a:pPr>
            <a:r>
              <a:rPr lang="en-US" baseline="0">
                <a:latin typeface="Helvetica Light" panose="020B0403020202020204" pitchFamily="34" charset="0"/>
              </a:rPr>
              <a:t>Monthly Cash Forecast - FY25 &amp; FY26</a:t>
            </a:r>
          </a:p>
        </c:rich>
      </c:tx>
      <c:overlay val="0"/>
      <c:spPr>
        <a:noFill/>
        <a:ln>
          <a:noFill/>
        </a:ln>
        <a:effectLst/>
      </c:spPr>
      <c:txPr>
        <a:bodyPr rot="0" spcFirstLastPara="1" vertOverflow="ellipsis" vert="horz" wrap="square" anchor="ctr" anchorCtr="1"/>
        <a:lstStyle/>
        <a:p>
          <a:pPr>
            <a:defRPr sz="1400" b="1" i="0" u="none" strike="noStrike" kern="1200" cap="none" baseline="0">
              <a:solidFill>
                <a:schemeClr val="lt1">
                  <a:lumMod val="85000"/>
                </a:schemeClr>
              </a:solidFill>
              <a:latin typeface="HELVETICA LIGHT" panose="020B0403020202020204" pitchFamily="34" charset="0"/>
              <a:ea typeface="+mn-ea"/>
              <a:cs typeface="+mn-cs"/>
            </a:defRPr>
          </a:pPr>
          <a:endParaRPr lang="en-US"/>
        </a:p>
      </c:txPr>
    </c:title>
    <c:autoTitleDeleted val="0"/>
    <c:plotArea>
      <c:layout/>
      <c:lineChart>
        <c:grouping val="stacked"/>
        <c:varyColors val="0"/>
        <c:ser>
          <c:idx val="2"/>
          <c:order val="0"/>
          <c:tx>
            <c:v>FY25</c:v>
          </c:tx>
          <c:spPr>
            <a:ln w="22225" cap="rnd">
              <a:solidFill>
                <a:schemeClr val="accent2">
                  <a:tint val="65000"/>
                </a:schemeClr>
              </a:solidFill>
            </a:ln>
            <a:effectLst>
              <a:glow rad="139700">
                <a:schemeClr val="accent2">
                  <a:tint val="65000"/>
                  <a:satMod val="175000"/>
                  <a:alpha val="14000"/>
                </a:schemeClr>
              </a:glow>
            </a:effectLst>
          </c:spPr>
          <c:marker>
            <c:symbol val="none"/>
          </c:marker>
          <c:dLbls>
            <c:delete val="1"/>
          </c:dLbls>
          <c:cat>
            <c:numRef>
              <c:f>'Cash Flow Forecast'!$C$6:$N$6</c:f>
              <c:numCache>
                <c:formatCode>[$-409]mmmm\-yy;@</c:formatCode>
                <c:ptCount val="12"/>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numCache>
            </c:numRef>
          </c:cat>
          <c:val>
            <c:numRef>
              <c:f>'Cash Flow Forecast'!$C$27:$N$27</c:f>
              <c:numCache>
                <c:formatCode>"$"#,##0.00_);\("$"#,##0.00\)</c:formatCode>
                <c:ptCount val="12"/>
                <c:pt idx="0">
                  <c:v>241914.31999999995</c:v>
                </c:pt>
                <c:pt idx="1">
                  <c:v>316619.01</c:v>
                </c:pt>
                <c:pt idx="2">
                  <c:v>375605.19000000012</c:v>
                </c:pt>
                <c:pt idx="3">
                  <c:v>399725.30000000016</c:v>
                </c:pt>
                <c:pt idx="4">
                  <c:v>482430.9200000001</c:v>
                </c:pt>
                <c:pt idx="5">
                  <c:v>562856.85000000033</c:v>
                </c:pt>
                <c:pt idx="6">
                  <c:v>526165.05000000051</c:v>
                </c:pt>
                <c:pt idx="7">
                  <c:v>687866.77000000037</c:v>
                </c:pt>
                <c:pt idx="8">
                  <c:v>762290.88000000035</c:v>
                </c:pt>
                <c:pt idx="9">
                  <c:v>786484.28000000049</c:v>
                </c:pt>
                <c:pt idx="10">
                  <c:v>829339.43000000063</c:v>
                </c:pt>
                <c:pt idx="11">
                  <c:v>883437.10000000079</c:v>
                </c:pt>
              </c:numCache>
            </c:numRef>
          </c:val>
          <c:smooth val="0"/>
          <c:extLst>
            <c:ext xmlns:c16="http://schemas.microsoft.com/office/drawing/2014/chart" uri="{C3380CC4-5D6E-409C-BE32-E72D297353CC}">
              <c16:uniqueId val="{00000000-7841-7448-A34A-5E7ADCF2FABA}"/>
            </c:ext>
          </c:extLst>
        </c:ser>
        <c:ser>
          <c:idx val="0"/>
          <c:order val="1"/>
          <c:tx>
            <c:v>FY26</c:v>
          </c:tx>
          <c:spPr>
            <a:ln w="22225" cap="rnd">
              <a:solidFill>
                <a:schemeClr val="accent2">
                  <a:shade val="65000"/>
                </a:schemeClr>
              </a:solidFill>
            </a:ln>
            <a:effectLst>
              <a:glow rad="139700">
                <a:schemeClr val="accent2">
                  <a:shade val="65000"/>
                  <a:satMod val="175000"/>
                  <a:alpha val="14000"/>
                </a:schemeClr>
              </a:glow>
            </a:effectLst>
          </c:spPr>
          <c:marker>
            <c:symbol val="none"/>
          </c:marker>
          <c:dLbls>
            <c:delete val="1"/>
          </c:dLbls>
          <c:cat>
            <c:numRef>
              <c:f>'Cash Flow Forecast'!$C$6:$N$6</c:f>
              <c:numCache>
                <c:formatCode>[$-409]mmmm\-yy;@</c:formatCode>
                <c:ptCount val="12"/>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numCache>
            </c:numRef>
          </c:cat>
          <c:val>
            <c:numRef>
              <c:f>'Cash Flow Forecast'!$C$55:$N$55</c:f>
              <c:numCache>
                <c:formatCode>"$"#,##0.00_);\("$"#,##0.00\)</c:formatCode>
                <c:ptCount val="12"/>
                <c:pt idx="0">
                  <c:v>871737.98710000084</c:v>
                </c:pt>
                <c:pt idx="1">
                  <c:v>922753.87640000065</c:v>
                </c:pt>
                <c:pt idx="2">
                  <c:v>954994.04900000058</c:v>
                </c:pt>
                <c:pt idx="3">
                  <c:v>952293.09080000059</c:v>
                </c:pt>
                <c:pt idx="4">
                  <c:v>999923.46230000048</c:v>
                </c:pt>
                <c:pt idx="5">
                  <c:v>970440.08020000067</c:v>
                </c:pt>
                <c:pt idx="6">
                  <c:v>899401.03990000067</c:v>
                </c:pt>
                <c:pt idx="7">
                  <c:v>978913.46800000104</c:v>
                </c:pt>
                <c:pt idx="8">
                  <c:v>1014193.7626000007</c:v>
                </c:pt>
                <c:pt idx="9">
                  <c:v>998783.54090000084</c:v>
                </c:pt>
                <c:pt idx="10">
                  <c:v>1001586.606600001</c:v>
                </c:pt>
                <c:pt idx="11">
                  <c:v>1008995.5879000011</c:v>
                </c:pt>
              </c:numCache>
            </c:numRef>
          </c:val>
          <c:smooth val="0"/>
          <c:extLst>
            <c:ext xmlns:c16="http://schemas.microsoft.com/office/drawing/2014/chart" uri="{C3380CC4-5D6E-409C-BE32-E72D297353CC}">
              <c16:uniqueId val="{00000001-7841-7448-A34A-5E7ADCF2FABA}"/>
            </c:ext>
          </c:extLst>
        </c:ser>
        <c:dLbls>
          <c:dLblPos val="ctr"/>
          <c:showLegendKey val="0"/>
          <c:showVal val="1"/>
          <c:showCatName val="0"/>
          <c:showSerName val="0"/>
          <c:showPercent val="0"/>
          <c:showBubbleSize val="0"/>
        </c:dLbls>
        <c:smooth val="0"/>
        <c:axId val="674847295"/>
        <c:axId val="674841023"/>
      </c:lineChart>
      <c:dateAx>
        <c:axId val="674847295"/>
        <c:scaling>
          <c:orientation val="minMax"/>
        </c:scaling>
        <c:delete val="0"/>
        <c:axPos val="b"/>
        <c:numFmt formatCode="[$-409]mmmmm;@"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Helvetica Light" panose="020B0403020202020204" pitchFamily="34" charset="0"/>
                <a:ea typeface="+mn-ea"/>
                <a:cs typeface="+mn-cs"/>
              </a:defRPr>
            </a:pPr>
            <a:endParaRPr lang="en-US"/>
          </a:p>
        </c:txPr>
        <c:crossAx val="674841023"/>
        <c:crosses val="autoZero"/>
        <c:auto val="0"/>
        <c:lblOffset val="100"/>
        <c:baseTimeUnit val="months"/>
      </c:dateAx>
      <c:valAx>
        <c:axId val="674841023"/>
        <c:scaling>
          <c:orientation val="minMax"/>
        </c:scaling>
        <c:delete val="0"/>
        <c:axPos val="l"/>
        <c:majorGridlines>
          <c:spPr>
            <a:ln w="9525" cap="flat" cmpd="sng" algn="ctr">
              <a:gradFill>
                <a:gsLst>
                  <a:gs pos="100000">
                    <a:schemeClr val="dk1">
                      <a:lumMod val="75000"/>
                      <a:lumOff val="25000"/>
                    </a:schemeClr>
                  </a:gs>
                  <a:gs pos="0">
                    <a:schemeClr val="dk1">
                      <a:lumMod val="65000"/>
                      <a:lumOff val="35000"/>
                    </a:schemeClr>
                  </a:gs>
                </a:gsLst>
                <a:lin ang="5400000" scaled="0"/>
              </a:gradFill>
              <a:round/>
            </a:ln>
            <a:effectLst/>
          </c:spPr>
        </c:majorGridlines>
        <c:numFmt formatCode="[&lt;1000000]&quot;$&quot;#,##0,&quot;K&quot;\ ;\ &quot;$&quot;#,##0.0,,&quot;M&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Helvetica Light" panose="020B0403020202020204" pitchFamily="34" charset="0"/>
                <a:ea typeface="+mn-ea"/>
                <a:cs typeface="+mn-cs"/>
              </a:defRPr>
            </a:pPr>
            <a:endParaRPr lang="en-US"/>
          </a:p>
        </c:txPr>
        <c:crossAx val="674847295"/>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Helvetica Light" panose="020B0403020202020204" pitchFamily="34" charset="0"/>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dk1">
        <a:lumMod val="75000"/>
        <a:lumOff val="25000"/>
      </a:schemeClr>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236">
  <cs:axisTitle>
    <cs:lnRef idx="0"/>
    <cs:fillRef idx="0"/>
    <cs:effectRef idx="0"/>
    <cs:fontRef idx="minor">
      <a:schemeClr val="lt1">
        <a:lumMod val="75000"/>
      </a:schemeClr>
    </cs:fontRef>
    <cs:defRPr sz="900" b="1"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dk1"/>
    </cs:fontRef>
    <cs:spPr>
      <a:solidFill>
        <a:schemeClr val="dk1">
          <a:lumMod val="75000"/>
          <a:lumOff val="25000"/>
        </a:schemeClr>
      </a:solidFill>
      <a:ln w="9525" cap="flat" cmpd="sng" algn="ctr">
        <a:solidFill>
          <a:schemeClr val="dk1">
            <a:lumMod val="15000"/>
            <a:lumOff val="85000"/>
          </a:schemeClr>
        </a:solidFill>
        <a:round/>
      </a:ln>
    </cs:spPr>
    <cs:defRPr sz="9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lt1">
        <a:lumMod val="15000"/>
        <a:lumOff val="85000"/>
      </a:schemeClr>
    </cs:fontRef>
    <cs:spPr>
      <a:solidFill>
        <a:schemeClr val="dk1">
          <a:lumMod val="65000"/>
          <a:lumOff val="3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
  <cs:dataPoint3D>
    <cs:lnRef idx="0">
      <cs:styleClr val="auto"/>
    </cs:lnRef>
    <cs:fillRef idx="0">
      <cs:styleClr val="auto"/>
    </cs:fillRef>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3D>
  <cs:dataPointLine>
    <cs:lnRef idx="0">
      <cs:styleClr val="auto"/>
    </cs:lnRef>
    <cs:fillRef idx="0">
      <cs:styleClr val="auto"/>
    </cs:fillRef>
    <cs:effectRef idx="0">
      <cs:styleClr val="auto"/>
    </cs:effectRef>
    <cs:fontRef idx="minor">
      <a:schemeClr val="dk1"/>
    </cs:fontRef>
    <cs:spPr>
      <a:ln w="22225" cap="rnd">
        <a:solidFill>
          <a:schemeClr val="phClr"/>
        </a:solidFill>
      </a:ln>
      <a:effectLst>
        <a:glow rad="139700">
          <a:schemeClr val="phClr">
            <a:satMod val="175000"/>
            <a:alpha val="14000"/>
          </a:schemeClr>
        </a:glow>
      </a:effectLst>
    </cs:spPr>
  </cs:dataPointLine>
  <cs:dataPointMarker>
    <cs:lnRef idx="0">
      <cs:styleClr val="auto"/>
    </cs:lnRef>
    <cs:fillRef idx="0">
      <cs:styleClr val="auto"/>
    </cs:fillRef>
    <cs:effectRef idx="0">
      <cs:styleClr val="auto"/>
    </cs:effectRef>
    <cs:fontRef idx="minor">
      <a:schemeClr val="dk1"/>
    </cs:fontRef>
    <cs:spPr>
      <a:solidFill>
        <a:schemeClr val="phClr">
          <a:lumMod val="60000"/>
          <a:lumOff val="40000"/>
        </a:schemeClr>
      </a:solidFill>
      <a:effectLst>
        <a:glow rad="63500">
          <a:schemeClr val="phClr">
            <a:satMod val="175000"/>
            <a:alpha val="25000"/>
          </a:schemeClr>
        </a:glow>
      </a:effectLst>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75000"/>
                <a:lumOff val="25000"/>
              </a:schemeClr>
            </a:gs>
            <a:gs pos="0">
              <a:schemeClr val="dk1">
                <a:lumMod val="65000"/>
                <a:lumOff val="3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dk1">
                <a:lumMod val="75000"/>
                <a:lumOff val="25000"/>
                <a:alpha val="25000"/>
              </a:schemeClr>
            </a:gs>
            <a:gs pos="0">
              <a:schemeClr val="dk1">
                <a:lumMod val="65000"/>
                <a:lumOff val="35000"/>
                <a:alpha val="25000"/>
              </a:schemeClr>
            </a:gs>
          </a:gsLst>
          <a:lin ang="5400000" scaled="0"/>
        </a:gradFill>
        <a:round/>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a:lumMod val="85000"/>
      </a:schemeClr>
    </cs:fontRef>
    <cs:defRPr sz="1400" b="1" kern="1200" cap="none" baseline="0"/>
  </cs:title>
  <cs:trendline>
    <cs:lnRef idx="0">
      <cs:styleClr val="auto"/>
    </cs:lnRef>
    <cs:fillRef idx="0"/>
    <cs:effectRef idx="0"/>
    <cs:fontRef idx="minor">
      <a:schemeClr val="lt1"/>
    </cs:fontRef>
    <cs:spPr>
      <a:ln w="25400"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hyperlink" Target="#'Variance by Department'!A1"/></Relationships>
</file>

<file path=xl/drawings/_rels/drawing2.xml.rels><?xml version="1.0" encoding="UTF-8" standalone="yes"?>
<Relationships xmlns="http://schemas.openxmlformats.org/package/2006/relationships"><Relationship Id="rId2" Type="http://schemas.openxmlformats.org/officeDocument/2006/relationships/hyperlink" Target="#'Variance by Program'!A1"/><Relationship Id="rId1" Type="http://schemas.openxmlformats.org/officeDocument/2006/relationships/hyperlink" Target="#'Company Overview'!A1"/></Relationships>
</file>

<file path=xl/drawings/_rels/drawing3.xml.rels><?xml version="1.0" encoding="UTF-8" standalone="yes"?>
<Relationships xmlns="http://schemas.openxmlformats.org/package/2006/relationships"><Relationship Id="rId2" Type="http://schemas.openxmlformats.org/officeDocument/2006/relationships/hyperlink" Target="#'Statement of Activities'!A1"/><Relationship Id="rId1" Type="http://schemas.openxmlformats.org/officeDocument/2006/relationships/hyperlink" Target="#'Variance by Department'!A1"/></Relationships>
</file>

<file path=xl/drawings/_rels/drawing4.xml.rels><?xml version="1.0" encoding="UTF-8" standalone="yes"?>
<Relationships xmlns="http://schemas.openxmlformats.org/package/2006/relationships"><Relationship Id="rId2" Type="http://schemas.openxmlformats.org/officeDocument/2006/relationships/hyperlink" Target="#'Variance by Program'!A1"/><Relationship Id="rId1" Type="http://schemas.openxmlformats.org/officeDocument/2006/relationships/hyperlink" Target="#'Cash Flow Forecast'!A1"/></Relationships>
</file>

<file path=xl/drawings/_rels/drawing5.xml.rels><?xml version="1.0" encoding="UTF-8" standalone="yes"?>
<Relationships xmlns="http://schemas.openxmlformats.org/package/2006/relationships"><Relationship Id="rId3" Type="http://schemas.openxmlformats.org/officeDocument/2006/relationships/hyperlink" Target="#'Statement of Activities'!A1"/><Relationship Id="rId2" Type="http://schemas.openxmlformats.org/officeDocument/2006/relationships/hyperlink" Target="#'Trial Balance'!A1"/><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2" Type="http://schemas.openxmlformats.org/officeDocument/2006/relationships/hyperlink" Target="#'Insurance Amortization'!A1"/><Relationship Id="rId1" Type="http://schemas.openxmlformats.org/officeDocument/2006/relationships/hyperlink" Target="#'Cash Flow Forecast'!A1"/></Relationships>
</file>

<file path=xl/drawings/_rels/drawing7.xml.rels><?xml version="1.0" encoding="UTF-8" standalone="yes"?>
<Relationships xmlns="http://schemas.openxmlformats.org/package/2006/relationships"><Relationship Id="rId2" Type="http://schemas.openxmlformats.org/officeDocument/2006/relationships/hyperlink" Target="#'Indirect Pool'!A1"/><Relationship Id="rId1" Type="http://schemas.openxmlformats.org/officeDocument/2006/relationships/hyperlink" Target="#'Trial Balance'!A1"/></Relationships>
</file>

<file path=xl/drawings/_rels/drawing8.xml.rels><?xml version="1.0" encoding="UTF-8" standalone="yes"?>
<Relationships xmlns="http://schemas.openxmlformats.org/package/2006/relationships"><Relationship Id="rId2" Type="http://schemas.openxmlformats.org/officeDocument/2006/relationships/hyperlink" Target="#'Personnel &amp; Rent Allocation'!A1"/><Relationship Id="rId1" Type="http://schemas.openxmlformats.org/officeDocument/2006/relationships/hyperlink" Target="#'Insurance Amortization'!A1"/></Relationships>
</file>

<file path=xl/drawings/_rels/drawing9.xml.rels><?xml version="1.0" encoding="UTF-8" standalone="yes"?>
<Relationships xmlns="http://schemas.openxmlformats.org/package/2006/relationships"><Relationship Id="rId2" Type="http://schemas.openxmlformats.org/officeDocument/2006/relationships/hyperlink" Target="#'Salary Information'!A1"/><Relationship Id="rId1" Type="http://schemas.openxmlformats.org/officeDocument/2006/relationships/hyperlink" Target="#'Indirect Pool'!A1"/></Relationships>
</file>

<file path=xl/drawings/_rels/drawing10.xml.rels><?xml version="1.0" encoding="UTF-8" standalone="yes"?>
<Relationships xmlns="http://schemas.openxmlformats.org/package/2006/relationships"><Relationship Id="rId2" Type="http://schemas.openxmlformats.org/officeDocument/2006/relationships/hyperlink" Target="#'PTO Accrual'!A1"/><Relationship Id="rId1" Type="http://schemas.openxmlformats.org/officeDocument/2006/relationships/hyperlink" Target="#'Personnel &amp; Rent Allocation'!A1"/></Relationships>
</file>

<file path=xl/drawings/_rels/drawing11.xml.rels><?xml version="1.0" encoding="UTF-8" standalone="yes"?>
<Relationships xmlns="http://schemas.openxmlformats.org/package/2006/relationships"><Relationship Id="rId2" Type="http://schemas.openxmlformats.org/officeDocument/2006/relationships/hyperlink" Target="#'Fixed Asset List'!A1"/><Relationship Id="rId1" Type="http://schemas.openxmlformats.org/officeDocument/2006/relationships/hyperlink" Target="#'Salary Information'!A1"/></Relationships>
</file>

<file path=xl/drawings/_rels/drawing12.xml.rels><?xml version="1.0" encoding="UTF-8" standalone="yes"?>
<Relationships xmlns="http://schemas.openxmlformats.org/package/2006/relationships"><Relationship Id="rId1" Type="http://schemas.openxmlformats.org/officeDocument/2006/relationships/hyperlink" Target="#'PTO Accrual'!A1"/></Relationships>
</file>

<file path=xl/drawings/drawing1.xml><?xml version="1.0" encoding="utf-8"?>
<xdr:wsDr xmlns:xdr="http://schemas.openxmlformats.org/drawingml/2006/spreadsheetDrawing" xmlns:a="http://schemas.openxmlformats.org/drawingml/2006/main">
  <xdr:twoCellAnchor editAs="oneCell">
    <xdr:from>
      <xdr:col>4</xdr:col>
      <xdr:colOff>43297</xdr:colOff>
      <xdr:row>0</xdr:row>
      <xdr:rowOff>194349</xdr:rowOff>
    </xdr:from>
    <xdr:to>
      <xdr:col>6</xdr:col>
      <xdr:colOff>516585</xdr:colOff>
      <xdr:row>2</xdr:row>
      <xdr:rowOff>31435</xdr:rowOff>
    </xdr:to>
    <xdr:sp macro="" textlink="">
      <xdr:nvSpPr>
        <xdr:cNvPr id="4" name="Expenses" descr="Navigation button to Expenses worksheet">
          <a:hlinkClick xmlns:r="http://schemas.openxmlformats.org/officeDocument/2006/relationships" r:id="rId1"/>
          <a:extLst>
            <a:ext uri="{FF2B5EF4-FFF2-40B4-BE49-F238E27FC236}">
              <a16:creationId xmlns:a16="http://schemas.microsoft.com/office/drawing/2014/main" id="{D49F3589-6A5B-A848-BB42-B675D936C87D}"/>
            </a:ext>
          </a:extLst>
        </xdr:cNvPr>
        <xdr:cNvSpPr/>
      </xdr:nvSpPr>
      <xdr:spPr>
        <a:xfrm>
          <a:off x="8263661" y="194349"/>
          <a:ext cx="2089651" cy="391268"/>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Variance by Department</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17</xdr:col>
      <xdr:colOff>685799</xdr:colOff>
      <xdr:row>13</xdr:row>
      <xdr:rowOff>38100</xdr:rowOff>
    </xdr:from>
    <xdr:to>
      <xdr:col>20</xdr:col>
      <xdr:colOff>172719</xdr:colOff>
      <xdr:row>15</xdr:row>
      <xdr:rowOff>48682</xdr:rowOff>
    </xdr:to>
    <xdr:sp macro="" textlink="">
      <xdr:nvSpPr>
        <xdr:cNvPr id="3" name="Name" descr="Navigation button to Name worksheet">
          <a:hlinkClick xmlns:r="http://schemas.openxmlformats.org/officeDocument/2006/relationships" r:id="rId1"/>
          <a:extLst>
            <a:ext uri="{FF2B5EF4-FFF2-40B4-BE49-F238E27FC236}">
              <a16:creationId xmlns:a16="http://schemas.microsoft.com/office/drawing/2014/main" id="{A594A6DD-5310-9941-A87C-3D90D16212AA}"/>
            </a:ext>
          </a:extLst>
        </xdr:cNvPr>
        <xdr:cNvSpPr/>
      </xdr:nvSpPr>
      <xdr:spPr>
        <a:xfrm flipH="1">
          <a:off x="15811499" y="228600"/>
          <a:ext cx="2103120" cy="39158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Company</a:t>
          </a:r>
          <a:r>
            <a:rPr lang="en-US" sz="1100" b="0" i="0" baseline="0">
              <a:solidFill>
                <a:schemeClr val="bg1"/>
              </a:solidFill>
              <a:latin typeface="Avenir Light" panose="020B0402020203020204" pitchFamily="34" charset="77"/>
            </a:rPr>
            <a:t> Overview</a:t>
          </a:r>
          <a:endParaRPr lang="en-US" sz="1100" b="0" i="0">
            <a:solidFill>
              <a:schemeClr val="bg1"/>
            </a:solidFill>
            <a:latin typeface="Avenir Light" panose="020B0402020203020204" pitchFamily="34" charset="77"/>
          </a:endParaRPr>
        </a:p>
      </xdr:txBody>
    </xdr:sp>
    <xdr:clientData fPrintsWithSheet="0"/>
  </xdr:twoCellAnchor>
  <xdr:twoCellAnchor editAs="oneCell">
    <xdr:from>
      <xdr:col>20</xdr:col>
      <xdr:colOff>258236</xdr:colOff>
      <xdr:row>13</xdr:row>
      <xdr:rowOff>38100</xdr:rowOff>
    </xdr:from>
    <xdr:to>
      <xdr:col>22</xdr:col>
      <xdr:colOff>634156</xdr:colOff>
      <xdr:row>15</xdr:row>
      <xdr:rowOff>50292</xdr:rowOff>
    </xdr:to>
    <xdr:sp macro="" textlink="">
      <xdr:nvSpPr>
        <xdr:cNvPr id="4" name="Expenses" descr="Navigation button to Expenses worksheet">
          <a:hlinkClick xmlns:r="http://schemas.openxmlformats.org/officeDocument/2006/relationships" r:id="rId2"/>
          <a:extLst>
            <a:ext uri="{FF2B5EF4-FFF2-40B4-BE49-F238E27FC236}">
              <a16:creationId xmlns:a16="http://schemas.microsoft.com/office/drawing/2014/main" id="{EEF4A77E-5762-3C46-8687-87A6FAA1DCE3}"/>
            </a:ext>
          </a:extLst>
        </xdr:cNvPr>
        <xdr:cNvSpPr/>
      </xdr:nvSpPr>
      <xdr:spPr>
        <a:xfrm>
          <a:off x="18000136" y="228600"/>
          <a:ext cx="2103120" cy="39319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Variance by Program</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17</xdr:col>
      <xdr:colOff>546098</xdr:colOff>
      <xdr:row>4</xdr:row>
      <xdr:rowOff>25400</xdr:rowOff>
    </xdr:from>
    <xdr:to>
      <xdr:col>20</xdr:col>
      <xdr:colOff>71118</xdr:colOff>
      <xdr:row>6</xdr:row>
      <xdr:rowOff>35982</xdr:rowOff>
    </xdr:to>
    <xdr:sp macro="" textlink="">
      <xdr:nvSpPr>
        <xdr:cNvPr id="2" name="Name" descr="Navigation button to Name worksheet">
          <a:hlinkClick xmlns:r="http://schemas.openxmlformats.org/officeDocument/2006/relationships" r:id="rId1"/>
          <a:extLst>
            <a:ext uri="{FF2B5EF4-FFF2-40B4-BE49-F238E27FC236}">
              <a16:creationId xmlns:a16="http://schemas.microsoft.com/office/drawing/2014/main" id="{9E689BF8-ED19-DF4B-B215-94ADD9EEBCE0}"/>
            </a:ext>
          </a:extLst>
        </xdr:cNvPr>
        <xdr:cNvSpPr/>
      </xdr:nvSpPr>
      <xdr:spPr>
        <a:xfrm flipH="1">
          <a:off x="15633698" y="215900"/>
          <a:ext cx="2103120" cy="39158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bg1"/>
              </a:solidFill>
              <a:latin typeface="Avenir Book" panose="02000503020000020003" pitchFamily="2" charset="0"/>
            </a:rPr>
            <a:t>Variance by Department</a:t>
          </a:r>
        </a:p>
      </xdr:txBody>
    </xdr:sp>
    <xdr:clientData fPrintsWithSheet="0"/>
  </xdr:twoCellAnchor>
  <xdr:twoCellAnchor editAs="oneCell">
    <xdr:from>
      <xdr:col>20</xdr:col>
      <xdr:colOff>156636</xdr:colOff>
      <xdr:row>4</xdr:row>
      <xdr:rowOff>25400</xdr:rowOff>
    </xdr:from>
    <xdr:to>
      <xdr:col>22</xdr:col>
      <xdr:colOff>583356</xdr:colOff>
      <xdr:row>6</xdr:row>
      <xdr:rowOff>37592</xdr:rowOff>
    </xdr:to>
    <xdr:sp macro="" textlink="">
      <xdr:nvSpPr>
        <xdr:cNvPr id="3" name="Expenses" descr="Navigation button to Expenses worksheet">
          <a:hlinkClick xmlns:r="http://schemas.openxmlformats.org/officeDocument/2006/relationships" r:id="rId2"/>
          <a:extLst>
            <a:ext uri="{FF2B5EF4-FFF2-40B4-BE49-F238E27FC236}">
              <a16:creationId xmlns:a16="http://schemas.microsoft.com/office/drawing/2014/main" id="{9B33A2EB-4981-B24D-9FF7-FA4B71BEA74F}"/>
            </a:ext>
          </a:extLst>
        </xdr:cNvPr>
        <xdr:cNvSpPr/>
      </xdr:nvSpPr>
      <xdr:spPr>
        <a:xfrm>
          <a:off x="17822336" y="215900"/>
          <a:ext cx="2103120" cy="39319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bg1"/>
              </a:solidFill>
              <a:latin typeface="Avenir Book" panose="02000503020000020003" pitchFamily="2" charset="0"/>
            </a:rPr>
            <a:t>Statement of Activities</a:t>
          </a:r>
          <a:endParaRPr lang="en-US" sz="1100" baseline="0">
            <a:solidFill>
              <a:schemeClr val="bg1"/>
            </a:solidFill>
            <a:latin typeface="Avenir Book" panose="02000503020000020003" pitchFamily="2" charset="0"/>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3</xdr:col>
      <xdr:colOff>990604</xdr:colOff>
      <xdr:row>1</xdr:row>
      <xdr:rowOff>28223</xdr:rowOff>
    </xdr:from>
    <xdr:to>
      <xdr:col>5</xdr:col>
      <xdr:colOff>45724</xdr:colOff>
      <xdr:row>3</xdr:row>
      <xdr:rowOff>5138</xdr:rowOff>
    </xdr:to>
    <xdr:sp macro="" textlink="">
      <xdr:nvSpPr>
        <xdr:cNvPr id="2" name="Expenses" descr="Navigation button to Expenses worksheet">
          <a:hlinkClick xmlns:r="http://schemas.openxmlformats.org/officeDocument/2006/relationships" r:id="rId1"/>
          <a:extLst>
            <a:ext uri="{FF2B5EF4-FFF2-40B4-BE49-F238E27FC236}">
              <a16:creationId xmlns:a16="http://schemas.microsoft.com/office/drawing/2014/main" id="{90169AE5-A372-274C-9B8E-6C000FFEC473}"/>
            </a:ext>
          </a:extLst>
        </xdr:cNvPr>
        <xdr:cNvSpPr/>
      </xdr:nvSpPr>
      <xdr:spPr>
        <a:xfrm>
          <a:off x="5788382" y="225779"/>
          <a:ext cx="2103120" cy="39319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Cash Flow Forecast</a:t>
          </a:r>
          <a:endParaRPr lang="en-US" sz="1100" b="0" i="0" baseline="0">
            <a:solidFill>
              <a:schemeClr val="bg1"/>
            </a:solidFill>
            <a:latin typeface="Avenir Light" panose="020B0402020203020204" pitchFamily="34" charset="77"/>
          </a:endParaRPr>
        </a:p>
      </xdr:txBody>
    </xdr:sp>
    <xdr:clientData fPrintsWithSheet="0"/>
  </xdr:twoCellAnchor>
  <xdr:twoCellAnchor editAs="oneCell">
    <xdr:from>
      <xdr:col>2</xdr:col>
      <xdr:colOff>338668</xdr:colOff>
      <xdr:row>1</xdr:row>
      <xdr:rowOff>28223</xdr:rowOff>
    </xdr:from>
    <xdr:to>
      <xdr:col>3</xdr:col>
      <xdr:colOff>917788</xdr:colOff>
      <xdr:row>3</xdr:row>
      <xdr:rowOff>3528</xdr:rowOff>
    </xdr:to>
    <xdr:sp macro="" textlink="">
      <xdr:nvSpPr>
        <xdr:cNvPr id="3" name="Name" descr="Navigation button to Name worksheet">
          <a:hlinkClick xmlns:r="http://schemas.openxmlformats.org/officeDocument/2006/relationships" r:id="rId2"/>
          <a:extLst>
            <a:ext uri="{FF2B5EF4-FFF2-40B4-BE49-F238E27FC236}">
              <a16:creationId xmlns:a16="http://schemas.microsoft.com/office/drawing/2014/main" id="{55E6F55F-828E-DF4B-BC31-D4883069D2DD}"/>
            </a:ext>
          </a:extLst>
        </xdr:cNvPr>
        <xdr:cNvSpPr/>
      </xdr:nvSpPr>
      <xdr:spPr>
        <a:xfrm flipH="1">
          <a:off x="3612446" y="225779"/>
          <a:ext cx="2103120" cy="39158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Variance by Program</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15</xdr:col>
      <xdr:colOff>0</xdr:colOff>
      <xdr:row>6</xdr:row>
      <xdr:rowOff>50800</xdr:rowOff>
    </xdr:from>
    <xdr:to>
      <xdr:col>20</xdr:col>
      <xdr:colOff>63500</xdr:colOff>
      <xdr:row>27</xdr:row>
      <xdr:rowOff>25401</xdr:rowOff>
    </xdr:to>
    <xdr:graphicFrame macro="">
      <xdr:nvGraphicFramePr>
        <xdr:cNvPr id="9" name="Chart 7">
          <a:extLst>
            <a:ext uri="{FF2B5EF4-FFF2-40B4-BE49-F238E27FC236}">
              <a16:creationId xmlns:a16="http://schemas.microsoft.com/office/drawing/2014/main" id="{FF81D077-DE39-AB8B-3B43-E0273CC1AC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283638</xdr:colOff>
      <xdr:row>0</xdr:row>
      <xdr:rowOff>177800</xdr:rowOff>
    </xdr:from>
    <xdr:to>
      <xdr:col>13</xdr:col>
      <xdr:colOff>1180258</xdr:colOff>
      <xdr:row>2</xdr:row>
      <xdr:rowOff>151892</xdr:rowOff>
    </xdr:to>
    <xdr:sp macro="" textlink="">
      <xdr:nvSpPr>
        <xdr:cNvPr id="11" name="Expenses" descr="Navigation button to Expenses worksheet">
          <a:hlinkClick xmlns:r="http://schemas.openxmlformats.org/officeDocument/2006/relationships" r:id="rId2"/>
          <a:extLst>
            <a:ext uri="{FF2B5EF4-FFF2-40B4-BE49-F238E27FC236}">
              <a16:creationId xmlns:a16="http://schemas.microsoft.com/office/drawing/2014/main" id="{006BC23C-CEEA-1044-B48C-1574EC264737}"/>
            </a:ext>
          </a:extLst>
        </xdr:cNvPr>
        <xdr:cNvSpPr/>
      </xdr:nvSpPr>
      <xdr:spPr>
        <a:xfrm>
          <a:off x="15180738" y="177800"/>
          <a:ext cx="2103120" cy="39319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Trial Balance</a:t>
          </a:r>
          <a:endParaRPr lang="en-US" sz="1100" b="0" i="0" baseline="0">
            <a:solidFill>
              <a:schemeClr val="bg1"/>
            </a:solidFill>
            <a:latin typeface="Avenir Light" panose="020B0402020203020204" pitchFamily="34" charset="77"/>
          </a:endParaRPr>
        </a:p>
      </xdr:txBody>
    </xdr:sp>
    <xdr:clientData fPrintsWithSheet="0"/>
  </xdr:twoCellAnchor>
  <xdr:twoCellAnchor editAs="oneCell">
    <xdr:from>
      <xdr:col>10</xdr:col>
      <xdr:colOff>520700</xdr:colOff>
      <xdr:row>0</xdr:row>
      <xdr:rowOff>177800</xdr:rowOff>
    </xdr:from>
    <xdr:to>
      <xdr:col>12</xdr:col>
      <xdr:colOff>210820</xdr:colOff>
      <xdr:row>2</xdr:row>
      <xdr:rowOff>150282</xdr:rowOff>
    </xdr:to>
    <xdr:sp macro="" textlink="">
      <xdr:nvSpPr>
        <xdr:cNvPr id="12" name="Name" descr="Navigation button to Name worksheet">
          <a:hlinkClick xmlns:r="http://schemas.openxmlformats.org/officeDocument/2006/relationships" r:id="rId3"/>
          <a:extLst>
            <a:ext uri="{FF2B5EF4-FFF2-40B4-BE49-F238E27FC236}">
              <a16:creationId xmlns:a16="http://schemas.microsoft.com/office/drawing/2014/main" id="{7F746935-0261-4DDD-8273-BB1AA373184A}"/>
            </a:ext>
          </a:extLst>
        </xdr:cNvPr>
        <xdr:cNvSpPr/>
      </xdr:nvSpPr>
      <xdr:spPr>
        <a:xfrm flipH="1">
          <a:off x="13004800" y="177800"/>
          <a:ext cx="2103120" cy="39158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Statement of Activities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4</xdr:col>
      <xdr:colOff>1155700</xdr:colOff>
      <xdr:row>2</xdr:row>
      <xdr:rowOff>12700</xdr:rowOff>
    </xdr:from>
    <xdr:to>
      <xdr:col>6</xdr:col>
      <xdr:colOff>820420</xdr:colOff>
      <xdr:row>4</xdr:row>
      <xdr:rowOff>23282</xdr:rowOff>
    </xdr:to>
    <xdr:sp macro="" textlink="">
      <xdr:nvSpPr>
        <xdr:cNvPr id="2" name="Name" descr="Navigation button to Name worksheet">
          <a:hlinkClick xmlns:r="http://schemas.openxmlformats.org/officeDocument/2006/relationships" r:id="rId1"/>
          <a:extLst>
            <a:ext uri="{FF2B5EF4-FFF2-40B4-BE49-F238E27FC236}">
              <a16:creationId xmlns:a16="http://schemas.microsoft.com/office/drawing/2014/main" id="{3F4DD63B-E7E4-3249-8BA2-4794F0D7BE53}"/>
            </a:ext>
          </a:extLst>
        </xdr:cNvPr>
        <xdr:cNvSpPr/>
      </xdr:nvSpPr>
      <xdr:spPr>
        <a:xfrm flipH="1">
          <a:off x="6997700" y="203200"/>
          <a:ext cx="2103120" cy="39158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Cash Flow Forecast</a:t>
          </a:r>
        </a:p>
      </xdr:txBody>
    </xdr:sp>
    <xdr:clientData fPrintsWithSheet="0"/>
  </xdr:twoCellAnchor>
  <xdr:twoCellAnchor editAs="oneCell">
    <xdr:from>
      <xdr:col>6</xdr:col>
      <xdr:colOff>893238</xdr:colOff>
      <xdr:row>2</xdr:row>
      <xdr:rowOff>12700</xdr:rowOff>
    </xdr:from>
    <xdr:to>
      <xdr:col>8</xdr:col>
      <xdr:colOff>405558</xdr:colOff>
      <xdr:row>4</xdr:row>
      <xdr:rowOff>24892</xdr:rowOff>
    </xdr:to>
    <xdr:sp macro="" textlink="">
      <xdr:nvSpPr>
        <xdr:cNvPr id="3" name="Expenses" descr="Navigation button to Expenses worksheet">
          <a:hlinkClick xmlns:r="http://schemas.openxmlformats.org/officeDocument/2006/relationships" r:id="rId2"/>
          <a:extLst>
            <a:ext uri="{FF2B5EF4-FFF2-40B4-BE49-F238E27FC236}">
              <a16:creationId xmlns:a16="http://schemas.microsoft.com/office/drawing/2014/main" id="{635C203E-9EA0-6444-B292-6490889C5B4E}"/>
            </a:ext>
          </a:extLst>
        </xdr:cNvPr>
        <xdr:cNvSpPr/>
      </xdr:nvSpPr>
      <xdr:spPr>
        <a:xfrm>
          <a:off x="9173638" y="203200"/>
          <a:ext cx="2103120" cy="39319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Insurance Amortization</a:t>
          </a:r>
          <a:endParaRPr lang="en-US" sz="1100" b="0" i="0" baseline="0">
            <a:solidFill>
              <a:schemeClr val="bg1"/>
            </a:solidFill>
            <a:latin typeface="Avenir Light" panose="020B0402020203020204" pitchFamily="34" charset="77"/>
          </a:endParaRP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2</xdr:row>
      <xdr:rowOff>0</xdr:rowOff>
    </xdr:from>
    <xdr:to>
      <xdr:col>9</xdr:col>
      <xdr:colOff>426720</xdr:colOff>
      <xdr:row>4</xdr:row>
      <xdr:rowOff>10582</xdr:rowOff>
    </xdr:to>
    <xdr:sp macro="" textlink="">
      <xdr:nvSpPr>
        <xdr:cNvPr id="5" name="Name" descr="Navigation button to Name worksheet">
          <a:hlinkClick xmlns:r="http://schemas.openxmlformats.org/officeDocument/2006/relationships" r:id="rId1"/>
          <a:extLst>
            <a:ext uri="{FF2B5EF4-FFF2-40B4-BE49-F238E27FC236}">
              <a16:creationId xmlns:a16="http://schemas.microsoft.com/office/drawing/2014/main" id="{50883570-A8A4-2641-865B-0B77192F245F}"/>
            </a:ext>
          </a:extLst>
        </xdr:cNvPr>
        <xdr:cNvSpPr/>
      </xdr:nvSpPr>
      <xdr:spPr>
        <a:xfrm flipH="1">
          <a:off x="7912100" y="190500"/>
          <a:ext cx="2103120" cy="39158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Trial </a:t>
          </a:r>
          <a:r>
            <a:rPr lang="en-US" sz="1100" b="0" i="0" baseline="0">
              <a:solidFill>
                <a:schemeClr val="bg1"/>
              </a:solidFill>
              <a:latin typeface="Avenir Light" panose="020B0402020203020204" pitchFamily="34" charset="77"/>
            </a:rPr>
            <a:t>Balance</a:t>
          </a:r>
          <a:endParaRPr lang="en-US" sz="1100" b="0" i="0">
            <a:solidFill>
              <a:schemeClr val="bg1"/>
            </a:solidFill>
            <a:latin typeface="Avenir Light" panose="020B0402020203020204" pitchFamily="34" charset="77"/>
          </a:endParaRPr>
        </a:p>
      </xdr:txBody>
    </xdr:sp>
    <xdr:clientData fPrintsWithSheet="0"/>
  </xdr:twoCellAnchor>
  <xdr:twoCellAnchor editAs="oneCell">
    <xdr:from>
      <xdr:col>9</xdr:col>
      <xdr:colOff>486838</xdr:colOff>
      <xdr:row>2</xdr:row>
      <xdr:rowOff>0</xdr:rowOff>
    </xdr:from>
    <xdr:to>
      <xdr:col>12</xdr:col>
      <xdr:colOff>75358</xdr:colOff>
      <xdr:row>4</xdr:row>
      <xdr:rowOff>12192</xdr:rowOff>
    </xdr:to>
    <xdr:sp macro="" textlink="">
      <xdr:nvSpPr>
        <xdr:cNvPr id="6" name="Expenses" descr="Navigation button to Expenses worksheet">
          <a:hlinkClick xmlns:r="http://schemas.openxmlformats.org/officeDocument/2006/relationships" r:id="rId2"/>
          <a:extLst>
            <a:ext uri="{FF2B5EF4-FFF2-40B4-BE49-F238E27FC236}">
              <a16:creationId xmlns:a16="http://schemas.microsoft.com/office/drawing/2014/main" id="{B58E9BAD-A676-1946-91C9-C3B4566DBD66}"/>
            </a:ext>
          </a:extLst>
        </xdr:cNvPr>
        <xdr:cNvSpPr/>
      </xdr:nvSpPr>
      <xdr:spPr>
        <a:xfrm>
          <a:off x="10075338" y="190500"/>
          <a:ext cx="2103120" cy="39319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Indirect Pool</a:t>
          </a:r>
          <a:endParaRPr lang="en-US" sz="1100" b="0" i="0" baseline="0">
            <a:solidFill>
              <a:schemeClr val="bg1"/>
            </a:solidFill>
            <a:latin typeface="Avenir Light" panose="020B0402020203020204" pitchFamily="34" charset="77"/>
          </a:endParaRP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2</xdr:row>
      <xdr:rowOff>0</xdr:rowOff>
    </xdr:from>
    <xdr:to>
      <xdr:col>9</xdr:col>
      <xdr:colOff>172720</xdr:colOff>
      <xdr:row>4</xdr:row>
      <xdr:rowOff>10582</xdr:rowOff>
    </xdr:to>
    <xdr:sp macro="" textlink="">
      <xdr:nvSpPr>
        <xdr:cNvPr id="2" name="Name" descr="Navigation button to Name worksheet">
          <a:hlinkClick xmlns:r="http://schemas.openxmlformats.org/officeDocument/2006/relationships" r:id="rId1"/>
          <a:extLst>
            <a:ext uri="{FF2B5EF4-FFF2-40B4-BE49-F238E27FC236}">
              <a16:creationId xmlns:a16="http://schemas.microsoft.com/office/drawing/2014/main" id="{9BBFD85A-8F0E-8E44-9F1E-307B13F78ECA}"/>
            </a:ext>
          </a:extLst>
        </xdr:cNvPr>
        <xdr:cNvSpPr/>
      </xdr:nvSpPr>
      <xdr:spPr>
        <a:xfrm flipH="1">
          <a:off x="8470900" y="190500"/>
          <a:ext cx="2103120" cy="39158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Insurance Amortization</a:t>
          </a:r>
        </a:p>
      </xdr:txBody>
    </xdr:sp>
    <xdr:clientData fPrintsWithSheet="0"/>
  </xdr:twoCellAnchor>
  <xdr:twoCellAnchor editAs="oneCell">
    <xdr:from>
      <xdr:col>9</xdr:col>
      <xdr:colOff>232838</xdr:colOff>
      <xdr:row>2</xdr:row>
      <xdr:rowOff>0</xdr:rowOff>
    </xdr:from>
    <xdr:to>
      <xdr:col>11</xdr:col>
      <xdr:colOff>405558</xdr:colOff>
      <xdr:row>4</xdr:row>
      <xdr:rowOff>12192</xdr:rowOff>
    </xdr:to>
    <xdr:sp macro="" textlink="">
      <xdr:nvSpPr>
        <xdr:cNvPr id="3" name="Expenses" descr="Navigation button to Expenses worksheet">
          <a:hlinkClick xmlns:r="http://schemas.openxmlformats.org/officeDocument/2006/relationships" r:id="rId2"/>
          <a:extLst>
            <a:ext uri="{FF2B5EF4-FFF2-40B4-BE49-F238E27FC236}">
              <a16:creationId xmlns:a16="http://schemas.microsoft.com/office/drawing/2014/main" id="{B08860D7-57FF-D940-BC4B-68D64B57F74A}"/>
            </a:ext>
          </a:extLst>
        </xdr:cNvPr>
        <xdr:cNvSpPr/>
      </xdr:nvSpPr>
      <xdr:spPr>
        <a:xfrm>
          <a:off x="10634138" y="190500"/>
          <a:ext cx="2103120" cy="39319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Allocations</a:t>
          </a:r>
          <a:endParaRPr lang="en-US" sz="1100" b="0" i="0" baseline="0">
            <a:solidFill>
              <a:schemeClr val="bg1"/>
            </a:solidFill>
            <a:latin typeface="Avenir Light" panose="020B0402020203020204" pitchFamily="34" charset="77"/>
          </a:endParaRP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oneCell">
    <xdr:from>
      <xdr:col>7</xdr:col>
      <xdr:colOff>0</xdr:colOff>
      <xdr:row>2</xdr:row>
      <xdr:rowOff>0</xdr:rowOff>
    </xdr:from>
    <xdr:to>
      <xdr:col>8</xdr:col>
      <xdr:colOff>985520</xdr:colOff>
      <xdr:row>4</xdr:row>
      <xdr:rowOff>10582</xdr:rowOff>
    </xdr:to>
    <xdr:sp macro="" textlink="">
      <xdr:nvSpPr>
        <xdr:cNvPr id="2" name="Name" descr="Navigation button to Name worksheet">
          <a:hlinkClick xmlns:r="http://schemas.openxmlformats.org/officeDocument/2006/relationships" r:id="rId1"/>
          <a:extLst>
            <a:ext uri="{FF2B5EF4-FFF2-40B4-BE49-F238E27FC236}">
              <a16:creationId xmlns:a16="http://schemas.microsoft.com/office/drawing/2014/main" id="{0C806FB9-ECD5-E543-A23B-283BFACDDE2F}"/>
            </a:ext>
          </a:extLst>
        </xdr:cNvPr>
        <xdr:cNvSpPr/>
      </xdr:nvSpPr>
      <xdr:spPr>
        <a:xfrm flipH="1">
          <a:off x="7353300" y="190500"/>
          <a:ext cx="2103120" cy="39158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Indirect Pool</a:t>
          </a:r>
        </a:p>
      </xdr:txBody>
    </xdr:sp>
    <xdr:clientData fPrintsWithSheet="0"/>
  </xdr:twoCellAnchor>
  <xdr:twoCellAnchor editAs="oneCell">
    <xdr:from>
      <xdr:col>8</xdr:col>
      <xdr:colOff>1045638</xdr:colOff>
      <xdr:row>2</xdr:row>
      <xdr:rowOff>0</xdr:rowOff>
    </xdr:from>
    <xdr:to>
      <xdr:col>10</xdr:col>
      <xdr:colOff>913558</xdr:colOff>
      <xdr:row>4</xdr:row>
      <xdr:rowOff>12192</xdr:rowOff>
    </xdr:to>
    <xdr:sp macro="" textlink="">
      <xdr:nvSpPr>
        <xdr:cNvPr id="3" name="Expenses" descr="Navigation button to Expenses worksheet">
          <a:hlinkClick xmlns:r="http://schemas.openxmlformats.org/officeDocument/2006/relationships" r:id="rId2"/>
          <a:extLst>
            <a:ext uri="{FF2B5EF4-FFF2-40B4-BE49-F238E27FC236}">
              <a16:creationId xmlns:a16="http://schemas.microsoft.com/office/drawing/2014/main" id="{38BDE038-14E3-014D-B75F-A07BB6103B18}"/>
            </a:ext>
          </a:extLst>
        </xdr:cNvPr>
        <xdr:cNvSpPr/>
      </xdr:nvSpPr>
      <xdr:spPr>
        <a:xfrm>
          <a:off x="9516538" y="190500"/>
          <a:ext cx="2103120" cy="39319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Salary Information</a:t>
          </a:r>
          <a:endParaRPr lang="en-US" sz="1100" b="0" i="0" baseline="0">
            <a:solidFill>
              <a:schemeClr val="bg1"/>
            </a:solidFill>
            <a:latin typeface="Avenir Light" panose="020B0402020203020204" pitchFamily="34" charset="77"/>
          </a:endParaRP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2</xdr:row>
      <xdr:rowOff>0</xdr:rowOff>
    </xdr:from>
    <xdr:to>
      <xdr:col>8</xdr:col>
      <xdr:colOff>1036320</xdr:colOff>
      <xdr:row>3</xdr:row>
      <xdr:rowOff>175682</xdr:rowOff>
    </xdr:to>
    <xdr:sp macro="" textlink="">
      <xdr:nvSpPr>
        <xdr:cNvPr id="2" name="Name" descr="Navigation button to Name worksheet">
          <a:hlinkClick xmlns:r="http://schemas.openxmlformats.org/officeDocument/2006/relationships" r:id="rId1"/>
          <a:extLst>
            <a:ext uri="{FF2B5EF4-FFF2-40B4-BE49-F238E27FC236}">
              <a16:creationId xmlns:a16="http://schemas.microsoft.com/office/drawing/2014/main" id="{4A597838-FDC6-1846-ACBA-DFB59FE7D9D5}"/>
            </a:ext>
          </a:extLst>
        </xdr:cNvPr>
        <xdr:cNvSpPr/>
      </xdr:nvSpPr>
      <xdr:spPr>
        <a:xfrm flipH="1">
          <a:off x="7226300" y="190500"/>
          <a:ext cx="2103120" cy="39158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Allocations</a:t>
          </a:r>
        </a:p>
      </xdr:txBody>
    </xdr:sp>
    <xdr:clientData fPrintsWithSheet="0"/>
  </xdr:twoCellAnchor>
  <xdr:twoCellAnchor editAs="oneCell">
    <xdr:from>
      <xdr:col>9</xdr:col>
      <xdr:colOff>29638</xdr:colOff>
      <xdr:row>2</xdr:row>
      <xdr:rowOff>0</xdr:rowOff>
    </xdr:from>
    <xdr:to>
      <xdr:col>10</xdr:col>
      <xdr:colOff>1065958</xdr:colOff>
      <xdr:row>3</xdr:row>
      <xdr:rowOff>177292</xdr:rowOff>
    </xdr:to>
    <xdr:sp macro="" textlink="">
      <xdr:nvSpPr>
        <xdr:cNvPr id="3" name="Expenses" descr="Navigation button to Expenses worksheet">
          <a:hlinkClick xmlns:r="http://schemas.openxmlformats.org/officeDocument/2006/relationships" r:id="rId2"/>
          <a:extLst>
            <a:ext uri="{FF2B5EF4-FFF2-40B4-BE49-F238E27FC236}">
              <a16:creationId xmlns:a16="http://schemas.microsoft.com/office/drawing/2014/main" id="{D6055B3C-00DF-6F45-872A-EB8B2C7C1E8B}"/>
            </a:ext>
          </a:extLst>
        </xdr:cNvPr>
        <xdr:cNvSpPr/>
      </xdr:nvSpPr>
      <xdr:spPr>
        <a:xfrm>
          <a:off x="9389538" y="190500"/>
          <a:ext cx="2103120" cy="39319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PTO Accrual</a:t>
          </a:r>
          <a:endParaRPr lang="en-US" sz="1100" b="0" i="0" baseline="0">
            <a:solidFill>
              <a:schemeClr val="bg1"/>
            </a:solidFill>
            <a:latin typeface="Avenir Light" panose="020B0402020203020204" pitchFamily="34" charset="77"/>
          </a:endParaRP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editAs="oneCell">
    <xdr:from>
      <xdr:col>17</xdr:col>
      <xdr:colOff>0</xdr:colOff>
      <xdr:row>1</xdr:row>
      <xdr:rowOff>0</xdr:rowOff>
    </xdr:from>
    <xdr:to>
      <xdr:col>19</xdr:col>
      <xdr:colOff>452120</xdr:colOff>
      <xdr:row>2</xdr:row>
      <xdr:rowOff>162982</xdr:rowOff>
    </xdr:to>
    <xdr:sp macro="" textlink="">
      <xdr:nvSpPr>
        <xdr:cNvPr id="2" name="Name" descr="Navigation button to Name worksheet">
          <a:hlinkClick xmlns:r="http://schemas.openxmlformats.org/officeDocument/2006/relationships" r:id="rId1"/>
          <a:extLst>
            <a:ext uri="{FF2B5EF4-FFF2-40B4-BE49-F238E27FC236}">
              <a16:creationId xmlns:a16="http://schemas.microsoft.com/office/drawing/2014/main" id="{CDE05E47-1CAE-C54D-BE30-72F271AC4AF2}"/>
            </a:ext>
          </a:extLst>
        </xdr:cNvPr>
        <xdr:cNvSpPr/>
      </xdr:nvSpPr>
      <xdr:spPr>
        <a:xfrm flipH="1">
          <a:off x="14706600" y="190500"/>
          <a:ext cx="2103120" cy="39158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Salary Information</a:t>
          </a:r>
        </a:p>
      </xdr:txBody>
    </xdr:sp>
    <xdr:clientData fPrintsWithSheet="0"/>
  </xdr:twoCellAnchor>
  <xdr:twoCellAnchor editAs="oneCell">
    <xdr:from>
      <xdr:col>19</xdr:col>
      <xdr:colOff>512238</xdr:colOff>
      <xdr:row>1</xdr:row>
      <xdr:rowOff>0</xdr:rowOff>
    </xdr:from>
    <xdr:to>
      <xdr:col>22</xdr:col>
      <xdr:colOff>138858</xdr:colOff>
      <xdr:row>2</xdr:row>
      <xdr:rowOff>164592</xdr:rowOff>
    </xdr:to>
    <xdr:sp macro="" textlink="">
      <xdr:nvSpPr>
        <xdr:cNvPr id="3" name="Expenses" descr="Navigation button to Expenses worksheet">
          <a:hlinkClick xmlns:r="http://schemas.openxmlformats.org/officeDocument/2006/relationships" r:id="rId2"/>
          <a:extLst>
            <a:ext uri="{FF2B5EF4-FFF2-40B4-BE49-F238E27FC236}">
              <a16:creationId xmlns:a16="http://schemas.microsoft.com/office/drawing/2014/main" id="{B0483BA6-23E1-174E-A163-7C8F8AEB5D60}"/>
            </a:ext>
          </a:extLst>
        </xdr:cNvPr>
        <xdr:cNvSpPr/>
      </xdr:nvSpPr>
      <xdr:spPr>
        <a:xfrm>
          <a:off x="16869838" y="190500"/>
          <a:ext cx="2103120" cy="39319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Fixed Asset List</a:t>
          </a:r>
          <a:endParaRPr lang="en-US" sz="1100" b="0" i="0" baseline="0">
            <a:solidFill>
              <a:schemeClr val="bg1"/>
            </a:solidFill>
            <a:latin typeface="Avenir Light" panose="020B0402020203020204" pitchFamily="34" charset="77"/>
          </a:endParaRP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444500</xdr:colOff>
      <xdr:row>1</xdr:row>
      <xdr:rowOff>114300</xdr:rowOff>
    </xdr:from>
    <xdr:to>
      <xdr:col>11</xdr:col>
      <xdr:colOff>1176020</xdr:colOff>
      <xdr:row>3</xdr:row>
      <xdr:rowOff>48682</xdr:rowOff>
    </xdr:to>
    <xdr:sp macro="" textlink="">
      <xdr:nvSpPr>
        <xdr:cNvPr id="2" name="Name" descr="Navigation button to Name worksheet">
          <a:hlinkClick xmlns:r="http://schemas.openxmlformats.org/officeDocument/2006/relationships" r:id="rId1"/>
          <a:extLst>
            <a:ext uri="{FF2B5EF4-FFF2-40B4-BE49-F238E27FC236}">
              <a16:creationId xmlns:a16="http://schemas.microsoft.com/office/drawing/2014/main" id="{58B6A1BE-E01C-5349-A45D-F50A359CBB4E}"/>
            </a:ext>
          </a:extLst>
        </xdr:cNvPr>
        <xdr:cNvSpPr/>
      </xdr:nvSpPr>
      <xdr:spPr>
        <a:xfrm flipH="1">
          <a:off x="12649200" y="304800"/>
          <a:ext cx="2103120" cy="391582"/>
        </a:xfrm>
        <a:prstGeom prst="homePlate">
          <a:avLst/>
        </a:prstGeom>
        <a:solidFill>
          <a:schemeClr val="tx1">
            <a:lumMod val="65000"/>
            <a:lumOff val="3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a:solidFill>
                <a:schemeClr val="bg1"/>
              </a:solidFill>
              <a:latin typeface="Avenir Light" panose="020B0402020203020204" pitchFamily="34" charset="77"/>
            </a:rPr>
            <a:t>PTO Accrual</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dean/Downloads/Fixed_Asset_Depreciation_Schedule.xlsx" TargetMode="External"/><Relationship Id="rId1" Type="http://schemas.openxmlformats.org/officeDocument/2006/relationships/externalLinkPath" Target="Fixed_Asset_Depreciation_Schedu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ixed Asset List"/>
      <sheetName val="Monthly Depreciation Schedule"/>
    </sheetNames>
    <sheetDataSet>
      <sheetData sheetId="0">
        <row r="6">
          <cell r="G6">
            <v>366.66666666666703</v>
          </cell>
        </row>
        <row r="7">
          <cell r="G7">
            <v>133.333333333333</v>
          </cell>
        </row>
        <row r="8">
          <cell r="G8">
            <v>416.66666666666703</v>
          </cell>
        </row>
        <row r="9">
          <cell r="G9">
            <v>666.66666666666697</v>
          </cell>
        </row>
        <row r="10">
          <cell r="G10">
            <v>500</v>
          </cell>
        </row>
        <row r="11">
          <cell r="G11">
            <v>100</v>
          </cell>
        </row>
        <row r="12">
          <cell r="G12">
            <v>266.66666666666703</v>
          </cell>
        </row>
      </sheetData>
      <sheetData sheetId="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6257.426476504632" createdVersion="3" refreshedVersion="8" recordCount="1931" xr:uid="{00000000-000A-0000-FFFF-FFFF55000000}">
  <cacheSource type="worksheet">
    <worksheetSource ref="A1:K1932" sheet="Allocated Transactions"/>
  </cacheSource>
  <cacheFields count="11">
    <cacheField name="Date" numFmtId="164">
      <sharedItems containsSemiMixedTypes="0" containsNonDate="0" containsDate="1" containsString="0" minDate="2025-06-30T00:00:00" maxDate="2026-07-01T00:00:00" count="130">
        <d v="2026-05-30T00:00:00"/>
        <d v="2025-07-01T00:00:00"/>
        <d v="2025-08-01T00:00:00"/>
        <d v="2025-09-01T00:00:00"/>
        <d v="2025-10-01T00:00:00"/>
        <d v="2025-11-01T00:00:00"/>
        <d v="2025-12-01T00:00:00"/>
        <d v="2026-01-01T00:00:00"/>
        <d v="2026-02-01T00:00:00"/>
        <d v="2026-03-01T00:00:00"/>
        <d v="2026-04-01T00:00:00"/>
        <d v="2026-05-01T00:00:00"/>
        <d v="2026-06-01T00:00:00"/>
        <d v="2025-06-30T00:00:00"/>
        <d v="2025-07-05T00:00:00"/>
        <d v="2025-07-10T00:00:00"/>
        <d v="2025-07-29T00:00:00"/>
        <d v="2025-07-20T00:00:00"/>
        <d v="2025-08-05T00:00:00"/>
        <d v="2025-08-26T00:00:00"/>
        <d v="2025-08-15T00:00:00"/>
        <d v="2025-08-20T00:00:00"/>
        <d v="2025-08-21T00:00:00"/>
        <d v="2025-09-05T00:00:00"/>
        <d v="2025-09-08T00:00:00"/>
        <d v="2025-09-20T00:00:00"/>
        <d v="2025-09-25T00:00:00"/>
        <d v="2025-10-05T00:00:00"/>
        <d v="2025-10-10T00:00:00"/>
        <d v="2025-10-18T00:00:00"/>
        <d v="2025-10-20T00:00:00"/>
        <d v="2025-11-05T00:00:00"/>
        <d v="2025-11-11T00:00:00"/>
        <d v="2025-11-14T00:00:00"/>
        <d v="2025-11-06T00:00:00"/>
        <d v="2025-11-20T00:00:00"/>
        <d v="2025-12-05T00:00:00"/>
        <d v="2025-12-08T00:00:00"/>
        <d v="2025-12-31T00:00:00"/>
        <d v="2025-12-20T00:00:00"/>
        <d v="2026-01-05T00:00:00"/>
        <d v="2026-01-10T00:00:00"/>
        <d v="2026-01-18T00:00:00"/>
        <d v="2026-01-08T00:00:00"/>
        <d v="2026-01-09T00:00:00"/>
        <d v="2026-01-20T00:00:00"/>
        <d v="2026-02-05T00:00:00"/>
        <d v="2026-02-24T00:00:00"/>
        <d v="2026-02-20T00:00:00"/>
        <d v="2026-03-05T00:00:00"/>
        <d v="2026-03-06T00:00:00"/>
        <d v="2026-03-13T00:00:00"/>
        <d v="2026-03-20T00:00:00"/>
        <d v="2026-03-25T00:00:00"/>
        <d v="2026-04-05T00:00:00"/>
        <d v="2026-04-10T00:00:00"/>
        <d v="2026-04-08T00:00:00"/>
        <d v="2026-04-19T00:00:00"/>
        <d v="2026-04-20T00:00:00"/>
        <d v="2026-05-05T00:00:00"/>
        <d v="2026-05-12T00:00:00"/>
        <d v="2026-05-20T00:00:00"/>
        <d v="2026-05-18T00:00:00"/>
        <d v="2026-06-05T00:00:00"/>
        <d v="2026-06-14T00:00:00"/>
        <d v="2026-06-20T00:00:00"/>
        <d v="2026-06-25T00:00:00"/>
        <d v="2026-02-10T00:00:00"/>
        <d v="2025-09-15T00:00:00"/>
        <d v="2026-06-10T00:00:00"/>
        <d v="2026-06-30T00:00:00"/>
        <d v="2026-06-18T00:00:00"/>
        <d v="2026-06-12T00:00:00"/>
        <d v="2026-06-03T00:00:00"/>
        <d v="2026-05-07T00:00:00"/>
        <d v="2026-05-31T00:00:00"/>
        <d v="2026-05-03T00:00:00"/>
        <d v="2026-04-30T00:00:00"/>
        <d v="2026-04-18T00:00:00"/>
        <d v="2026-04-12T00:00:00"/>
        <d v="2026-04-03T00:00:00"/>
        <d v="2026-03-31T00:00:00"/>
        <d v="2026-03-18T00:00:00"/>
        <d v="2026-03-12T00:00:00"/>
        <d v="2026-03-24T00:00:00"/>
        <d v="2026-03-15T00:00:00"/>
        <d v="2026-03-03T00:00:00"/>
        <d v="2026-02-28T00:00:00"/>
        <d v="2026-02-18T00:00:00"/>
        <d v="2026-02-12T00:00:00"/>
        <d v="2026-02-08T00:00:00"/>
        <d v="2026-02-03T00:00:00"/>
        <d v="2026-01-14T00:00:00"/>
        <d v="2026-01-31T00:00:00"/>
        <d v="2026-01-12T00:00:00"/>
        <d v="2026-01-28T00:00:00"/>
        <d v="2026-01-02T00:00:00"/>
        <d v="2026-01-03T00:00:00"/>
        <d v="2025-12-18T00:00:00"/>
        <d v="2025-12-12T00:00:00"/>
        <d v="2025-12-25T00:00:00"/>
        <d v="2025-12-27T00:00:00"/>
        <d v="2025-12-03T00:00:00"/>
        <d v="2025-11-30T00:00:00"/>
        <d v="2025-11-18T00:00:00"/>
        <d v="2025-11-12T00:00:00"/>
        <d v="2025-11-24T00:00:00"/>
        <d v="2025-11-03T00:00:00"/>
        <d v="2025-10-31T00:00:00"/>
        <d v="2025-10-08T00:00:00"/>
        <d v="2025-10-12T00:00:00"/>
        <d v="2025-10-29T00:00:00"/>
        <d v="2025-10-03T00:00:00"/>
        <d v="2025-09-30T00:00:00"/>
        <d v="2025-09-18T00:00:00"/>
        <d v="2025-09-12T00:00:00"/>
        <d v="2025-09-03T00:00:00"/>
        <d v="2025-08-22T00:00:00"/>
        <d v="2025-08-31T00:00:00"/>
        <d v="2025-08-18T00:00:00"/>
        <d v="2025-08-12T00:00:00"/>
        <d v="2025-08-13T00:00:00"/>
        <d v="2025-08-03T00:00:00"/>
        <d v="2025-07-31T00:00:00"/>
        <d v="2025-07-08T00:00:00"/>
        <d v="2025-07-18T00:00:00"/>
        <d v="2025-07-12T00:00:00"/>
        <d v="2025-07-17T00:00:00"/>
        <d v="2025-07-02T00:00:00"/>
        <d v="2025-07-03T00:00:00"/>
      </sharedItems>
    </cacheField>
    <cacheField name="JE Number" numFmtId="0">
      <sharedItems/>
    </cacheField>
    <cacheField name="Cost Center" numFmtId="0">
      <sharedItems containsBlank="1"/>
    </cacheField>
    <cacheField name="Account Number" numFmtId="0">
      <sharedItems containsBlank="1" count="44">
        <s v="1110"/>
        <s v="3100"/>
        <s v="3000"/>
        <s v="5990"/>
        <s v="4010"/>
        <s v="4100"/>
        <s v="4000"/>
        <s v="4020"/>
        <s v="5030"/>
        <s v="5020"/>
        <s v="5010"/>
        <s v="5000"/>
        <s v="1200"/>
        <s v="2000"/>
        <s v="5600"/>
        <s v="2100"/>
        <s v="1000"/>
        <s v="2300"/>
        <s v="1300"/>
        <s v="5950"/>
        <s v="2400"/>
        <s v="5510"/>
        <s v="5300"/>
        <s v="1310"/>
        <s v="4200"/>
        <s v="1020"/>
        <s v="5800"/>
        <s v="5410"/>
        <s v="5310"/>
        <s v="5210"/>
        <s v="4900"/>
        <s v="5500"/>
        <s v="5400"/>
        <s v="1100"/>
        <s v="5100"/>
        <s v="5900"/>
        <s v="5700"/>
        <s v="5200"/>
        <s v="1010"/>
        <s v="1400"/>
        <s v="2010"/>
        <s v="2020"/>
        <s v="2200"/>
        <m u="1"/>
      </sharedItems>
    </cacheField>
    <cacheField name="Account Name" numFmtId="0">
      <sharedItems containsBlank="1" count="44">
        <s v="Grants Receivable"/>
        <s v="Net Assets - Temporarily Restricted"/>
        <s v="Net Assets - Unrestricted"/>
        <s v="Indirect Cost Allocation"/>
        <s v="Grant Revenue - Federal"/>
        <s v="Fee for Service Revenue"/>
        <s v="Contract Revenue"/>
        <s v="Grant Revenue - Foundation"/>
        <s v="Retirement Contributions"/>
        <s v="Employee Benefits"/>
        <s v="Payroll Taxes"/>
        <s v="Salaries and Wages"/>
        <s v="Prepaid Expenses"/>
        <s v="Accounts Payable"/>
        <s v="Insurance"/>
        <s v="Deferred Revenue"/>
        <s v="Cash - Operating"/>
        <s v="Notes Payable - Current"/>
        <s v="Property and Equipment"/>
        <s v="Miscellaneous Expense"/>
        <s v="Notes Payable - Long Term"/>
        <s v="Professional Fees - Accounting/Audit"/>
        <s v="Office Supplies"/>
        <s v="Accumulated Depreciation"/>
        <s v="Interest Income"/>
        <s v="Cash - Money Market/Reserve"/>
        <s v="Bank Fees"/>
        <s v="Meals and Entertainment"/>
        <s v="Software and Subscriptions"/>
        <s v="Utilities"/>
        <s v="Other Revenue"/>
        <s v="Professional Fees - Legal"/>
        <s v="Travel"/>
        <s v="Accounts Receivable - Trade"/>
        <s v="Contract Labor / Consultants"/>
        <s v="Interest Expense"/>
        <s v="Depreciation Expense"/>
        <s v="Rent"/>
        <s v="Cash - Payroll"/>
        <s v="Security Deposits"/>
        <s v="Accrued Payroll"/>
        <s v="Accrued Vacation/PTO"/>
        <s v="Refundable Grant Advances"/>
        <m u="1"/>
      </sharedItems>
    </cacheField>
    <cacheField name="Account Type" numFmtId="0">
      <sharedItems/>
    </cacheField>
    <cacheField name="Description" numFmtId="0">
      <sharedItems/>
    </cacheField>
    <cacheField name="Debit" numFmtId="166">
      <sharedItems containsBlank="1" containsMixedTypes="1" containsNumber="1" minValue="0" maxValue="250000"/>
    </cacheField>
    <cacheField name="Credit" numFmtId="166">
      <sharedItems containsBlank="1" containsMixedTypes="1" containsNumber="1" minValue="0" maxValue="310000"/>
    </cacheField>
    <cacheField name="Total" numFmtId="166">
      <sharedItems containsSemiMixedTypes="0" containsString="0" containsNumber="1" minValue="-310000" maxValue="250000"/>
    </cacheField>
    <cacheField name="Source" numFmtId="0">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6257.781128587965" createdVersion="8" refreshedVersion="8" minRefreshableVersion="3" recordCount="319" xr:uid="{0A674F65-6465-2848-BA1B-9AC031CAE495}">
  <cacheSource type="worksheet">
    <worksheetSource name="Headcount"/>
  </cacheSource>
  <cacheFields count="10">
    <cacheField name="Month" numFmtId="164">
      <sharedItems containsSemiMixedTypes="0" containsNonDate="0" containsDate="1" containsString="0" minDate="2025-07-01T00:00:00" maxDate="2026-06-02T00:00:00" count="12">
        <d v="2025-07-01T00:00:00"/>
        <d v="2025-08-01T00:00:00"/>
        <d v="2025-09-01T00:00:00"/>
        <d v="2025-10-01T00:00:00"/>
        <d v="2025-11-01T00:00:00"/>
        <d v="2025-12-01T00:00:00"/>
        <d v="2026-01-01T00:00:00"/>
        <d v="2026-02-01T00:00:00"/>
        <d v="2026-03-01T00:00:00"/>
        <d v="2026-04-01T00:00:00"/>
        <d v="2026-05-01T00:00:00"/>
        <d v="2026-06-01T00:00:00"/>
      </sharedItems>
      <fieldGroup par="9"/>
    </cacheField>
    <cacheField name="Employee ID" numFmtId="0">
      <sharedItems count="30">
        <s v="E1001"/>
        <s v="E1002"/>
        <s v="E1003"/>
        <s v="E1004"/>
        <s v="E1005"/>
        <s v="E1006"/>
        <s v="E1007"/>
        <s v="E1008"/>
        <s v="E1009"/>
        <s v="E1010"/>
        <s v="E1011"/>
        <s v="E1012"/>
        <s v="E1013"/>
        <s v="E1014"/>
        <s v="E1015"/>
        <s v="E1016"/>
        <s v="E1017"/>
        <s v="E1018"/>
        <s v="E1019"/>
        <s v="E1020"/>
        <s v="E1021"/>
        <s v="E1022"/>
        <s v="E1023"/>
        <s v="E1024"/>
        <s v="E1025"/>
        <s v="E1028"/>
        <s v="E1026"/>
        <s v="E1027"/>
        <s v="E1029"/>
        <s v="E1030"/>
      </sharedItems>
    </cacheField>
    <cacheField name="Employee Name" numFmtId="0">
      <sharedItems count="30">
        <s v="Amara Dubois"/>
        <s v="Omar Dubois"/>
        <s v="Zara Abara"/>
        <s v="Amara Ibrahim"/>
        <s v="Yuki Dubois"/>
        <s v="Elena Hassan"/>
        <s v="Daniel Muller"/>
        <s v="Kwame Muller"/>
        <s v="Carlos Ibrahim"/>
        <s v="Priya Khan"/>
        <s v="Anna Owusu"/>
        <s v="Nadia Ibrahim"/>
        <s v="Diego Diallo"/>
        <s v="Daniel Diallo"/>
        <s v="Aisha Okafor"/>
        <s v="Fatima Owusu"/>
        <s v="Kwame Silva"/>
        <s v="Amara Petrov"/>
        <s v="Yuki Chen"/>
        <s v="Ahmed Garcia"/>
        <s v="Noah Khan"/>
        <s v="Sofia Santos"/>
        <s v="Zara Sharma"/>
        <s v="Layla Costa"/>
        <s v="Chidi Chen"/>
        <s v="Ines Mensah"/>
        <s v="Chidi Rodriguez"/>
        <s v="Nadia Rodriguez"/>
        <s v="Nadia Khan"/>
        <s v="Maria Dubois"/>
      </sharedItems>
    </cacheField>
    <cacheField name="Cost Center" numFmtId="0">
      <sharedItems/>
    </cacheField>
    <cacheField name="CC Name" numFmtId="0">
      <sharedItems/>
    </cacheField>
    <cacheField name="CC Type" numFmtId="0">
      <sharedItems/>
    </cacheField>
    <cacheField name="FTE" numFmtId="2">
      <sharedItems containsSemiMixedTypes="0" containsString="0" containsNumber="1" minValue="0.5" maxValue="1"/>
    </cacheField>
    <cacheField name="Months (Month)" numFmtId="0" databaseField="0">
      <fieldGroup base="0">
        <rangePr groupBy="months" startDate="2025-07-01T00:00:00" endDate="2026-06-02T00:00:00"/>
        <groupItems count="14">
          <s v="&lt;7/1/25"/>
          <s v="Jan"/>
          <s v="Feb"/>
          <s v="Mar"/>
          <s v="Apr"/>
          <s v="May"/>
          <s v="Jun"/>
          <s v="Jul"/>
          <s v="Aug"/>
          <s v="Sep"/>
          <s v="Oct"/>
          <s v="Nov"/>
          <s v="Dec"/>
          <s v="&gt;6/2/26"/>
        </groupItems>
      </fieldGroup>
    </cacheField>
    <cacheField name="Quarters (Month)" numFmtId="0" databaseField="0">
      <fieldGroup base="0">
        <rangePr groupBy="quarters" startDate="2025-07-01T00:00:00" endDate="2026-06-02T00:00:00"/>
        <groupItems count="6">
          <s v="&lt;7/1/25"/>
          <s v="Qtr1"/>
          <s v="Qtr2"/>
          <s v="Qtr3"/>
          <s v="Qtr4"/>
          <s v="&gt;6/2/26"/>
        </groupItems>
      </fieldGroup>
    </cacheField>
    <cacheField name="Years (Month)" numFmtId="0" databaseField="0">
      <fieldGroup base="0">
        <rangePr groupBy="years" startDate="2025-07-01T00:00:00" endDate="2026-06-02T00:00:00"/>
        <groupItems count="4">
          <s v="&lt;7/1/25"/>
          <s v="2025"/>
          <s v="2026"/>
          <s v="&gt;6/2/26"/>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31">
  <r>
    <x v="0"/>
    <s v="JE-1345"/>
    <s v="2010"/>
    <x v="0"/>
    <x v="0"/>
    <s v="Asset"/>
    <s v="Signed Latin American restricted grant"/>
    <n v="70000"/>
    <m/>
    <n v="70000"/>
    <s v="GL"/>
  </r>
  <r>
    <x v="0"/>
    <s v="JE-1345"/>
    <s v="2010"/>
    <x v="1"/>
    <x v="1"/>
    <s v="Equity"/>
    <s v="Signed Latin American restricted grant"/>
    <m/>
    <n v="70000"/>
    <n v="-70000"/>
    <s v="GL"/>
  </r>
  <r>
    <x v="1"/>
    <s v="JE-1321"/>
    <s v="2010"/>
    <x v="1"/>
    <x v="1"/>
    <s v="Equity"/>
    <s v="Reclassify restricted grant revenue to 3100 - Latin America (Jul-25)"/>
    <m/>
    <n v="36609.78"/>
    <n v="-36609.78"/>
    <s v="GL"/>
  </r>
  <r>
    <x v="1"/>
    <s v="JE-1321"/>
    <s v="2020"/>
    <x v="1"/>
    <x v="1"/>
    <s v="Equity"/>
    <s v="Reclassify restricted grant revenue to 3100 - MENA (Jul-25)"/>
    <m/>
    <n v="27465.59"/>
    <n v="-27465.59"/>
    <s v="GL"/>
  </r>
  <r>
    <x v="1"/>
    <s v="JE-1321"/>
    <s v="2030"/>
    <x v="1"/>
    <x v="1"/>
    <s v="Equity"/>
    <s v="Reclassify restricted grant revenue to 3100 - Sub-Saharan Africa (Jul-25)"/>
    <m/>
    <n v="27465.59"/>
    <n v="-27465.59"/>
    <s v="GL"/>
  </r>
  <r>
    <x v="1"/>
    <s v="JE-1321"/>
    <s v="2040"/>
    <x v="1"/>
    <x v="1"/>
    <s v="Equity"/>
    <s v="Reclassify restricted grant revenue to 3100 - Europe (Jul-25)"/>
    <m/>
    <n v="36609.800000000003"/>
    <n v="-36609.800000000003"/>
    <s v="GL"/>
  </r>
  <r>
    <x v="1"/>
    <s v="JE-1321"/>
    <s v="2050"/>
    <x v="1"/>
    <x v="1"/>
    <s v="Equity"/>
    <s v="Reclassify restricted grant revenue to 3100 - SE Asia (Jul-25)"/>
    <m/>
    <n v="36609.800000000003"/>
    <n v="-36609.800000000003"/>
    <s v="GL"/>
  </r>
  <r>
    <x v="1"/>
    <s v="JE-1321"/>
    <m/>
    <x v="2"/>
    <x v="2"/>
    <s v="Equity"/>
    <s v="Reclassify restricted grant revenue to 3100 (Jul-25)"/>
    <n v="164760.56"/>
    <m/>
    <n v="164760.56"/>
    <s v="GL"/>
  </r>
  <r>
    <x v="1"/>
    <s v="JE-1322"/>
    <m/>
    <x v="1"/>
    <x v="1"/>
    <s v="Equity"/>
    <s v="Net assets released from restriction (Jul-25)"/>
    <n v="119939.86"/>
    <m/>
    <n v="119939.86"/>
    <s v="GL"/>
  </r>
  <r>
    <x v="1"/>
    <s v="JE-1322"/>
    <m/>
    <x v="2"/>
    <x v="2"/>
    <s v="Equity"/>
    <s v="Net assets released from restriction (Jul-25)"/>
    <m/>
    <n v="119939.86"/>
    <n v="-119939.86"/>
    <s v="GL"/>
  </r>
  <r>
    <x v="2"/>
    <s v="JE-1323"/>
    <s v="2010"/>
    <x v="1"/>
    <x v="1"/>
    <s v="Equity"/>
    <s v="Reclassify restricted grant revenue to 3100 - Latin America (Aug-25)"/>
    <m/>
    <n v="12103.1"/>
    <n v="-12103.1"/>
    <s v="GL"/>
  </r>
  <r>
    <x v="2"/>
    <s v="JE-1323"/>
    <s v="2020"/>
    <x v="1"/>
    <x v="1"/>
    <s v="Equity"/>
    <s v="Reclassify restricted grant revenue to 3100 - MENA (Aug-25)"/>
    <m/>
    <n v="9080.0499999999993"/>
    <n v="-9080.0499999999993"/>
    <s v="GL"/>
  </r>
  <r>
    <x v="2"/>
    <s v="JE-1323"/>
    <s v="2030"/>
    <x v="1"/>
    <x v="1"/>
    <s v="Equity"/>
    <s v="Reclassify restricted grant revenue to 3100 - Sub-Saharan Africa (Aug-25)"/>
    <m/>
    <n v="9080.0499999999993"/>
    <n v="-9080.0499999999993"/>
    <s v="GL"/>
  </r>
  <r>
    <x v="2"/>
    <s v="JE-1323"/>
    <s v="2040"/>
    <x v="1"/>
    <x v="1"/>
    <s v="Equity"/>
    <s v="Reclassify restricted grant revenue to 3100 - Europe (Aug-25)"/>
    <m/>
    <n v="12103.1"/>
    <n v="-12103.1"/>
    <s v="GL"/>
  </r>
  <r>
    <x v="2"/>
    <s v="JE-1323"/>
    <s v="2050"/>
    <x v="1"/>
    <x v="1"/>
    <s v="Equity"/>
    <s v="Reclassify restricted grant revenue to 3100 - SE Asia (Aug-25)"/>
    <m/>
    <n v="12103.1"/>
    <n v="-12103.1"/>
    <s v="GL"/>
  </r>
  <r>
    <x v="2"/>
    <s v="JE-1323"/>
    <m/>
    <x v="2"/>
    <x v="2"/>
    <s v="Equity"/>
    <s v="Reclassify restricted grant revenue to 3100 (Aug-25)"/>
    <n v="54469.4"/>
    <m/>
    <n v="54469.4"/>
    <s v="GL"/>
  </r>
  <r>
    <x v="2"/>
    <s v="JE-1324"/>
    <m/>
    <x v="1"/>
    <x v="1"/>
    <s v="Equity"/>
    <s v="Net assets released from restriction (Aug-25)"/>
    <n v="99290.1"/>
    <m/>
    <n v="99290.1"/>
    <s v="GL"/>
  </r>
  <r>
    <x v="2"/>
    <s v="JE-1324"/>
    <m/>
    <x v="2"/>
    <x v="2"/>
    <s v="Equity"/>
    <s v="Net assets released from restriction (Aug-25)"/>
    <m/>
    <n v="99290.1"/>
    <n v="-99290.1"/>
    <s v="GL"/>
  </r>
  <r>
    <x v="3"/>
    <s v="JE-1325"/>
    <s v="2010"/>
    <x v="1"/>
    <x v="1"/>
    <s v="Equity"/>
    <s v="Reclassify restricted grant revenue to 3100 - Latin America (Sep-25)"/>
    <m/>
    <n v="12392.69"/>
    <n v="-12392.69"/>
    <s v="GL"/>
  </r>
  <r>
    <x v="3"/>
    <s v="JE-1325"/>
    <s v="2020"/>
    <x v="1"/>
    <x v="1"/>
    <s v="Equity"/>
    <s v="Reclassify restricted grant revenue to 3100 - MENA (Sep-25)"/>
    <m/>
    <n v="9297.2999999999993"/>
    <n v="-9297.2999999999993"/>
    <s v="GL"/>
  </r>
  <r>
    <x v="3"/>
    <s v="JE-1325"/>
    <s v="2030"/>
    <x v="1"/>
    <x v="1"/>
    <s v="Equity"/>
    <s v="Reclassify restricted grant revenue to 3100 - Sub-Saharan Africa (Sep-25)"/>
    <m/>
    <n v="9297.2999999999993"/>
    <n v="-9297.2999999999993"/>
    <s v="GL"/>
  </r>
  <r>
    <x v="3"/>
    <s v="JE-1325"/>
    <s v="2040"/>
    <x v="1"/>
    <x v="1"/>
    <s v="Equity"/>
    <s v="Reclassify restricted grant revenue to 3100 - Europe (Sep-25)"/>
    <m/>
    <n v="12392.68"/>
    <n v="-12392.68"/>
    <s v="GL"/>
  </r>
  <r>
    <x v="3"/>
    <s v="JE-1325"/>
    <s v="2050"/>
    <x v="1"/>
    <x v="1"/>
    <s v="Equity"/>
    <s v="Reclassify restricted grant revenue to 3100 - SE Asia (Sep-25)"/>
    <m/>
    <n v="12392.68"/>
    <n v="-12392.68"/>
    <s v="GL"/>
  </r>
  <r>
    <x v="3"/>
    <s v="JE-1325"/>
    <m/>
    <x v="2"/>
    <x v="2"/>
    <s v="Equity"/>
    <s v="Reclassify restricted grant revenue to 3100 (Sep-25)"/>
    <n v="55772.65"/>
    <m/>
    <n v="55772.65"/>
    <s v="GL"/>
  </r>
  <r>
    <x v="3"/>
    <s v="JE-1326"/>
    <m/>
    <x v="1"/>
    <x v="1"/>
    <s v="Equity"/>
    <s v="Net assets released from restriction (Sep-25)"/>
    <n v="55772.65"/>
    <m/>
    <n v="55772.65"/>
    <s v="GL"/>
  </r>
  <r>
    <x v="3"/>
    <s v="JE-1326"/>
    <m/>
    <x v="2"/>
    <x v="2"/>
    <s v="Equity"/>
    <s v="Net assets released from restriction (Sep-25)"/>
    <m/>
    <n v="55772.65"/>
    <n v="-55772.65"/>
    <s v="GL"/>
  </r>
  <r>
    <x v="4"/>
    <s v="JE-1327"/>
    <s v="2010"/>
    <x v="1"/>
    <x v="1"/>
    <s v="Equity"/>
    <s v="Reclassify restricted grant revenue to 3100 - Latin America (Oct-25)"/>
    <m/>
    <n v="26531.17"/>
    <n v="-26531.17"/>
    <s v="GL"/>
  </r>
  <r>
    <x v="4"/>
    <s v="JE-1327"/>
    <s v="2020"/>
    <x v="1"/>
    <x v="1"/>
    <s v="Equity"/>
    <s v="Reclassify restricted grant revenue to 3100 - MENA (Oct-25)"/>
    <m/>
    <n v="35364.269999999997"/>
    <n v="-35364.269999999997"/>
    <s v="GL"/>
  </r>
  <r>
    <x v="4"/>
    <s v="JE-1327"/>
    <s v="2030"/>
    <x v="1"/>
    <x v="1"/>
    <s v="Equity"/>
    <s v="Reclassify restricted grant revenue to 3100 - Sub-Saharan Africa (Oct-25)"/>
    <m/>
    <n v="26531.17"/>
    <n v="-26531.17"/>
    <s v="GL"/>
  </r>
  <r>
    <x v="4"/>
    <s v="JE-1327"/>
    <s v="2040"/>
    <x v="1"/>
    <x v="1"/>
    <s v="Equity"/>
    <s v="Reclassify restricted grant revenue to 3100 - Europe (Oct-25)"/>
    <m/>
    <n v="35364.28"/>
    <n v="-35364.28"/>
    <s v="GL"/>
  </r>
  <r>
    <x v="4"/>
    <s v="JE-1327"/>
    <s v="2050"/>
    <x v="1"/>
    <x v="1"/>
    <s v="Equity"/>
    <s v="Reclassify restricted grant revenue to 3100 - SE Asia (Oct-25)"/>
    <m/>
    <n v="35364.28"/>
    <n v="-35364.28"/>
    <s v="GL"/>
  </r>
  <r>
    <x v="4"/>
    <s v="JE-1327"/>
    <m/>
    <x v="2"/>
    <x v="2"/>
    <s v="Equity"/>
    <s v="Reclassify restricted grant revenue to 3100 (Oct-25)"/>
    <n v="159155.17000000001"/>
    <m/>
    <n v="159155.17000000001"/>
    <s v="GL"/>
  </r>
  <r>
    <x v="4"/>
    <s v="JE-1328"/>
    <m/>
    <x v="1"/>
    <x v="1"/>
    <s v="Equity"/>
    <s v="Net assets released from restriction (Oct-25)"/>
    <n v="139342.87"/>
    <m/>
    <n v="139342.87"/>
    <s v="GL"/>
  </r>
  <r>
    <x v="4"/>
    <s v="JE-1328"/>
    <m/>
    <x v="2"/>
    <x v="2"/>
    <s v="Equity"/>
    <s v="Net assets released from restriction (Oct-25)"/>
    <m/>
    <n v="139342.87"/>
    <n v="-139342.87"/>
    <s v="GL"/>
  </r>
  <r>
    <x v="5"/>
    <s v="JE-1329"/>
    <s v="2010"/>
    <x v="1"/>
    <x v="1"/>
    <s v="Equity"/>
    <s v="Reclassify restricted grant revenue to 3100 - Latin America (Nov-25)"/>
    <m/>
    <n v="10518.54"/>
    <n v="-10518.54"/>
    <s v="GL"/>
  </r>
  <r>
    <x v="5"/>
    <s v="JE-1329"/>
    <s v="2020"/>
    <x v="1"/>
    <x v="1"/>
    <s v="Equity"/>
    <s v="Reclassify restricted grant revenue to 3100 - MENA (Nov-25)"/>
    <m/>
    <n v="10513.54"/>
    <n v="-10513.54"/>
    <s v="GL"/>
  </r>
  <r>
    <x v="5"/>
    <s v="JE-1329"/>
    <s v="2030"/>
    <x v="1"/>
    <x v="1"/>
    <s v="Equity"/>
    <s v="Reclassify restricted grant revenue to 3100 - Sub-Saharan Africa (Nov-25)"/>
    <m/>
    <n v="7886.4"/>
    <n v="-7886.4"/>
    <s v="GL"/>
  </r>
  <r>
    <x v="5"/>
    <s v="JE-1329"/>
    <s v="2040"/>
    <x v="1"/>
    <x v="1"/>
    <s v="Equity"/>
    <s v="Reclassify restricted grant revenue to 3100 - Europe (Nov-25)"/>
    <m/>
    <n v="10513.54"/>
    <n v="-10513.54"/>
    <s v="GL"/>
  </r>
  <r>
    <x v="5"/>
    <s v="JE-1329"/>
    <s v="2050"/>
    <x v="1"/>
    <x v="1"/>
    <s v="Equity"/>
    <s v="Reclassify restricted grant revenue to 3100 - SE Asia (Nov-25)"/>
    <m/>
    <n v="10513.54"/>
    <n v="-10513.54"/>
    <s v="GL"/>
  </r>
  <r>
    <x v="5"/>
    <s v="JE-1329"/>
    <m/>
    <x v="2"/>
    <x v="2"/>
    <s v="Equity"/>
    <s v="Reclassify restricted grant revenue to 3100 (Nov-25)"/>
    <n v="49945.56"/>
    <m/>
    <n v="49945.56"/>
    <s v="GL"/>
  </r>
  <r>
    <x v="5"/>
    <s v="JE-1330"/>
    <m/>
    <x v="1"/>
    <x v="1"/>
    <s v="Equity"/>
    <s v="Net assets released from restriction (Nov-25)"/>
    <n v="69757.86"/>
    <m/>
    <n v="69757.86"/>
    <s v="GL"/>
  </r>
  <r>
    <x v="5"/>
    <s v="JE-1330"/>
    <m/>
    <x v="2"/>
    <x v="2"/>
    <s v="Equity"/>
    <s v="Net assets released from restriction (Nov-25)"/>
    <m/>
    <n v="69757.86"/>
    <n v="-69757.86"/>
    <s v="GL"/>
  </r>
  <r>
    <x v="6"/>
    <s v="JE-1331"/>
    <s v="2010"/>
    <x v="1"/>
    <x v="1"/>
    <s v="Equity"/>
    <s v="Reclassify restricted grant revenue to 3100 - Latin America (Dec-25)"/>
    <m/>
    <n v="14102.79"/>
    <n v="-14102.79"/>
    <s v="GL"/>
  </r>
  <r>
    <x v="6"/>
    <s v="JE-1331"/>
    <s v="2020"/>
    <x v="1"/>
    <x v="1"/>
    <s v="Equity"/>
    <s v="Reclassify restricted grant revenue to 3100 - MENA (Dec-25)"/>
    <m/>
    <n v="14096.09"/>
    <n v="-14096.09"/>
    <s v="GL"/>
  </r>
  <r>
    <x v="6"/>
    <s v="JE-1331"/>
    <s v="2030"/>
    <x v="1"/>
    <x v="1"/>
    <s v="Equity"/>
    <s v="Reclassify restricted grant revenue to 3100 - Sub-Saharan Africa (Dec-25)"/>
    <m/>
    <n v="10573.74"/>
    <n v="-10573.74"/>
    <s v="GL"/>
  </r>
  <r>
    <x v="6"/>
    <s v="JE-1331"/>
    <s v="2040"/>
    <x v="1"/>
    <x v="1"/>
    <s v="Equity"/>
    <s v="Reclassify restricted grant revenue to 3100 - Europe (Dec-25)"/>
    <m/>
    <n v="14096.09"/>
    <n v="-14096.09"/>
    <s v="GL"/>
  </r>
  <r>
    <x v="6"/>
    <s v="JE-1331"/>
    <s v="2050"/>
    <x v="1"/>
    <x v="1"/>
    <s v="Equity"/>
    <s v="Reclassify restricted grant revenue to 3100 - SE Asia (Dec-25)"/>
    <m/>
    <n v="14096.09"/>
    <n v="-14096.09"/>
    <s v="GL"/>
  </r>
  <r>
    <x v="6"/>
    <s v="JE-1331"/>
    <m/>
    <x v="2"/>
    <x v="2"/>
    <s v="Equity"/>
    <s v="Reclassify restricted grant revenue to 3100 (Dec-25)"/>
    <n v="66964.800000000003"/>
    <m/>
    <n v="66964.800000000003"/>
    <s v="GL"/>
  </r>
  <r>
    <x v="6"/>
    <s v="JE-1332"/>
    <m/>
    <x v="1"/>
    <x v="1"/>
    <s v="Equity"/>
    <s v="Net assets released from restriction (Dec-25)"/>
    <n v="66964.800000000003"/>
    <m/>
    <n v="66964.800000000003"/>
    <s v="GL"/>
  </r>
  <r>
    <x v="6"/>
    <s v="JE-1332"/>
    <m/>
    <x v="2"/>
    <x v="2"/>
    <s v="Equity"/>
    <s v="Net assets released from restriction (Dec-25)"/>
    <m/>
    <n v="66964.800000000003"/>
    <n v="-66964.800000000003"/>
    <s v="GL"/>
  </r>
  <r>
    <x v="7"/>
    <s v="JE-1333"/>
    <s v="2010"/>
    <x v="1"/>
    <x v="1"/>
    <s v="Equity"/>
    <s v="Reclassify restricted grant revenue to 3100 - Latin America (Jan-26)"/>
    <m/>
    <n v="19992"/>
    <n v="-19992"/>
    <s v="GL"/>
  </r>
  <r>
    <x v="7"/>
    <s v="JE-1333"/>
    <s v="2020"/>
    <x v="1"/>
    <x v="1"/>
    <s v="Equity"/>
    <s v="Reclassify restricted grant revenue to 3100 - MENA (Jan-26)"/>
    <m/>
    <n v="19992.009999999998"/>
    <n v="-19992.009999999998"/>
    <s v="GL"/>
  </r>
  <r>
    <x v="7"/>
    <s v="JE-1333"/>
    <s v="2030"/>
    <x v="1"/>
    <x v="1"/>
    <s v="Equity"/>
    <s v="Reclassify restricted grant revenue to 3100 - Sub-Saharan Africa (Jan-26)"/>
    <m/>
    <n v="14998.5"/>
    <n v="-14998.5"/>
    <s v="GL"/>
  </r>
  <r>
    <x v="7"/>
    <s v="JE-1333"/>
    <s v="2040"/>
    <x v="1"/>
    <x v="1"/>
    <s v="Equity"/>
    <s v="Reclassify restricted grant revenue to 3100 - Europe (Jan-26)"/>
    <m/>
    <n v="14998.5"/>
    <n v="-14998.5"/>
    <s v="GL"/>
  </r>
  <r>
    <x v="7"/>
    <s v="JE-1333"/>
    <s v="2050"/>
    <x v="1"/>
    <x v="1"/>
    <s v="Equity"/>
    <s v="Reclassify restricted grant revenue to 3100 - SE Asia (Jan-26)"/>
    <m/>
    <n v="19992.009999999998"/>
    <n v="-19992.009999999998"/>
    <s v="GL"/>
  </r>
  <r>
    <x v="7"/>
    <s v="JE-1333"/>
    <m/>
    <x v="2"/>
    <x v="2"/>
    <s v="Equity"/>
    <s v="Reclassify restricted grant revenue to 3100 (Jan-26)"/>
    <n v="89973.02"/>
    <m/>
    <n v="89973.02"/>
    <s v="GL"/>
  </r>
  <r>
    <x v="7"/>
    <s v="JE-1334"/>
    <m/>
    <x v="1"/>
    <x v="1"/>
    <s v="Equity"/>
    <s v="Net assets released from restriction (Jan-26)"/>
    <n v="89973.02"/>
    <m/>
    <n v="89973.02"/>
    <s v="GL"/>
  </r>
  <r>
    <x v="7"/>
    <s v="JE-1334"/>
    <m/>
    <x v="2"/>
    <x v="2"/>
    <s v="Equity"/>
    <s v="Net assets released from restriction (Jan-26)"/>
    <m/>
    <n v="89973.02"/>
    <n v="-89973.02"/>
    <s v="GL"/>
  </r>
  <r>
    <x v="8"/>
    <s v="JE-1335"/>
    <s v="2010"/>
    <x v="1"/>
    <x v="1"/>
    <s v="Equity"/>
    <s v="Reclassify restricted grant revenue to 3100 - Latin America (Feb-26)"/>
    <m/>
    <n v="14218.94"/>
    <n v="-14218.94"/>
    <s v="GL"/>
  </r>
  <r>
    <x v="8"/>
    <s v="JE-1335"/>
    <s v="2020"/>
    <x v="1"/>
    <x v="1"/>
    <s v="Equity"/>
    <s v="Reclassify restricted grant revenue to 3100 - MENA (Feb-26)"/>
    <m/>
    <n v="14212.17"/>
    <n v="-14212.17"/>
    <s v="GL"/>
  </r>
  <r>
    <x v="8"/>
    <s v="JE-1335"/>
    <s v="2030"/>
    <x v="1"/>
    <x v="1"/>
    <s v="Equity"/>
    <s v="Reclassify restricted grant revenue to 3100 - Sub-Saharan Africa (Feb-26)"/>
    <m/>
    <n v="10660.82"/>
    <n v="-10660.82"/>
    <s v="GL"/>
  </r>
  <r>
    <x v="8"/>
    <s v="JE-1335"/>
    <s v="2040"/>
    <x v="1"/>
    <x v="1"/>
    <s v="Equity"/>
    <s v="Reclassify restricted grant revenue to 3100 - Europe (Feb-26)"/>
    <m/>
    <n v="14212.17"/>
    <n v="-14212.17"/>
    <s v="GL"/>
  </r>
  <r>
    <x v="8"/>
    <s v="JE-1335"/>
    <s v="2050"/>
    <x v="1"/>
    <x v="1"/>
    <s v="Equity"/>
    <s v="Reclassify restricted grant revenue to 3100 - SE Asia (Feb-26)"/>
    <m/>
    <n v="14212.17"/>
    <n v="-14212.17"/>
    <s v="GL"/>
  </r>
  <r>
    <x v="8"/>
    <s v="JE-1335"/>
    <m/>
    <x v="2"/>
    <x v="2"/>
    <s v="Equity"/>
    <s v="Reclassify restricted grant revenue to 3100 (Feb-26)"/>
    <n v="67516.27"/>
    <m/>
    <n v="67516.27"/>
    <s v="GL"/>
  </r>
  <r>
    <x v="8"/>
    <s v="JE-1336"/>
    <m/>
    <x v="1"/>
    <x v="1"/>
    <s v="Equity"/>
    <s v="Net assets released from restriction (Feb-26)"/>
    <n v="67516.27"/>
    <m/>
    <n v="67516.27"/>
    <s v="GL"/>
  </r>
  <r>
    <x v="8"/>
    <s v="JE-1336"/>
    <m/>
    <x v="2"/>
    <x v="2"/>
    <s v="Equity"/>
    <s v="Net assets released from restriction (Feb-26)"/>
    <m/>
    <n v="67516.27"/>
    <n v="-67516.27"/>
    <s v="GL"/>
  </r>
  <r>
    <x v="9"/>
    <s v="JE-1337"/>
    <s v="2010"/>
    <x v="1"/>
    <x v="1"/>
    <s v="Equity"/>
    <s v="Reclassify restricted grant revenue to 3100 - Latin America (Mar-26)"/>
    <m/>
    <n v="13791.8"/>
    <n v="-13791.8"/>
    <s v="GL"/>
  </r>
  <r>
    <x v="9"/>
    <s v="JE-1337"/>
    <s v="2020"/>
    <x v="1"/>
    <x v="1"/>
    <s v="Equity"/>
    <s v="Reclassify restricted grant revenue to 3100 - MENA (Mar-26)"/>
    <m/>
    <n v="13791.8"/>
    <n v="-13791.8"/>
    <s v="GL"/>
  </r>
  <r>
    <x v="9"/>
    <s v="JE-1337"/>
    <s v="2030"/>
    <x v="1"/>
    <x v="1"/>
    <s v="Equity"/>
    <s v="Reclassify restricted grant revenue to 3100 - Sub-Saharan Africa (Mar-26)"/>
    <m/>
    <n v="10343.85"/>
    <n v="-10343.85"/>
    <s v="GL"/>
  </r>
  <r>
    <x v="9"/>
    <s v="JE-1337"/>
    <s v="2040"/>
    <x v="1"/>
    <x v="1"/>
    <s v="Equity"/>
    <s v="Reclassify restricted grant revenue to 3100 - Europe (Mar-26)"/>
    <m/>
    <n v="13791.8"/>
    <n v="-13791.8"/>
    <s v="GL"/>
  </r>
  <r>
    <x v="9"/>
    <s v="JE-1337"/>
    <s v="2050"/>
    <x v="1"/>
    <x v="1"/>
    <s v="Equity"/>
    <s v="Reclassify restricted grant revenue to 3100 - SE Asia (Mar-26)"/>
    <m/>
    <n v="17239.759999999998"/>
    <n v="-17239.759999999998"/>
    <s v="GL"/>
  </r>
  <r>
    <x v="9"/>
    <s v="JE-1337"/>
    <m/>
    <x v="2"/>
    <x v="2"/>
    <s v="Equity"/>
    <s v="Reclassify restricted grant revenue to 3100 (Mar-26)"/>
    <n v="68959.009999999995"/>
    <m/>
    <n v="68959.009999999995"/>
    <s v="GL"/>
  </r>
  <r>
    <x v="9"/>
    <s v="JE-1338"/>
    <m/>
    <x v="1"/>
    <x v="1"/>
    <s v="Equity"/>
    <s v="Net assets released from restriction (Mar-26)"/>
    <n v="68959.009999999995"/>
    <m/>
    <n v="68959.009999999995"/>
    <s v="GL"/>
  </r>
  <r>
    <x v="9"/>
    <s v="JE-1338"/>
    <m/>
    <x v="2"/>
    <x v="2"/>
    <s v="Equity"/>
    <s v="Net assets released from restriction (Mar-26)"/>
    <m/>
    <n v="68959.009999999995"/>
    <n v="-68959.009999999995"/>
    <s v="GL"/>
  </r>
  <r>
    <x v="10"/>
    <s v="JE-1339"/>
    <s v="2010"/>
    <x v="1"/>
    <x v="1"/>
    <s v="Equity"/>
    <s v="Reclassify restricted grant revenue to 3100 - Latin America (Apr-26)"/>
    <m/>
    <n v="31361.52"/>
    <n v="-31361.52"/>
    <s v="GL"/>
  </r>
  <r>
    <x v="10"/>
    <s v="JE-1339"/>
    <s v="2020"/>
    <x v="1"/>
    <x v="1"/>
    <s v="Equity"/>
    <s v="Reclassify restricted grant revenue to 3100 - MENA (Apr-26)"/>
    <m/>
    <n v="31361.52"/>
    <n v="-31361.52"/>
    <s v="GL"/>
  </r>
  <r>
    <x v="10"/>
    <s v="JE-1339"/>
    <s v="2030"/>
    <x v="1"/>
    <x v="1"/>
    <s v="Equity"/>
    <s v="Reclassify restricted grant revenue to 3100 - Sub-Saharan Africa (Apr-26)"/>
    <m/>
    <n v="23521.14"/>
    <n v="-23521.14"/>
    <s v="GL"/>
  </r>
  <r>
    <x v="10"/>
    <s v="JE-1339"/>
    <s v="2040"/>
    <x v="1"/>
    <x v="1"/>
    <s v="Equity"/>
    <s v="Reclassify restricted grant revenue to 3100 - Europe (Apr-26)"/>
    <m/>
    <n v="31361.52"/>
    <n v="-31361.52"/>
    <s v="GL"/>
  </r>
  <r>
    <x v="10"/>
    <s v="JE-1339"/>
    <s v="2050"/>
    <x v="1"/>
    <x v="1"/>
    <s v="Equity"/>
    <s v="Reclassify restricted grant revenue to 3100 - SE Asia (Apr-26)"/>
    <m/>
    <n v="39201.910000000003"/>
    <n v="-39201.910000000003"/>
    <s v="GL"/>
  </r>
  <r>
    <x v="10"/>
    <s v="JE-1339"/>
    <m/>
    <x v="2"/>
    <x v="2"/>
    <s v="Equity"/>
    <s v="Reclassify restricted grant revenue to 3100 (Apr-26)"/>
    <n v="156807.60999999999"/>
    <m/>
    <n v="156807.60999999999"/>
    <s v="GL"/>
  </r>
  <r>
    <x v="10"/>
    <s v="JE-1340"/>
    <m/>
    <x v="1"/>
    <x v="1"/>
    <s v="Equity"/>
    <s v="Net assets released from restriction (Apr-26)"/>
    <n v="144169.75"/>
    <m/>
    <n v="144169.75"/>
    <s v="GL"/>
  </r>
  <r>
    <x v="10"/>
    <s v="JE-1340"/>
    <m/>
    <x v="2"/>
    <x v="2"/>
    <s v="Equity"/>
    <s v="Net assets released from restriction (Apr-26)"/>
    <m/>
    <n v="144169.75"/>
    <n v="-144169.75"/>
    <s v="GL"/>
  </r>
  <r>
    <x v="11"/>
    <s v="JE-1341"/>
    <s v="2010"/>
    <x v="1"/>
    <x v="1"/>
    <s v="Equity"/>
    <s v="Reclassify restricted grant revenue to 3100 - Latin America (May-26)"/>
    <m/>
    <n v="15402.17"/>
    <n v="-15402.17"/>
    <s v="GL"/>
  </r>
  <r>
    <x v="11"/>
    <s v="JE-1341"/>
    <s v="2020"/>
    <x v="1"/>
    <x v="1"/>
    <s v="Equity"/>
    <s v="Reclassify restricted grant revenue to 3100 - MENA (May-26)"/>
    <m/>
    <n v="15402.17"/>
    <n v="-15402.17"/>
    <s v="GL"/>
  </r>
  <r>
    <x v="11"/>
    <s v="JE-1341"/>
    <s v="2030"/>
    <x v="1"/>
    <x v="1"/>
    <s v="Equity"/>
    <s v="Reclassify restricted grant revenue to 3100 - Sub-Saharan Africa (May-26)"/>
    <m/>
    <n v="7704.74"/>
    <n v="-7704.74"/>
    <s v="GL"/>
  </r>
  <r>
    <x v="11"/>
    <s v="JE-1341"/>
    <s v="2040"/>
    <x v="1"/>
    <x v="1"/>
    <s v="Equity"/>
    <s v="Reclassify restricted grant revenue to 3100 - Europe (May-26)"/>
    <m/>
    <n v="15402.17"/>
    <n v="-15402.17"/>
    <s v="GL"/>
  </r>
  <r>
    <x v="11"/>
    <s v="JE-1341"/>
    <s v="2050"/>
    <x v="1"/>
    <x v="1"/>
    <s v="Equity"/>
    <s v="Reclassify restricted grant revenue to 3100 - SE Asia (May-26)"/>
    <m/>
    <n v="19258.189999999999"/>
    <n v="-19258.189999999999"/>
    <s v="GL"/>
  </r>
  <r>
    <x v="11"/>
    <s v="JE-1341"/>
    <m/>
    <x v="2"/>
    <x v="2"/>
    <s v="Equity"/>
    <s v="Reclassify restricted grant revenue to 3100 (May-26)"/>
    <n v="73169.440000000002"/>
    <m/>
    <n v="73169.440000000002"/>
    <s v="GL"/>
  </r>
  <r>
    <x v="11"/>
    <s v="JE-1342"/>
    <m/>
    <x v="1"/>
    <x v="1"/>
    <s v="Equity"/>
    <s v="Net assets released from restriction (May-26)"/>
    <n v="85807.3"/>
    <m/>
    <n v="85807.3"/>
    <s v="GL"/>
  </r>
  <r>
    <x v="11"/>
    <s v="JE-1342"/>
    <m/>
    <x v="2"/>
    <x v="2"/>
    <s v="Equity"/>
    <s v="Net assets released from restriction (May-26)"/>
    <m/>
    <n v="85807.3"/>
    <n v="-85807.3"/>
    <s v="GL"/>
  </r>
  <r>
    <x v="12"/>
    <s v="JE-1343"/>
    <s v="2010"/>
    <x v="1"/>
    <x v="1"/>
    <s v="Equity"/>
    <s v="Reclassify restricted grant revenue to 3100 - Latin America (Jun-26)"/>
    <m/>
    <n v="9211.94"/>
    <n v="-9211.94"/>
    <s v="GL"/>
  </r>
  <r>
    <x v="12"/>
    <s v="JE-1343"/>
    <s v="2020"/>
    <x v="1"/>
    <x v="1"/>
    <s v="Equity"/>
    <s v="Reclassify restricted grant revenue to 3100 - MENA (Jun-26)"/>
    <m/>
    <n v="9211.94"/>
    <n v="-9211.94"/>
    <s v="GL"/>
  </r>
  <r>
    <x v="12"/>
    <s v="JE-1343"/>
    <s v="2030"/>
    <x v="1"/>
    <x v="1"/>
    <s v="Equity"/>
    <s v="Reclassify restricted grant revenue to 3100 - Sub-Saharan Africa (Jun-26)"/>
    <m/>
    <n v="4608.16"/>
    <n v="-4608.16"/>
    <s v="GL"/>
  </r>
  <r>
    <x v="12"/>
    <s v="JE-1343"/>
    <s v="2040"/>
    <x v="1"/>
    <x v="1"/>
    <s v="Equity"/>
    <s v="Reclassify restricted grant revenue to 3100 - Europe (Jun-26)"/>
    <m/>
    <n v="9211.94"/>
    <n v="-9211.94"/>
    <s v="GL"/>
  </r>
  <r>
    <x v="12"/>
    <s v="JE-1343"/>
    <s v="2050"/>
    <x v="1"/>
    <x v="1"/>
    <s v="Equity"/>
    <s v="Reclassify restricted grant revenue to 3100 - SE Asia (Jun-26)"/>
    <m/>
    <n v="11518.21"/>
    <n v="-11518.21"/>
    <s v="GL"/>
  </r>
  <r>
    <x v="12"/>
    <s v="JE-1343"/>
    <m/>
    <x v="2"/>
    <x v="2"/>
    <s v="Equity"/>
    <s v="Reclassify restricted grant revenue to 3100 (Jun-26)"/>
    <n v="43762.19"/>
    <m/>
    <n v="43762.19"/>
    <s v="GL"/>
  </r>
  <r>
    <x v="12"/>
    <s v="JE-1344"/>
    <m/>
    <x v="1"/>
    <x v="1"/>
    <s v="Equity"/>
    <s v="Net assets released from restriction (Jun-26)"/>
    <n v="43762.19"/>
    <m/>
    <n v="43762.19"/>
    <s v="GL"/>
  </r>
  <r>
    <x v="12"/>
    <s v="JE-1344"/>
    <m/>
    <x v="2"/>
    <x v="2"/>
    <s v="Equity"/>
    <s v="Net assets released from restriction (Jun-26)"/>
    <m/>
    <n v="43762.19"/>
    <n v="-43762.19"/>
    <s v="GL"/>
  </r>
  <r>
    <x v="1"/>
    <s v="JE-1307"/>
    <s v="1010"/>
    <x v="3"/>
    <x v="3"/>
    <s v="Indirect"/>
    <s v="Latin America Allocation"/>
    <s v=""/>
    <n v="2234.6967317686726"/>
    <n v="-2234.6967317686726"/>
    <s v="GL"/>
  </r>
  <r>
    <x v="1"/>
    <s v="JE-1307"/>
    <s v="1010"/>
    <x v="3"/>
    <x v="3"/>
    <s v="Indirect"/>
    <s v="MENA Allocation"/>
    <s v=""/>
    <n v="1915.4563734402784"/>
    <n v="-1915.4563734402784"/>
    <s v="GL"/>
  </r>
  <r>
    <x v="1"/>
    <s v="JE-1307"/>
    <s v="1010"/>
    <x v="3"/>
    <x v="3"/>
    <s v="Indirect"/>
    <s v="Sub-Saharan Africa Allocation"/>
    <s v=""/>
    <n v="1915.4554252089511"/>
    <n v="-1915.4554252089511"/>
    <s v="GL"/>
  </r>
  <r>
    <x v="1"/>
    <s v="JE-1307"/>
    <s v="1010"/>
    <x v="3"/>
    <x v="3"/>
    <s v="Indirect"/>
    <s v="Europe Allocation"/>
    <s v=""/>
    <n v="2553.9399347910494"/>
    <n v="-2553.9399347910494"/>
    <s v="GL"/>
  </r>
  <r>
    <x v="1"/>
    <s v="JE-1307"/>
    <s v="1010"/>
    <x v="3"/>
    <x v="3"/>
    <s v="Indirect"/>
    <s v="SE Asia Allocation"/>
    <s v=""/>
    <n v="2553.9399347910494"/>
    <n v="-2553.9399347910494"/>
    <s v="GL"/>
  </r>
  <r>
    <x v="1"/>
    <s v="JE-1307"/>
    <s v="1030"/>
    <x v="3"/>
    <x v="3"/>
    <s v="Indirect"/>
    <s v="Latin America Allocation"/>
    <s v=""/>
    <n v="2792.6490550171416"/>
    <n v="-2792.6490550171416"/>
    <s v="GL"/>
  </r>
  <r>
    <x v="1"/>
    <s v="JE-1307"/>
    <s v="1030"/>
    <x v="3"/>
    <x v="3"/>
    <s v="Indirect"/>
    <s v="MENA Allocation"/>
    <s v=""/>
    <n v="2393.7017292636747"/>
    <n v="-2393.7017292636747"/>
    <s v="GL"/>
  </r>
  <r>
    <x v="1"/>
    <s v="JE-1307"/>
    <s v="1030"/>
    <x v="3"/>
    <x v="3"/>
    <s v="Indirect"/>
    <s v="Sub-Saharan Africa Allocation"/>
    <s v=""/>
    <n v="2393.7005442808168"/>
    <n v="-2393.7005442808168"/>
    <s v="GL"/>
  </r>
  <r>
    <x v="1"/>
    <s v="JE-1307"/>
    <s v="1030"/>
    <x v="3"/>
    <x v="3"/>
    <s v="Indirect"/>
    <s v="Europe Allocation"/>
    <s v=""/>
    <n v="3191.5999357191831"/>
    <n v="-3191.5999357191831"/>
    <s v="GL"/>
  </r>
  <r>
    <x v="1"/>
    <s v="JE-1307"/>
    <s v="1030"/>
    <x v="3"/>
    <x v="3"/>
    <s v="Indirect"/>
    <s v="SE Asia Allocation"/>
    <s v=""/>
    <n v="3191.5999357191831"/>
    <n v="-3191.5999357191831"/>
    <s v="GL"/>
  </r>
  <r>
    <x v="1"/>
    <s v="JE-1307"/>
    <s v="1040"/>
    <x v="3"/>
    <x v="3"/>
    <s v="Indirect"/>
    <s v="Latin America Allocation"/>
    <s v=""/>
    <n v="2792.6490550171416"/>
    <n v="-2792.6490550171416"/>
    <s v="GL"/>
  </r>
  <r>
    <x v="1"/>
    <s v="JE-1307"/>
    <s v="1040"/>
    <x v="3"/>
    <x v="3"/>
    <s v="Indirect"/>
    <s v="MENA Allocation"/>
    <s v=""/>
    <n v="2393.7017292636747"/>
    <n v="-2393.7017292636747"/>
    <s v="GL"/>
  </r>
  <r>
    <x v="1"/>
    <s v="JE-1307"/>
    <s v="1040"/>
    <x v="3"/>
    <x v="3"/>
    <s v="Indirect"/>
    <s v="Sub-Saharan Africa Allocation"/>
    <s v=""/>
    <n v="2393.7005442808168"/>
    <n v="-2393.7005442808168"/>
    <s v="GL"/>
  </r>
  <r>
    <x v="1"/>
    <s v="JE-1307"/>
    <s v="1040"/>
    <x v="3"/>
    <x v="3"/>
    <s v="Indirect"/>
    <s v="Europe Allocation"/>
    <s v=""/>
    <n v="3191.5999357191831"/>
    <n v="-3191.5999357191831"/>
    <s v="GL"/>
  </r>
  <r>
    <x v="1"/>
    <s v="JE-1307"/>
    <s v="1040"/>
    <x v="3"/>
    <x v="3"/>
    <s v="Indirect"/>
    <s v="SE Asia Allocation"/>
    <s v=""/>
    <n v="3191.5999357191831"/>
    <n v="-3191.5999357191831"/>
    <s v="GL"/>
  </r>
  <r>
    <x v="1"/>
    <s v="JE-1307"/>
    <s v="1050"/>
    <x v="3"/>
    <x v="3"/>
    <s v="Indirect"/>
    <s v="Latin America Allocation"/>
    <s v=""/>
    <n v="2792.6490550171416"/>
    <n v="-2792.6490550171416"/>
    <s v="GL"/>
  </r>
  <r>
    <x v="1"/>
    <s v="JE-1307"/>
    <s v="1050"/>
    <x v="3"/>
    <x v="3"/>
    <s v="Indirect"/>
    <s v="MENA Allocation"/>
    <s v=""/>
    <n v="2393.7017292636747"/>
    <n v="-2393.7017292636747"/>
    <s v="GL"/>
  </r>
  <r>
    <x v="1"/>
    <s v="JE-1307"/>
    <s v="1050"/>
    <x v="3"/>
    <x v="3"/>
    <s v="Indirect"/>
    <s v="Sub-Saharan Africa Allocation"/>
    <s v=""/>
    <n v="2393.7005442808168"/>
    <n v="-2393.7005442808168"/>
    <s v="GL"/>
  </r>
  <r>
    <x v="1"/>
    <s v="JE-1307"/>
    <s v="1050"/>
    <x v="3"/>
    <x v="3"/>
    <s v="Indirect"/>
    <s v="Europe Allocation"/>
    <s v=""/>
    <n v="3191.5999357191831"/>
    <n v="-3191.5999357191831"/>
    <s v="GL"/>
  </r>
  <r>
    <x v="1"/>
    <s v="JE-1307"/>
    <s v="1050"/>
    <x v="3"/>
    <x v="3"/>
    <s v="Indirect"/>
    <s v="SE Asia Allocation"/>
    <s v=""/>
    <n v="3191.5999357191831"/>
    <n v="-3191.5999357191831"/>
    <s v="GL"/>
  </r>
  <r>
    <x v="2"/>
    <s v="JE-1308"/>
    <s v="1010"/>
    <x v="3"/>
    <x v="3"/>
    <s v="Indirect"/>
    <s v="Latin America Allocation"/>
    <s v=""/>
    <n v="2651.9818918977021"/>
    <n v="-2651.9818918977021"/>
    <s v="GL"/>
  </r>
  <r>
    <x v="2"/>
    <s v="JE-1308"/>
    <s v="1010"/>
    <x v="3"/>
    <x v="3"/>
    <s v="Indirect"/>
    <s v="MENA Allocation"/>
    <s v=""/>
    <n v="2273.1300270178972"/>
    <n v="-2273.1300270178972"/>
    <s v="GL"/>
  </r>
  <r>
    <x v="2"/>
    <s v="JE-1308"/>
    <s v="1010"/>
    <x v="3"/>
    <x v="3"/>
    <s v="Indirect"/>
    <s v="Sub-Saharan Africa Allocation"/>
    <s v=""/>
    <n v="2273.1289189155996"/>
    <n v="-2273.1289189155996"/>
    <s v="GL"/>
  </r>
  <r>
    <x v="2"/>
    <s v="JE-1308"/>
    <s v="1010"/>
    <x v="3"/>
    <x v="3"/>
    <s v="Indirect"/>
    <s v="Europe Allocation"/>
    <s v=""/>
    <n v="3030.8370810844012"/>
    <n v="-3030.8370810844012"/>
    <s v="GL"/>
  </r>
  <r>
    <x v="2"/>
    <s v="JE-1308"/>
    <s v="1010"/>
    <x v="3"/>
    <x v="3"/>
    <s v="Indirect"/>
    <s v="SE Asia Allocation"/>
    <s v=""/>
    <n v="3030.8370810844012"/>
    <n v="-3030.8370810844012"/>
    <s v="GL"/>
  </r>
  <r>
    <x v="2"/>
    <s v="JE-1308"/>
    <s v="1030"/>
    <x v="3"/>
    <x v="3"/>
    <s v="Indirect"/>
    <s v="Latin America Allocation"/>
    <s v=""/>
    <n v="2877.1287978224727"/>
    <n v="-2877.1287978224727"/>
    <s v="GL"/>
  </r>
  <r>
    <x v="2"/>
    <s v="JE-1308"/>
    <s v="1030"/>
    <x v="3"/>
    <x v="3"/>
    <s v="Indirect"/>
    <s v="MENA Allocation"/>
    <s v=""/>
    <n v="2466.1133177075426"/>
    <n v="-2466.1133177075426"/>
    <s v="GL"/>
  </r>
  <r>
    <x v="2"/>
    <s v="JE-1308"/>
    <s v="1030"/>
    <x v="3"/>
    <x v="3"/>
    <s v="Indirect"/>
    <s v="Sub-Saharan Africa Allocation"/>
    <s v=""/>
    <n v="2466.1121155300157"/>
    <n v="-2466.1121155300157"/>
    <s v="GL"/>
  </r>
  <r>
    <x v="2"/>
    <s v="JE-1308"/>
    <s v="1030"/>
    <x v="3"/>
    <x v="3"/>
    <s v="Indirect"/>
    <s v="Europe Allocation"/>
    <s v=""/>
    <n v="3288.1478844699845"/>
    <n v="-3288.1478844699845"/>
    <s v="GL"/>
  </r>
  <r>
    <x v="2"/>
    <s v="JE-1308"/>
    <s v="1030"/>
    <x v="3"/>
    <x v="3"/>
    <s v="Indirect"/>
    <s v="SE Asia Allocation"/>
    <s v=""/>
    <n v="3288.1478844699845"/>
    <n v="-3288.1478844699845"/>
    <s v="GL"/>
  </r>
  <r>
    <x v="2"/>
    <s v="JE-1308"/>
    <s v="1040"/>
    <x v="3"/>
    <x v="3"/>
    <s v="Indirect"/>
    <s v="Latin America Allocation"/>
    <s v=""/>
    <n v="2963.4107617704767"/>
    <n v="-2963.4107617704767"/>
    <s v="GL"/>
  </r>
  <r>
    <x v="2"/>
    <s v="JE-1308"/>
    <s v="1040"/>
    <x v="3"/>
    <x v="3"/>
    <s v="Indirect"/>
    <s v="MENA Allocation"/>
    <s v=""/>
    <n v="2540.0693743606807"/>
    <n v="-2540.0693743606807"/>
    <s v="GL"/>
  </r>
  <r>
    <x v="2"/>
    <s v="JE-1308"/>
    <s v="1040"/>
    <x v="3"/>
    <x v="3"/>
    <s v="Indirect"/>
    <s v="Sub-Saharan Africa Allocation"/>
    <s v=""/>
    <n v="2540.0681361311572"/>
    <n v="-2540.0681361311572"/>
    <s v="GL"/>
  </r>
  <r>
    <x v="2"/>
    <s v="JE-1308"/>
    <s v="1040"/>
    <x v="3"/>
    <x v="3"/>
    <s v="Indirect"/>
    <s v="Europe Allocation"/>
    <s v=""/>
    <n v="3386.7558638688438"/>
    <n v="-3386.7558638688438"/>
    <s v="GL"/>
  </r>
  <r>
    <x v="2"/>
    <s v="JE-1308"/>
    <s v="1040"/>
    <x v="3"/>
    <x v="3"/>
    <s v="Indirect"/>
    <s v="SE Asia Allocation"/>
    <s v=""/>
    <n v="3386.7558638688438"/>
    <n v="-3386.7558638688438"/>
    <s v="GL"/>
  </r>
  <r>
    <x v="2"/>
    <s v="JE-1308"/>
    <s v="1050"/>
    <x v="3"/>
    <x v="3"/>
    <s v="Indirect"/>
    <s v="Latin America Allocation"/>
    <s v=""/>
    <n v="3047.0267268324387"/>
    <n v="-3047.0267268324387"/>
    <s v="GL"/>
  </r>
  <r>
    <x v="2"/>
    <s v="JE-1308"/>
    <s v="1050"/>
    <x v="3"/>
    <x v="3"/>
    <s v="Indirect"/>
    <s v="MENA Allocation"/>
    <s v=""/>
    <n v="2611.7402864061683"/>
    <n v="-2611.7402864061683"/>
    <s v="GL"/>
  </r>
  <r>
    <x v="2"/>
    <s v="JE-1308"/>
    <s v="1050"/>
    <x v="3"/>
    <x v="3"/>
    <s v="Indirect"/>
    <s v="Sub-Saharan Africa Allocation"/>
    <s v=""/>
    <n v="2611.7390132386072"/>
    <n v="-2611.7390132386072"/>
    <s v="GL"/>
  </r>
  <r>
    <x v="2"/>
    <s v="JE-1308"/>
    <s v="1050"/>
    <x v="3"/>
    <x v="3"/>
    <s v="Indirect"/>
    <s v="Europe Allocation"/>
    <s v=""/>
    <n v="3482.3169867613938"/>
    <n v="-3482.3169867613938"/>
    <s v="GL"/>
  </r>
  <r>
    <x v="2"/>
    <s v="JE-1308"/>
    <s v="1050"/>
    <x v="3"/>
    <x v="3"/>
    <s v="Indirect"/>
    <s v="SE Asia Allocation"/>
    <s v=""/>
    <n v="3482.3169867613938"/>
    <n v="-3482.3169867613938"/>
    <s v="GL"/>
  </r>
  <r>
    <x v="3"/>
    <s v="JE-1309"/>
    <s v="1010"/>
    <x v="3"/>
    <x v="3"/>
    <s v="Indirect"/>
    <s v="Latin America Allocation"/>
    <s v=""/>
    <n v="2172.9453074668095"/>
    <n v="-2172.9453074668095"/>
    <s v="GL"/>
  </r>
  <r>
    <x v="3"/>
    <s v="JE-1309"/>
    <s v="1010"/>
    <x v="3"/>
    <x v="3"/>
    <s v="Indirect"/>
    <s v="MENA Allocation"/>
    <s v=""/>
    <n v="1862.5258171934336"/>
    <n v="-1862.5258171934336"/>
    <s v="GL"/>
  </r>
  <r>
    <x v="3"/>
    <s v="JE-1309"/>
    <s v="1010"/>
    <x v="3"/>
    <x v="3"/>
    <s v="Indirect"/>
    <s v="Sub-Saharan Africa Allocation"/>
    <s v=""/>
    <n v="1862.524929638116"/>
    <n v="-1862.524929638116"/>
    <s v="GL"/>
  </r>
  <r>
    <x v="3"/>
    <s v="JE-1309"/>
    <s v="1010"/>
    <x v="3"/>
    <x v="3"/>
    <s v="Indirect"/>
    <s v="Europe Allocation"/>
    <s v=""/>
    <n v="2483.3665728508208"/>
    <n v="-2483.3665728508208"/>
    <s v="GL"/>
  </r>
  <r>
    <x v="3"/>
    <s v="JE-1309"/>
    <s v="1010"/>
    <x v="3"/>
    <x v="3"/>
    <s v="Indirect"/>
    <s v="SE Asia Allocation"/>
    <s v=""/>
    <n v="2483.3665728508208"/>
    <n v="-2483.3665728508208"/>
    <s v="GL"/>
  </r>
  <r>
    <x v="3"/>
    <s v="JE-1309"/>
    <s v="1030"/>
    <x v="3"/>
    <x v="3"/>
    <s v="Indirect"/>
    <s v="Latin America Allocation"/>
    <s v=""/>
    <n v="2897.2624099552554"/>
    <n v="-2897.2624099552554"/>
    <s v="GL"/>
  </r>
  <r>
    <x v="3"/>
    <s v="JE-1309"/>
    <s v="1030"/>
    <x v="3"/>
    <x v="3"/>
    <s v="Indirect"/>
    <s v="MENA Allocation"/>
    <s v=""/>
    <n v="2483.3694705443722"/>
    <n v="-2483.3694705443722"/>
    <s v="GL"/>
  </r>
  <r>
    <x v="3"/>
    <s v="JE-1309"/>
    <s v="1030"/>
    <x v="3"/>
    <x v="3"/>
    <s v="Indirect"/>
    <s v="Sub-Saharan Africa Allocation"/>
    <s v=""/>
    <n v="2483.3682871364649"/>
    <n v="-2483.3682871364649"/>
    <s v="GL"/>
  </r>
  <r>
    <x v="3"/>
    <s v="JE-1309"/>
    <s v="1030"/>
    <x v="3"/>
    <x v="3"/>
    <s v="Indirect"/>
    <s v="Europe Allocation"/>
    <s v=""/>
    <n v="3311.1577161819528"/>
    <n v="-3311.1577161819528"/>
    <s v="GL"/>
  </r>
  <r>
    <x v="3"/>
    <s v="JE-1309"/>
    <s v="1030"/>
    <x v="3"/>
    <x v="3"/>
    <s v="Indirect"/>
    <s v="SE Asia Allocation"/>
    <s v=""/>
    <n v="3311.1577161819528"/>
    <n v="-3311.1577161819528"/>
    <s v="GL"/>
  </r>
  <r>
    <x v="3"/>
    <s v="JE-1309"/>
    <s v="1040"/>
    <x v="3"/>
    <x v="3"/>
    <s v="Indirect"/>
    <s v="Latin America Allocation"/>
    <s v=""/>
    <n v="2897.2624099552554"/>
    <n v="-2897.2624099552554"/>
    <s v="GL"/>
  </r>
  <r>
    <x v="3"/>
    <s v="JE-1309"/>
    <s v="1040"/>
    <x v="3"/>
    <x v="3"/>
    <s v="Indirect"/>
    <s v="MENA Allocation"/>
    <s v=""/>
    <n v="2483.3694705443722"/>
    <n v="-2483.3694705443722"/>
    <s v="GL"/>
  </r>
  <r>
    <x v="3"/>
    <s v="JE-1309"/>
    <s v="1040"/>
    <x v="3"/>
    <x v="3"/>
    <s v="Indirect"/>
    <s v="Sub-Saharan Africa Allocation"/>
    <s v=""/>
    <n v="2483.3682871364649"/>
    <n v="-2483.3682871364649"/>
    <s v="GL"/>
  </r>
  <r>
    <x v="3"/>
    <s v="JE-1309"/>
    <s v="1040"/>
    <x v="3"/>
    <x v="3"/>
    <s v="Indirect"/>
    <s v="Europe Allocation"/>
    <s v=""/>
    <n v="3311.1577161819528"/>
    <n v="-3311.1577161819528"/>
    <s v="GL"/>
  </r>
  <r>
    <x v="3"/>
    <s v="JE-1309"/>
    <s v="1040"/>
    <x v="3"/>
    <x v="3"/>
    <s v="Indirect"/>
    <s v="SE Asia Allocation"/>
    <s v=""/>
    <n v="3311.1577161819528"/>
    <n v="-3311.1577161819528"/>
    <s v="GL"/>
  </r>
  <r>
    <x v="3"/>
    <s v="JE-1309"/>
    <s v="1050"/>
    <x v="3"/>
    <x v="3"/>
    <s v="Indirect"/>
    <s v="Latin America Allocation"/>
    <s v=""/>
    <n v="2897.2624099552554"/>
    <n v="-2897.2624099552554"/>
    <s v="GL"/>
  </r>
  <r>
    <x v="3"/>
    <s v="JE-1309"/>
    <s v="1050"/>
    <x v="3"/>
    <x v="3"/>
    <s v="Indirect"/>
    <s v="MENA Allocation"/>
    <s v=""/>
    <n v="2483.3694705443722"/>
    <n v="-2483.3694705443722"/>
    <s v="GL"/>
  </r>
  <r>
    <x v="3"/>
    <s v="JE-1309"/>
    <s v="1050"/>
    <x v="3"/>
    <x v="3"/>
    <s v="Indirect"/>
    <s v="Sub-Saharan Africa Allocation"/>
    <s v=""/>
    <n v="2483.3682871364649"/>
    <n v="-2483.3682871364649"/>
    <s v="GL"/>
  </r>
  <r>
    <x v="3"/>
    <s v="JE-1309"/>
    <s v="1050"/>
    <x v="3"/>
    <x v="3"/>
    <s v="Indirect"/>
    <s v="Europe Allocation"/>
    <s v=""/>
    <n v="3311.1577161819528"/>
    <n v="-3311.1577161819528"/>
    <s v="GL"/>
  </r>
  <r>
    <x v="3"/>
    <s v="JE-1309"/>
    <s v="1050"/>
    <x v="3"/>
    <x v="3"/>
    <s v="Indirect"/>
    <s v="SE Asia Allocation"/>
    <s v=""/>
    <n v="3311.1577161819528"/>
    <n v="-3311.1577161819528"/>
    <s v="GL"/>
  </r>
  <r>
    <x v="4"/>
    <s v="JE-1310"/>
    <s v="1010"/>
    <x v="3"/>
    <x v="3"/>
    <s v="Indirect"/>
    <s v="Latin America Allocation"/>
    <s v=""/>
    <n v="1563.0108072367914"/>
    <n v="-1563.0108072367914"/>
    <s v="GL"/>
  </r>
  <r>
    <x v="4"/>
    <s v="JE-1310"/>
    <s v="1010"/>
    <x v="3"/>
    <x v="3"/>
    <s v="Indirect"/>
    <s v="MENA Allocation"/>
    <s v=""/>
    <n v="2500.8188887829742"/>
    <n v="-2500.8188887829742"/>
    <s v="GL"/>
  </r>
  <r>
    <x v="4"/>
    <s v="JE-1310"/>
    <s v="1010"/>
    <x v="3"/>
    <x v="3"/>
    <s v="Indirect"/>
    <s v="Sub-Saharan Africa Allocation"/>
    <s v=""/>
    <n v="1875.6135010855196"/>
    <n v="-1875.6135010855196"/>
    <s v="GL"/>
  </r>
  <r>
    <x v="4"/>
    <s v="JE-1310"/>
    <s v="1010"/>
    <x v="3"/>
    <x v="3"/>
    <s v="Indirect"/>
    <s v="Europe Allocation"/>
    <s v=""/>
    <n v="2500.8180014473587"/>
    <n v="-2500.8180014473587"/>
    <s v="GL"/>
  </r>
  <r>
    <x v="4"/>
    <s v="JE-1310"/>
    <s v="1010"/>
    <x v="3"/>
    <x v="3"/>
    <s v="Indirect"/>
    <s v="SE Asia Allocation"/>
    <s v=""/>
    <n v="2500.8180014473587"/>
    <n v="-2500.8180014473587"/>
    <s v="GL"/>
  </r>
  <r>
    <x v="4"/>
    <s v="JE-1310"/>
    <s v="1030"/>
    <x v="3"/>
    <x v="3"/>
    <s v="Indirect"/>
    <s v="Latin America Allocation"/>
    <s v=""/>
    <n v="2443.7085786766615"/>
    <n v="-2443.7085786766615"/>
    <s v="GL"/>
  </r>
  <r>
    <x v="4"/>
    <s v="JE-1310"/>
    <s v="1030"/>
    <x v="3"/>
    <x v="3"/>
    <s v="Indirect"/>
    <s v="MENA Allocation"/>
    <s v=""/>
    <n v="3909.9362230511765"/>
    <n v="-3909.9362230511765"/>
    <s v="GL"/>
  </r>
  <r>
    <x v="4"/>
    <s v="JE-1310"/>
    <s v="1030"/>
    <x v="3"/>
    <x v="3"/>
    <s v="Indirect"/>
    <s v="Sub-Saharan Africa Allocation"/>
    <s v=""/>
    <n v="2932.4511268015003"/>
    <n v="-2932.4511268015003"/>
    <s v="GL"/>
  </r>
  <r>
    <x v="4"/>
    <s v="JE-1310"/>
    <s v="1030"/>
    <x v="3"/>
    <x v="3"/>
    <s v="Indirect"/>
    <s v="Europe Allocation"/>
    <s v=""/>
    <n v="3909.9348357353329"/>
    <n v="-3909.9348357353329"/>
    <s v="GL"/>
  </r>
  <r>
    <x v="4"/>
    <s v="JE-1310"/>
    <s v="1030"/>
    <x v="3"/>
    <x v="3"/>
    <s v="Indirect"/>
    <s v="SE Asia Allocation"/>
    <s v=""/>
    <n v="3909.9348357353329"/>
    <n v="-3909.9348357353329"/>
    <s v="GL"/>
  </r>
  <r>
    <x v="4"/>
    <s v="JE-1310"/>
    <s v="1040"/>
    <x v="3"/>
    <x v="3"/>
    <s v="Indirect"/>
    <s v="Latin America Allocation"/>
    <s v=""/>
    <n v="2084.0144096490549"/>
    <n v="-2084.0144096490549"/>
    <s v="GL"/>
  </r>
  <r>
    <x v="4"/>
    <s v="JE-1310"/>
    <s v="1040"/>
    <x v="3"/>
    <x v="3"/>
    <s v="Indirect"/>
    <s v="MENA Allocation"/>
    <s v=""/>
    <n v="3334.4251850439655"/>
    <n v="-3334.4251850439655"/>
    <s v="GL"/>
  </r>
  <r>
    <x v="4"/>
    <s v="JE-1310"/>
    <s v="1040"/>
    <x v="3"/>
    <x v="3"/>
    <s v="Indirect"/>
    <s v="Sub-Saharan Africa Allocation"/>
    <s v=""/>
    <n v="2500.8180014473592"/>
    <n v="-2500.8180014473592"/>
    <s v="GL"/>
  </r>
  <r>
    <x v="4"/>
    <s v="JE-1310"/>
    <s v="1040"/>
    <x v="3"/>
    <x v="3"/>
    <s v="Indirect"/>
    <s v="Europe Allocation"/>
    <s v=""/>
    <n v="3334.4240019298113"/>
    <n v="-3334.4240019298113"/>
    <s v="GL"/>
  </r>
  <r>
    <x v="4"/>
    <s v="JE-1310"/>
    <s v="1040"/>
    <x v="3"/>
    <x v="3"/>
    <s v="Indirect"/>
    <s v="SE Asia Allocation"/>
    <s v=""/>
    <n v="3334.4240019298113"/>
    <n v="-3334.4240019298113"/>
    <s v="GL"/>
  </r>
  <r>
    <x v="4"/>
    <s v="JE-1310"/>
    <s v="1050"/>
    <x v="3"/>
    <x v="3"/>
    <s v="Indirect"/>
    <s v="Latin America Allocation"/>
    <s v=""/>
    <n v="2084.0144096490549"/>
    <n v="-2084.0144096490549"/>
    <s v="GL"/>
  </r>
  <r>
    <x v="4"/>
    <s v="JE-1310"/>
    <s v="1050"/>
    <x v="3"/>
    <x v="3"/>
    <s v="Indirect"/>
    <s v="MENA Allocation"/>
    <s v=""/>
    <n v="3334.4251850439655"/>
    <n v="-3334.4251850439655"/>
    <s v="GL"/>
  </r>
  <r>
    <x v="4"/>
    <s v="JE-1310"/>
    <s v="1050"/>
    <x v="3"/>
    <x v="3"/>
    <s v="Indirect"/>
    <s v="Sub-Saharan Africa Allocation"/>
    <s v=""/>
    <n v="2500.8180014473592"/>
    <n v="-2500.8180014473592"/>
    <s v="GL"/>
  </r>
  <r>
    <x v="4"/>
    <s v="JE-1310"/>
    <s v="1050"/>
    <x v="3"/>
    <x v="3"/>
    <s v="Indirect"/>
    <s v="Europe Allocation"/>
    <s v=""/>
    <n v="3334.4240019298113"/>
    <n v="-3334.4240019298113"/>
    <s v="GL"/>
  </r>
  <r>
    <x v="4"/>
    <s v="JE-1310"/>
    <s v="1050"/>
    <x v="3"/>
    <x v="3"/>
    <s v="Indirect"/>
    <s v="SE Asia Allocation"/>
    <s v=""/>
    <n v="3334.4240019298113"/>
    <n v="-3334.4240019298113"/>
    <s v="GL"/>
  </r>
  <r>
    <x v="5"/>
    <s v="JE-1311"/>
    <s v="1010"/>
    <x v="3"/>
    <x v="3"/>
    <s v="Indirect"/>
    <s v="Latin America Allocation"/>
    <s v=""/>
    <n v="1984.0824005437694"/>
    <n v="-1984.0824005437694"/>
    <s v="GL"/>
  </r>
  <r>
    <x v="5"/>
    <s v="JE-1311"/>
    <s v="1010"/>
    <x v="3"/>
    <x v="3"/>
    <s v="Indirect"/>
    <s v="MENA Allocation"/>
    <s v=""/>
    <n v="2267.5247173910025"/>
    <n v="-2267.5247173910025"/>
    <s v="GL"/>
  </r>
  <r>
    <x v="5"/>
    <s v="JE-1311"/>
    <s v="1010"/>
    <x v="3"/>
    <x v="3"/>
    <s v="Indirect"/>
    <s v="Sub-Saharan Africa Allocation"/>
    <s v=""/>
    <n v="1700.6426744565733"/>
    <n v="-1700.6426744565733"/>
    <s v="GL"/>
  </r>
  <r>
    <x v="5"/>
    <s v="JE-1311"/>
    <s v="1010"/>
    <x v="3"/>
    <x v="3"/>
    <s v="Indirect"/>
    <s v="Europe Allocation"/>
    <s v=""/>
    <n v="2267.5238538043263"/>
    <n v="-2267.5238538043263"/>
    <s v="GL"/>
  </r>
  <r>
    <x v="5"/>
    <s v="JE-1311"/>
    <s v="1010"/>
    <x v="3"/>
    <x v="3"/>
    <s v="Indirect"/>
    <s v="SE Asia Allocation"/>
    <s v=""/>
    <n v="2267.5238538043263"/>
    <n v="-2267.5238538043263"/>
    <s v="GL"/>
  </r>
  <r>
    <x v="5"/>
    <s v="JE-1311"/>
    <s v="1030"/>
    <x v="3"/>
    <x v="3"/>
    <s v="Indirect"/>
    <s v="Latin America Allocation"/>
    <s v=""/>
    <n v="2578.3712495146428"/>
    <n v="-2578.3712495146428"/>
    <s v="GL"/>
  </r>
  <r>
    <x v="5"/>
    <s v="JE-1311"/>
    <s v="1030"/>
    <x v="3"/>
    <x v="3"/>
    <s v="Indirect"/>
    <s v="MENA Allocation"/>
    <s v=""/>
    <n v="2946.7125646003642"/>
    <n v="-2946.7125646003642"/>
    <s v="GL"/>
  </r>
  <r>
    <x v="5"/>
    <s v="JE-1311"/>
    <s v="1030"/>
    <x v="3"/>
    <x v="3"/>
    <s v="Indirect"/>
    <s v="Sub-Saharan Africa Allocation"/>
    <s v=""/>
    <n v="2210.0333011949356"/>
    <n v="-2210.0333011949356"/>
    <s v="GL"/>
  </r>
  <r>
    <x v="5"/>
    <s v="JE-1311"/>
    <s v="1030"/>
    <x v="3"/>
    <x v="3"/>
    <s v="Indirect"/>
    <s v="Europe Allocation"/>
    <s v=""/>
    <n v="2946.7114423450298"/>
    <n v="-2946.7114423450298"/>
    <s v="GL"/>
  </r>
  <r>
    <x v="5"/>
    <s v="JE-1311"/>
    <s v="1030"/>
    <x v="3"/>
    <x v="3"/>
    <s v="Indirect"/>
    <s v="SE Asia Allocation"/>
    <s v=""/>
    <n v="2946.7114423450298"/>
    <n v="-2946.7114423450298"/>
    <s v="GL"/>
  </r>
  <r>
    <x v="5"/>
    <s v="JE-1311"/>
    <s v="1040"/>
    <x v="3"/>
    <x v="3"/>
    <s v="Indirect"/>
    <s v="Latin America Allocation"/>
    <s v=""/>
    <n v="3149.3534199890792"/>
    <n v="-3149.3534199890792"/>
    <s v="GL"/>
  </r>
  <r>
    <x v="5"/>
    <s v="JE-1311"/>
    <s v="1040"/>
    <x v="3"/>
    <x v="3"/>
    <s v="Indirect"/>
    <s v="MENA Allocation"/>
    <s v=""/>
    <n v="3599.2641846265838"/>
    <n v="-3599.2641846265838"/>
    <s v="GL"/>
  </r>
  <r>
    <x v="5"/>
    <s v="JE-1311"/>
    <s v="1040"/>
    <x v="3"/>
    <x v="3"/>
    <s v="Indirect"/>
    <s v="Sub-Saharan Africa Allocation"/>
    <s v=""/>
    <n v="2699.4467676903478"/>
    <n v="-2699.4467676903478"/>
    <s v="GL"/>
  </r>
  <r>
    <x v="5"/>
    <s v="JE-1311"/>
    <s v="1040"/>
    <x v="3"/>
    <x v="3"/>
    <s v="Indirect"/>
    <s v="Europe Allocation"/>
    <s v=""/>
    <n v="3599.2628138469972"/>
    <n v="-3599.2628138469972"/>
    <s v="GL"/>
  </r>
  <r>
    <x v="5"/>
    <s v="JE-1311"/>
    <s v="1040"/>
    <x v="3"/>
    <x v="3"/>
    <s v="Indirect"/>
    <s v="SE Asia Allocation"/>
    <s v=""/>
    <n v="3599.2628138469972"/>
    <n v="-3599.2628138469972"/>
    <s v="GL"/>
  </r>
  <r>
    <x v="5"/>
    <s v="JE-1311"/>
    <s v="1050"/>
    <x v="3"/>
    <x v="3"/>
    <s v="Indirect"/>
    <s v="Latin America Allocation"/>
    <s v=""/>
    <n v="2578.3712495146428"/>
    <n v="-2578.3712495146428"/>
    <s v="GL"/>
  </r>
  <r>
    <x v="5"/>
    <s v="JE-1311"/>
    <s v="1050"/>
    <x v="3"/>
    <x v="3"/>
    <s v="Indirect"/>
    <s v="MENA Allocation"/>
    <s v=""/>
    <n v="2946.7125646003642"/>
    <n v="-2946.7125646003642"/>
    <s v="GL"/>
  </r>
  <r>
    <x v="5"/>
    <s v="JE-1311"/>
    <s v="1050"/>
    <x v="3"/>
    <x v="3"/>
    <s v="Indirect"/>
    <s v="Sub-Saharan Africa Allocation"/>
    <s v=""/>
    <n v="2210.0333011949356"/>
    <n v="-2210.0333011949356"/>
    <s v="GL"/>
  </r>
  <r>
    <x v="5"/>
    <s v="JE-1311"/>
    <s v="1050"/>
    <x v="3"/>
    <x v="3"/>
    <s v="Indirect"/>
    <s v="Europe Allocation"/>
    <s v=""/>
    <n v="2946.7114423450298"/>
    <n v="-2946.7114423450298"/>
    <s v="GL"/>
  </r>
  <r>
    <x v="5"/>
    <s v="JE-1311"/>
    <s v="1050"/>
    <x v="3"/>
    <x v="3"/>
    <s v="Indirect"/>
    <s v="SE Asia Allocation"/>
    <s v=""/>
    <n v="2946.7114423450298"/>
    <n v="-2946.7114423450298"/>
    <s v="GL"/>
  </r>
  <r>
    <x v="6"/>
    <s v="JE-1312"/>
    <s v="1010"/>
    <x v="3"/>
    <x v="3"/>
    <s v="Indirect"/>
    <s v="Latin America Allocation"/>
    <s v=""/>
    <n v="1966.1860137509975"/>
    <n v="-1966.1860137509975"/>
    <s v="GL"/>
  </r>
  <r>
    <x v="6"/>
    <s v="JE-1312"/>
    <s v="1010"/>
    <x v="3"/>
    <x v="3"/>
    <s v="Indirect"/>
    <s v="MENA Allocation"/>
    <s v=""/>
    <n v="2247.0717728257969"/>
    <n v="-2247.0717728257969"/>
    <s v="GL"/>
  </r>
  <r>
    <x v="6"/>
    <s v="JE-1312"/>
    <s v="1010"/>
    <x v="3"/>
    <x v="3"/>
    <s v="Indirect"/>
    <s v="Sub-Saharan Africa Allocation"/>
    <s v=""/>
    <n v="1685.3036193285741"/>
    <n v="-1685.3036193285741"/>
    <s v="GL"/>
  </r>
  <r>
    <x v="6"/>
    <s v="JE-1312"/>
    <s v="1010"/>
    <x v="3"/>
    <x v="3"/>
    <s v="Indirect"/>
    <s v="Europe Allocation"/>
    <s v=""/>
    <n v="2247.0709316627003"/>
    <n v="-2247.0709316627003"/>
    <s v="GL"/>
  </r>
  <r>
    <x v="6"/>
    <s v="JE-1312"/>
    <s v="1010"/>
    <x v="3"/>
    <x v="3"/>
    <s v="Indirect"/>
    <s v="SE Asia Allocation"/>
    <s v=""/>
    <n v="2247.0709316627003"/>
    <n v="-2247.0709316627003"/>
    <s v="GL"/>
  </r>
  <r>
    <x v="6"/>
    <s v="JE-1312"/>
    <s v="1030"/>
    <x v="3"/>
    <x v="3"/>
    <s v="Indirect"/>
    <s v="Latin America Allocation"/>
    <s v=""/>
    <n v="2690.5180701646873"/>
    <n v="-2690.5180701646873"/>
    <s v="GL"/>
  </r>
  <r>
    <x v="6"/>
    <s v="JE-1312"/>
    <s v="1030"/>
    <x v="3"/>
    <x v="3"/>
    <s v="Indirect"/>
    <s v="MENA Allocation"/>
    <s v=""/>
    <n v="3074.8805898638943"/>
    <n v="-3074.8805898638943"/>
    <s v="GL"/>
  </r>
  <r>
    <x v="6"/>
    <s v="JE-1312"/>
    <s v="1030"/>
    <x v="3"/>
    <x v="3"/>
    <s v="Indirect"/>
    <s v="Sub-Saharan Africa Allocation"/>
    <s v=""/>
    <n v="2306.1601546371885"/>
    <n v="-2306.1601546371885"/>
    <s v="GL"/>
  </r>
  <r>
    <x v="6"/>
    <s v="JE-1312"/>
    <s v="1030"/>
    <x v="3"/>
    <x v="3"/>
    <s v="Indirect"/>
    <s v="Europe Allocation"/>
    <s v=""/>
    <n v="3074.8794388209635"/>
    <n v="-3074.8794388209635"/>
    <s v="GL"/>
  </r>
  <r>
    <x v="6"/>
    <s v="JE-1312"/>
    <s v="1030"/>
    <x v="3"/>
    <x v="3"/>
    <s v="Indirect"/>
    <s v="SE Asia Allocation"/>
    <s v=""/>
    <n v="3074.8794388209635"/>
    <n v="-3074.8794388209635"/>
    <s v="GL"/>
  </r>
  <r>
    <x v="6"/>
    <s v="JE-1312"/>
    <s v="1040"/>
    <x v="3"/>
    <x v="3"/>
    <s v="Indirect"/>
    <s v="Latin America Allocation"/>
    <s v=""/>
    <n v="2783.5404509694445"/>
    <n v="-2783.5404509694445"/>
    <s v="GL"/>
  </r>
  <r>
    <x v="6"/>
    <s v="JE-1312"/>
    <s v="1040"/>
    <x v="3"/>
    <x v="3"/>
    <s v="Indirect"/>
    <s v="MENA Allocation"/>
    <s v=""/>
    <n v="3181.1919788604255"/>
    <n v="-3181.1919788604255"/>
    <s v="GL"/>
  </r>
  <r>
    <x v="6"/>
    <s v="JE-1312"/>
    <s v="1040"/>
    <x v="3"/>
    <x v="3"/>
    <s v="Indirect"/>
    <s v="Sub-Saharan Africa Allocation"/>
    <s v=""/>
    <n v="2385.8936864355042"/>
    <n v="-2385.8936864355042"/>
    <s v="GL"/>
  </r>
  <r>
    <x v="6"/>
    <s v="JE-1312"/>
    <s v="1040"/>
    <x v="3"/>
    <x v="3"/>
    <s v="Indirect"/>
    <s v="Europe Allocation"/>
    <s v=""/>
    <n v="3181.1907880211616"/>
    <n v="-3181.1907880211616"/>
    <s v="GL"/>
  </r>
  <r>
    <x v="6"/>
    <s v="JE-1312"/>
    <s v="1040"/>
    <x v="3"/>
    <x v="3"/>
    <s v="Indirect"/>
    <s v="SE Asia Allocation"/>
    <s v=""/>
    <n v="3181.1907880211616"/>
    <n v="-3181.1907880211616"/>
    <s v="GL"/>
  </r>
  <r>
    <x v="6"/>
    <s v="JE-1312"/>
    <s v="1050"/>
    <x v="3"/>
    <x v="3"/>
    <s v="Indirect"/>
    <s v="Latin America Allocation"/>
    <s v=""/>
    <n v="3317.1142088886058"/>
    <n v="-3317.1142088886058"/>
    <s v="GL"/>
  </r>
  <r>
    <x v="6"/>
    <s v="JE-1312"/>
    <s v="1050"/>
    <x v="3"/>
    <x v="3"/>
    <s v="Indirect"/>
    <s v="MENA Allocation"/>
    <s v=""/>
    <n v="3790.991113711038"/>
    <n v="-3790.991113711038"/>
    <s v="GL"/>
  </r>
  <r>
    <x v="6"/>
    <s v="JE-1312"/>
    <s v="1050"/>
    <x v="3"/>
    <x v="3"/>
    <s v="Indirect"/>
    <s v="Sub-Saharan Africa Allocation"/>
    <s v=""/>
    <n v="2843.2429805058014"/>
    <n v="-2843.2429805058014"/>
    <s v="GL"/>
  </r>
  <r>
    <x v="6"/>
    <s v="JE-1312"/>
    <s v="1050"/>
    <x v="3"/>
    <x v="3"/>
    <s v="Indirect"/>
    <s v="Europe Allocation"/>
    <s v=""/>
    <n v="3790.9896946011268"/>
    <n v="-3790.9896946011268"/>
    <s v="GL"/>
  </r>
  <r>
    <x v="6"/>
    <s v="JE-1312"/>
    <s v="1050"/>
    <x v="3"/>
    <x v="3"/>
    <s v="Indirect"/>
    <s v="SE Asia Allocation"/>
    <s v=""/>
    <n v="3790.9896946011268"/>
    <n v="-3790.9896946011268"/>
    <s v="GL"/>
  </r>
  <r>
    <x v="7"/>
    <s v="JE-1313"/>
    <s v="1010"/>
    <x v="3"/>
    <x v="3"/>
    <s v="Indirect"/>
    <s v="Latin America Allocation"/>
    <s v=""/>
    <n v="2138.1864671592507"/>
    <n v="-2138.1864671592507"/>
    <s v="GL"/>
  </r>
  <r>
    <x v="7"/>
    <s v="JE-1313"/>
    <s v="1010"/>
    <x v="3"/>
    <x v="3"/>
    <s v="Indirect"/>
    <s v="MENA Allocation"/>
    <s v=""/>
    <n v="2443.6431991555705"/>
    <n v="-2443.6431991555705"/>
    <s v="GL"/>
  </r>
  <r>
    <x v="7"/>
    <s v="JE-1313"/>
    <s v="1010"/>
    <x v="3"/>
    <x v="3"/>
    <s v="Indirect"/>
    <s v="Sub-Saharan Africa Allocation"/>
    <s v=""/>
    <n v="1832.7315112987626"/>
    <n v="-1832.7315112987626"/>
    <s v="GL"/>
  </r>
  <r>
    <x v="7"/>
    <s v="JE-1313"/>
    <s v="1010"/>
    <x v="3"/>
    <x v="3"/>
    <s v="Indirect"/>
    <s v="Europe Allocation"/>
    <s v=""/>
    <n v="1832.7315112987626"/>
    <n v="-1832.7315112987626"/>
    <s v="GL"/>
  </r>
  <r>
    <x v="7"/>
    <s v="JE-1313"/>
    <s v="1010"/>
    <x v="3"/>
    <x v="3"/>
    <s v="Indirect"/>
    <s v="SE Asia Allocation"/>
    <s v=""/>
    <n v="2443.6423110876549"/>
    <n v="-2443.6423110876549"/>
    <s v="GL"/>
  </r>
  <r>
    <x v="7"/>
    <s v="JE-1313"/>
    <s v="1030"/>
    <x v="3"/>
    <x v="3"/>
    <s v="Indirect"/>
    <s v="Latin America Allocation"/>
    <s v=""/>
    <n v="2850.9152895456673"/>
    <n v="-2850.9152895456673"/>
    <s v="GL"/>
  </r>
  <r>
    <x v="7"/>
    <s v="JE-1313"/>
    <s v="1030"/>
    <x v="3"/>
    <x v="3"/>
    <s v="Indirect"/>
    <s v="MENA Allocation"/>
    <s v=""/>
    <n v="3258.1909322074271"/>
    <n v="-3258.1909322074271"/>
    <s v="GL"/>
  </r>
  <r>
    <x v="7"/>
    <s v="JE-1313"/>
    <s v="1030"/>
    <x v="3"/>
    <x v="3"/>
    <s v="Indirect"/>
    <s v="Sub-Saharan Africa Allocation"/>
    <s v=""/>
    <n v="2443.6420150650165"/>
    <n v="-2443.6420150650165"/>
    <s v="GL"/>
  </r>
  <r>
    <x v="7"/>
    <s v="JE-1313"/>
    <s v="1030"/>
    <x v="3"/>
    <x v="3"/>
    <s v="Indirect"/>
    <s v="Europe Allocation"/>
    <s v=""/>
    <n v="2443.6420150650165"/>
    <n v="-2443.6420150650165"/>
    <s v="GL"/>
  </r>
  <r>
    <x v="7"/>
    <s v="JE-1313"/>
    <s v="1030"/>
    <x v="3"/>
    <x v="3"/>
    <s v="Indirect"/>
    <s v="SE Asia Allocation"/>
    <s v=""/>
    <n v="3258.189748116873"/>
    <n v="-3258.189748116873"/>
    <s v="GL"/>
  </r>
  <r>
    <x v="7"/>
    <s v="JE-1313"/>
    <s v="1040"/>
    <x v="3"/>
    <x v="3"/>
    <s v="Indirect"/>
    <s v="Latin America Allocation"/>
    <s v=""/>
    <n v="2850.9152895456673"/>
    <n v="-2850.9152895456673"/>
    <s v="GL"/>
  </r>
  <r>
    <x v="7"/>
    <s v="JE-1313"/>
    <s v="1040"/>
    <x v="3"/>
    <x v="3"/>
    <s v="Indirect"/>
    <s v="MENA Allocation"/>
    <s v=""/>
    <n v="3258.1909322074271"/>
    <n v="-3258.1909322074271"/>
    <s v="GL"/>
  </r>
  <r>
    <x v="7"/>
    <s v="JE-1313"/>
    <s v="1040"/>
    <x v="3"/>
    <x v="3"/>
    <s v="Indirect"/>
    <s v="Sub-Saharan Africa Allocation"/>
    <s v=""/>
    <n v="2443.6420150650165"/>
    <n v="-2443.6420150650165"/>
    <s v="GL"/>
  </r>
  <r>
    <x v="7"/>
    <s v="JE-1313"/>
    <s v="1040"/>
    <x v="3"/>
    <x v="3"/>
    <s v="Indirect"/>
    <s v="Europe Allocation"/>
    <s v=""/>
    <n v="2443.6420150650165"/>
    <n v="-2443.6420150650165"/>
    <s v="GL"/>
  </r>
  <r>
    <x v="7"/>
    <s v="JE-1313"/>
    <s v="1040"/>
    <x v="3"/>
    <x v="3"/>
    <s v="Indirect"/>
    <s v="SE Asia Allocation"/>
    <s v=""/>
    <n v="3258.189748116873"/>
    <n v="-3258.189748116873"/>
    <s v="GL"/>
  </r>
  <r>
    <x v="7"/>
    <s v="JE-1313"/>
    <s v="1050"/>
    <x v="3"/>
    <x v="3"/>
    <s v="Indirect"/>
    <s v="Latin America Allocation"/>
    <s v=""/>
    <n v="2850.9152895456673"/>
    <n v="-2850.9152895456673"/>
    <s v="GL"/>
  </r>
  <r>
    <x v="7"/>
    <s v="JE-1313"/>
    <s v="1050"/>
    <x v="3"/>
    <x v="3"/>
    <s v="Indirect"/>
    <s v="MENA Allocation"/>
    <s v=""/>
    <n v="3258.1909322074271"/>
    <n v="-3258.1909322074271"/>
    <s v="GL"/>
  </r>
  <r>
    <x v="7"/>
    <s v="JE-1313"/>
    <s v="1050"/>
    <x v="3"/>
    <x v="3"/>
    <s v="Indirect"/>
    <s v="Sub-Saharan Africa Allocation"/>
    <s v=""/>
    <n v="2443.6420150650165"/>
    <n v="-2443.6420150650165"/>
    <s v="GL"/>
  </r>
  <r>
    <x v="7"/>
    <s v="JE-1313"/>
    <s v="1050"/>
    <x v="3"/>
    <x v="3"/>
    <s v="Indirect"/>
    <s v="Europe Allocation"/>
    <s v=""/>
    <n v="2443.6420150650165"/>
    <n v="-2443.6420150650165"/>
    <s v="GL"/>
  </r>
  <r>
    <x v="7"/>
    <s v="JE-1313"/>
    <s v="1050"/>
    <x v="3"/>
    <x v="3"/>
    <s v="Indirect"/>
    <s v="SE Asia Allocation"/>
    <s v=""/>
    <n v="3258.189748116873"/>
    <n v="-3258.189748116873"/>
    <s v="GL"/>
  </r>
  <r>
    <x v="8"/>
    <s v="JE-1314"/>
    <s v="1010"/>
    <x v="3"/>
    <x v="3"/>
    <s v="Indirect"/>
    <s v="Latin America Allocation"/>
    <s v=""/>
    <n v="1991.9644373744791"/>
    <n v="-1991.9644373744791"/>
    <s v="GL"/>
  </r>
  <r>
    <x v="8"/>
    <s v="JE-1314"/>
    <s v="1010"/>
    <x v="3"/>
    <x v="3"/>
    <s v="Indirect"/>
    <s v="MENA Allocation"/>
    <s v=""/>
    <n v="2276.5328274065027"/>
    <n v="-2276.5328274065027"/>
    <s v="GL"/>
  </r>
  <r>
    <x v="8"/>
    <s v="JE-1314"/>
    <s v="1010"/>
    <x v="3"/>
    <x v="3"/>
    <s v="Indirect"/>
    <s v="Sub-Saharan Africa Allocation"/>
    <s v=""/>
    <n v="1707.3985696100476"/>
    <n v="-1707.3985696100476"/>
    <s v="GL"/>
  </r>
  <r>
    <x v="8"/>
    <s v="JE-1314"/>
    <s v="1010"/>
    <x v="3"/>
    <x v="3"/>
    <s v="Indirect"/>
    <s v="Europe Allocation"/>
    <s v=""/>
    <n v="2276.5319866506379"/>
    <n v="-2276.5319866506379"/>
    <s v="GL"/>
  </r>
  <r>
    <x v="8"/>
    <s v="JE-1314"/>
    <s v="1010"/>
    <x v="3"/>
    <x v="3"/>
    <s v="Indirect"/>
    <s v="SE Asia Allocation"/>
    <s v=""/>
    <n v="2276.5319866506379"/>
    <n v="-2276.5319866506379"/>
    <s v="GL"/>
  </r>
  <r>
    <x v="8"/>
    <s v="JE-1314"/>
    <s v="1030"/>
    <x v="3"/>
    <x v="3"/>
    <s v="Indirect"/>
    <s v="Latin America Allocation"/>
    <s v=""/>
    <n v="2655.9525831659716"/>
    <n v="-2655.9525831659716"/>
    <s v="GL"/>
  </r>
  <r>
    <x v="8"/>
    <s v="JE-1314"/>
    <s v="1030"/>
    <x v="3"/>
    <x v="3"/>
    <s v="Indirect"/>
    <s v="MENA Allocation"/>
    <s v=""/>
    <n v="3035.3771032086702"/>
    <n v="-3035.3771032086702"/>
    <s v="GL"/>
  </r>
  <r>
    <x v="8"/>
    <s v="JE-1314"/>
    <s v="1030"/>
    <x v="3"/>
    <x v="3"/>
    <s v="Indirect"/>
    <s v="Sub-Saharan Africa Allocation"/>
    <s v=""/>
    <n v="2276.5314261467297"/>
    <n v="-2276.5314261467297"/>
    <s v="GL"/>
  </r>
  <r>
    <x v="8"/>
    <s v="JE-1314"/>
    <s v="1030"/>
    <x v="3"/>
    <x v="3"/>
    <s v="Indirect"/>
    <s v="Europe Allocation"/>
    <s v=""/>
    <n v="3035.3759822008501"/>
    <n v="-3035.3759822008501"/>
    <s v="GL"/>
  </r>
  <r>
    <x v="8"/>
    <s v="JE-1314"/>
    <s v="1030"/>
    <x v="3"/>
    <x v="3"/>
    <s v="Indirect"/>
    <s v="SE Asia Allocation"/>
    <s v=""/>
    <n v="3035.3759822008501"/>
    <n v="-3035.3759822008501"/>
    <s v="GL"/>
  </r>
  <r>
    <x v="8"/>
    <s v="JE-1314"/>
    <s v="1040"/>
    <x v="3"/>
    <x v="3"/>
    <s v="Indirect"/>
    <s v="Latin America Allocation"/>
    <s v=""/>
    <n v="2655.9525831659716"/>
    <n v="-2655.9525831659716"/>
    <s v="GL"/>
  </r>
  <r>
    <x v="8"/>
    <s v="JE-1314"/>
    <s v="1040"/>
    <x v="3"/>
    <x v="3"/>
    <s v="Indirect"/>
    <s v="MENA Allocation"/>
    <s v=""/>
    <n v="3035.3771032086702"/>
    <n v="-3035.3771032086702"/>
    <s v="GL"/>
  </r>
  <r>
    <x v="8"/>
    <s v="JE-1314"/>
    <s v="1040"/>
    <x v="3"/>
    <x v="3"/>
    <s v="Indirect"/>
    <s v="Sub-Saharan Africa Allocation"/>
    <s v=""/>
    <n v="2276.5314261467297"/>
    <n v="-2276.5314261467297"/>
    <s v="GL"/>
  </r>
  <r>
    <x v="8"/>
    <s v="JE-1314"/>
    <s v="1040"/>
    <x v="3"/>
    <x v="3"/>
    <s v="Indirect"/>
    <s v="Europe Allocation"/>
    <s v=""/>
    <n v="3035.3759822008501"/>
    <n v="-3035.3759822008501"/>
    <s v="GL"/>
  </r>
  <r>
    <x v="8"/>
    <s v="JE-1314"/>
    <s v="1040"/>
    <x v="3"/>
    <x v="3"/>
    <s v="Indirect"/>
    <s v="SE Asia Allocation"/>
    <s v=""/>
    <n v="3035.3759822008501"/>
    <n v="-3035.3759822008501"/>
    <s v="GL"/>
  </r>
  <r>
    <x v="8"/>
    <s v="JE-1314"/>
    <s v="1050"/>
    <x v="3"/>
    <x v="3"/>
    <s v="Indirect"/>
    <s v="Latin America Allocation"/>
    <s v=""/>
    <n v="2655.9525831659716"/>
    <n v="-2655.9525831659716"/>
    <s v="GL"/>
  </r>
  <r>
    <x v="8"/>
    <s v="JE-1314"/>
    <s v="1050"/>
    <x v="3"/>
    <x v="3"/>
    <s v="Indirect"/>
    <s v="MENA Allocation"/>
    <s v=""/>
    <n v="3035.3771032086702"/>
    <n v="-3035.3771032086702"/>
    <s v="GL"/>
  </r>
  <r>
    <x v="8"/>
    <s v="JE-1314"/>
    <s v="1050"/>
    <x v="3"/>
    <x v="3"/>
    <s v="Indirect"/>
    <s v="Sub-Saharan Africa Allocation"/>
    <s v=""/>
    <n v="2276.5314261467297"/>
    <n v="-2276.5314261467297"/>
    <s v="GL"/>
  </r>
  <r>
    <x v="8"/>
    <s v="JE-1314"/>
    <s v="1050"/>
    <x v="3"/>
    <x v="3"/>
    <s v="Indirect"/>
    <s v="Europe Allocation"/>
    <s v=""/>
    <n v="3035.3759822008501"/>
    <n v="-3035.3759822008501"/>
    <s v="GL"/>
  </r>
  <r>
    <x v="8"/>
    <s v="JE-1314"/>
    <s v="1050"/>
    <x v="3"/>
    <x v="3"/>
    <s v="Indirect"/>
    <s v="SE Asia Allocation"/>
    <s v=""/>
    <n v="3035.3759822008501"/>
    <n v="-3035.3759822008501"/>
    <s v="GL"/>
  </r>
  <r>
    <x v="9"/>
    <s v="JE-1315"/>
    <s v="1010"/>
    <x v="3"/>
    <x v="3"/>
    <s v="Indirect"/>
    <s v="Latin America Allocation"/>
    <s v=""/>
    <n v="2021.0482271230592"/>
    <n v="-2021.0482271230592"/>
    <s v="GL"/>
  </r>
  <r>
    <x v="9"/>
    <s v="JE-1315"/>
    <s v="1010"/>
    <x v="3"/>
    <x v="3"/>
    <s v="Indirect"/>
    <s v="MENA Allocation"/>
    <s v=""/>
    <n v="2309.770398023958"/>
    <n v="-2309.770398023958"/>
    <s v="GL"/>
  </r>
  <r>
    <x v="9"/>
    <s v="JE-1315"/>
    <s v="1010"/>
    <x v="3"/>
    <x v="3"/>
    <s v="Indirect"/>
    <s v="Sub-Saharan Africa Allocation"/>
    <s v=""/>
    <n v="1732.3277985179668"/>
    <n v="-1732.3277985179668"/>
    <s v="GL"/>
  </r>
  <r>
    <x v="9"/>
    <s v="JE-1315"/>
    <s v="1010"/>
    <x v="3"/>
    <x v="3"/>
    <s v="Indirect"/>
    <s v="Europe Allocation"/>
    <s v=""/>
    <n v="2309.7695268760544"/>
    <n v="-2309.7695268760544"/>
    <s v="GL"/>
  </r>
  <r>
    <x v="9"/>
    <s v="JE-1315"/>
    <s v="1010"/>
    <x v="3"/>
    <x v="3"/>
    <s v="Indirect"/>
    <s v="SE Asia Allocation"/>
    <s v=""/>
    <n v="2887.2121263820477"/>
    <n v="-2887.2121263820477"/>
    <s v="GL"/>
  </r>
  <r>
    <x v="9"/>
    <s v="JE-1315"/>
    <s v="1030"/>
    <x v="3"/>
    <x v="3"/>
    <s v="Indirect"/>
    <s v="Latin America Allocation"/>
    <s v=""/>
    <n v="2740.8711312584369"/>
    <n v="-2740.8711312584369"/>
    <s v="GL"/>
  </r>
  <r>
    <x v="9"/>
    <s v="JE-1315"/>
    <s v="1030"/>
    <x v="3"/>
    <x v="3"/>
    <s v="Indirect"/>
    <s v="MENA Allocation"/>
    <s v=""/>
    <n v="3132.4255002024265"/>
    <n v="-3132.4255002024265"/>
    <s v="GL"/>
  </r>
  <r>
    <x v="9"/>
    <s v="JE-1315"/>
    <s v="1030"/>
    <x v="3"/>
    <x v="3"/>
    <s v="Indirect"/>
    <s v="Sub-Saharan Africa Allocation"/>
    <s v=""/>
    <n v="2349.3191251518174"/>
    <n v="-2349.3191251518174"/>
    <s v="GL"/>
  </r>
  <r>
    <x v="9"/>
    <s v="JE-1315"/>
    <s v="1030"/>
    <x v="3"/>
    <x v="3"/>
    <s v="Indirect"/>
    <s v="Europe Allocation"/>
    <s v=""/>
    <n v="3132.424318783741"/>
    <n v="-3132.424318783741"/>
    <s v="GL"/>
  </r>
  <r>
    <x v="9"/>
    <s v="JE-1315"/>
    <s v="1030"/>
    <x v="3"/>
    <x v="3"/>
    <s v="Indirect"/>
    <s v="SE Asia Allocation"/>
    <s v=""/>
    <n v="3915.5306938343529"/>
    <n v="-3915.5306938343529"/>
    <s v="GL"/>
  </r>
  <r>
    <x v="9"/>
    <s v="JE-1315"/>
    <s v="1040"/>
    <x v="3"/>
    <x v="3"/>
    <s v="Indirect"/>
    <s v="Latin America Allocation"/>
    <s v=""/>
    <n v="2485.3568231162121"/>
    <n v="-2485.3568231162121"/>
    <s v="GL"/>
  </r>
  <r>
    <x v="9"/>
    <s v="JE-1315"/>
    <s v="1040"/>
    <x v="3"/>
    <x v="3"/>
    <s v="Indirect"/>
    <s v="MENA Allocation"/>
    <s v=""/>
    <n v="2840.409022169838"/>
    <n v="-2840.409022169838"/>
    <s v="GL"/>
  </r>
  <r>
    <x v="9"/>
    <s v="JE-1315"/>
    <s v="1040"/>
    <x v="3"/>
    <x v="3"/>
    <s v="Indirect"/>
    <s v="Sub-Saharan Africa Allocation"/>
    <s v=""/>
    <n v="2130.3067666273764"/>
    <n v="-2130.3067666273764"/>
    <s v="GL"/>
  </r>
  <r>
    <x v="9"/>
    <s v="JE-1315"/>
    <s v="1040"/>
    <x v="3"/>
    <x v="3"/>
    <s v="Indirect"/>
    <s v="Europe Allocation"/>
    <s v=""/>
    <n v="2840.4079508874424"/>
    <n v="-2840.4079508874424"/>
    <s v="GL"/>
  </r>
  <r>
    <x v="9"/>
    <s v="JE-1315"/>
    <s v="1040"/>
    <x v="3"/>
    <x v="3"/>
    <s v="Indirect"/>
    <s v="SE Asia Allocation"/>
    <s v=""/>
    <n v="3550.5102064299067"/>
    <n v="-3550.5102064299067"/>
    <s v="GL"/>
  </r>
  <r>
    <x v="9"/>
    <s v="JE-1315"/>
    <s v="1050"/>
    <x v="3"/>
    <x v="3"/>
    <s v="Indirect"/>
    <s v="Latin America Allocation"/>
    <s v=""/>
    <n v="1242.6802064295434"/>
    <n v="-1242.6802064295434"/>
    <s v="GL"/>
  </r>
  <r>
    <x v="9"/>
    <s v="JE-1315"/>
    <s v="1050"/>
    <x v="3"/>
    <x v="3"/>
    <s v="Indirect"/>
    <s v="MENA Allocation"/>
    <s v=""/>
    <n v="1420.2065623674459"/>
    <n v="-1420.2065623674459"/>
    <s v="GL"/>
  </r>
  <r>
    <x v="9"/>
    <s v="JE-1315"/>
    <s v="1050"/>
    <x v="3"/>
    <x v="3"/>
    <s v="Indirect"/>
    <s v="Sub-Saharan Africa Allocation"/>
    <s v=""/>
    <n v="1065.1549217755835"/>
    <n v="-1065.1549217755835"/>
    <s v="GL"/>
  </r>
  <r>
    <x v="9"/>
    <s v="JE-1315"/>
    <s v="1050"/>
    <x v="3"/>
    <x v="3"/>
    <s v="Indirect"/>
    <s v="Europe Allocation"/>
    <s v=""/>
    <n v="1420.2060267254744"/>
    <n v="-1420.2060267254744"/>
    <s v="GL"/>
  </r>
  <r>
    <x v="9"/>
    <s v="JE-1315"/>
    <s v="1050"/>
    <x v="3"/>
    <x v="3"/>
    <s v="Indirect"/>
    <s v="SE Asia Allocation"/>
    <s v=""/>
    <n v="1775.2576673173385"/>
    <n v="-1775.2576673173385"/>
    <s v="GL"/>
  </r>
  <r>
    <x v="10"/>
    <s v="JE-1316"/>
    <s v="1010"/>
    <x v="3"/>
    <x v="3"/>
    <s v="Indirect"/>
    <s v="Latin America Allocation"/>
    <s v=""/>
    <n v="1875.746383193037"/>
    <n v="-1875.746383193037"/>
    <s v="GL"/>
  </r>
  <r>
    <x v="10"/>
    <s v="JE-1316"/>
    <s v="1010"/>
    <x v="3"/>
    <x v="3"/>
    <s v="Indirect"/>
    <s v="MENA Allocation"/>
    <s v=""/>
    <n v="2143.7123324407316"/>
    <n v="-2143.7123324407316"/>
    <s v="GL"/>
  </r>
  <r>
    <x v="10"/>
    <s v="JE-1316"/>
    <s v="1010"/>
    <x v="3"/>
    <x v="3"/>
    <s v="Indirect"/>
    <s v="Sub-Saharan Africa Allocation"/>
    <s v=""/>
    <n v="1607.7836469013059"/>
    <n v="-1607.7836469013059"/>
    <s v="GL"/>
  </r>
  <r>
    <x v="10"/>
    <s v="JE-1316"/>
    <s v="1010"/>
    <x v="3"/>
    <x v="3"/>
    <s v="Indirect"/>
    <s v="Europe Allocation"/>
    <s v=""/>
    <n v="2143.7115292017411"/>
    <n v="-2143.7115292017411"/>
    <s v="GL"/>
  </r>
  <r>
    <x v="10"/>
    <s v="JE-1316"/>
    <s v="1010"/>
    <x v="3"/>
    <x v="3"/>
    <s v="Indirect"/>
    <s v="SE Asia Allocation"/>
    <s v=""/>
    <n v="2679.6386082631852"/>
    <n v="-2679.6386082631852"/>
    <s v="GL"/>
  </r>
  <r>
    <x v="10"/>
    <s v="JE-1316"/>
    <s v="1030"/>
    <x v="3"/>
    <x v="3"/>
    <s v="Indirect"/>
    <s v="Latin America Allocation"/>
    <s v=""/>
    <n v="2500.9927844295835"/>
    <n v="-2500.9927844295835"/>
    <s v="GL"/>
  </r>
  <r>
    <x v="10"/>
    <s v="JE-1316"/>
    <s v="1030"/>
    <x v="3"/>
    <x v="3"/>
    <s v="Indirect"/>
    <s v="MENA Allocation"/>
    <s v=""/>
    <n v="2858.2803748768997"/>
    <n v="-2858.2803748768997"/>
    <s v="GL"/>
  </r>
  <r>
    <x v="10"/>
    <s v="JE-1316"/>
    <s v="1030"/>
    <x v="3"/>
    <x v="3"/>
    <s v="Indirect"/>
    <s v="Sub-Saharan Africa Allocation"/>
    <s v=""/>
    <n v="2143.7094779194526"/>
    <n v="-2143.7094779194526"/>
    <s v="GL"/>
  </r>
  <r>
    <x v="10"/>
    <s v="JE-1316"/>
    <s v="1030"/>
    <x v="3"/>
    <x v="3"/>
    <s v="Indirect"/>
    <s v="Europe Allocation"/>
    <s v=""/>
    <n v="2858.2793038926034"/>
    <n v="-2858.2793038926034"/>
    <s v="GL"/>
  </r>
  <r>
    <x v="10"/>
    <s v="JE-1316"/>
    <s v="1030"/>
    <x v="3"/>
    <x v="3"/>
    <s v="Indirect"/>
    <s v="SE Asia Allocation"/>
    <s v=""/>
    <n v="3572.8480588814577"/>
    <n v="-3572.8480588814577"/>
    <s v="GL"/>
  </r>
  <r>
    <x v="10"/>
    <s v="JE-1316"/>
    <s v="1040"/>
    <x v="3"/>
    <x v="3"/>
    <s v="Indirect"/>
    <s v="Latin America Allocation"/>
    <s v=""/>
    <n v="2626.6175900145909"/>
    <n v="-2626.6175900145909"/>
    <s v="GL"/>
  </r>
  <r>
    <x v="10"/>
    <s v="JE-1316"/>
    <s v="1040"/>
    <x v="3"/>
    <x v="3"/>
    <s v="Indirect"/>
    <s v="MENA Allocation"/>
    <s v=""/>
    <n v="3001.8517272761624"/>
    <n v="-3001.8517272761624"/>
    <s v="GL"/>
  </r>
  <r>
    <x v="10"/>
    <s v="JE-1316"/>
    <s v="1040"/>
    <x v="3"/>
    <x v="3"/>
    <s v="Indirect"/>
    <s v="Sub-Saharan Africa Allocation"/>
    <s v=""/>
    <n v="2251.3879518722638"/>
    <n v="-2251.3879518722638"/>
    <s v="GL"/>
  </r>
  <r>
    <x v="10"/>
    <s v="JE-1316"/>
    <s v="1040"/>
    <x v="3"/>
    <x v="3"/>
    <s v="Indirect"/>
    <s v="Europe Allocation"/>
    <s v=""/>
    <n v="3001.8506024963517"/>
    <n v="-3001.8506024963517"/>
    <s v="GL"/>
  </r>
  <r>
    <x v="10"/>
    <s v="JE-1316"/>
    <s v="1040"/>
    <x v="3"/>
    <x v="3"/>
    <s v="Indirect"/>
    <s v="SE Asia Allocation"/>
    <s v=""/>
    <n v="3752.3121283406285"/>
    <n v="-3752.3121283406285"/>
    <s v="GL"/>
  </r>
  <r>
    <x v="10"/>
    <s v="JE-1316"/>
    <s v="1050"/>
    <x v="3"/>
    <x v="3"/>
    <s v="Indirect"/>
    <s v="Latin America Allocation"/>
    <s v=""/>
    <n v="1451.7606451139313"/>
    <n v="-1451.7606451139313"/>
    <s v="GL"/>
  </r>
  <r>
    <x v="10"/>
    <s v="JE-1316"/>
    <s v="1050"/>
    <x v="3"/>
    <x v="3"/>
    <s v="Indirect"/>
    <s v="MENA Allocation"/>
    <s v=""/>
    <n v="1659.1567103997816"/>
    <n v="-1659.1567103997816"/>
    <s v="GL"/>
  </r>
  <r>
    <x v="10"/>
    <s v="JE-1316"/>
    <s v="1050"/>
    <x v="3"/>
    <x v="3"/>
    <s v="Indirect"/>
    <s v="Sub-Saharan Africa Allocation"/>
    <s v=""/>
    <n v="1244.367066541138"/>
    <n v="-1244.367066541138"/>
    <s v="GL"/>
  </r>
  <r>
    <x v="10"/>
    <s v="JE-1316"/>
    <s v="1050"/>
    <x v="3"/>
    <x v="3"/>
    <s v="Indirect"/>
    <s v="Europe Allocation"/>
    <s v=""/>
    <n v="1659.1560887215173"/>
    <n v="-1659.1560887215173"/>
    <s v="GL"/>
  </r>
  <r>
    <x v="10"/>
    <s v="JE-1316"/>
    <s v="1050"/>
    <x v="3"/>
    <x v="3"/>
    <s v="Indirect"/>
    <s v="SE Asia Allocation"/>
    <s v=""/>
    <n v="2073.9444892236324"/>
    <n v="-2073.9444892236324"/>
    <s v="GL"/>
  </r>
  <r>
    <x v="11"/>
    <s v="JE-1317"/>
    <s v="1010"/>
    <x v="3"/>
    <x v="3"/>
    <s v="Indirect"/>
    <s v="Latin America Allocation"/>
    <s v=""/>
    <n v="1850.0625684530119"/>
    <n v="-1850.0625684530119"/>
    <s v="GL"/>
  </r>
  <r>
    <x v="11"/>
    <s v="JE-1317"/>
    <s v="1010"/>
    <x v="3"/>
    <x v="3"/>
    <s v="Indirect"/>
    <s v="MENA Allocation"/>
    <s v=""/>
    <n v="2114.3601118687457"/>
    <n v="-2114.3601118687457"/>
    <s v="GL"/>
  </r>
  <r>
    <x v="11"/>
    <s v="JE-1317"/>
    <s v="1010"/>
    <x v="3"/>
    <x v="3"/>
    <s v="Indirect"/>
    <s v="Sub-Saharan Africa Allocation"/>
    <s v=""/>
    <n v="1057.1792127903252"/>
    <n v="-1057.1792127903252"/>
    <s v="GL"/>
  </r>
  <r>
    <x v="11"/>
    <s v="JE-1317"/>
    <s v="1010"/>
    <x v="3"/>
    <x v="3"/>
    <s v="Indirect"/>
    <s v="Europe Allocation"/>
    <s v=""/>
    <n v="2114.3592687246978"/>
    <n v="-2114.3592687246978"/>
    <s v="GL"/>
  </r>
  <r>
    <x v="11"/>
    <s v="JE-1317"/>
    <s v="1010"/>
    <x v="3"/>
    <x v="3"/>
    <s v="Indirect"/>
    <s v="SE Asia Allocation"/>
    <s v=""/>
    <n v="2642.94845354784"/>
    <n v="-2642.94845354784"/>
    <s v="GL"/>
  </r>
  <r>
    <x v="11"/>
    <s v="JE-1317"/>
    <s v="1030"/>
    <x v="3"/>
    <x v="3"/>
    <s v="Indirect"/>
    <s v="Latin America Allocation"/>
    <s v=""/>
    <n v="2466.750091270681"/>
    <n v="-2466.750091270681"/>
    <s v="GL"/>
  </r>
  <r>
    <x v="11"/>
    <s v="JE-1317"/>
    <s v="1030"/>
    <x v="3"/>
    <x v="3"/>
    <s v="Indirect"/>
    <s v="MENA Allocation"/>
    <s v=""/>
    <n v="2819.1468158249927"/>
    <n v="-2819.1468158249927"/>
    <s v="GL"/>
  </r>
  <r>
    <x v="11"/>
    <s v="JE-1317"/>
    <s v="1030"/>
    <x v="3"/>
    <x v="3"/>
    <s v="Indirect"/>
    <s v="Sub-Saharan Africa Allocation"/>
    <s v=""/>
    <n v="1409.572283720433"/>
    <n v="-1409.572283720433"/>
    <s v="GL"/>
  </r>
  <r>
    <x v="11"/>
    <s v="JE-1317"/>
    <s v="1030"/>
    <x v="3"/>
    <x v="3"/>
    <s v="Indirect"/>
    <s v="Europe Allocation"/>
    <s v=""/>
    <n v="2819.1456916329284"/>
    <n v="-2819.1456916329284"/>
    <s v="GL"/>
  </r>
  <r>
    <x v="11"/>
    <s v="JE-1317"/>
    <s v="1030"/>
    <x v="3"/>
    <x v="3"/>
    <s v="Indirect"/>
    <s v="SE Asia Allocation"/>
    <s v=""/>
    <n v="3523.9312713971176"/>
    <n v="-3523.9312713971176"/>
    <s v="GL"/>
  </r>
  <r>
    <x v="11"/>
    <s v="JE-1317"/>
    <s v="1040"/>
    <x v="3"/>
    <x v="3"/>
    <s v="Indirect"/>
    <s v="Latin America Allocation"/>
    <s v=""/>
    <n v="3700.1251369060174"/>
    <n v="-3700.1251369060174"/>
    <s v="GL"/>
  </r>
  <r>
    <x v="11"/>
    <s v="JE-1317"/>
    <s v="1040"/>
    <x v="3"/>
    <x v="3"/>
    <s v="Indirect"/>
    <s v="MENA Allocation"/>
    <s v=""/>
    <n v="4228.720223737485"/>
    <n v="-4228.720223737485"/>
    <s v="GL"/>
  </r>
  <r>
    <x v="11"/>
    <s v="JE-1317"/>
    <s v="1040"/>
    <x v="3"/>
    <x v="3"/>
    <s v="Indirect"/>
    <s v="Sub-Saharan Africa Allocation"/>
    <s v=""/>
    <n v="2114.3584255806468"/>
    <n v="-2114.3584255806468"/>
    <s v="GL"/>
  </r>
  <r>
    <x v="11"/>
    <s v="JE-1317"/>
    <s v="1040"/>
    <x v="3"/>
    <x v="3"/>
    <s v="Indirect"/>
    <s v="Europe Allocation"/>
    <s v=""/>
    <n v="4228.7185374493884"/>
    <n v="-4228.7185374493884"/>
    <s v="GL"/>
  </r>
  <r>
    <x v="11"/>
    <s v="JE-1317"/>
    <s v="1040"/>
    <x v="3"/>
    <x v="3"/>
    <s v="Indirect"/>
    <s v="SE Asia Allocation"/>
    <s v=""/>
    <n v="5285.8969070956709"/>
    <n v="-5285.8969070956709"/>
    <s v="GL"/>
  </r>
  <r>
    <x v="11"/>
    <s v="JE-1317"/>
    <s v="1050"/>
    <x v="3"/>
    <x v="3"/>
    <s v="Indirect"/>
    <s v="Latin America Allocation"/>
    <s v=""/>
    <n v="1233.3750456353412"/>
    <n v="-1233.3750456353412"/>
    <s v="GL"/>
  </r>
  <r>
    <x v="11"/>
    <s v="JE-1317"/>
    <s v="1050"/>
    <x v="3"/>
    <x v="3"/>
    <s v="Indirect"/>
    <s v="MENA Allocation"/>
    <s v=""/>
    <n v="1409.5734079124973"/>
    <n v="-1409.5734079124973"/>
    <s v="GL"/>
  </r>
  <r>
    <x v="11"/>
    <s v="JE-1317"/>
    <s v="1050"/>
    <x v="3"/>
    <x v="3"/>
    <s v="Indirect"/>
    <s v="Sub-Saharan Africa Allocation"/>
    <s v=""/>
    <n v="704.78614186021684"/>
    <n v="-704.78614186021684"/>
    <s v="GL"/>
  </r>
  <r>
    <x v="11"/>
    <s v="JE-1317"/>
    <s v="1050"/>
    <x v="3"/>
    <x v="3"/>
    <s v="Indirect"/>
    <s v="Europe Allocation"/>
    <s v=""/>
    <n v="1409.5728458164651"/>
    <n v="-1409.5728458164651"/>
    <s v="GL"/>
  </r>
  <r>
    <x v="11"/>
    <s v="JE-1317"/>
    <s v="1050"/>
    <x v="3"/>
    <x v="3"/>
    <s v="Indirect"/>
    <s v="SE Asia Allocation"/>
    <s v=""/>
    <n v="1761.9656356985599"/>
    <n v="-1761.9656356985599"/>
    <s v="GL"/>
  </r>
  <r>
    <x v="12"/>
    <s v="JE-1318"/>
    <s v="1010"/>
    <x v="3"/>
    <x v="3"/>
    <s v="Indirect"/>
    <s v="Latin America Allocation"/>
    <s v=""/>
    <n v="1926.7463108335933"/>
    <n v="-1926.7463108335933"/>
    <s v="GL"/>
  </r>
  <r>
    <x v="12"/>
    <s v="JE-1318"/>
    <s v="1010"/>
    <x v="3"/>
    <x v="3"/>
    <s v="Indirect"/>
    <s v="MENA Allocation"/>
    <s v=""/>
    <n v="2201.9987902679595"/>
    <n v="-2201.9987902679595"/>
    <s v="GL"/>
  </r>
  <r>
    <x v="12"/>
    <s v="JE-1318"/>
    <s v="1010"/>
    <x v="3"/>
    <x v="3"/>
    <s v="Indirect"/>
    <s v="Sub-Saharan Africa Allocation"/>
    <s v=""/>
    <n v="1100.9989742298401"/>
    <n v="-1100.9989742298401"/>
    <s v="GL"/>
  </r>
  <r>
    <x v="12"/>
    <s v="JE-1318"/>
    <s v="1010"/>
    <x v="3"/>
    <x v="3"/>
    <s v="Indirect"/>
    <s v="Europe Allocation"/>
    <s v=""/>
    <n v="2201.997948459682"/>
    <n v="-2201.997948459682"/>
    <s v="GL"/>
  </r>
  <r>
    <x v="12"/>
    <s v="JE-1318"/>
    <s v="1010"/>
    <x v="3"/>
    <x v="3"/>
    <s v="Indirect"/>
    <s v="SE Asia Allocation"/>
    <s v=""/>
    <n v="2752.4970146704636"/>
    <n v="-2752.4970146704636"/>
    <s v="GL"/>
  </r>
  <r>
    <x v="12"/>
    <s v="JE-1318"/>
    <s v="1030"/>
    <x v="3"/>
    <x v="3"/>
    <s v="Indirect"/>
    <s v="Latin America Allocation"/>
    <s v=""/>
    <n v="2568.9950811114581"/>
    <n v="-2568.9950811114581"/>
    <s v="GL"/>
  </r>
  <r>
    <x v="12"/>
    <s v="JE-1318"/>
    <s v="1030"/>
    <x v="3"/>
    <x v="3"/>
    <s v="Indirect"/>
    <s v="MENA Allocation"/>
    <s v=""/>
    <n v="2935.9983870239471"/>
    <n v="-2935.9983870239471"/>
    <s v="GL"/>
  </r>
  <r>
    <x v="12"/>
    <s v="JE-1318"/>
    <s v="1030"/>
    <x v="3"/>
    <x v="3"/>
    <s v="Indirect"/>
    <s v="Sub-Saharan Africa Allocation"/>
    <s v=""/>
    <n v="1467.9986323064538"/>
    <n v="-1467.9986323064538"/>
    <s v="GL"/>
  </r>
  <r>
    <x v="12"/>
    <s v="JE-1318"/>
    <s v="1030"/>
    <x v="3"/>
    <x v="3"/>
    <s v="Indirect"/>
    <s v="Europe Allocation"/>
    <s v=""/>
    <n v="2935.9972646129099"/>
    <n v="-2935.9972646129099"/>
    <s v="GL"/>
  </r>
  <r>
    <x v="12"/>
    <s v="JE-1318"/>
    <s v="1030"/>
    <x v="3"/>
    <x v="3"/>
    <s v="Indirect"/>
    <s v="SE Asia Allocation"/>
    <s v=""/>
    <n v="3669.9960195606195"/>
    <n v="-3669.9960195606195"/>
    <s v="GL"/>
  </r>
  <r>
    <x v="12"/>
    <s v="JE-1318"/>
    <s v="1040"/>
    <x v="3"/>
    <x v="3"/>
    <s v="Indirect"/>
    <s v="Latin America Allocation"/>
    <s v=""/>
    <n v="3853.4907297768837"/>
    <n v="-3853.4907297768837"/>
    <s v="GL"/>
  </r>
  <r>
    <x v="12"/>
    <s v="JE-1318"/>
    <s v="1040"/>
    <x v="3"/>
    <x v="3"/>
    <s v="Indirect"/>
    <s v="MENA Allocation"/>
    <s v=""/>
    <n v="4403.9954183726213"/>
    <n v="-4403.9954183726213"/>
    <s v="GL"/>
  </r>
  <r>
    <x v="12"/>
    <s v="JE-1318"/>
    <s v="1040"/>
    <x v="3"/>
    <x v="3"/>
    <s v="Indirect"/>
    <s v="Sub-Saharan Africa Allocation"/>
    <s v=""/>
    <n v="2201.9968673784447"/>
    <n v="-2201.9968673784447"/>
    <s v="GL"/>
  </r>
  <r>
    <x v="12"/>
    <s v="JE-1318"/>
    <s v="1040"/>
    <x v="3"/>
    <x v="3"/>
    <s v="Indirect"/>
    <s v="Europe Allocation"/>
    <s v=""/>
    <n v="4403.9937347568921"/>
    <n v="-4403.9937347568921"/>
    <s v="GL"/>
  </r>
  <r>
    <x v="12"/>
    <s v="JE-1318"/>
    <s v="1040"/>
    <x v="3"/>
    <x v="3"/>
    <s v="Indirect"/>
    <s v="SE Asia Allocation"/>
    <s v=""/>
    <n v="5504.9913266382518"/>
    <n v="-5504.9913266382518"/>
    <s v="GL"/>
  </r>
  <r>
    <x v="12"/>
    <s v="JE-1318"/>
    <s v="1050"/>
    <x v="3"/>
    <x v="3"/>
    <s v="Indirect"/>
    <s v="Latin America Allocation"/>
    <s v=""/>
    <n v="1284.495648665423"/>
    <n v="-1284.495648665423"/>
    <s v="GL"/>
  </r>
  <r>
    <x v="12"/>
    <s v="JE-1318"/>
    <s v="1050"/>
    <x v="3"/>
    <x v="3"/>
    <s v="Indirect"/>
    <s v="MENA Allocation"/>
    <s v=""/>
    <n v="1467.9970313486715"/>
    <n v="-1467.9970313486715"/>
    <s v="GL"/>
  </r>
  <r>
    <x v="12"/>
    <s v="JE-1318"/>
    <s v="1050"/>
    <x v="3"/>
    <x v="3"/>
    <s v="Indirect"/>
    <s v="Sub-Saharan Africa Allocation"/>
    <s v=""/>
    <n v="733.99823507198926"/>
    <n v="-733.99823507198926"/>
    <s v="GL"/>
  </r>
  <r>
    <x v="12"/>
    <s v="JE-1318"/>
    <s v="1050"/>
    <x v="3"/>
    <x v="3"/>
    <s v="Indirect"/>
    <s v="Europe Allocation"/>
    <s v=""/>
    <n v="1467.9964701439796"/>
    <n v="-1467.9964701439796"/>
    <s v="GL"/>
  </r>
  <r>
    <x v="12"/>
    <s v="JE-1318"/>
    <s v="1050"/>
    <x v="3"/>
    <x v="3"/>
    <s v="Indirect"/>
    <s v="SE Asia Allocation"/>
    <s v=""/>
    <n v="1834.9953070776287"/>
    <n v="-1834.9953070776287"/>
    <s v="GL"/>
  </r>
  <r>
    <x v="1"/>
    <s v="JE-1307"/>
    <s v="2010"/>
    <x v="3"/>
    <x v="3"/>
    <s v="Indirect"/>
    <s v="Latin America Allocation"/>
    <n v="10612.643896820098"/>
    <s v=""/>
    <n v="10612.643896820098"/>
    <s v="GL"/>
  </r>
  <r>
    <x v="1"/>
    <s v="JE-1307"/>
    <s v="2020"/>
    <x v="3"/>
    <x v="3"/>
    <s v="Indirect"/>
    <s v="MENA Allocation"/>
    <n v="9096.5615612313013"/>
    <s v=""/>
    <n v="9096.5615612313013"/>
    <s v="GL"/>
  </r>
  <r>
    <x v="1"/>
    <s v="JE-1307"/>
    <s v="2030"/>
    <x v="3"/>
    <x v="3"/>
    <s v="Indirect"/>
    <s v="Sub-Saharan Africa Allocation"/>
    <n v="9096.5570580514013"/>
    <s v=""/>
    <n v="9096.5570580514013"/>
    <s v="GL"/>
  </r>
  <r>
    <x v="1"/>
    <s v="JE-1307"/>
    <s v="2040"/>
    <x v="3"/>
    <x v="3"/>
    <s v="Indirect"/>
    <s v="Europe Allocation"/>
    <n v="12128.739741948599"/>
    <s v=""/>
    <n v="12128.739741948599"/>
    <s v="GL"/>
  </r>
  <r>
    <x v="1"/>
    <s v="JE-1307"/>
    <s v="2050"/>
    <x v="3"/>
    <x v="3"/>
    <s v="Indirect"/>
    <s v="SE Asia Allocation"/>
    <n v="12128.739741948599"/>
    <s v=""/>
    <n v="12128.739741948599"/>
    <s v="GL"/>
  </r>
  <r>
    <x v="2"/>
    <s v="JE-1308"/>
    <s v="2010"/>
    <x v="3"/>
    <x v="3"/>
    <s v="Indirect"/>
    <s v="Latin America Allocation"/>
    <n v="11539.54817832309"/>
    <s v=""/>
    <n v="11539.54817832309"/>
    <s v="GL"/>
  </r>
  <r>
    <x v="2"/>
    <s v="JE-1308"/>
    <s v="2020"/>
    <x v="3"/>
    <x v="3"/>
    <s v="Indirect"/>
    <s v="MENA Allocation"/>
    <n v="9891.0530054922892"/>
    <s v=""/>
    <n v="9891.0530054922892"/>
    <s v="GL"/>
  </r>
  <r>
    <x v="2"/>
    <s v="JE-1308"/>
    <s v="2030"/>
    <x v="3"/>
    <x v="3"/>
    <s v="Indirect"/>
    <s v="Sub-Saharan Africa Allocation"/>
    <n v="9891.0481838153792"/>
    <s v=""/>
    <n v="9891.0481838153792"/>
    <s v="GL"/>
  </r>
  <r>
    <x v="2"/>
    <s v="JE-1308"/>
    <s v="2040"/>
    <x v="3"/>
    <x v="3"/>
    <s v="Indirect"/>
    <s v="Europe Allocation"/>
    <n v="13188.057816184624"/>
    <s v=""/>
    <n v="13188.057816184624"/>
    <s v="GL"/>
  </r>
  <r>
    <x v="2"/>
    <s v="JE-1308"/>
    <s v="2050"/>
    <x v="3"/>
    <x v="3"/>
    <s v="Indirect"/>
    <s v="SE Asia Allocation"/>
    <n v="13188.057816184624"/>
    <s v=""/>
    <n v="13188.057816184624"/>
    <s v="GL"/>
  </r>
  <r>
    <x v="3"/>
    <s v="JE-1309"/>
    <s v="2010"/>
    <x v="3"/>
    <x v="3"/>
    <s v="Indirect"/>
    <s v="Latin America Allocation"/>
    <n v="10864.732537332577"/>
    <s v=""/>
    <n v="10864.732537332577"/>
    <s v="GL"/>
  </r>
  <r>
    <x v="3"/>
    <s v="JE-1309"/>
    <s v="2020"/>
    <x v="3"/>
    <x v="3"/>
    <s v="Indirect"/>
    <s v="MENA Allocation"/>
    <n v="9312.6342288265514"/>
    <s v=""/>
    <n v="9312.6342288265514"/>
    <s v="GL"/>
  </r>
  <r>
    <x v="3"/>
    <s v="JE-1309"/>
    <s v="2030"/>
    <x v="3"/>
    <x v="3"/>
    <s v="Indirect"/>
    <s v="Sub-Saharan Africa Allocation"/>
    <n v="9312.6297910475114"/>
    <s v=""/>
    <n v="9312.6297910475114"/>
    <s v="GL"/>
  </r>
  <r>
    <x v="3"/>
    <s v="JE-1309"/>
    <s v="2040"/>
    <x v="3"/>
    <x v="3"/>
    <s v="Indirect"/>
    <s v="Europe Allocation"/>
    <n v="12416.83972139668"/>
    <s v=""/>
    <n v="12416.83972139668"/>
    <s v="GL"/>
  </r>
  <r>
    <x v="3"/>
    <s v="JE-1309"/>
    <s v="2050"/>
    <x v="3"/>
    <x v="3"/>
    <s v="Indirect"/>
    <s v="SE Asia Allocation"/>
    <n v="12416.83972139668"/>
    <s v=""/>
    <n v="12416.83972139668"/>
    <s v="GL"/>
  </r>
  <r>
    <x v="4"/>
    <s v="JE-1310"/>
    <s v="2010"/>
    <x v="3"/>
    <x v="3"/>
    <s v="Indirect"/>
    <s v="Latin America Allocation"/>
    <n v="8174.7482052115629"/>
    <s v=""/>
    <n v="8174.7482052115629"/>
    <s v="GL"/>
  </r>
  <r>
    <x v="4"/>
    <s v="JE-1310"/>
    <s v="2020"/>
    <x v="3"/>
    <x v="3"/>
    <s v="Indirect"/>
    <s v="MENA Allocation"/>
    <n v="13079.605481922081"/>
    <s v=""/>
    <n v="13079.605481922081"/>
    <s v="GL"/>
  </r>
  <r>
    <x v="4"/>
    <s v="JE-1310"/>
    <s v="2030"/>
    <x v="3"/>
    <x v="3"/>
    <s v="Indirect"/>
    <s v="Sub-Saharan Africa Allocation"/>
    <n v="9809.7006307817392"/>
    <s v=""/>
    <n v="9809.7006307817392"/>
    <s v="GL"/>
  </r>
  <r>
    <x v="4"/>
    <s v="JE-1310"/>
    <s v="2040"/>
    <x v="3"/>
    <x v="3"/>
    <s v="Indirect"/>
    <s v="Europe Allocation"/>
    <n v="13079.600841042316"/>
    <s v=""/>
    <n v="13079.600841042316"/>
    <s v="GL"/>
  </r>
  <r>
    <x v="4"/>
    <s v="JE-1310"/>
    <s v="2050"/>
    <x v="3"/>
    <x v="3"/>
    <s v="Indirect"/>
    <s v="SE Asia Allocation"/>
    <n v="13079.600841042316"/>
    <s v=""/>
    <n v="13079.600841042316"/>
    <s v="GL"/>
  </r>
  <r>
    <x v="5"/>
    <s v="JE-1311"/>
    <s v="2010"/>
    <x v="3"/>
    <x v="3"/>
    <s v="Indirect"/>
    <s v="Latin America Allocation"/>
    <n v="10290.178319562136"/>
    <s v=""/>
    <n v="10290.178319562136"/>
    <s v="GL"/>
  </r>
  <r>
    <x v="5"/>
    <s v="JE-1311"/>
    <s v="2020"/>
    <x v="3"/>
    <x v="3"/>
    <s v="Indirect"/>
    <s v="MENA Allocation"/>
    <n v="11760.214031218315"/>
    <s v=""/>
    <n v="11760.214031218315"/>
    <s v="GL"/>
  </r>
  <r>
    <x v="5"/>
    <s v="JE-1311"/>
    <s v="2030"/>
    <x v="3"/>
    <x v="3"/>
    <s v="Indirect"/>
    <s v="Sub-Saharan Africa Allocation"/>
    <n v="8820.1560445367923"/>
    <s v=""/>
    <n v="8820.1560445367923"/>
    <s v="GL"/>
  </r>
  <r>
    <x v="5"/>
    <s v="JE-1311"/>
    <s v="2040"/>
    <x v="3"/>
    <x v="3"/>
    <s v="Indirect"/>
    <s v="Europe Allocation"/>
    <n v="11760.209552341383"/>
    <s v=""/>
    <n v="11760.209552341383"/>
    <s v="GL"/>
  </r>
  <r>
    <x v="5"/>
    <s v="JE-1311"/>
    <s v="2050"/>
    <x v="3"/>
    <x v="3"/>
    <s v="Indirect"/>
    <s v="SE Asia Allocation"/>
    <n v="11760.209552341383"/>
    <s v=""/>
    <n v="11760.209552341383"/>
    <s v="GL"/>
  </r>
  <r>
    <x v="6"/>
    <s v="JE-1312"/>
    <s v="2010"/>
    <x v="3"/>
    <x v="3"/>
    <s v="Indirect"/>
    <s v="Latin America Allocation"/>
    <n v="10757.358743773735"/>
    <s v=""/>
    <n v="10757.358743773735"/>
    <s v="GL"/>
  </r>
  <r>
    <x v="6"/>
    <s v="JE-1312"/>
    <s v="2020"/>
    <x v="3"/>
    <x v="3"/>
    <s v="Indirect"/>
    <s v="MENA Allocation"/>
    <n v="12294.135455261154"/>
    <s v=""/>
    <n v="12294.135455261154"/>
    <s v="GL"/>
  </r>
  <r>
    <x v="6"/>
    <s v="JE-1312"/>
    <s v="2030"/>
    <x v="3"/>
    <x v="3"/>
    <s v="Indirect"/>
    <s v="Sub-Saharan Africa Allocation"/>
    <n v="9220.6004409070683"/>
    <s v=""/>
    <n v="9220.6004409070683"/>
    <s v="GL"/>
  </r>
  <r>
    <x v="6"/>
    <s v="JE-1312"/>
    <s v="2040"/>
    <x v="3"/>
    <x v="3"/>
    <s v="Indirect"/>
    <s v="Europe Allocation"/>
    <n v="12294.130853105953"/>
    <s v=""/>
    <n v="12294.130853105953"/>
    <s v="GL"/>
  </r>
  <r>
    <x v="6"/>
    <s v="JE-1312"/>
    <s v="2050"/>
    <x v="3"/>
    <x v="3"/>
    <s v="Indirect"/>
    <s v="SE Asia Allocation"/>
    <n v="12294.130853105953"/>
    <s v=""/>
    <n v="12294.130853105953"/>
    <s v="GL"/>
  </r>
  <r>
    <x v="7"/>
    <s v="JE-1313"/>
    <s v="2010"/>
    <x v="3"/>
    <x v="3"/>
    <s v="Indirect"/>
    <s v="Latin America Allocation"/>
    <n v="10690.932335796253"/>
    <s v=""/>
    <n v="10690.932335796253"/>
    <s v="GL"/>
  </r>
  <r>
    <x v="7"/>
    <s v="JE-1313"/>
    <s v="2020"/>
    <x v="3"/>
    <x v="3"/>
    <s v="Indirect"/>
    <s v="MENA Allocation"/>
    <n v="12218.215995777853"/>
    <s v=""/>
    <n v="12218.215995777853"/>
    <s v="GL"/>
  </r>
  <r>
    <x v="7"/>
    <s v="JE-1313"/>
    <s v="2030"/>
    <x v="3"/>
    <x v="3"/>
    <s v="Indirect"/>
    <s v="Sub-Saharan Africa Allocation"/>
    <n v="9163.6575564938121"/>
    <s v=""/>
    <n v="9163.6575564938121"/>
    <s v="GL"/>
  </r>
  <r>
    <x v="7"/>
    <s v="JE-1313"/>
    <s v="2040"/>
    <x v="3"/>
    <x v="3"/>
    <s v="Indirect"/>
    <s v="Europe Allocation"/>
    <n v="9163.6575564938121"/>
    <s v=""/>
    <n v="9163.6575564938121"/>
    <s v="GL"/>
  </r>
  <r>
    <x v="7"/>
    <s v="JE-1313"/>
    <s v="2050"/>
    <x v="3"/>
    <x v="3"/>
    <s v="Indirect"/>
    <s v="SE Asia Allocation"/>
    <n v="12218.211555438273"/>
    <s v=""/>
    <n v="12218.211555438273"/>
    <s v="GL"/>
  </r>
  <r>
    <x v="8"/>
    <s v="JE-1314"/>
    <s v="2010"/>
    <x v="3"/>
    <x v="3"/>
    <s v="Indirect"/>
    <s v="Latin America Allocation"/>
    <n v="9959.822186872394"/>
    <s v=""/>
    <n v="9959.822186872394"/>
    <s v="GL"/>
  </r>
  <r>
    <x v="8"/>
    <s v="JE-1314"/>
    <s v="2020"/>
    <x v="3"/>
    <x v="3"/>
    <s v="Indirect"/>
    <s v="MENA Allocation"/>
    <n v="11382.664137032512"/>
    <s v=""/>
    <n v="11382.664137032512"/>
    <s v="GL"/>
  </r>
  <r>
    <x v="8"/>
    <s v="JE-1314"/>
    <s v="2030"/>
    <x v="3"/>
    <x v="3"/>
    <s v="Indirect"/>
    <s v="Sub-Saharan Africa Allocation"/>
    <n v="8536.9928480502367"/>
    <s v=""/>
    <n v="8536.9928480502367"/>
    <s v="GL"/>
  </r>
  <r>
    <x v="8"/>
    <s v="JE-1314"/>
    <s v="2040"/>
    <x v="3"/>
    <x v="3"/>
    <s v="Indirect"/>
    <s v="Europe Allocation"/>
    <n v="11382.65993325319"/>
    <s v=""/>
    <n v="11382.65993325319"/>
    <s v="GL"/>
  </r>
  <r>
    <x v="8"/>
    <s v="JE-1314"/>
    <s v="2050"/>
    <x v="3"/>
    <x v="3"/>
    <s v="Indirect"/>
    <s v="SE Asia Allocation"/>
    <n v="11382.65993325319"/>
    <s v=""/>
    <n v="11382.65993325319"/>
    <s v="GL"/>
  </r>
  <r>
    <x v="9"/>
    <s v="JE-1315"/>
    <s v="2010"/>
    <x v="3"/>
    <x v="3"/>
    <s v="Indirect"/>
    <s v="Latin America Allocation"/>
    <n v="8489.95638792725"/>
    <s v=""/>
    <n v="8489.95638792725"/>
    <s v="GL"/>
  </r>
  <r>
    <x v="9"/>
    <s v="JE-1315"/>
    <s v="2020"/>
    <x v="3"/>
    <x v="3"/>
    <s v="Indirect"/>
    <s v="MENA Allocation"/>
    <n v="9702.8114827636673"/>
    <s v=""/>
    <n v="9702.8114827636673"/>
    <s v="GL"/>
  </r>
  <r>
    <x v="9"/>
    <s v="JE-1315"/>
    <s v="2030"/>
    <x v="3"/>
    <x v="3"/>
    <s v="Indirect"/>
    <s v="Sub-Saharan Africa Allocation"/>
    <n v="7277.1086120727441"/>
    <s v=""/>
    <n v="7277.1086120727441"/>
    <s v="GL"/>
  </r>
  <r>
    <x v="9"/>
    <s v="JE-1315"/>
    <s v="2040"/>
    <x v="3"/>
    <x v="3"/>
    <s v="Indirect"/>
    <s v="Europe Allocation"/>
    <n v="9702.807823272713"/>
    <s v=""/>
    <n v="9702.807823272713"/>
    <s v="GL"/>
  </r>
  <r>
    <x v="9"/>
    <s v="JE-1315"/>
    <s v="2050"/>
    <x v="3"/>
    <x v="3"/>
    <s v="Indirect"/>
    <s v="SE Asia Allocation"/>
    <n v="12128.510693963646"/>
    <s v=""/>
    <n v="12128.510693963646"/>
    <s v="GL"/>
  </r>
  <r>
    <x v="10"/>
    <s v="JE-1316"/>
    <s v="2010"/>
    <x v="3"/>
    <x v="3"/>
    <s v="Indirect"/>
    <s v="Latin America Allocation"/>
    <n v="8455.1174027511424"/>
    <s v=""/>
    <n v="8455.1174027511424"/>
    <s v="GL"/>
  </r>
  <r>
    <x v="10"/>
    <s v="JE-1316"/>
    <s v="2020"/>
    <x v="3"/>
    <x v="3"/>
    <s v="Indirect"/>
    <s v="MENA Allocation"/>
    <n v="9663.0011449935755"/>
    <s v=""/>
    <n v="9663.0011449935755"/>
    <s v="GL"/>
  </r>
  <r>
    <x v="10"/>
    <s v="JE-1316"/>
    <s v="2030"/>
    <x v="3"/>
    <x v="3"/>
    <s v="Indirect"/>
    <s v="Sub-Saharan Africa Allocation"/>
    <n v="7247.2481432341601"/>
    <s v=""/>
    <n v="7247.2481432341601"/>
    <s v="GL"/>
  </r>
  <r>
    <x v="10"/>
    <s v="JE-1316"/>
    <s v="2040"/>
    <x v="3"/>
    <x v="3"/>
    <s v="Indirect"/>
    <s v="Europe Allocation"/>
    <n v="9662.9975243122135"/>
    <s v=""/>
    <n v="9662.9975243122135"/>
    <s v="GL"/>
  </r>
  <r>
    <x v="10"/>
    <s v="JE-1316"/>
    <s v="2050"/>
    <x v="3"/>
    <x v="3"/>
    <s v="Indirect"/>
    <s v="SE Asia Allocation"/>
    <n v="12078.743284708904"/>
    <s v=""/>
    <n v="12078.743284708904"/>
    <s v="GL"/>
  </r>
  <r>
    <x v="11"/>
    <s v="JE-1317"/>
    <s v="2010"/>
    <x v="3"/>
    <x v="3"/>
    <s v="Indirect"/>
    <s v="Latin America Allocation"/>
    <n v="9250.3128422650516"/>
    <s v=""/>
    <n v="9250.3128422650516"/>
    <s v="GL"/>
  </r>
  <r>
    <x v="11"/>
    <s v="JE-1317"/>
    <s v="2020"/>
    <x v="3"/>
    <x v="3"/>
    <s v="Indirect"/>
    <s v="MENA Allocation"/>
    <n v="10571.800559343721"/>
    <s v=""/>
    <n v="10571.800559343721"/>
    <s v="GL"/>
  </r>
  <r>
    <x v="11"/>
    <s v="JE-1317"/>
    <s v="2030"/>
    <x v="3"/>
    <x v="3"/>
    <s v="Indirect"/>
    <s v="Sub-Saharan Africa Allocation"/>
    <n v="5285.8960639516226"/>
    <s v=""/>
    <n v="5285.8960639516226"/>
    <s v="GL"/>
  </r>
  <r>
    <x v="11"/>
    <s v="JE-1317"/>
    <s v="2040"/>
    <x v="3"/>
    <x v="3"/>
    <s v="Indirect"/>
    <s v="Europe Allocation"/>
    <n v="10571.79634362348"/>
    <s v=""/>
    <n v="10571.79634362348"/>
    <s v="GL"/>
  </r>
  <r>
    <x v="11"/>
    <s v="JE-1317"/>
    <s v="2050"/>
    <x v="3"/>
    <x v="3"/>
    <s v="Indirect"/>
    <s v="SE Asia Allocation"/>
    <n v="13214.74226773919"/>
    <s v=""/>
    <n v="13214.74226773919"/>
    <s v="GL"/>
  </r>
  <r>
    <x v="12"/>
    <s v="JE-1318"/>
    <s v="2010"/>
    <x v="3"/>
    <x v="3"/>
    <s v="Indirect"/>
    <s v="Latin America Allocation"/>
    <n v="9633.7277703873588"/>
    <s v=""/>
    <n v="9633.7277703873588"/>
    <s v="GL"/>
  </r>
  <r>
    <x v="12"/>
    <s v="JE-1318"/>
    <s v="2020"/>
    <x v="3"/>
    <x v="3"/>
    <s v="Indirect"/>
    <s v="MENA Allocation"/>
    <n v="11009.989627013199"/>
    <s v=""/>
    <n v="11009.989627013199"/>
    <s v="GL"/>
  </r>
  <r>
    <x v="12"/>
    <s v="JE-1318"/>
    <s v="2030"/>
    <x v="3"/>
    <x v="3"/>
    <s v="Indirect"/>
    <s v="Sub-Saharan Africa Allocation"/>
    <n v="5504.9927089867278"/>
    <s v=""/>
    <n v="5504.9927089867278"/>
    <s v="GL"/>
  </r>
  <r>
    <x v="12"/>
    <s v="JE-1318"/>
    <s v="2040"/>
    <x v="3"/>
    <x v="3"/>
    <s v="Indirect"/>
    <s v="Europe Allocation"/>
    <n v="11009.985417973465"/>
    <s v=""/>
    <n v="11009.985417973465"/>
    <s v="GL"/>
  </r>
  <r>
    <x v="12"/>
    <s v="JE-1318"/>
    <s v="2050"/>
    <x v="3"/>
    <x v="3"/>
    <s v="Indirect"/>
    <s v="SE Asia Allocation"/>
    <n v="13762.479667946964"/>
    <s v=""/>
    <n v="13762.479667946964"/>
    <s v="GL"/>
  </r>
  <r>
    <x v="6"/>
    <s v="JE-1294"/>
    <s v="2010"/>
    <x v="4"/>
    <x v="4"/>
    <s v="Revenue"/>
    <s v="Monthly Revenue Entry"/>
    <m/>
    <n v="14097.852631579"/>
    <n v="-14097.852631579"/>
    <s v="GL"/>
  </r>
  <r>
    <x v="6"/>
    <s v="JE-1294"/>
    <s v="2020"/>
    <x v="4"/>
    <x v="4"/>
    <s v="Revenue"/>
    <s v="Monthly Revenue Entry"/>
    <m/>
    <n v="14097.852631579"/>
    <n v="-14097.852631579"/>
    <s v="GL"/>
  </r>
  <r>
    <x v="6"/>
    <s v="JE-1294"/>
    <s v="2030"/>
    <x v="4"/>
    <x v="4"/>
    <s v="Revenue"/>
    <s v="Monthly Revenue Entry"/>
    <m/>
    <n v="10573.389473684199"/>
    <n v="-10573.389473684199"/>
    <s v="GL"/>
  </r>
  <r>
    <x v="6"/>
    <s v="JE-1294"/>
    <s v="2040"/>
    <x v="4"/>
    <x v="4"/>
    <s v="Revenue"/>
    <s v="Monthly Revenue Entry"/>
    <m/>
    <n v="14097.852631579"/>
    <n v="-14097.852631579"/>
    <s v="GL"/>
  </r>
  <r>
    <x v="6"/>
    <s v="JE-1294"/>
    <s v="2050"/>
    <x v="4"/>
    <x v="4"/>
    <s v="Revenue"/>
    <s v="Monthly Revenue Entry"/>
    <m/>
    <n v="14097.852631579"/>
    <n v="-14097.852631579"/>
    <s v="GL"/>
  </r>
  <r>
    <x v="6"/>
    <s v="JE-1294"/>
    <s v="2010"/>
    <x v="5"/>
    <x v="5"/>
    <s v="Revenue"/>
    <s v="Monthly Revenue Entry"/>
    <m/>
    <n v="12699.1768421053"/>
    <n v="-12699.1768421053"/>
    <s v="GL"/>
  </r>
  <r>
    <x v="6"/>
    <s v="JE-1294"/>
    <s v="2020"/>
    <x v="5"/>
    <x v="5"/>
    <s v="Revenue"/>
    <s v="Monthly Revenue Entry"/>
    <m/>
    <n v="12699.1768421053"/>
    <n v="-12699.1768421053"/>
    <s v="GL"/>
  </r>
  <r>
    <x v="6"/>
    <s v="JE-1294"/>
    <s v="2030"/>
    <x v="5"/>
    <x v="5"/>
    <s v="Revenue"/>
    <s v="Monthly Revenue Entry"/>
    <m/>
    <n v="9524.3826315789502"/>
    <n v="-9524.3826315789502"/>
    <s v="GL"/>
  </r>
  <r>
    <x v="6"/>
    <s v="JE-1294"/>
    <s v="2040"/>
    <x v="5"/>
    <x v="5"/>
    <s v="Revenue"/>
    <s v="Monthly Revenue Entry"/>
    <m/>
    <n v="12699.1768421053"/>
    <n v="-12699.1768421053"/>
    <s v="GL"/>
  </r>
  <r>
    <x v="6"/>
    <s v="JE-1294"/>
    <s v="2050"/>
    <x v="5"/>
    <x v="5"/>
    <s v="Revenue"/>
    <s v="Monthly Revenue Entry"/>
    <m/>
    <n v="12699.1768421053"/>
    <n v="-12699.1768421053"/>
    <s v="GL"/>
  </r>
  <r>
    <x v="12"/>
    <s v="JE-1300"/>
    <s v="2010"/>
    <x v="6"/>
    <x v="6"/>
    <s v="Revenue"/>
    <s v="Monthly Revenue Entry"/>
    <m/>
    <n v="26322.597894736798"/>
    <n v="-26322.597894736798"/>
    <s v="GL"/>
  </r>
  <r>
    <x v="12"/>
    <s v="JE-1300"/>
    <s v="2020"/>
    <x v="6"/>
    <x v="6"/>
    <s v="Revenue"/>
    <s v="Monthly Revenue Entry"/>
    <m/>
    <n v="26322.597894736798"/>
    <n v="-26322.597894736798"/>
    <s v="GL"/>
  </r>
  <r>
    <x v="12"/>
    <s v="JE-1300"/>
    <s v="2030"/>
    <x v="6"/>
    <x v="6"/>
    <s v="Revenue"/>
    <s v="Monthly Revenue Entry"/>
    <m/>
    <n v="13161.298947368399"/>
    <n v="-13161.298947368399"/>
    <s v="GL"/>
  </r>
  <r>
    <x v="12"/>
    <s v="JE-1300"/>
    <s v="2040"/>
    <x v="6"/>
    <x v="6"/>
    <s v="Revenue"/>
    <s v="Monthly Revenue Entry"/>
    <m/>
    <n v="26322.597894736798"/>
    <n v="-26322.597894736798"/>
    <s v="GL"/>
  </r>
  <r>
    <x v="12"/>
    <s v="JE-1300"/>
    <s v="2050"/>
    <x v="6"/>
    <x v="6"/>
    <s v="Revenue"/>
    <s v="Monthly Revenue Entry"/>
    <m/>
    <n v="32903.2473684211"/>
    <n v="-32903.2473684211"/>
    <s v="GL"/>
  </r>
  <r>
    <x v="12"/>
    <s v="JE-1300"/>
    <s v="2010"/>
    <x v="4"/>
    <x v="4"/>
    <s v="Revenue"/>
    <s v="Monthly Revenue Entry"/>
    <m/>
    <n v="9213.0926315789493"/>
    <n v="-9213.0926315789493"/>
    <s v="GL"/>
  </r>
  <r>
    <x v="12"/>
    <s v="JE-1300"/>
    <s v="2020"/>
    <x v="4"/>
    <x v="4"/>
    <s v="Revenue"/>
    <s v="Monthly Revenue Entry"/>
    <m/>
    <n v="9213.0926315789493"/>
    <n v="-9213.0926315789493"/>
    <s v="GL"/>
  </r>
  <r>
    <x v="12"/>
    <s v="JE-1300"/>
    <s v="2030"/>
    <x v="4"/>
    <x v="4"/>
    <s v="Revenue"/>
    <s v="Monthly Revenue Entry"/>
    <m/>
    <n v="4606.5463157894701"/>
    <n v="-4606.5463157894701"/>
    <s v="GL"/>
  </r>
  <r>
    <x v="12"/>
    <s v="JE-1300"/>
    <s v="2040"/>
    <x v="4"/>
    <x v="4"/>
    <s v="Revenue"/>
    <s v="Monthly Revenue Entry"/>
    <m/>
    <n v="9213.0926315789493"/>
    <n v="-9213.0926315789493"/>
    <s v="GL"/>
  </r>
  <r>
    <x v="12"/>
    <s v="JE-1300"/>
    <s v="2050"/>
    <x v="4"/>
    <x v="4"/>
    <s v="Revenue"/>
    <s v="Monthly Revenue Entry"/>
    <m/>
    <n v="11516.365789473701"/>
    <n v="-11516.365789473701"/>
    <s v="GL"/>
  </r>
  <r>
    <x v="12"/>
    <s v="JE-1300"/>
    <s v="2010"/>
    <x v="5"/>
    <x v="5"/>
    <s v="Revenue"/>
    <s v="Monthly Revenue Entry"/>
    <m/>
    <n v="11281.113684210501"/>
    <n v="-11281.113684210501"/>
    <s v="GL"/>
  </r>
  <r>
    <x v="12"/>
    <s v="JE-1300"/>
    <s v="2020"/>
    <x v="5"/>
    <x v="5"/>
    <s v="Revenue"/>
    <s v="Monthly Revenue Entry"/>
    <m/>
    <n v="11281.113684210501"/>
    <n v="-11281.113684210501"/>
    <s v="GL"/>
  </r>
  <r>
    <x v="12"/>
    <s v="JE-1300"/>
    <s v="2030"/>
    <x v="5"/>
    <x v="5"/>
    <s v="Revenue"/>
    <s v="Monthly Revenue Entry"/>
    <m/>
    <n v="5640.5568421052603"/>
    <n v="-5640.5568421052603"/>
    <s v="GL"/>
  </r>
  <r>
    <x v="12"/>
    <s v="JE-1300"/>
    <s v="2040"/>
    <x v="5"/>
    <x v="5"/>
    <s v="Revenue"/>
    <s v="Monthly Revenue Entry"/>
    <m/>
    <n v="11281.113684210501"/>
    <n v="-11281.113684210501"/>
    <s v="GL"/>
  </r>
  <r>
    <x v="12"/>
    <s v="JE-1300"/>
    <s v="2050"/>
    <x v="5"/>
    <x v="5"/>
    <s v="Revenue"/>
    <s v="Monthly Revenue Entry"/>
    <m/>
    <n v="14101.392105263199"/>
    <n v="-14101.392105263199"/>
    <s v="GL"/>
  </r>
  <r>
    <x v="11"/>
    <s v="JE-1299"/>
    <s v="2010"/>
    <x v="6"/>
    <x v="6"/>
    <s v="Revenue"/>
    <s v="Monthly Revenue Entry"/>
    <m/>
    <n v="25975.437894736799"/>
    <n v="-25975.437894736799"/>
    <s v="GL"/>
  </r>
  <r>
    <x v="11"/>
    <s v="JE-1299"/>
    <s v="2020"/>
    <x v="6"/>
    <x v="6"/>
    <s v="Revenue"/>
    <s v="Monthly Revenue Entry"/>
    <m/>
    <n v="25975.437894736799"/>
    <n v="-25975.437894736799"/>
    <s v="GL"/>
  </r>
  <r>
    <x v="11"/>
    <s v="JE-1299"/>
    <s v="2030"/>
    <x v="6"/>
    <x v="6"/>
    <s v="Revenue"/>
    <s v="Monthly Revenue Entry"/>
    <m/>
    <n v="12987.718947368399"/>
    <n v="-12987.718947368399"/>
    <s v="GL"/>
  </r>
  <r>
    <x v="11"/>
    <s v="JE-1299"/>
    <s v="2040"/>
    <x v="6"/>
    <x v="6"/>
    <s v="Revenue"/>
    <s v="Monthly Revenue Entry"/>
    <m/>
    <n v="25975.437894736799"/>
    <n v="-25975.437894736799"/>
    <s v="GL"/>
  </r>
  <r>
    <x v="11"/>
    <s v="JE-1299"/>
    <s v="2050"/>
    <x v="6"/>
    <x v="6"/>
    <s v="Revenue"/>
    <s v="Monthly Revenue Entry"/>
    <m/>
    <n v="32469.297368421099"/>
    <n v="-32469.297368421099"/>
    <s v="GL"/>
  </r>
  <r>
    <x v="11"/>
    <s v="JE-1299"/>
    <s v="2010"/>
    <x v="4"/>
    <x v="4"/>
    <s v="Revenue"/>
    <s v="Monthly Revenue Entry"/>
    <m/>
    <n v="15404.092631579"/>
    <n v="-15404.092631579"/>
    <s v="GL"/>
  </r>
  <r>
    <x v="11"/>
    <s v="JE-1299"/>
    <s v="2020"/>
    <x v="4"/>
    <x v="4"/>
    <s v="Revenue"/>
    <s v="Monthly Revenue Entry"/>
    <m/>
    <n v="15404.092631579"/>
    <n v="-15404.092631579"/>
    <s v="GL"/>
  </r>
  <r>
    <x v="11"/>
    <s v="JE-1299"/>
    <s v="2030"/>
    <x v="4"/>
    <x v="4"/>
    <s v="Revenue"/>
    <s v="Monthly Revenue Entry"/>
    <m/>
    <n v="7702.0463157894701"/>
    <n v="-7702.0463157894701"/>
    <s v="GL"/>
  </r>
  <r>
    <x v="11"/>
    <s v="JE-1299"/>
    <s v="2040"/>
    <x v="4"/>
    <x v="4"/>
    <s v="Revenue"/>
    <s v="Monthly Revenue Entry"/>
    <m/>
    <n v="15404.092631579"/>
    <n v="-15404.092631579"/>
    <s v="GL"/>
  </r>
  <r>
    <x v="11"/>
    <s v="JE-1299"/>
    <s v="2050"/>
    <x v="4"/>
    <x v="4"/>
    <s v="Revenue"/>
    <s v="Monthly Revenue Entry"/>
    <m/>
    <n v="19255.115789473701"/>
    <n v="-19255.115789473701"/>
    <s v="GL"/>
  </r>
  <r>
    <x v="11"/>
    <s v="JE-1299"/>
    <s v="2010"/>
    <x v="5"/>
    <x v="5"/>
    <s v="Revenue"/>
    <s v="Monthly Revenue Entry"/>
    <m/>
    <n v="8876.6926315789497"/>
    <n v="-8876.6926315789497"/>
    <s v="GL"/>
  </r>
  <r>
    <x v="11"/>
    <s v="JE-1299"/>
    <s v="2020"/>
    <x v="5"/>
    <x v="5"/>
    <s v="Revenue"/>
    <s v="Monthly Revenue Entry"/>
    <m/>
    <n v="8876.6926315789497"/>
    <n v="-8876.6926315789497"/>
    <s v="GL"/>
  </r>
  <r>
    <x v="11"/>
    <s v="JE-1299"/>
    <s v="2030"/>
    <x v="5"/>
    <x v="5"/>
    <s v="Revenue"/>
    <s v="Monthly Revenue Entry"/>
    <m/>
    <n v="4438.3463157894703"/>
    <n v="-4438.3463157894703"/>
    <s v="GL"/>
  </r>
  <r>
    <x v="11"/>
    <s v="JE-1299"/>
    <s v="2040"/>
    <x v="5"/>
    <x v="5"/>
    <s v="Revenue"/>
    <s v="Monthly Revenue Entry"/>
    <m/>
    <n v="8876.6926315789497"/>
    <n v="-8876.6926315789497"/>
    <s v="GL"/>
  </r>
  <r>
    <x v="11"/>
    <s v="JE-1299"/>
    <s v="2050"/>
    <x v="5"/>
    <x v="5"/>
    <s v="Revenue"/>
    <s v="Monthly Revenue Entry"/>
    <m/>
    <n v="11095.865789473701"/>
    <n v="-11095.865789473701"/>
    <s v="GL"/>
  </r>
  <r>
    <x v="10"/>
    <s v="JE-1298"/>
    <s v="2010"/>
    <x v="6"/>
    <x v="6"/>
    <s v="Revenue"/>
    <s v="Monthly Revenue Entry"/>
    <m/>
    <n v="21601.74"/>
    <n v="-21601.74"/>
    <s v="GL"/>
  </r>
  <r>
    <x v="10"/>
    <s v="JE-1298"/>
    <s v="2020"/>
    <x v="6"/>
    <x v="6"/>
    <s v="Revenue"/>
    <s v="Monthly Revenue Entry"/>
    <m/>
    <n v="21601.74"/>
    <n v="-21601.74"/>
    <s v="GL"/>
  </r>
  <r>
    <x v="10"/>
    <s v="JE-1298"/>
    <s v="2030"/>
    <x v="6"/>
    <x v="6"/>
    <s v="Revenue"/>
    <s v="Monthly Revenue Entry"/>
    <m/>
    <n v="16201.305"/>
    <n v="-16201.305"/>
    <s v="GL"/>
  </r>
  <r>
    <x v="10"/>
    <s v="JE-1298"/>
    <s v="2040"/>
    <x v="6"/>
    <x v="6"/>
    <s v="Revenue"/>
    <s v="Monthly Revenue Entry"/>
    <m/>
    <n v="21601.74"/>
    <n v="-21601.74"/>
    <s v="GL"/>
  </r>
  <r>
    <x v="10"/>
    <s v="JE-1298"/>
    <s v="2050"/>
    <x v="6"/>
    <x v="6"/>
    <s v="Revenue"/>
    <s v="Monthly Revenue Entry"/>
    <m/>
    <n v="27002.174999999999"/>
    <n v="-27002.174999999999"/>
    <s v="GL"/>
  </r>
  <r>
    <x v="10"/>
    <s v="JE-1298"/>
    <s v="2010"/>
    <x v="4"/>
    <x v="4"/>
    <s v="Revenue"/>
    <s v="Monthly Revenue Entry"/>
    <m/>
    <n v="11957.858"/>
    <n v="-11957.858"/>
    <s v="GL"/>
  </r>
  <r>
    <x v="10"/>
    <s v="JE-1298"/>
    <s v="2020"/>
    <x v="4"/>
    <x v="4"/>
    <s v="Revenue"/>
    <s v="Monthly Revenue Entry"/>
    <m/>
    <n v="11957.858"/>
    <n v="-11957.858"/>
    <s v="GL"/>
  </r>
  <r>
    <x v="10"/>
    <s v="JE-1298"/>
    <s v="2030"/>
    <x v="4"/>
    <x v="4"/>
    <s v="Revenue"/>
    <s v="Monthly Revenue Entry"/>
    <m/>
    <n v="8968.3935000000001"/>
    <n v="-8968.3935000000001"/>
    <s v="GL"/>
  </r>
  <r>
    <x v="10"/>
    <s v="JE-1298"/>
    <s v="2040"/>
    <x v="4"/>
    <x v="4"/>
    <s v="Revenue"/>
    <s v="Monthly Revenue Entry"/>
    <m/>
    <n v="11957.858"/>
    <n v="-11957.858"/>
    <s v="GL"/>
  </r>
  <r>
    <x v="10"/>
    <s v="JE-1298"/>
    <s v="2050"/>
    <x v="4"/>
    <x v="4"/>
    <s v="Revenue"/>
    <s v="Monthly Revenue Entry"/>
    <m/>
    <n v="14947.3225"/>
    <n v="-14947.3225"/>
    <s v="GL"/>
  </r>
  <r>
    <x v="10"/>
    <s v="JE-1298"/>
    <s v="2010"/>
    <x v="7"/>
    <x v="7"/>
    <s v="Revenue"/>
    <s v="Monthly Revenue Entry"/>
    <m/>
    <n v="19403.664000000001"/>
    <n v="-19403.664000000001"/>
    <s v="GL"/>
  </r>
  <r>
    <x v="10"/>
    <s v="JE-1298"/>
    <s v="2020"/>
    <x v="7"/>
    <x v="7"/>
    <s v="Revenue"/>
    <s v="Monthly Revenue Entry"/>
    <m/>
    <n v="19403.664000000001"/>
    <n v="-19403.664000000001"/>
    <s v="GL"/>
  </r>
  <r>
    <x v="10"/>
    <s v="JE-1298"/>
    <s v="2030"/>
    <x v="7"/>
    <x v="7"/>
    <s v="Revenue"/>
    <s v="Monthly Revenue Entry"/>
    <m/>
    <n v="14552.748"/>
    <n v="-14552.748"/>
    <s v="GL"/>
  </r>
  <r>
    <x v="10"/>
    <s v="JE-1298"/>
    <s v="2040"/>
    <x v="7"/>
    <x v="7"/>
    <s v="Revenue"/>
    <s v="Monthly Revenue Entry"/>
    <m/>
    <n v="19403.664000000001"/>
    <n v="-19403.664000000001"/>
    <s v="GL"/>
  </r>
  <r>
    <x v="10"/>
    <s v="JE-1298"/>
    <s v="2050"/>
    <x v="7"/>
    <x v="7"/>
    <s v="Revenue"/>
    <s v="Monthly Revenue Entry"/>
    <m/>
    <n v="24254.58"/>
    <n v="-24254.58"/>
    <s v="GL"/>
  </r>
  <r>
    <x v="10"/>
    <s v="JE-1298"/>
    <s v="2010"/>
    <x v="5"/>
    <x v="5"/>
    <s v="Revenue"/>
    <s v="Monthly Revenue Entry"/>
    <m/>
    <n v="9257.8880000000008"/>
    <n v="-9257.8880000000008"/>
    <s v="GL"/>
  </r>
  <r>
    <x v="10"/>
    <s v="JE-1298"/>
    <s v="2020"/>
    <x v="5"/>
    <x v="5"/>
    <s v="Revenue"/>
    <s v="Monthly Revenue Entry"/>
    <m/>
    <n v="9257.8880000000008"/>
    <n v="-9257.8880000000008"/>
    <s v="GL"/>
  </r>
  <r>
    <x v="10"/>
    <s v="JE-1298"/>
    <s v="2030"/>
    <x v="5"/>
    <x v="5"/>
    <s v="Revenue"/>
    <s v="Monthly Revenue Entry"/>
    <m/>
    <n v="6943.4160000000002"/>
    <n v="-6943.4160000000002"/>
    <s v="GL"/>
  </r>
  <r>
    <x v="10"/>
    <s v="JE-1298"/>
    <s v="2040"/>
    <x v="5"/>
    <x v="5"/>
    <s v="Revenue"/>
    <s v="Monthly Revenue Entry"/>
    <m/>
    <n v="9257.8880000000008"/>
    <n v="-9257.8880000000008"/>
    <s v="GL"/>
  </r>
  <r>
    <x v="10"/>
    <s v="JE-1298"/>
    <s v="2050"/>
    <x v="5"/>
    <x v="5"/>
    <s v="Revenue"/>
    <s v="Monthly Revenue Entry"/>
    <m/>
    <n v="11572.36"/>
    <n v="-11572.36"/>
    <s v="GL"/>
  </r>
  <r>
    <x v="9"/>
    <s v="JE-1297"/>
    <s v="2010"/>
    <x v="6"/>
    <x v="6"/>
    <s v="Revenue"/>
    <s v="Monthly Revenue Entry"/>
    <m/>
    <n v="21117.01"/>
    <n v="-21117.01"/>
    <s v="GL"/>
  </r>
  <r>
    <x v="9"/>
    <s v="JE-1297"/>
    <s v="2020"/>
    <x v="6"/>
    <x v="6"/>
    <s v="Revenue"/>
    <s v="Monthly Revenue Entry"/>
    <m/>
    <n v="21117.01"/>
    <n v="-21117.01"/>
    <s v="GL"/>
  </r>
  <r>
    <x v="9"/>
    <s v="JE-1297"/>
    <s v="2030"/>
    <x v="6"/>
    <x v="6"/>
    <s v="Revenue"/>
    <s v="Monthly Revenue Entry"/>
    <m/>
    <n v="15837.7575"/>
    <n v="-15837.7575"/>
    <s v="GL"/>
  </r>
  <r>
    <x v="9"/>
    <s v="JE-1297"/>
    <s v="2040"/>
    <x v="6"/>
    <x v="6"/>
    <s v="Revenue"/>
    <s v="Monthly Revenue Entry"/>
    <m/>
    <n v="21117.01"/>
    <n v="-21117.01"/>
    <s v="GL"/>
  </r>
  <r>
    <x v="9"/>
    <s v="JE-1297"/>
    <s v="2050"/>
    <x v="6"/>
    <x v="6"/>
    <s v="Revenue"/>
    <s v="Monthly Revenue Entry"/>
    <m/>
    <n v="26396.262500000001"/>
    <n v="-26396.262500000001"/>
    <s v="GL"/>
  </r>
  <r>
    <x v="9"/>
    <s v="JE-1297"/>
    <s v="2010"/>
    <x v="4"/>
    <x v="4"/>
    <s v="Revenue"/>
    <s v="Monthly Revenue Entry"/>
    <m/>
    <n v="13791.802"/>
    <n v="-13791.802"/>
    <s v="GL"/>
  </r>
  <r>
    <x v="9"/>
    <s v="JE-1297"/>
    <s v="2020"/>
    <x v="4"/>
    <x v="4"/>
    <s v="Revenue"/>
    <s v="Monthly Revenue Entry"/>
    <m/>
    <n v="13791.802"/>
    <n v="-13791.802"/>
    <s v="GL"/>
  </r>
  <r>
    <x v="9"/>
    <s v="JE-1297"/>
    <s v="2030"/>
    <x v="4"/>
    <x v="4"/>
    <s v="Revenue"/>
    <s v="Monthly Revenue Entry"/>
    <m/>
    <n v="10343.851500000001"/>
    <n v="-10343.851500000001"/>
    <s v="GL"/>
  </r>
  <r>
    <x v="9"/>
    <s v="JE-1297"/>
    <s v="2040"/>
    <x v="4"/>
    <x v="4"/>
    <s v="Revenue"/>
    <s v="Monthly Revenue Entry"/>
    <m/>
    <n v="13791.802"/>
    <n v="-13791.802"/>
    <s v="GL"/>
  </r>
  <r>
    <x v="9"/>
    <s v="JE-1297"/>
    <s v="2050"/>
    <x v="4"/>
    <x v="4"/>
    <s v="Revenue"/>
    <s v="Monthly Revenue Entry"/>
    <m/>
    <n v="17239.752499999999"/>
    <n v="-17239.752499999999"/>
    <s v="GL"/>
  </r>
  <r>
    <x v="9"/>
    <s v="JE-1297"/>
    <s v="2010"/>
    <x v="5"/>
    <x v="5"/>
    <s v="Revenue"/>
    <s v="Monthly Revenue Entry"/>
    <m/>
    <n v="9050.1460000000006"/>
    <n v="-9050.1460000000006"/>
    <s v="GL"/>
  </r>
  <r>
    <x v="9"/>
    <s v="JE-1297"/>
    <s v="2020"/>
    <x v="5"/>
    <x v="5"/>
    <s v="Revenue"/>
    <s v="Monthly Revenue Entry"/>
    <m/>
    <n v="9050.1460000000006"/>
    <n v="-9050.1460000000006"/>
    <s v="GL"/>
  </r>
  <r>
    <x v="9"/>
    <s v="JE-1297"/>
    <s v="2030"/>
    <x v="5"/>
    <x v="5"/>
    <s v="Revenue"/>
    <s v="Monthly Revenue Entry"/>
    <m/>
    <n v="6787.6094999999996"/>
    <n v="-6787.6094999999996"/>
    <s v="GL"/>
  </r>
  <r>
    <x v="9"/>
    <s v="JE-1297"/>
    <s v="2040"/>
    <x v="5"/>
    <x v="5"/>
    <s v="Revenue"/>
    <s v="Monthly Revenue Entry"/>
    <m/>
    <n v="9050.1460000000006"/>
    <n v="-9050.1460000000006"/>
    <s v="GL"/>
  </r>
  <r>
    <x v="9"/>
    <s v="JE-1297"/>
    <s v="2050"/>
    <x v="5"/>
    <x v="5"/>
    <s v="Revenue"/>
    <s v="Monthly Revenue Entry"/>
    <m/>
    <n v="11312.682500000001"/>
    <n v="-11312.682500000001"/>
    <s v="GL"/>
  </r>
  <r>
    <x v="8"/>
    <s v="JE-1296"/>
    <s v="2010"/>
    <x v="6"/>
    <x v="6"/>
    <s v="Revenue"/>
    <s v="Monthly Revenue Entry"/>
    <m/>
    <n v="30155.791578947399"/>
    <n v="-30155.791578947399"/>
    <s v="GL"/>
  </r>
  <r>
    <x v="8"/>
    <s v="JE-1296"/>
    <s v="2020"/>
    <x v="6"/>
    <x v="6"/>
    <s v="Revenue"/>
    <s v="Monthly Revenue Entry"/>
    <m/>
    <n v="30155.791578947399"/>
    <n v="-30155.791578947399"/>
    <s v="GL"/>
  </r>
  <r>
    <x v="8"/>
    <s v="JE-1296"/>
    <s v="2030"/>
    <x v="6"/>
    <x v="6"/>
    <s v="Revenue"/>
    <s v="Monthly Revenue Entry"/>
    <m/>
    <n v="22616.8436842105"/>
    <n v="-22616.8436842105"/>
    <s v="GL"/>
  </r>
  <r>
    <x v="8"/>
    <s v="JE-1296"/>
    <s v="2040"/>
    <x v="6"/>
    <x v="6"/>
    <s v="Revenue"/>
    <s v="Monthly Revenue Entry"/>
    <m/>
    <n v="30155.791578947399"/>
    <n v="-30155.791578947399"/>
    <s v="GL"/>
  </r>
  <r>
    <x v="8"/>
    <s v="JE-1296"/>
    <s v="2050"/>
    <x v="6"/>
    <x v="6"/>
    <s v="Revenue"/>
    <s v="Monthly Revenue Entry"/>
    <m/>
    <n v="30155.791578947399"/>
    <n v="-30155.791578947399"/>
    <s v="GL"/>
  </r>
  <r>
    <x v="8"/>
    <s v="JE-1296"/>
    <s v="2010"/>
    <x v="4"/>
    <x v="4"/>
    <s v="Revenue"/>
    <s v="Monthly Revenue Entry"/>
    <m/>
    <n v="14213.951578947401"/>
    <n v="-14213.951578947401"/>
    <s v="GL"/>
  </r>
  <r>
    <x v="8"/>
    <s v="JE-1296"/>
    <s v="2020"/>
    <x v="4"/>
    <x v="4"/>
    <s v="Revenue"/>
    <s v="Monthly Revenue Entry"/>
    <m/>
    <n v="14213.951578947401"/>
    <n v="-14213.951578947401"/>
    <s v="GL"/>
  </r>
  <r>
    <x v="8"/>
    <s v="JE-1296"/>
    <s v="2030"/>
    <x v="4"/>
    <x v="4"/>
    <s v="Revenue"/>
    <s v="Monthly Revenue Entry"/>
    <m/>
    <n v="10660.463684210499"/>
    <n v="-10660.463684210499"/>
    <s v="GL"/>
  </r>
  <r>
    <x v="8"/>
    <s v="JE-1296"/>
    <s v="2040"/>
    <x v="4"/>
    <x v="4"/>
    <s v="Revenue"/>
    <s v="Monthly Revenue Entry"/>
    <m/>
    <n v="14213.951578947401"/>
    <n v="-14213.951578947401"/>
    <s v="GL"/>
  </r>
  <r>
    <x v="8"/>
    <s v="JE-1296"/>
    <s v="2050"/>
    <x v="4"/>
    <x v="4"/>
    <s v="Revenue"/>
    <s v="Monthly Revenue Entry"/>
    <m/>
    <n v="14213.951578947401"/>
    <n v="-14213.951578947401"/>
    <s v="GL"/>
  </r>
  <r>
    <x v="8"/>
    <s v="JE-1296"/>
    <s v="2010"/>
    <x v="5"/>
    <x v="5"/>
    <s v="Revenue"/>
    <s v="Monthly Revenue Entry"/>
    <m/>
    <n v="12923.9115789474"/>
    <n v="-12923.9115789474"/>
    <s v="GL"/>
  </r>
  <r>
    <x v="8"/>
    <s v="JE-1296"/>
    <s v="2020"/>
    <x v="5"/>
    <x v="5"/>
    <s v="Revenue"/>
    <s v="Monthly Revenue Entry"/>
    <m/>
    <n v="12923.9115789474"/>
    <n v="-12923.9115789474"/>
    <s v="GL"/>
  </r>
  <r>
    <x v="8"/>
    <s v="JE-1296"/>
    <s v="2030"/>
    <x v="5"/>
    <x v="5"/>
    <s v="Revenue"/>
    <s v="Monthly Revenue Entry"/>
    <m/>
    <n v="9692.9336842105295"/>
    <n v="-9692.9336842105295"/>
    <s v="GL"/>
  </r>
  <r>
    <x v="8"/>
    <s v="JE-1296"/>
    <s v="2040"/>
    <x v="5"/>
    <x v="5"/>
    <s v="Revenue"/>
    <s v="Monthly Revenue Entry"/>
    <m/>
    <n v="12923.9115789474"/>
    <n v="-12923.9115789474"/>
    <s v="GL"/>
  </r>
  <r>
    <x v="8"/>
    <s v="JE-1296"/>
    <s v="2050"/>
    <x v="5"/>
    <x v="5"/>
    <s v="Revenue"/>
    <s v="Monthly Revenue Entry"/>
    <m/>
    <n v="12923.9115789474"/>
    <n v="-12923.9115789474"/>
    <s v="GL"/>
  </r>
  <r>
    <x v="7"/>
    <s v="JE-1295"/>
    <s v="2010"/>
    <x v="6"/>
    <x v="6"/>
    <s v="Revenue"/>
    <s v="Monthly Revenue Entry"/>
    <m/>
    <n v="23218.506666666701"/>
    <n v="-23218.506666666701"/>
    <s v="GL"/>
  </r>
  <r>
    <x v="7"/>
    <s v="JE-1295"/>
    <s v="2020"/>
    <x v="6"/>
    <x v="6"/>
    <s v="Revenue"/>
    <s v="Monthly Revenue Entry"/>
    <m/>
    <n v="23218.506666666701"/>
    <n v="-23218.506666666701"/>
    <s v="GL"/>
  </r>
  <r>
    <x v="7"/>
    <s v="JE-1295"/>
    <s v="2030"/>
    <x v="6"/>
    <x v="6"/>
    <s v="Revenue"/>
    <s v="Monthly Revenue Entry"/>
    <m/>
    <n v="17413.88"/>
    <n v="-17413.88"/>
    <s v="GL"/>
  </r>
  <r>
    <x v="7"/>
    <s v="JE-1295"/>
    <s v="2040"/>
    <x v="6"/>
    <x v="6"/>
    <s v="Revenue"/>
    <s v="Monthly Revenue Entry"/>
    <m/>
    <n v="17413.88"/>
    <n v="-17413.88"/>
    <s v="GL"/>
  </r>
  <r>
    <x v="7"/>
    <s v="JE-1295"/>
    <s v="2050"/>
    <x v="6"/>
    <x v="6"/>
    <s v="Revenue"/>
    <s v="Monthly Revenue Entry"/>
    <m/>
    <n v="23218.506666666701"/>
    <n v="-23218.506666666701"/>
    <s v="GL"/>
  </r>
  <r>
    <x v="7"/>
    <s v="JE-1295"/>
    <s v="2010"/>
    <x v="7"/>
    <x v="7"/>
    <s v="Revenue"/>
    <s v="Monthly Revenue Entry"/>
    <m/>
    <n v="19994.004444444399"/>
    <n v="-19994.004444444399"/>
    <s v="GL"/>
  </r>
  <r>
    <x v="7"/>
    <s v="JE-1295"/>
    <s v="2020"/>
    <x v="7"/>
    <x v="7"/>
    <s v="Revenue"/>
    <s v="Monthly Revenue Entry"/>
    <m/>
    <n v="19994.004444444399"/>
    <n v="-19994.004444444399"/>
    <s v="GL"/>
  </r>
  <r>
    <x v="7"/>
    <s v="JE-1295"/>
    <s v="2030"/>
    <x v="7"/>
    <x v="7"/>
    <s v="Revenue"/>
    <s v="Monthly Revenue Entry"/>
    <m/>
    <n v="14995.503333333299"/>
    <n v="-14995.503333333299"/>
    <s v="GL"/>
  </r>
  <r>
    <x v="7"/>
    <s v="JE-1295"/>
    <s v="2040"/>
    <x v="7"/>
    <x v="7"/>
    <s v="Revenue"/>
    <s v="Monthly Revenue Entry"/>
    <m/>
    <n v="14995.503333333299"/>
    <n v="-14995.503333333299"/>
    <s v="GL"/>
  </r>
  <r>
    <x v="7"/>
    <s v="JE-1295"/>
    <s v="2050"/>
    <x v="7"/>
    <x v="7"/>
    <s v="Revenue"/>
    <s v="Monthly Revenue Entry"/>
    <m/>
    <n v="19994.004444444399"/>
    <n v="-19994.004444444399"/>
    <s v="GL"/>
  </r>
  <r>
    <x v="7"/>
    <s v="JE-1295"/>
    <s v="2010"/>
    <x v="5"/>
    <x v="5"/>
    <s v="Revenue"/>
    <s v="Monthly Revenue Entry"/>
    <m/>
    <n v="9950.7888888888901"/>
    <n v="-9950.7888888888901"/>
    <s v="GL"/>
  </r>
  <r>
    <x v="7"/>
    <s v="JE-1295"/>
    <s v="2020"/>
    <x v="5"/>
    <x v="5"/>
    <s v="Revenue"/>
    <s v="Monthly Revenue Entry"/>
    <m/>
    <n v="9950.7888888888901"/>
    <n v="-9950.7888888888901"/>
    <s v="GL"/>
  </r>
  <r>
    <x v="7"/>
    <s v="JE-1295"/>
    <s v="2030"/>
    <x v="5"/>
    <x v="5"/>
    <s v="Revenue"/>
    <s v="Monthly Revenue Entry"/>
    <m/>
    <n v="7463.0916666666699"/>
    <n v="-7463.0916666666699"/>
    <s v="GL"/>
  </r>
  <r>
    <x v="7"/>
    <s v="JE-1295"/>
    <s v="2040"/>
    <x v="5"/>
    <x v="5"/>
    <s v="Revenue"/>
    <s v="Monthly Revenue Entry"/>
    <m/>
    <n v="7463.0916666666699"/>
    <n v="-7463.0916666666699"/>
    <s v="GL"/>
  </r>
  <r>
    <x v="7"/>
    <s v="JE-1295"/>
    <s v="2050"/>
    <x v="5"/>
    <x v="5"/>
    <s v="Revenue"/>
    <s v="Monthly Revenue Entry"/>
    <m/>
    <n v="9950.7888888888901"/>
    <n v="-9950.7888888888901"/>
    <s v="GL"/>
  </r>
  <r>
    <x v="6"/>
    <s v="JE-1294"/>
    <s v="2010"/>
    <x v="6"/>
    <x v="6"/>
    <s v="Revenue"/>
    <s v="Monthly Revenue Entry"/>
    <m/>
    <n v="29631.4147368421"/>
    <n v="-29631.4147368421"/>
    <s v="GL"/>
  </r>
  <r>
    <x v="6"/>
    <s v="JE-1294"/>
    <s v="2020"/>
    <x v="6"/>
    <x v="6"/>
    <s v="Revenue"/>
    <s v="Monthly Revenue Entry"/>
    <m/>
    <n v="29631.4147368421"/>
    <n v="-29631.4147368421"/>
    <s v="GL"/>
  </r>
  <r>
    <x v="6"/>
    <s v="JE-1294"/>
    <s v="2030"/>
    <x v="6"/>
    <x v="6"/>
    <s v="Revenue"/>
    <s v="Monthly Revenue Entry"/>
    <m/>
    <n v="22223.561052631601"/>
    <n v="-22223.561052631601"/>
    <s v="GL"/>
  </r>
  <r>
    <x v="6"/>
    <s v="JE-1294"/>
    <s v="2040"/>
    <x v="6"/>
    <x v="6"/>
    <s v="Revenue"/>
    <s v="Monthly Revenue Entry"/>
    <m/>
    <n v="29631.4147368421"/>
    <n v="-29631.4147368421"/>
    <s v="GL"/>
  </r>
  <r>
    <x v="6"/>
    <s v="JE-1294"/>
    <s v="2050"/>
    <x v="6"/>
    <x v="6"/>
    <s v="Revenue"/>
    <s v="Monthly Revenue Entry"/>
    <m/>
    <n v="29631.4147368421"/>
    <n v="-29631.4147368421"/>
    <s v="GL"/>
  </r>
  <r>
    <x v="5"/>
    <s v="JE-1293"/>
    <s v="2010"/>
    <x v="6"/>
    <x v="6"/>
    <s v="Revenue"/>
    <s v="Monthly Revenue Entry"/>
    <m/>
    <n v="27082.044210526299"/>
    <n v="-27082.044210526299"/>
    <s v="GL"/>
  </r>
  <r>
    <x v="5"/>
    <s v="JE-1293"/>
    <s v="2020"/>
    <x v="6"/>
    <x v="6"/>
    <s v="Revenue"/>
    <s v="Monthly Revenue Entry"/>
    <m/>
    <n v="27082.044210526299"/>
    <n v="-27082.044210526299"/>
    <s v="GL"/>
  </r>
  <r>
    <x v="5"/>
    <s v="JE-1293"/>
    <s v="2030"/>
    <x v="6"/>
    <x v="6"/>
    <s v="Revenue"/>
    <s v="Monthly Revenue Entry"/>
    <m/>
    <n v="20311.533157894701"/>
    <n v="-20311.533157894701"/>
    <s v="GL"/>
  </r>
  <r>
    <x v="5"/>
    <s v="JE-1293"/>
    <s v="2040"/>
    <x v="6"/>
    <x v="6"/>
    <s v="Revenue"/>
    <s v="Monthly Revenue Entry"/>
    <m/>
    <n v="27082.044210526299"/>
    <n v="-27082.044210526299"/>
    <s v="GL"/>
  </r>
  <r>
    <x v="5"/>
    <s v="JE-1293"/>
    <s v="2050"/>
    <x v="6"/>
    <x v="6"/>
    <s v="Revenue"/>
    <s v="Monthly Revenue Entry"/>
    <m/>
    <n v="27082.044210526299"/>
    <n v="-27082.044210526299"/>
    <s v="GL"/>
  </r>
  <r>
    <x v="5"/>
    <s v="JE-1293"/>
    <s v="2010"/>
    <x v="4"/>
    <x v="4"/>
    <s v="Revenue"/>
    <s v="Monthly Revenue Entry"/>
    <m/>
    <n v="10514.8547368421"/>
    <n v="-10514.8547368421"/>
    <s v="GL"/>
  </r>
  <r>
    <x v="5"/>
    <s v="JE-1293"/>
    <s v="2020"/>
    <x v="4"/>
    <x v="4"/>
    <s v="Revenue"/>
    <s v="Monthly Revenue Entry"/>
    <m/>
    <n v="10514.8547368421"/>
    <n v="-10514.8547368421"/>
    <s v="GL"/>
  </r>
  <r>
    <x v="5"/>
    <s v="JE-1293"/>
    <s v="2030"/>
    <x v="4"/>
    <x v="4"/>
    <s v="Revenue"/>
    <s v="Monthly Revenue Entry"/>
    <m/>
    <n v="7886.1410526315804"/>
    <n v="-7886.1410526315804"/>
    <s v="GL"/>
  </r>
  <r>
    <x v="5"/>
    <s v="JE-1293"/>
    <s v="2040"/>
    <x v="4"/>
    <x v="4"/>
    <s v="Revenue"/>
    <s v="Monthly Revenue Entry"/>
    <m/>
    <n v="10514.8547368421"/>
    <n v="-10514.8547368421"/>
    <s v="GL"/>
  </r>
  <r>
    <x v="5"/>
    <s v="JE-1293"/>
    <s v="2050"/>
    <x v="4"/>
    <x v="4"/>
    <s v="Revenue"/>
    <s v="Monthly Revenue Entry"/>
    <m/>
    <n v="10514.8547368421"/>
    <n v="-10514.8547368421"/>
    <s v="GL"/>
  </r>
  <r>
    <x v="5"/>
    <s v="JE-1293"/>
    <s v="2010"/>
    <x v="5"/>
    <x v="5"/>
    <s v="Revenue"/>
    <s v="Monthly Revenue Entry"/>
    <m/>
    <n v="11606.5894736842"/>
    <n v="-11606.5894736842"/>
    <s v="GL"/>
  </r>
  <r>
    <x v="5"/>
    <s v="JE-1293"/>
    <s v="2020"/>
    <x v="5"/>
    <x v="5"/>
    <s v="Revenue"/>
    <s v="Monthly Revenue Entry"/>
    <m/>
    <n v="11606.5894736842"/>
    <n v="-11606.5894736842"/>
    <s v="GL"/>
  </r>
  <r>
    <x v="5"/>
    <s v="JE-1293"/>
    <s v="2030"/>
    <x v="5"/>
    <x v="5"/>
    <s v="Revenue"/>
    <s v="Monthly Revenue Entry"/>
    <m/>
    <n v="8704.9421052631606"/>
    <n v="-8704.9421052631606"/>
    <s v="GL"/>
  </r>
  <r>
    <x v="5"/>
    <s v="JE-1293"/>
    <s v="2040"/>
    <x v="5"/>
    <x v="5"/>
    <s v="Revenue"/>
    <s v="Monthly Revenue Entry"/>
    <m/>
    <n v="11606.5894736842"/>
    <n v="-11606.5894736842"/>
    <s v="GL"/>
  </r>
  <r>
    <x v="5"/>
    <s v="JE-1293"/>
    <s v="2050"/>
    <x v="5"/>
    <x v="5"/>
    <s v="Revenue"/>
    <s v="Monthly Revenue Entry"/>
    <m/>
    <n v="11606.5894736842"/>
    <n v="-11606.5894736842"/>
    <s v="GL"/>
  </r>
  <r>
    <x v="4"/>
    <s v="JE-1292"/>
    <s v="2010"/>
    <x v="6"/>
    <x v="6"/>
    <s v="Revenue"/>
    <s v="Monthly Revenue Entry"/>
    <m/>
    <n v="16718.116666666701"/>
    <n v="-16718.116666666701"/>
    <s v="GL"/>
  </r>
  <r>
    <x v="4"/>
    <s v="JE-1292"/>
    <s v="2020"/>
    <x v="6"/>
    <x v="6"/>
    <s v="Revenue"/>
    <s v="Monthly Revenue Entry"/>
    <m/>
    <n v="22290.822222222199"/>
    <n v="-22290.822222222199"/>
    <s v="GL"/>
  </r>
  <r>
    <x v="4"/>
    <s v="JE-1292"/>
    <s v="2030"/>
    <x v="6"/>
    <x v="6"/>
    <s v="Revenue"/>
    <s v="Monthly Revenue Entry"/>
    <m/>
    <n v="16718.116666666701"/>
    <n v="-16718.116666666701"/>
    <s v="GL"/>
  </r>
  <r>
    <x v="4"/>
    <s v="JE-1292"/>
    <s v="2040"/>
    <x v="6"/>
    <x v="6"/>
    <s v="Revenue"/>
    <s v="Monthly Revenue Entry"/>
    <m/>
    <n v="22290.822222222199"/>
    <n v="-22290.822222222199"/>
    <s v="GL"/>
  </r>
  <r>
    <x v="4"/>
    <s v="JE-1292"/>
    <s v="2050"/>
    <x v="6"/>
    <x v="6"/>
    <s v="Revenue"/>
    <s v="Monthly Revenue Entry"/>
    <m/>
    <n v="22290.822222222199"/>
    <n v="-22290.822222222199"/>
    <s v="GL"/>
  </r>
  <r>
    <x v="4"/>
    <s v="JE-1292"/>
    <s v="2010"/>
    <x v="4"/>
    <x v="4"/>
    <s v="Revenue"/>
    <s v="Monthly Revenue Entry"/>
    <m/>
    <n v="13267.3283333333"/>
    <n v="-13267.3283333333"/>
    <s v="GL"/>
  </r>
  <r>
    <x v="4"/>
    <s v="JE-1292"/>
    <s v="2020"/>
    <x v="4"/>
    <x v="4"/>
    <s v="Revenue"/>
    <s v="Monthly Revenue Entry"/>
    <m/>
    <n v="17689.771111111098"/>
    <n v="-17689.771111111098"/>
    <s v="GL"/>
  </r>
  <r>
    <x v="4"/>
    <s v="JE-1292"/>
    <s v="2030"/>
    <x v="4"/>
    <x v="4"/>
    <s v="Revenue"/>
    <s v="Monthly Revenue Entry"/>
    <m/>
    <n v="13267.3283333333"/>
    <n v="-13267.3283333333"/>
    <s v="GL"/>
  </r>
  <r>
    <x v="4"/>
    <s v="JE-1292"/>
    <s v="2040"/>
    <x v="4"/>
    <x v="4"/>
    <s v="Revenue"/>
    <s v="Monthly Revenue Entry"/>
    <m/>
    <n v="17689.771111111098"/>
    <n v="-17689.771111111098"/>
    <s v="GL"/>
  </r>
  <r>
    <x v="4"/>
    <s v="JE-1292"/>
    <s v="2050"/>
    <x v="4"/>
    <x v="4"/>
    <s v="Revenue"/>
    <s v="Monthly Revenue Entry"/>
    <m/>
    <n v="17689.771111111098"/>
    <n v="-17689.771111111098"/>
    <s v="GL"/>
  </r>
  <r>
    <x v="4"/>
    <s v="JE-1292"/>
    <s v="2010"/>
    <x v="7"/>
    <x v="7"/>
    <s v="Revenue"/>
    <s v="Monthly Revenue Entry"/>
    <m/>
    <n v="13258.5333333333"/>
    <n v="-13258.5333333333"/>
    <s v="GL"/>
  </r>
  <r>
    <x v="4"/>
    <s v="JE-1292"/>
    <s v="2020"/>
    <x v="7"/>
    <x v="7"/>
    <s v="Revenue"/>
    <s v="Monthly Revenue Entry"/>
    <m/>
    <n v="17678.0444444444"/>
    <n v="-17678.0444444444"/>
    <s v="GL"/>
  </r>
  <r>
    <x v="4"/>
    <s v="JE-1292"/>
    <s v="2030"/>
    <x v="7"/>
    <x v="7"/>
    <s v="Revenue"/>
    <s v="Monthly Revenue Entry"/>
    <m/>
    <n v="13258.5333333333"/>
    <n v="-13258.5333333333"/>
    <s v="GL"/>
  </r>
  <r>
    <x v="4"/>
    <s v="JE-1292"/>
    <s v="2040"/>
    <x v="7"/>
    <x v="7"/>
    <s v="Revenue"/>
    <s v="Monthly Revenue Entry"/>
    <m/>
    <n v="17678.0444444444"/>
    <n v="-17678.0444444444"/>
    <s v="GL"/>
  </r>
  <r>
    <x v="4"/>
    <s v="JE-1292"/>
    <s v="2050"/>
    <x v="7"/>
    <x v="7"/>
    <s v="Revenue"/>
    <s v="Monthly Revenue Entry"/>
    <m/>
    <n v="17678.0444444444"/>
    <n v="-17678.0444444444"/>
    <s v="GL"/>
  </r>
  <r>
    <x v="4"/>
    <s v="JE-1292"/>
    <s v="2010"/>
    <x v="5"/>
    <x v="5"/>
    <s v="Revenue"/>
    <s v="Monthly Revenue Entry"/>
    <m/>
    <n v="7164.9066666666704"/>
    <n v="-7164.9066666666704"/>
    <s v="GL"/>
  </r>
  <r>
    <x v="4"/>
    <s v="JE-1292"/>
    <s v="2020"/>
    <x v="5"/>
    <x v="5"/>
    <s v="Revenue"/>
    <s v="Monthly Revenue Entry"/>
    <m/>
    <n v="9553.2088888888902"/>
    <n v="-9553.2088888888902"/>
    <s v="GL"/>
  </r>
  <r>
    <x v="4"/>
    <s v="JE-1292"/>
    <s v="2030"/>
    <x v="5"/>
    <x v="5"/>
    <s v="Revenue"/>
    <s v="Monthly Revenue Entry"/>
    <m/>
    <n v="7164.9066666666704"/>
    <n v="-7164.9066666666704"/>
    <s v="GL"/>
  </r>
  <r>
    <x v="4"/>
    <s v="JE-1292"/>
    <s v="2040"/>
    <x v="5"/>
    <x v="5"/>
    <s v="Revenue"/>
    <s v="Monthly Revenue Entry"/>
    <m/>
    <n v="9553.2088888888902"/>
    <n v="-9553.2088888888902"/>
    <s v="GL"/>
  </r>
  <r>
    <x v="4"/>
    <s v="JE-1292"/>
    <s v="2050"/>
    <x v="5"/>
    <x v="5"/>
    <s v="Revenue"/>
    <s v="Monthly Revenue Entry"/>
    <m/>
    <n v="9553.2088888888902"/>
    <n v="-9553.2088888888902"/>
    <s v="GL"/>
  </r>
  <r>
    <x v="3"/>
    <s v="JE-1291"/>
    <s v="2010"/>
    <x v="6"/>
    <x v="6"/>
    <s v="Revenue"/>
    <s v="Monthly Revenue Entry"/>
    <m/>
    <n v="30227.553333333301"/>
    <n v="-30227.553333333301"/>
    <s v="GL"/>
  </r>
  <r>
    <x v="3"/>
    <s v="JE-1291"/>
    <s v="2020"/>
    <x v="6"/>
    <x v="6"/>
    <s v="Revenue"/>
    <s v="Monthly Revenue Entry"/>
    <m/>
    <n v="22670.665000000001"/>
    <n v="-22670.665000000001"/>
    <s v="GL"/>
  </r>
  <r>
    <x v="3"/>
    <s v="JE-1291"/>
    <s v="2030"/>
    <x v="6"/>
    <x v="6"/>
    <s v="Revenue"/>
    <s v="Monthly Revenue Entry"/>
    <m/>
    <n v="22670.665000000001"/>
    <n v="-22670.665000000001"/>
    <s v="GL"/>
  </r>
  <r>
    <x v="3"/>
    <s v="JE-1291"/>
    <s v="2040"/>
    <x v="6"/>
    <x v="6"/>
    <s v="Revenue"/>
    <s v="Monthly Revenue Entry"/>
    <m/>
    <n v="30227.553333333301"/>
    <n v="-30227.553333333301"/>
    <s v="GL"/>
  </r>
  <r>
    <x v="3"/>
    <s v="JE-1291"/>
    <s v="2050"/>
    <x v="6"/>
    <x v="6"/>
    <s v="Revenue"/>
    <s v="Monthly Revenue Entry"/>
    <m/>
    <n v="30227.553333333301"/>
    <n v="-30227.553333333301"/>
    <s v="GL"/>
  </r>
  <r>
    <x v="3"/>
    <s v="JE-1291"/>
    <s v="2010"/>
    <x v="4"/>
    <x v="4"/>
    <s v="Revenue"/>
    <s v="Monthly Revenue Entry"/>
    <m/>
    <n v="12393.9222222222"/>
    <n v="-12393.9222222222"/>
    <s v="GL"/>
  </r>
  <r>
    <x v="3"/>
    <s v="JE-1291"/>
    <s v="2020"/>
    <x v="4"/>
    <x v="4"/>
    <s v="Revenue"/>
    <s v="Monthly Revenue Entry"/>
    <m/>
    <n v="9295.4416666666693"/>
    <n v="-9295.4416666666693"/>
    <s v="GL"/>
  </r>
  <r>
    <x v="3"/>
    <s v="JE-1291"/>
    <s v="2030"/>
    <x v="4"/>
    <x v="4"/>
    <s v="Revenue"/>
    <s v="Monthly Revenue Entry"/>
    <m/>
    <n v="9295.4416666666693"/>
    <n v="-9295.4416666666693"/>
    <s v="GL"/>
  </r>
  <r>
    <x v="3"/>
    <s v="JE-1291"/>
    <s v="2040"/>
    <x v="4"/>
    <x v="4"/>
    <s v="Revenue"/>
    <s v="Monthly Revenue Entry"/>
    <m/>
    <n v="12393.9222222222"/>
    <n v="-12393.9222222222"/>
    <s v="GL"/>
  </r>
  <r>
    <x v="3"/>
    <s v="JE-1291"/>
    <s v="2050"/>
    <x v="4"/>
    <x v="4"/>
    <s v="Revenue"/>
    <s v="Monthly Revenue Entry"/>
    <m/>
    <n v="12393.9222222222"/>
    <n v="-12393.9222222222"/>
    <s v="GL"/>
  </r>
  <r>
    <x v="3"/>
    <s v="JE-1291"/>
    <s v="2010"/>
    <x v="5"/>
    <x v="5"/>
    <s v="Revenue"/>
    <s v="Monthly Revenue Entry"/>
    <m/>
    <n v="12954.666666666701"/>
    <n v="-12954.666666666701"/>
    <s v="GL"/>
  </r>
  <r>
    <x v="3"/>
    <s v="JE-1291"/>
    <s v="2020"/>
    <x v="5"/>
    <x v="5"/>
    <s v="Revenue"/>
    <s v="Monthly Revenue Entry"/>
    <m/>
    <n v="9716"/>
    <n v="-9716"/>
    <s v="GL"/>
  </r>
  <r>
    <x v="3"/>
    <s v="JE-1291"/>
    <s v="2030"/>
    <x v="5"/>
    <x v="5"/>
    <s v="Revenue"/>
    <s v="Monthly Revenue Entry"/>
    <m/>
    <n v="9716"/>
    <n v="-9716"/>
    <s v="GL"/>
  </r>
  <r>
    <x v="3"/>
    <s v="JE-1291"/>
    <s v="2040"/>
    <x v="5"/>
    <x v="5"/>
    <s v="Revenue"/>
    <s v="Monthly Revenue Entry"/>
    <m/>
    <n v="12954.666666666701"/>
    <n v="-12954.666666666701"/>
    <s v="GL"/>
  </r>
  <r>
    <x v="3"/>
    <s v="JE-1291"/>
    <s v="2050"/>
    <x v="5"/>
    <x v="5"/>
    <s v="Revenue"/>
    <s v="Monthly Revenue Entry"/>
    <m/>
    <n v="12954.666666666701"/>
    <n v="-12954.666666666701"/>
    <s v="GL"/>
  </r>
  <r>
    <x v="2"/>
    <s v="JE-1290"/>
    <s v="2010"/>
    <x v="6"/>
    <x v="6"/>
    <s v="Revenue"/>
    <s v="Monthly Revenue Entry"/>
    <m/>
    <n v="29449.782222222198"/>
    <n v="-29449.782222222198"/>
    <s v="GL"/>
  </r>
  <r>
    <x v="2"/>
    <s v="JE-1290"/>
    <s v="2020"/>
    <x v="6"/>
    <x v="6"/>
    <s v="Revenue"/>
    <s v="Monthly Revenue Entry"/>
    <m/>
    <n v="22087.336666666699"/>
    <n v="-22087.336666666699"/>
    <s v="GL"/>
  </r>
  <r>
    <x v="2"/>
    <s v="JE-1290"/>
    <s v="2030"/>
    <x v="6"/>
    <x v="6"/>
    <s v="Revenue"/>
    <s v="Monthly Revenue Entry"/>
    <m/>
    <n v="22087.336666666699"/>
    <n v="-22087.336666666699"/>
    <s v="GL"/>
  </r>
  <r>
    <x v="2"/>
    <s v="JE-1290"/>
    <s v="2040"/>
    <x v="6"/>
    <x v="6"/>
    <s v="Revenue"/>
    <s v="Monthly Revenue Entry"/>
    <m/>
    <n v="29449.782222222198"/>
    <n v="-29449.782222222198"/>
    <s v="GL"/>
  </r>
  <r>
    <x v="2"/>
    <s v="JE-1290"/>
    <s v="2050"/>
    <x v="6"/>
    <x v="6"/>
    <s v="Revenue"/>
    <s v="Monthly Revenue Entry"/>
    <m/>
    <n v="29449.782222222198"/>
    <n v="-29449.782222222198"/>
    <s v="GL"/>
  </r>
  <r>
    <x v="2"/>
    <s v="JE-1290"/>
    <s v="2010"/>
    <x v="4"/>
    <x v="4"/>
    <s v="Revenue"/>
    <s v="Monthly Revenue Entry"/>
    <m/>
    <n v="12104.311111111099"/>
    <n v="-12104.311111111099"/>
    <s v="GL"/>
  </r>
  <r>
    <x v="2"/>
    <s v="JE-1290"/>
    <s v="2020"/>
    <x v="4"/>
    <x v="4"/>
    <s v="Revenue"/>
    <s v="Monthly Revenue Entry"/>
    <m/>
    <n v="9078.2333333333299"/>
    <n v="-9078.2333333333299"/>
    <s v="GL"/>
  </r>
  <r>
    <x v="2"/>
    <s v="JE-1290"/>
    <s v="2030"/>
    <x v="4"/>
    <x v="4"/>
    <s v="Revenue"/>
    <s v="Monthly Revenue Entry"/>
    <m/>
    <n v="9078.2333333333299"/>
    <n v="-9078.2333333333299"/>
    <s v="GL"/>
  </r>
  <r>
    <x v="2"/>
    <s v="JE-1290"/>
    <s v="2040"/>
    <x v="4"/>
    <x v="4"/>
    <s v="Revenue"/>
    <s v="Monthly Revenue Entry"/>
    <m/>
    <n v="12104.311111111099"/>
    <n v="-12104.311111111099"/>
    <s v="GL"/>
  </r>
  <r>
    <x v="2"/>
    <s v="JE-1290"/>
    <s v="2050"/>
    <x v="4"/>
    <x v="4"/>
    <s v="Revenue"/>
    <s v="Monthly Revenue Entry"/>
    <m/>
    <n v="12104.311111111099"/>
    <n v="-12104.311111111099"/>
    <s v="GL"/>
  </r>
  <r>
    <x v="2"/>
    <s v="JE-1290"/>
    <s v="2010"/>
    <x v="5"/>
    <x v="5"/>
    <s v="Revenue"/>
    <s v="Monthly Revenue Entry"/>
    <m/>
    <n v="12621.335555555601"/>
    <n v="-12621.335555555601"/>
    <s v="GL"/>
  </r>
  <r>
    <x v="2"/>
    <s v="JE-1290"/>
    <s v="2020"/>
    <x v="5"/>
    <x v="5"/>
    <s v="Revenue"/>
    <s v="Monthly Revenue Entry"/>
    <m/>
    <n v="9466.0016666666706"/>
    <n v="-9466.0016666666706"/>
    <s v="GL"/>
  </r>
  <r>
    <x v="2"/>
    <s v="JE-1290"/>
    <s v="2030"/>
    <x v="5"/>
    <x v="5"/>
    <s v="Revenue"/>
    <s v="Monthly Revenue Entry"/>
    <m/>
    <n v="9466.0016666666706"/>
    <n v="-9466.0016666666706"/>
    <s v="GL"/>
  </r>
  <r>
    <x v="2"/>
    <s v="JE-1290"/>
    <s v="2040"/>
    <x v="5"/>
    <x v="5"/>
    <s v="Revenue"/>
    <s v="Monthly Revenue Entry"/>
    <m/>
    <n v="12621.335555555601"/>
    <n v="-12621.335555555601"/>
    <s v="GL"/>
  </r>
  <r>
    <x v="2"/>
    <s v="JE-1290"/>
    <s v="2050"/>
    <x v="5"/>
    <x v="5"/>
    <s v="Revenue"/>
    <s v="Monthly Revenue Entry"/>
    <m/>
    <n v="12621.335555555601"/>
    <n v="-12621.335555555601"/>
    <s v="GL"/>
  </r>
  <r>
    <x v="1"/>
    <s v="JE-1289"/>
    <s v="2010"/>
    <x v="6"/>
    <x v="6"/>
    <s v="Revenue"/>
    <s v="Monthly Revenue Entry"/>
    <m/>
    <n v="29414.426666666699"/>
    <n v="-29414.426666666699"/>
    <s v="GL"/>
  </r>
  <r>
    <x v="1"/>
    <s v="JE-1289"/>
    <s v="2020"/>
    <x v="6"/>
    <x v="6"/>
    <s v="Revenue"/>
    <s v="Monthly Revenue Entry"/>
    <m/>
    <n v="22060.82"/>
    <n v="-22060.82"/>
    <s v="GL"/>
  </r>
  <r>
    <x v="1"/>
    <s v="JE-1289"/>
    <s v="2030"/>
    <x v="6"/>
    <x v="6"/>
    <s v="Revenue"/>
    <s v="Monthly Revenue Entry"/>
    <m/>
    <n v="22060.82"/>
    <n v="-22060.82"/>
    <s v="GL"/>
  </r>
  <r>
    <x v="1"/>
    <s v="JE-1289"/>
    <s v="2040"/>
    <x v="6"/>
    <x v="6"/>
    <s v="Revenue"/>
    <s v="Monthly Revenue Entry"/>
    <m/>
    <n v="29414.426666666699"/>
    <n v="-29414.426666666699"/>
    <s v="GL"/>
  </r>
  <r>
    <x v="1"/>
    <s v="JE-1289"/>
    <s v="2050"/>
    <x v="6"/>
    <x v="6"/>
    <s v="Revenue"/>
    <s v="Monthly Revenue Entry"/>
    <m/>
    <n v="29414.426666666699"/>
    <n v="-29414.426666666699"/>
    <s v="GL"/>
  </r>
  <r>
    <x v="1"/>
    <s v="JE-1289"/>
    <s v="2010"/>
    <x v="4"/>
    <x v="4"/>
    <s v="Revenue"/>
    <s v="Monthly Revenue Entry"/>
    <m/>
    <n v="11979.8977777778"/>
    <n v="-11979.8977777778"/>
    <s v="GL"/>
  </r>
  <r>
    <x v="1"/>
    <s v="JE-1289"/>
    <s v="2020"/>
    <x v="4"/>
    <x v="4"/>
    <s v="Revenue"/>
    <s v="Monthly Revenue Entry"/>
    <m/>
    <n v="8984.9233333333304"/>
    <n v="-8984.9233333333304"/>
    <s v="GL"/>
  </r>
  <r>
    <x v="1"/>
    <s v="JE-1289"/>
    <s v="2030"/>
    <x v="4"/>
    <x v="4"/>
    <s v="Revenue"/>
    <s v="Monthly Revenue Entry"/>
    <m/>
    <n v="8984.9233333333304"/>
    <n v="-8984.9233333333304"/>
    <s v="GL"/>
  </r>
  <r>
    <x v="1"/>
    <s v="JE-1289"/>
    <s v="2040"/>
    <x v="4"/>
    <x v="4"/>
    <s v="Revenue"/>
    <s v="Monthly Revenue Entry"/>
    <m/>
    <n v="11979.8977777778"/>
    <n v="-11979.8977777778"/>
    <s v="GL"/>
  </r>
  <r>
    <x v="1"/>
    <s v="JE-1289"/>
    <s v="2050"/>
    <x v="4"/>
    <x v="4"/>
    <s v="Revenue"/>
    <s v="Monthly Revenue Entry"/>
    <m/>
    <n v="11979.8977777778"/>
    <n v="-11979.8977777778"/>
    <s v="GL"/>
  </r>
  <r>
    <x v="1"/>
    <s v="JE-1289"/>
    <s v="2010"/>
    <x v="7"/>
    <x v="7"/>
    <s v="Revenue"/>
    <s v="Monthly Revenue Entry"/>
    <m/>
    <n v="24633.56"/>
    <n v="-24633.56"/>
    <s v="GL"/>
  </r>
  <r>
    <x v="1"/>
    <s v="JE-1289"/>
    <s v="2020"/>
    <x v="7"/>
    <x v="7"/>
    <s v="Revenue"/>
    <s v="Monthly Revenue Entry"/>
    <m/>
    <n v="18475.169999999998"/>
    <n v="-18475.169999999998"/>
    <s v="GL"/>
  </r>
  <r>
    <x v="1"/>
    <s v="JE-1289"/>
    <s v="2030"/>
    <x v="7"/>
    <x v="7"/>
    <s v="Revenue"/>
    <s v="Monthly Revenue Entry"/>
    <m/>
    <n v="18475.169999999998"/>
    <n v="-18475.169999999998"/>
    <s v="GL"/>
  </r>
  <r>
    <x v="1"/>
    <s v="JE-1289"/>
    <s v="2040"/>
    <x v="7"/>
    <x v="7"/>
    <s v="Revenue"/>
    <s v="Monthly Revenue Entry"/>
    <m/>
    <n v="24633.56"/>
    <n v="-24633.56"/>
    <s v="GL"/>
  </r>
  <r>
    <x v="1"/>
    <s v="JE-1289"/>
    <s v="2050"/>
    <x v="7"/>
    <x v="7"/>
    <s v="Revenue"/>
    <s v="Monthly Revenue Entry"/>
    <m/>
    <n v="24633.56"/>
    <n v="-24633.56"/>
    <s v="GL"/>
  </r>
  <r>
    <x v="1"/>
    <s v="JE-1289"/>
    <s v="2010"/>
    <x v="5"/>
    <x v="5"/>
    <s v="Revenue"/>
    <s v="Monthly Revenue Entry"/>
    <m/>
    <n v="12606.1822222222"/>
    <n v="-12606.1822222222"/>
    <s v="GL"/>
  </r>
  <r>
    <x v="1"/>
    <s v="JE-1289"/>
    <s v="2020"/>
    <x v="5"/>
    <x v="5"/>
    <s v="Revenue"/>
    <s v="Monthly Revenue Entry"/>
    <m/>
    <n v="9454.6366666666709"/>
    <n v="-9454.6366666666709"/>
    <s v="GL"/>
  </r>
  <r>
    <x v="1"/>
    <s v="JE-1289"/>
    <s v="2030"/>
    <x v="5"/>
    <x v="5"/>
    <s v="Revenue"/>
    <s v="Monthly Revenue Entry"/>
    <m/>
    <n v="9454.6366666666709"/>
    <n v="-9454.6366666666709"/>
    <s v="GL"/>
  </r>
  <r>
    <x v="1"/>
    <s v="JE-1289"/>
    <s v="2040"/>
    <x v="5"/>
    <x v="5"/>
    <s v="Revenue"/>
    <s v="Monthly Revenue Entry"/>
    <m/>
    <n v="12606.1822222222"/>
    <n v="-12606.1822222222"/>
    <s v="GL"/>
  </r>
  <r>
    <x v="1"/>
    <s v="JE-1289"/>
    <s v="2050"/>
    <x v="5"/>
    <x v="5"/>
    <s v="Revenue"/>
    <s v="Monthly Revenue Entry"/>
    <m/>
    <n v="12606.1822222222"/>
    <n v="-12606.1822222222"/>
    <s v="GL"/>
  </r>
  <r>
    <x v="12"/>
    <s v="JE-1288"/>
    <s v="1010"/>
    <x v="8"/>
    <x v="8"/>
    <s v="Expense"/>
    <s v="Monthly Personnel Allocation"/>
    <n v="215.27019230769201"/>
    <m/>
    <n v="215.27019230769201"/>
    <s v="GL"/>
  </r>
  <r>
    <x v="12"/>
    <s v="JE-1288"/>
    <s v="1030"/>
    <x v="8"/>
    <x v="8"/>
    <s v="Expense"/>
    <s v="Monthly Personnel Allocation"/>
    <n v="287.02692307692303"/>
    <m/>
    <n v="287.02692307692303"/>
    <s v="GL"/>
  </r>
  <r>
    <x v="12"/>
    <s v="JE-1288"/>
    <s v="1040"/>
    <x v="8"/>
    <x v="8"/>
    <s v="Expense"/>
    <s v="Monthly Personnel Allocation"/>
    <n v="430.54038461538499"/>
    <m/>
    <n v="430.54038461538499"/>
    <s v="GL"/>
  </r>
  <r>
    <x v="12"/>
    <s v="JE-1288"/>
    <s v="1050"/>
    <x v="8"/>
    <x v="8"/>
    <s v="Expense"/>
    <s v="Monthly Personnel Allocation"/>
    <n v="143.513461538462"/>
    <m/>
    <n v="143.513461538462"/>
    <s v="GL"/>
  </r>
  <r>
    <x v="12"/>
    <s v="JE-1288"/>
    <s v="2010"/>
    <x v="8"/>
    <x v="8"/>
    <s v="Expense"/>
    <s v="Monthly Personnel Allocation"/>
    <n v="502.29711538461498"/>
    <m/>
    <n v="502.29711538461498"/>
    <s v="GL"/>
  </r>
  <r>
    <x v="12"/>
    <s v="JE-1288"/>
    <s v="2020"/>
    <x v="8"/>
    <x v="8"/>
    <s v="Expense"/>
    <s v="Monthly Personnel Allocation"/>
    <n v="574.05384615384605"/>
    <m/>
    <n v="574.05384615384605"/>
    <s v="GL"/>
  </r>
  <r>
    <x v="12"/>
    <s v="JE-1288"/>
    <s v="2030"/>
    <x v="8"/>
    <x v="8"/>
    <s v="Expense"/>
    <s v="Monthly Personnel Allocation"/>
    <n v="287.02692307692303"/>
    <m/>
    <n v="287.02692307692303"/>
    <s v="GL"/>
  </r>
  <r>
    <x v="12"/>
    <s v="JE-1288"/>
    <s v="2040"/>
    <x v="8"/>
    <x v="8"/>
    <s v="Expense"/>
    <s v="Monthly Personnel Allocation"/>
    <n v="574.05384615384605"/>
    <m/>
    <n v="574.05384615384605"/>
    <s v="GL"/>
  </r>
  <r>
    <x v="12"/>
    <s v="JE-1288"/>
    <s v="2050"/>
    <x v="8"/>
    <x v="8"/>
    <s v="Expense"/>
    <s v="Monthly Personnel Allocation"/>
    <n v="717.56730769230796"/>
    <m/>
    <n v="717.56730769230796"/>
    <s v="GL"/>
  </r>
  <r>
    <x v="11"/>
    <s v="JE-1287"/>
    <s v="1010"/>
    <x v="8"/>
    <x v="8"/>
    <s v="Expense"/>
    <s v="Monthly Personnel Allocation"/>
    <n v="205.72673076923101"/>
    <m/>
    <n v="205.72673076923101"/>
    <s v="GL"/>
  </r>
  <r>
    <x v="11"/>
    <s v="JE-1287"/>
    <s v="1030"/>
    <x v="8"/>
    <x v="8"/>
    <s v="Expense"/>
    <s v="Monthly Personnel Allocation"/>
    <n v="274.30230769230798"/>
    <m/>
    <n v="274.30230769230798"/>
    <s v="GL"/>
  </r>
  <r>
    <x v="11"/>
    <s v="JE-1287"/>
    <s v="1040"/>
    <x v="8"/>
    <x v="8"/>
    <s v="Expense"/>
    <s v="Monthly Personnel Allocation"/>
    <n v="411.45346153846202"/>
    <m/>
    <n v="411.45346153846202"/>
    <s v="GL"/>
  </r>
  <r>
    <x v="11"/>
    <s v="JE-1287"/>
    <s v="1050"/>
    <x v="8"/>
    <x v="8"/>
    <s v="Expense"/>
    <s v="Monthly Personnel Allocation"/>
    <n v="137.15115384615399"/>
    <m/>
    <n v="137.15115384615399"/>
    <s v="GL"/>
  </r>
  <r>
    <x v="11"/>
    <s v="JE-1287"/>
    <s v="2010"/>
    <x v="8"/>
    <x v="8"/>
    <s v="Expense"/>
    <s v="Monthly Personnel Allocation"/>
    <n v="480.02903846153902"/>
    <m/>
    <n v="480.02903846153902"/>
    <s v="GL"/>
  </r>
  <r>
    <x v="11"/>
    <s v="JE-1287"/>
    <s v="2020"/>
    <x v="8"/>
    <x v="8"/>
    <s v="Expense"/>
    <s v="Monthly Personnel Allocation"/>
    <n v="548.60461538461595"/>
    <m/>
    <n v="548.60461538461595"/>
    <s v="GL"/>
  </r>
  <r>
    <x v="11"/>
    <s v="JE-1287"/>
    <s v="2030"/>
    <x v="8"/>
    <x v="8"/>
    <s v="Expense"/>
    <s v="Monthly Personnel Allocation"/>
    <n v="274.30230769230798"/>
    <m/>
    <n v="274.30230769230798"/>
    <s v="GL"/>
  </r>
  <r>
    <x v="11"/>
    <s v="JE-1287"/>
    <s v="2040"/>
    <x v="8"/>
    <x v="8"/>
    <s v="Expense"/>
    <s v="Monthly Personnel Allocation"/>
    <n v="548.60461538461595"/>
    <m/>
    <n v="548.60461538461595"/>
    <s v="GL"/>
  </r>
  <r>
    <x v="11"/>
    <s v="JE-1287"/>
    <s v="2050"/>
    <x v="8"/>
    <x v="8"/>
    <s v="Expense"/>
    <s v="Monthly Personnel Allocation"/>
    <n v="685.75576923076903"/>
    <m/>
    <n v="685.75576923076903"/>
    <s v="GL"/>
  </r>
  <r>
    <x v="10"/>
    <s v="JE-1286"/>
    <s v="1010"/>
    <x v="8"/>
    <x v="8"/>
    <s v="Expense"/>
    <s v="Monthly Personnel Allocation"/>
    <n v="220.12269230769201"/>
    <m/>
    <n v="220.12269230769201"/>
    <s v="GL"/>
  </r>
  <r>
    <x v="10"/>
    <s v="JE-1286"/>
    <s v="1030"/>
    <x v="8"/>
    <x v="8"/>
    <s v="Expense"/>
    <s v="Monthly Personnel Allocation"/>
    <n v="293.496923076923"/>
    <m/>
    <n v="293.496923076923"/>
    <s v="GL"/>
  </r>
  <r>
    <x v="10"/>
    <s v="JE-1286"/>
    <s v="1040"/>
    <x v="8"/>
    <x v="8"/>
    <s v="Expense"/>
    <s v="Monthly Personnel Allocation"/>
    <n v="293.496923076923"/>
    <m/>
    <n v="293.496923076923"/>
    <s v="GL"/>
  </r>
  <r>
    <x v="10"/>
    <s v="JE-1286"/>
    <s v="1050"/>
    <x v="8"/>
    <x v="8"/>
    <s v="Expense"/>
    <s v="Monthly Personnel Allocation"/>
    <n v="146.74846153846201"/>
    <m/>
    <n v="146.74846153846201"/>
    <s v="GL"/>
  </r>
  <r>
    <x v="10"/>
    <s v="JE-1286"/>
    <s v="2010"/>
    <x v="8"/>
    <x v="8"/>
    <s v="Expense"/>
    <s v="Monthly Personnel Allocation"/>
    <n v="513.61961538461503"/>
    <m/>
    <n v="513.61961538461503"/>
    <s v="GL"/>
  </r>
  <r>
    <x v="10"/>
    <s v="JE-1286"/>
    <s v="2020"/>
    <x v="8"/>
    <x v="8"/>
    <s v="Expense"/>
    <s v="Monthly Personnel Allocation"/>
    <n v="586.99384615384599"/>
    <m/>
    <n v="586.99384615384599"/>
    <s v="GL"/>
  </r>
  <r>
    <x v="10"/>
    <s v="JE-1286"/>
    <s v="2030"/>
    <x v="8"/>
    <x v="8"/>
    <s v="Expense"/>
    <s v="Monthly Personnel Allocation"/>
    <n v="440.24538461538498"/>
    <m/>
    <n v="440.24538461538498"/>
    <s v="GL"/>
  </r>
  <r>
    <x v="10"/>
    <s v="JE-1286"/>
    <s v="2040"/>
    <x v="8"/>
    <x v="8"/>
    <s v="Expense"/>
    <s v="Monthly Personnel Allocation"/>
    <n v="586.99384615384599"/>
    <m/>
    <n v="586.99384615384599"/>
    <s v="GL"/>
  </r>
  <r>
    <x v="10"/>
    <s v="JE-1286"/>
    <s v="2050"/>
    <x v="8"/>
    <x v="8"/>
    <s v="Expense"/>
    <s v="Monthly Personnel Allocation"/>
    <n v="733.74230769230803"/>
    <m/>
    <n v="733.74230769230803"/>
    <s v="GL"/>
  </r>
  <r>
    <x v="9"/>
    <s v="JE-1285"/>
    <s v="1010"/>
    <x v="8"/>
    <x v="8"/>
    <s v="Expense"/>
    <s v="Monthly Personnel Allocation"/>
    <n v="218.33653846153899"/>
    <m/>
    <n v="218.33653846153899"/>
    <s v="GL"/>
  </r>
  <r>
    <x v="9"/>
    <s v="JE-1285"/>
    <s v="1030"/>
    <x v="8"/>
    <x v="8"/>
    <s v="Expense"/>
    <s v="Monthly Personnel Allocation"/>
    <n v="291.11538461538498"/>
    <m/>
    <n v="291.11538461538498"/>
    <s v="GL"/>
  </r>
  <r>
    <x v="9"/>
    <s v="JE-1285"/>
    <s v="1040"/>
    <x v="8"/>
    <x v="8"/>
    <s v="Expense"/>
    <s v="Monthly Personnel Allocation"/>
    <n v="291.11538461538498"/>
    <m/>
    <n v="291.11538461538498"/>
    <s v="GL"/>
  </r>
  <r>
    <x v="9"/>
    <s v="JE-1285"/>
    <s v="1050"/>
    <x v="8"/>
    <x v="8"/>
    <s v="Expense"/>
    <s v="Monthly Personnel Allocation"/>
    <n v="145.55769230769201"/>
    <m/>
    <n v="145.55769230769201"/>
    <s v="GL"/>
  </r>
  <r>
    <x v="9"/>
    <s v="JE-1285"/>
    <s v="2010"/>
    <x v="8"/>
    <x v="8"/>
    <s v="Expense"/>
    <s v="Monthly Personnel Allocation"/>
    <n v="509.45192307692298"/>
    <m/>
    <n v="509.45192307692298"/>
    <s v="GL"/>
  </r>
  <r>
    <x v="9"/>
    <s v="JE-1285"/>
    <s v="2020"/>
    <x v="8"/>
    <x v="8"/>
    <s v="Expense"/>
    <s v="Monthly Personnel Allocation"/>
    <n v="582.23076923076906"/>
    <m/>
    <n v="582.23076923076906"/>
    <s v="GL"/>
  </r>
  <r>
    <x v="9"/>
    <s v="JE-1285"/>
    <s v="2030"/>
    <x v="8"/>
    <x v="8"/>
    <s v="Expense"/>
    <s v="Monthly Personnel Allocation"/>
    <n v="436.67307692307702"/>
    <m/>
    <n v="436.67307692307702"/>
    <s v="GL"/>
  </r>
  <r>
    <x v="9"/>
    <s v="JE-1285"/>
    <s v="2040"/>
    <x v="8"/>
    <x v="8"/>
    <s v="Expense"/>
    <s v="Monthly Personnel Allocation"/>
    <n v="582.23076923076906"/>
    <m/>
    <n v="582.23076923076906"/>
    <s v="GL"/>
  </r>
  <r>
    <x v="9"/>
    <s v="JE-1285"/>
    <s v="2050"/>
    <x v="8"/>
    <x v="8"/>
    <s v="Expense"/>
    <s v="Monthly Personnel Allocation"/>
    <n v="727.788461538462"/>
    <m/>
    <n v="727.788461538462"/>
    <s v="GL"/>
  </r>
  <r>
    <x v="8"/>
    <s v="JE-1284"/>
    <s v="1010"/>
    <x v="8"/>
    <x v="8"/>
    <s v="Expense"/>
    <s v="Monthly Personnel Allocation"/>
    <n v="222.83538461538501"/>
    <m/>
    <n v="222.83538461538501"/>
    <s v="GL"/>
  </r>
  <r>
    <x v="8"/>
    <s v="JE-1284"/>
    <s v="1030"/>
    <x v="8"/>
    <x v="8"/>
    <s v="Expense"/>
    <s v="Monthly Personnel Allocation"/>
    <n v="297.113846153846"/>
    <m/>
    <n v="297.113846153846"/>
    <s v="GL"/>
  </r>
  <r>
    <x v="8"/>
    <s v="JE-1284"/>
    <s v="1040"/>
    <x v="8"/>
    <x v="8"/>
    <s v="Expense"/>
    <s v="Monthly Personnel Allocation"/>
    <n v="297.113846153846"/>
    <m/>
    <n v="297.113846153846"/>
    <s v="GL"/>
  </r>
  <r>
    <x v="8"/>
    <s v="JE-1284"/>
    <s v="1050"/>
    <x v="8"/>
    <x v="8"/>
    <s v="Expense"/>
    <s v="Monthly Personnel Allocation"/>
    <n v="297.113846153846"/>
    <m/>
    <n v="297.113846153846"/>
    <s v="GL"/>
  </r>
  <r>
    <x v="8"/>
    <s v="JE-1284"/>
    <s v="2010"/>
    <x v="8"/>
    <x v="8"/>
    <s v="Expense"/>
    <s v="Monthly Personnel Allocation"/>
    <n v="519.94923076923101"/>
    <m/>
    <n v="519.94923076923101"/>
    <s v="GL"/>
  </r>
  <r>
    <x v="8"/>
    <s v="JE-1284"/>
    <s v="2020"/>
    <x v="8"/>
    <x v="8"/>
    <s v="Expense"/>
    <s v="Monthly Personnel Allocation"/>
    <n v="594.227692307692"/>
    <m/>
    <n v="594.227692307692"/>
    <s v="GL"/>
  </r>
  <r>
    <x v="8"/>
    <s v="JE-1284"/>
    <s v="2030"/>
    <x v="8"/>
    <x v="8"/>
    <s v="Expense"/>
    <s v="Monthly Personnel Allocation"/>
    <n v="445.670769230769"/>
    <m/>
    <n v="445.670769230769"/>
    <s v="GL"/>
  </r>
  <r>
    <x v="8"/>
    <s v="JE-1284"/>
    <s v="2040"/>
    <x v="8"/>
    <x v="8"/>
    <s v="Expense"/>
    <s v="Monthly Personnel Allocation"/>
    <n v="594.227692307692"/>
    <m/>
    <n v="594.227692307692"/>
    <s v="GL"/>
  </r>
  <r>
    <x v="8"/>
    <s v="JE-1284"/>
    <s v="2050"/>
    <x v="8"/>
    <x v="8"/>
    <s v="Expense"/>
    <s v="Monthly Personnel Allocation"/>
    <n v="594.227692307692"/>
    <m/>
    <n v="594.227692307692"/>
    <s v="GL"/>
  </r>
  <r>
    <x v="7"/>
    <s v="JE-1283"/>
    <s v="1010"/>
    <x v="8"/>
    <x v="8"/>
    <s v="Expense"/>
    <s v="Monthly Personnel Allocation"/>
    <n v="226.00200000000001"/>
    <m/>
    <n v="226.00200000000001"/>
    <s v="GL"/>
  </r>
  <r>
    <x v="7"/>
    <s v="JE-1283"/>
    <s v="1030"/>
    <x v="8"/>
    <x v="8"/>
    <s v="Expense"/>
    <s v="Monthly Personnel Allocation"/>
    <n v="301.33600000000001"/>
    <m/>
    <n v="301.33600000000001"/>
    <s v="GL"/>
  </r>
  <r>
    <x v="7"/>
    <s v="JE-1283"/>
    <s v="1040"/>
    <x v="8"/>
    <x v="8"/>
    <s v="Expense"/>
    <s v="Monthly Personnel Allocation"/>
    <n v="301.33600000000001"/>
    <m/>
    <n v="301.33600000000001"/>
    <s v="GL"/>
  </r>
  <r>
    <x v="7"/>
    <s v="JE-1283"/>
    <s v="1050"/>
    <x v="8"/>
    <x v="8"/>
    <s v="Expense"/>
    <s v="Monthly Personnel Allocation"/>
    <n v="301.33600000000001"/>
    <m/>
    <n v="301.33600000000001"/>
    <s v="GL"/>
  </r>
  <r>
    <x v="7"/>
    <s v="JE-1283"/>
    <s v="2010"/>
    <x v="8"/>
    <x v="8"/>
    <s v="Expense"/>
    <s v="Monthly Personnel Allocation"/>
    <n v="527.33799999999997"/>
    <m/>
    <n v="527.33799999999997"/>
    <s v="GL"/>
  </r>
  <r>
    <x v="7"/>
    <s v="JE-1283"/>
    <s v="2020"/>
    <x v="8"/>
    <x v="8"/>
    <s v="Expense"/>
    <s v="Monthly Personnel Allocation"/>
    <n v="602.67200000000003"/>
    <m/>
    <n v="602.67200000000003"/>
    <s v="GL"/>
  </r>
  <r>
    <x v="7"/>
    <s v="JE-1283"/>
    <s v="2030"/>
    <x v="8"/>
    <x v="8"/>
    <s v="Expense"/>
    <s v="Monthly Personnel Allocation"/>
    <n v="452.00400000000002"/>
    <m/>
    <n v="452.00400000000002"/>
    <s v="GL"/>
  </r>
  <r>
    <x v="7"/>
    <s v="JE-1283"/>
    <s v="2040"/>
    <x v="8"/>
    <x v="8"/>
    <s v="Expense"/>
    <s v="Monthly Personnel Allocation"/>
    <n v="452.00400000000002"/>
    <m/>
    <n v="452.00400000000002"/>
    <s v="GL"/>
  </r>
  <r>
    <x v="7"/>
    <s v="JE-1283"/>
    <s v="2050"/>
    <x v="8"/>
    <x v="8"/>
    <s v="Expense"/>
    <s v="Monthly Personnel Allocation"/>
    <n v="602.67200000000003"/>
    <m/>
    <n v="602.67200000000003"/>
    <s v="GL"/>
  </r>
  <r>
    <x v="6"/>
    <s v="JE-1282"/>
    <s v="1010"/>
    <x v="8"/>
    <x v="8"/>
    <s v="Expense"/>
    <s v="Monthly Personnel Allocation"/>
    <n v="219.591923076923"/>
    <m/>
    <n v="219.591923076923"/>
    <s v="GL"/>
  </r>
  <r>
    <x v="6"/>
    <s v="JE-1282"/>
    <s v="1030"/>
    <x v="8"/>
    <x v="8"/>
    <s v="Expense"/>
    <s v="Monthly Personnel Allocation"/>
    <n v="292.78923076923098"/>
    <m/>
    <n v="292.78923076923098"/>
    <s v="GL"/>
  </r>
  <r>
    <x v="6"/>
    <s v="JE-1282"/>
    <s v="1040"/>
    <x v="8"/>
    <x v="8"/>
    <s v="Expense"/>
    <s v="Monthly Personnel Allocation"/>
    <n v="292.78923076923098"/>
    <m/>
    <n v="292.78923076923098"/>
    <s v="GL"/>
  </r>
  <r>
    <x v="6"/>
    <s v="JE-1282"/>
    <s v="1050"/>
    <x v="8"/>
    <x v="8"/>
    <s v="Expense"/>
    <s v="Monthly Personnel Allocation"/>
    <n v="292.78923076923098"/>
    <m/>
    <n v="292.78923076923098"/>
    <s v="GL"/>
  </r>
  <r>
    <x v="6"/>
    <s v="JE-1282"/>
    <s v="2010"/>
    <x v="8"/>
    <x v="8"/>
    <s v="Expense"/>
    <s v="Monthly Personnel Allocation"/>
    <n v="512.38115384615401"/>
    <m/>
    <n v="512.38115384615401"/>
    <s v="GL"/>
  </r>
  <r>
    <x v="6"/>
    <s v="JE-1282"/>
    <s v="2020"/>
    <x v="8"/>
    <x v="8"/>
    <s v="Expense"/>
    <s v="Monthly Personnel Allocation"/>
    <n v="585.57846153846197"/>
    <m/>
    <n v="585.57846153846197"/>
    <s v="GL"/>
  </r>
  <r>
    <x v="6"/>
    <s v="JE-1282"/>
    <s v="2030"/>
    <x v="8"/>
    <x v="8"/>
    <s v="Expense"/>
    <s v="Monthly Personnel Allocation"/>
    <n v="439.18384615384599"/>
    <m/>
    <n v="439.18384615384599"/>
    <s v="GL"/>
  </r>
  <r>
    <x v="6"/>
    <s v="JE-1282"/>
    <s v="2040"/>
    <x v="8"/>
    <x v="8"/>
    <s v="Expense"/>
    <s v="Monthly Personnel Allocation"/>
    <n v="585.57846153846197"/>
    <m/>
    <n v="585.57846153846197"/>
    <s v="GL"/>
  </r>
  <r>
    <x v="6"/>
    <s v="JE-1282"/>
    <s v="2050"/>
    <x v="8"/>
    <x v="8"/>
    <s v="Expense"/>
    <s v="Monthly Personnel Allocation"/>
    <n v="585.57846153846197"/>
    <m/>
    <n v="585.57846153846197"/>
    <s v="GL"/>
  </r>
  <r>
    <x v="5"/>
    <s v="JE-1281"/>
    <s v="1010"/>
    <x v="8"/>
    <x v="8"/>
    <s v="Expense"/>
    <s v="Monthly Personnel Allocation"/>
    <n v="215.86557692307699"/>
    <m/>
    <n v="215.86557692307699"/>
    <s v="GL"/>
  </r>
  <r>
    <x v="5"/>
    <s v="JE-1281"/>
    <s v="1030"/>
    <x v="8"/>
    <x v="8"/>
    <s v="Expense"/>
    <s v="Monthly Personnel Allocation"/>
    <n v="287.82076923076897"/>
    <m/>
    <n v="287.82076923076897"/>
    <s v="GL"/>
  </r>
  <r>
    <x v="5"/>
    <s v="JE-1281"/>
    <s v="1040"/>
    <x v="8"/>
    <x v="8"/>
    <s v="Expense"/>
    <s v="Monthly Personnel Allocation"/>
    <n v="287.82076923076897"/>
    <m/>
    <n v="287.82076923076897"/>
    <s v="GL"/>
  </r>
  <r>
    <x v="5"/>
    <s v="JE-1281"/>
    <s v="1050"/>
    <x v="8"/>
    <x v="8"/>
    <s v="Expense"/>
    <s v="Monthly Personnel Allocation"/>
    <n v="287.82076923076897"/>
    <m/>
    <n v="287.82076923076897"/>
    <s v="GL"/>
  </r>
  <r>
    <x v="5"/>
    <s v="JE-1281"/>
    <s v="2010"/>
    <x v="8"/>
    <x v="8"/>
    <s v="Expense"/>
    <s v="Monthly Personnel Allocation"/>
    <n v="503.68634615384599"/>
    <m/>
    <n v="503.68634615384599"/>
    <s v="GL"/>
  </r>
  <r>
    <x v="5"/>
    <s v="JE-1281"/>
    <s v="2020"/>
    <x v="8"/>
    <x v="8"/>
    <s v="Expense"/>
    <s v="Monthly Personnel Allocation"/>
    <n v="575.64153846153897"/>
    <m/>
    <n v="575.64153846153897"/>
    <s v="GL"/>
  </r>
  <r>
    <x v="5"/>
    <s v="JE-1281"/>
    <s v="2030"/>
    <x v="8"/>
    <x v="8"/>
    <s v="Expense"/>
    <s v="Monthly Personnel Allocation"/>
    <n v="431.73115384615397"/>
    <m/>
    <n v="431.73115384615397"/>
    <s v="GL"/>
  </r>
  <r>
    <x v="5"/>
    <s v="JE-1281"/>
    <s v="2040"/>
    <x v="8"/>
    <x v="8"/>
    <s v="Expense"/>
    <s v="Monthly Personnel Allocation"/>
    <n v="575.64153846153897"/>
    <m/>
    <n v="575.64153846153897"/>
    <s v="GL"/>
  </r>
  <r>
    <x v="5"/>
    <s v="JE-1281"/>
    <s v="2050"/>
    <x v="8"/>
    <x v="8"/>
    <s v="Expense"/>
    <s v="Monthly Personnel Allocation"/>
    <n v="575.64153846153897"/>
    <m/>
    <n v="575.64153846153897"/>
    <s v="GL"/>
  </r>
  <r>
    <x v="4"/>
    <s v="JE-1280"/>
    <s v="1010"/>
    <x v="8"/>
    <x v="8"/>
    <s v="Expense"/>
    <s v="Monthly Personnel Allocation"/>
    <n v="232.38300000000001"/>
    <m/>
    <n v="232.38300000000001"/>
    <s v="GL"/>
  </r>
  <r>
    <x v="4"/>
    <s v="JE-1280"/>
    <s v="1030"/>
    <x v="8"/>
    <x v="8"/>
    <s v="Expense"/>
    <s v="Monthly Personnel Allocation"/>
    <n v="309.84399999999999"/>
    <m/>
    <n v="309.84399999999999"/>
    <s v="GL"/>
  </r>
  <r>
    <x v="4"/>
    <s v="JE-1280"/>
    <s v="1040"/>
    <x v="8"/>
    <x v="8"/>
    <s v="Expense"/>
    <s v="Monthly Personnel Allocation"/>
    <n v="309.84399999999999"/>
    <m/>
    <n v="309.84399999999999"/>
    <s v="GL"/>
  </r>
  <r>
    <x v="4"/>
    <s v="JE-1280"/>
    <s v="1050"/>
    <x v="8"/>
    <x v="8"/>
    <s v="Expense"/>
    <s v="Monthly Personnel Allocation"/>
    <n v="309.84399999999999"/>
    <m/>
    <n v="309.84399999999999"/>
    <s v="GL"/>
  </r>
  <r>
    <x v="4"/>
    <s v="JE-1280"/>
    <s v="2010"/>
    <x v="8"/>
    <x v="8"/>
    <s v="Expense"/>
    <s v="Monthly Personnel Allocation"/>
    <n v="387.30500000000001"/>
    <m/>
    <n v="387.30500000000001"/>
    <s v="GL"/>
  </r>
  <r>
    <x v="4"/>
    <s v="JE-1280"/>
    <s v="2020"/>
    <x v="8"/>
    <x v="8"/>
    <s v="Expense"/>
    <s v="Monthly Personnel Allocation"/>
    <n v="619.68799999999999"/>
    <m/>
    <n v="619.68799999999999"/>
    <s v="GL"/>
  </r>
  <r>
    <x v="4"/>
    <s v="JE-1280"/>
    <s v="2030"/>
    <x v="8"/>
    <x v="8"/>
    <s v="Expense"/>
    <s v="Monthly Personnel Allocation"/>
    <n v="464.76600000000002"/>
    <m/>
    <n v="464.76600000000002"/>
    <s v="GL"/>
  </r>
  <r>
    <x v="4"/>
    <s v="JE-1280"/>
    <s v="2040"/>
    <x v="8"/>
    <x v="8"/>
    <s v="Expense"/>
    <s v="Monthly Personnel Allocation"/>
    <n v="619.68799999999999"/>
    <m/>
    <n v="619.68799999999999"/>
    <s v="GL"/>
  </r>
  <r>
    <x v="4"/>
    <s v="JE-1280"/>
    <s v="2050"/>
    <x v="8"/>
    <x v="8"/>
    <s v="Expense"/>
    <s v="Monthly Personnel Allocation"/>
    <n v="619.68799999999999"/>
    <m/>
    <n v="619.68799999999999"/>
    <s v="GL"/>
  </r>
  <r>
    <x v="3"/>
    <s v="JE-1279"/>
    <s v="1010"/>
    <x v="8"/>
    <x v="8"/>
    <s v="Expense"/>
    <s v="Monthly Personnel Allocation"/>
    <n v="230.46539999999999"/>
    <m/>
    <n v="230.46539999999999"/>
    <s v="GL"/>
  </r>
  <r>
    <x v="3"/>
    <s v="JE-1279"/>
    <s v="1030"/>
    <x v="8"/>
    <x v="8"/>
    <s v="Expense"/>
    <s v="Monthly Personnel Allocation"/>
    <n v="307.28719999999998"/>
    <m/>
    <n v="307.28719999999998"/>
    <s v="GL"/>
  </r>
  <r>
    <x v="3"/>
    <s v="JE-1279"/>
    <s v="1040"/>
    <x v="8"/>
    <x v="8"/>
    <s v="Expense"/>
    <s v="Monthly Personnel Allocation"/>
    <n v="307.28719999999998"/>
    <m/>
    <n v="307.28719999999998"/>
    <s v="GL"/>
  </r>
  <r>
    <x v="3"/>
    <s v="JE-1279"/>
    <s v="1050"/>
    <x v="8"/>
    <x v="8"/>
    <s v="Expense"/>
    <s v="Monthly Personnel Allocation"/>
    <n v="307.28719999999998"/>
    <m/>
    <n v="307.28719999999998"/>
    <s v="GL"/>
  </r>
  <r>
    <x v="3"/>
    <s v="JE-1279"/>
    <s v="2010"/>
    <x v="8"/>
    <x v="8"/>
    <s v="Expense"/>
    <s v="Monthly Personnel Allocation"/>
    <n v="537.75260000000003"/>
    <m/>
    <n v="537.75260000000003"/>
    <s v="GL"/>
  </r>
  <r>
    <x v="3"/>
    <s v="JE-1279"/>
    <s v="2020"/>
    <x v="8"/>
    <x v="8"/>
    <s v="Expense"/>
    <s v="Monthly Personnel Allocation"/>
    <n v="460.93079999999998"/>
    <m/>
    <n v="460.93079999999998"/>
    <s v="GL"/>
  </r>
  <r>
    <x v="3"/>
    <s v="JE-1279"/>
    <s v="2030"/>
    <x v="8"/>
    <x v="8"/>
    <s v="Expense"/>
    <s v="Monthly Personnel Allocation"/>
    <n v="460.93079999999998"/>
    <m/>
    <n v="460.93079999999998"/>
    <s v="GL"/>
  </r>
  <r>
    <x v="3"/>
    <s v="JE-1279"/>
    <s v="2040"/>
    <x v="8"/>
    <x v="8"/>
    <s v="Expense"/>
    <s v="Monthly Personnel Allocation"/>
    <n v="614.57439999999997"/>
    <m/>
    <n v="614.57439999999997"/>
    <s v="GL"/>
  </r>
  <r>
    <x v="3"/>
    <s v="JE-1279"/>
    <s v="2050"/>
    <x v="8"/>
    <x v="8"/>
    <s v="Expense"/>
    <s v="Monthly Personnel Allocation"/>
    <n v="614.57439999999997"/>
    <m/>
    <n v="614.57439999999997"/>
    <s v="GL"/>
  </r>
  <r>
    <x v="2"/>
    <s v="JE-1278"/>
    <s v="1010"/>
    <x v="8"/>
    <x v="8"/>
    <s v="Expense"/>
    <s v="Monthly Personnel Allocation"/>
    <n v="224.3826"/>
    <m/>
    <n v="224.3826"/>
    <s v="GL"/>
  </r>
  <r>
    <x v="2"/>
    <s v="JE-1278"/>
    <s v="1030"/>
    <x v="8"/>
    <x v="8"/>
    <s v="Expense"/>
    <s v="Monthly Personnel Allocation"/>
    <n v="299.17680000000001"/>
    <m/>
    <n v="299.17680000000001"/>
    <s v="GL"/>
  </r>
  <r>
    <x v="2"/>
    <s v="JE-1278"/>
    <s v="1040"/>
    <x v="8"/>
    <x v="8"/>
    <s v="Expense"/>
    <s v="Monthly Personnel Allocation"/>
    <n v="299.17680000000001"/>
    <m/>
    <n v="299.17680000000001"/>
    <s v="GL"/>
  </r>
  <r>
    <x v="2"/>
    <s v="JE-1278"/>
    <s v="1050"/>
    <x v="8"/>
    <x v="8"/>
    <s v="Expense"/>
    <s v="Monthly Personnel Allocation"/>
    <n v="299.17680000000001"/>
    <m/>
    <n v="299.17680000000001"/>
    <s v="GL"/>
  </r>
  <r>
    <x v="2"/>
    <s v="JE-1278"/>
    <s v="2010"/>
    <x v="8"/>
    <x v="8"/>
    <s v="Expense"/>
    <s v="Monthly Personnel Allocation"/>
    <n v="523.55939999999998"/>
    <m/>
    <n v="523.55939999999998"/>
    <s v="GL"/>
  </r>
  <r>
    <x v="2"/>
    <s v="JE-1278"/>
    <s v="2020"/>
    <x v="8"/>
    <x v="8"/>
    <s v="Expense"/>
    <s v="Monthly Personnel Allocation"/>
    <n v="448.76519999999999"/>
    <m/>
    <n v="448.76519999999999"/>
    <s v="GL"/>
  </r>
  <r>
    <x v="2"/>
    <s v="JE-1278"/>
    <s v="2030"/>
    <x v="8"/>
    <x v="8"/>
    <s v="Expense"/>
    <s v="Monthly Personnel Allocation"/>
    <n v="448.76519999999999"/>
    <m/>
    <n v="448.76519999999999"/>
    <s v="GL"/>
  </r>
  <r>
    <x v="2"/>
    <s v="JE-1278"/>
    <s v="2040"/>
    <x v="8"/>
    <x v="8"/>
    <s v="Expense"/>
    <s v="Monthly Personnel Allocation"/>
    <n v="598.35360000000003"/>
    <m/>
    <n v="598.35360000000003"/>
    <s v="GL"/>
  </r>
  <r>
    <x v="2"/>
    <s v="JE-1278"/>
    <s v="2050"/>
    <x v="8"/>
    <x v="8"/>
    <s v="Expense"/>
    <s v="Monthly Personnel Allocation"/>
    <n v="598.35360000000003"/>
    <m/>
    <n v="598.35360000000003"/>
    <s v="GL"/>
  </r>
  <r>
    <x v="1"/>
    <s v="JE-1277"/>
    <s v="1010"/>
    <x v="8"/>
    <x v="8"/>
    <s v="Expense"/>
    <s v="Monthly Personnel Allocation"/>
    <n v="220.75980000000001"/>
    <m/>
    <n v="220.75980000000001"/>
    <s v="GL"/>
  </r>
  <r>
    <x v="1"/>
    <s v="JE-1277"/>
    <s v="1030"/>
    <x v="8"/>
    <x v="8"/>
    <s v="Expense"/>
    <s v="Monthly Personnel Allocation"/>
    <n v="294.34640000000002"/>
    <m/>
    <n v="294.34640000000002"/>
    <s v="GL"/>
  </r>
  <r>
    <x v="1"/>
    <s v="JE-1277"/>
    <s v="1040"/>
    <x v="8"/>
    <x v="8"/>
    <s v="Expense"/>
    <s v="Monthly Personnel Allocation"/>
    <n v="294.34640000000002"/>
    <m/>
    <n v="294.34640000000002"/>
    <s v="GL"/>
  </r>
  <r>
    <x v="1"/>
    <s v="JE-1277"/>
    <s v="1050"/>
    <x v="8"/>
    <x v="8"/>
    <s v="Expense"/>
    <s v="Monthly Personnel Allocation"/>
    <n v="294.34640000000002"/>
    <m/>
    <n v="294.34640000000002"/>
    <s v="GL"/>
  </r>
  <r>
    <x v="1"/>
    <s v="JE-1277"/>
    <s v="2010"/>
    <x v="8"/>
    <x v="8"/>
    <s v="Expense"/>
    <s v="Monthly Personnel Allocation"/>
    <n v="515.10619999999994"/>
    <m/>
    <n v="515.10619999999994"/>
    <s v="GL"/>
  </r>
  <r>
    <x v="1"/>
    <s v="JE-1277"/>
    <s v="2020"/>
    <x v="8"/>
    <x v="8"/>
    <s v="Expense"/>
    <s v="Monthly Personnel Allocation"/>
    <n v="441.51960000000003"/>
    <m/>
    <n v="441.51960000000003"/>
    <s v="GL"/>
  </r>
  <r>
    <x v="1"/>
    <s v="JE-1277"/>
    <s v="2030"/>
    <x v="8"/>
    <x v="8"/>
    <s v="Expense"/>
    <s v="Monthly Personnel Allocation"/>
    <n v="441.51960000000003"/>
    <m/>
    <n v="441.51960000000003"/>
    <s v="GL"/>
  </r>
  <r>
    <x v="1"/>
    <s v="JE-1277"/>
    <s v="2040"/>
    <x v="8"/>
    <x v="8"/>
    <s v="Expense"/>
    <s v="Monthly Personnel Allocation"/>
    <n v="588.69280000000003"/>
    <m/>
    <n v="588.69280000000003"/>
    <s v="GL"/>
  </r>
  <r>
    <x v="1"/>
    <s v="JE-1277"/>
    <s v="2050"/>
    <x v="8"/>
    <x v="8"/>
    <s v="Expense"/>
    <s v="Monthly Personnel Allocation"/>
    <n v="588.69280000000003"/>
    <m/>
    <n v="588.69280000000003"/>
    <s v="GL"/>
  </r>
  <r>
    <x v="12"/>
    <s v="JE-1276"/>
    <s v="1010"/>
    <x v="9"/>
    <x v="9"/>
    <s v="Expense"/>
    <s v="Monthly Personnel Allocation"/>
    <n v="789.32423076923101"/>
    <m/>
    <n v="789.32423076923101"/>
    <s v="GL"/>
  </r>
  <r>
    <x v="12"/>
    <s v="JE-1276"/>
    <s v="1030"/>
    <x v="9"/>
    <x v="9"/>
    <s v="Expense"/>
    <s v="Monthly Personnel Allocation"/>
    <n v="1052.4323076923099"/>
    <m/>
    <n v="1052.4323076923099"/>
    <s v="GL"/>
  </r>
  <r>
    <x v="12"/>
    <s v="JE-1276"/>
    <s v="1040"/>
    <x v="9"/>
    <x v="9"/>
    <s v="Expense"/>
    <s v="Monthly Personnel Allocation"/>
    <n v="1578.64846153846"/>
    <m/>
    <n v="1578.64846153846"/>
    <s v="GL"/>
  </r>
  <r>
    <x v="12"/>
    <s v="JE-1276"/>
    <s v="1050"/>
    <x v="9"/>
    <x v="9"/>
    <s v="Expense"/>
    <s v="Monthly Personnel Allocation"/>
    <n v="526.21615384615404"/>
    <m/>
    <n v="526.21615384615404"/>
    <s v="GL"/>
  </r>
  <r>
    <x v="12"/>
    <s v="JE-1276"/>
    <s v="2010"/>
    <x v="9"/>
    <x v="9"/>
    <s v="Expense"/>
    <s v="Monthly Personnel Allocation"/>
    <n v="1841.75653846154"/>
    <m/>
    <n v="1841.75653846154"/>
    <s v="GL"/>
  </r>
  <r>
    <x v="12"/>
    <s v="JE-1276"/>
    <s v="2020"/>
    <x v="9"/>
    <x v="9"/>
    <s v="Expense"/>
    <s v="Monthly Personnel Allocation"/>
    <n v="2104.8646153846198"/>
    <m/>
    <n v="2104.8646153846198"/>
    <s v="GL"/>
  </r>
  <r>
    <x v="12"/>
    <s v="JE-1276"/>
    <s v="2030"/>
    <x v="9"/>
    <x v="9"/>
    <s v="Expense"/>
    <s v="Monthly Personnel Allocation"/>
    <n v="1052.4323076923099"/>
    <m/>
    <n v="1052.4323076923099"/>
    <s v="GL"/>
  </r>
  <r>
    <x v="12"/>
    <s v="JE-1276"/>
    <s v="2040"/>
    <x v="9"/>
    <x v="9"/>
    <s v="Expense"/>
    <s v="Monthly Personnel Allocation"/>
    <n v="2104.8646153846198"/>
    <m/>
    <n v="2104.8646153846198"/>
    <s v="GL"/>
  </r>
  <r>
    <x v="12"/>
    <s v="JE-1276"/>
    <s v="2050"/>
    <x v="9"/>
    <x v="9"/>
    <s v="Expense"/>
    <s v="Monthly Personnel Allocation"/>
    <n v="2631.0807692307699"/>
    <m/>
    <n v="2631.0807692307699"/>
    <s v="GL"/>
  </r>
  <r>
    <x v="11"/>
    <s v="JE-1275"/>
    <s v="1010"/>
    <x v="9"/>
    <x v="9"/>
    <s v="Expense"/>
    <s v="Monthly Personnel Allocation"/>
    <n v="754.33038461538501"/>
    <m/>
    <n v="754.33038461538501"/>
    <s v="GL"/>
  </r>
  <r>
    <x v="11"/>
    <s v="JE-1275"/>
    <s v="1030"/>
    <x v="9"/>
    <x v="9"/>
    <s v="Expense"/>
    <s v="Monthly Personnel Allocation"/>
    <n v="1005.7738461538499"/>
    <m/>
    <n v="1005.7738461538499"/>
    <s v="GL"/>
  </r>
  <r>
    <x v="11"/>
    <s v="JE-1275"/>
    <s v="1040"/>
    <x v="9"/>
    <x v="9"/>
    <s v="Expense"/>
    <s v="Monthly Personnel Allocation"/>
    <n v="1508.66076923077"/>
    <m/>
    <n v="1508.66076923077"/>
    <s v="GL"/>
  </r>
  <r>
    <x v="11"/>
    <s v="JE-1275"/>
    <s v="1050"/>
    <x v="9"/>
    <x v="9"/>
    <s v="Expense"/>
    <s v="Monthly Personnel Allocation"/>
    <n v="502.88692307692298"/>
    <m/>
    <n v="502.88692307692298"/>
    <s v="GL"/>
  </r>
  <r>
    <x v="11"/>
    <s v="JE-1275"/>
    <s v="2010"/>
    <x v="9"/>
    <x v="9"/>
    <s v="Expense"/>
    <s v="Monthly Personnel Allocation"/>
    <n v="1760.1042307692301"/>
    <m/>
    <n v="1760.1042307692301"/>
    <s v="GL"/>
  </r>
  <r>
    <x v="11"/>
    <s v="JE-1275"/>
    <s v="2020"/>
    <x v="9"/>
    <x v="9"/>
    <s v="Expense"/>
    <s v="Monthly Personnel Allocation"/>
    <n v="2011.5476923076901"/>
    <m/>
    <n v="2011.5476923076901"/>
    <s v="GL"/>
  </r>
  <r>
    <x v="11"/>
    <s v="JE-1275"/>
    <s v="2030"/>
    <x v="9"/>
    <x v="9"/>
    <s v="Expense"/>
    <s v="Monthly Personnel Allocation"/>
    <n v="1005.7738461538499"/>
    <m/>
    <n v="1005.7738461538499"/>
    <s v="GL"/>
  </r>
  <r>
    <x v="11"/>
    <s v="JE-1275"/>
    <s v="2040"/>
    <x v="9"/>
    <x v="9"/>
    <s v="Expense"/>
    <s v="Monthly Personnel Allocation"/>
    <n v="2011.5476923076901"/>
    <m/>
    <n v="2011.5476923076901"/>
    <s v="GL"/>
  </r>
  <r>
    <x v="11"/>
    <s v="JE-1275"/>
    <s v="2050"/>
    <x v="9"/>
    <x v="9"/>
    <s v="Expense"/>
    <s v="Monthly Personnel Allocation"/>
    <n v="2514.43461538462"/>
    <m/>
    <n v="2514.43461538462"/>
    <s v="GL"/>
  </r>
  <r>
    <x v="10"/>
    <s v="JE-1274"/>
    <s v="1010"/>
    <x v="9"/>
    <x v="9"/>
    <s v="Expense"/>
    <s v="Monthly Personnel Allocation"/>
    <n v="807.11769230769198"/>
    <m/>
    <n v="807.11769230769198"/>
    <s v="GL"/>
  </r>
  <r>
    <x v="10"/>
    <s v="JE-1274"/>
    <s v="1030"/>
    <x v="9"/>
    <x v="9"/>
    <s v="Expense"/>
    <s v="Monthly Personnel Allocation"/>
    <n v="1076.1569230769201"/>
    <m/>
    <n v="1076.1569230769201"/>
    <s v="GL"/>
  </r>
  <r>
    <x v="10"/>
    <s v="JE-1274"/>
    <s v="1040"/>
    <x v="9"/>
    <x v="9"/>
    <s v="Expense"/>
    <s v="Monthly Personnel Allocation"/>
    <n v="1076.1569230769201"/>
    <m/>
    <n v="1076.1569230769201"/>
    <s v="GL"/>
  </r>
  <r>
    <x v="10"/>
    <s v="JE-1274"/>
    <s v="1050"/>
    <x v="9"/>
    <x v="9"/>
    <s v="Expense"/>
    <s v="Monthly Personnel Allocation"/>
    <n v="538.07846153846197"/>
    <m/>
    <n v="538.07846153846197"/>
    <s v="GL"/>
  </r>
  <r>
    <x v="10"/>
    <s v="JE-1274"/>
    <s v="2010"/>
    <x v="9"/>
    <x v="9"/>
    <s v="Expense"/>
    <s v="Monthly Personnel Allocation"/>
    <n v="1883.2746153846199"/>
    <m/>
    <n v="1883.2746153846199"/>
    <s v="GL"/>
  </r>
  <r>
    <x v="10"/>
    <s v="JE-1274"/>
    <s v="2020"/>
    <x v="9"/>
    <x v="9"/>
    <s v="Expense"/>
    <s v="Monthly Personnel Allocation"/>
    <n v="2152.3138461538501"/>
    <m/>
    <n v="2152.3138461538501"/>
    <s v="GL"/>
  </r>
  <r>
    <x v="10"/>
    <s v="JE-1274"/>
    <s v="2030"/>
    <x v="9"/>
    <x v="9"/>
    <s v="Expense"/>
    <s v="Monthly Personnel Allocation"/>
    <n v="1614.2353846153901"/>
    <m/>
    <n v="1614.2353846153901"/>
    <s v="GL"/>
  </r>
  <r>
    <x v="10"/>
    <s v="JE-1274"/>
    <s v="2040"/>
    <x v="9"/>
    <x v="9"/>
    <s v="Expense"/>
    <s v="Monthly Personnel Allocation"/>
    <n v="2152.3138461538501"/>
    <m/>
    <n v="2152.3138461538501"/>
    <s v="GL"/>
  </r>
  <r>
    <x v="10"/>
    <s v="JE-1274"/>
    <s v="2050"/>
    <x v="9"/>
    <x v="9"/>
    <s v="Expense"/>
    <s v="Monthly Personnel Allocation"/>
    <n v="2690.3923076923102"/>
    <m/>
    <n v="2690.3923076923102"/>
    <s v="GL"/>
  </r>
  <r>
    <x v="9"/>
    <s v="JE-1273"/>
    <s v="1010"/>
    <x v="9"/>
    <x v="9"/>
    <s v="Expense"/>
    <s v="Monthly Personnel Allocation"/>
    <n v="800.56788461538497"/>
    <m/>
    <n v="800.56788461538497"/>
    <s v="GL"/>
  </r>
  <r>
    <x v="9"/>
    <s v="JE-1273"/>
    <s v="1030"/>
    <x v="9"/>
    <x v="9"/>
    <s v="Expense"/>
    <s v="Monthly Personnel Allocation"/>
    <n v="1067.42384615385"/>
    <m/>
    <n v="1067.42384615385"/>
    <s v="GL"/>
  </r>
  <r>
    <x v="9"/>
    <s v="JE-1273"/>
    <s v="1040"/>
    <x v="9"/>
    <x v="9"/>
    <s v="Expense"/>
    <s v="Monthly Personnel Allocation"/>
    <n v="1067.42384615385"/>
    <m/>
    <n v="1067.42384615385"/>
    <s v="GL"/>
  </r>
  <r>
    <x v="9"/>
    <s v="JE-1273"/>
    <s v="1050"/>
    <x v="9"/>
    <x v="9"/>
    <s v="Expense"/>
    <s v="Monthly Personnel Allocation"/>
    <n v="533.71192307692297"/>
    <m/>
    <n v="533.71192307692297"/>
    <s v="GL"/>
  </r>
  <r>
    <x v="9"/>
    <s v="JE-1273"/>
    <s v="2010"/>
    <x v="9"/>
    <x v="9"/>
    <s v="Expense"/>
    <s v="Monthly Personnel Allocation"/>
    <n v="1867.9917307692299"/>
    <m/>
    <n v="1867.9917307692299"/>
    <s v="GL"/>
  </r>
  <r>
    <x v="9"/>
    <s v="JE-1273"/>
    <s v="2020"/>
    <x v="9"/>
    <x v="9"/>
    <s v="Expense"/>
    <s v="Monthly Personnel Allocation"/>
    <n v="2134.8476923076901"/>
    <m/>
    <n v="2134.8476923076901"/>
    <s v="GL"/>
  </r>
  <r>
    <x v="9"/>
    <s v="JE-1273"/>
    <s v="2030"/>
    <x v="9"/>
    <x v="9"/>
    <s v="Expense"/>
    <s v="Monthly Personnel Allocation"/>
    <n v="1601.1357692307699"/>
    <m/>
    <n v="1601.1357692307699"/>
    <s v="GL"/>
  </r>
  <r>
    <x v="9"/>
    <s v="JE-1273"/>
    <s v="2040"/>
    <x v="9"/>
    <x v="9"/>
    <s v="Expense"/>
    <s v="Monthly Personnel Allocation"/>
    <n v="2134.8476923076901"/>
    <m/>
    <n v="2134.8476923076901"/>
    <s v="GL"/>
  </r>
  <r>
    <x v="9"/>
    <s v="JE-1273"/>
    <s v="2050"/>
    <x v="9"/>
    <x v="9"/>
    <s v="Expense"/>
    <s v="Monthly Personnel Allocation"/>
    <n v="2668.55961538462"/>
    <m/>
    <n v="2668.55961538462"/>
    <s v="GL"/>
  </r>
  <r>
    <x v="8"/>
    <s v="JE-1272"/>
    <s v="1010"/>
    <x v="9"/>
    <x v="9"/>
    <s v="Expense"/>
    <s v="Monthly Personnel Allocation"/>
    <n v="817.06326923076904"/>
    <m/>
    <n v="817.06326923076904"/>
    <s v="GL"/>
  </r>
  <r>
    <x v="8"/>
    <s v="JE-1272"/>
    <s v="1030"/>
    <x v="9"/>
    <x v="9"/>
    <s v="Expense"/>
    <s v="Monthly Personnel Allocation"/>
    <n v="1089.41769230769"/>
    <m/>
    <n v="1089.41769230769"/>
    <s v="GL"/>
  </r>
  <r>
    <x v="8"/>
    <s v="JE-1272"/>
    <s v="1040"/>
    <x v="9"/>
    <x v="9"/>
    <s v="Expense"/>
    <s v="Monthly Personnel Allocation"/>
    <n v="1089.41769230769"/>
    <m/>
    <n v="1089.41769230769"/>
    <s v="GL"/>
  </r>
  <r>
    <x v="8"/>
    <s v="JE-1272"/>
    <s v="1050"/>
    <x v="9"/>
    <x v="9"/>
    <s v="Expense"/>
    <s v="Monthly Personnel Allocation"/>
    <n v="1089.41769230769"/>
    <m/>
    <n v="1089.41769230769"/>
    <s v="GL"/>
  </r>
  <r>
    <x v="8"/>
    <s v="JE-1272"/>
    <s v="2010"/>
    <x v="9"/>
    <x v="9"/>
    <s v="Expense"/>
    <s v="Monthly Personnel Allocation"/>
    <n v="1906.48096153846"/>
    <m/>
    <n v="1906.48096153846"/>
    <s v="GL"/>
  </r>
  <r>
    <x v="8"/>
    <s v="JE-1272"/>
    <s v="2020"/>
    <x v="9"/>
    <x v="9"/>
    <s v="Expense"/>
    <s v="Monthly Personnel Allocation"/>
    <n v="2178.83538461539"/>
    <m/>
    <n v="2178.83538461539"/>
    <s v="GL"/>
  </r>
  <r>
    <x v="8"/>
    <s v="JE-1272"/>
    <s v="2030"/>
    <x v="9"/>
    <x v="9"/>
    <s v="Expense"/>
    <s v="Monthly Personnel Allocation"/>
    <n v="1634.1265384615399"/>
    <m/>
    <n v="1634.1265384615399"/>
    <s v="GL"/>
  </r>
  <r>
    <x v="8"/>
    <s v="JE-1272"/>
    <s v="2040"/>
    <x v="9"/>
    <x v="9"/>
    <s v="Expense"/>
    <s v="Monthly Personnel Allocation"/>
    <n v="2178.83538461539"/>
    <m/>
    <n v="2178.83538461539"/>
    <s v="GL"/>
  </r>
  <r>
    <x v="8"/>
    <s v="JE-1272"/>
    <s v="2050"/>
    <x v="9"/>
    <x v="9"/>
    <s v="Expense"/>
    <s v="Monthly Personnel Allocation"/>
    <n v="2178.83538461539"/>
    <m/>
    <n v="2178.83538461539"/>
    <s v="GL"/>
  </r>
  <r>
    <x v="7"/>
    <s v="JE-1271"/>
    <s v="1010"/>
    <x v="9"/>
    <x v="9"/>
    <s v="Expense"/>
    <s v="Monthly Personnel Allocation"/>
    <n v="828.67439999999999"/>
    <m/>
    <n v="828.67439999999999"/>
    <s v="GL"/>
  </r>
  <r>
    <x v="7"/>
    <s v="JE-1271"/>
    <s v="1030"/>
    <x v="9"/>
    <x v="9"/>
    <s v="Expense"/>
    <s v="Monthly Personnel Allocation"/>
    <n v="1104.8992000000001"/>
    <m/>
    <n v="1104.8992000000001"/>
    <s v="GL"/>
  </r>
  <r>
    <x v="7"/>
    <s v="JE-1271"/>
    <s v="1040"/>
    <x v="9"/>
    <x v="9"/>
    <s v="Expense"/>
    <s v="Monthly Personnel Allocation"/>
    <n v="1104.8992000000001"/>
    <m/>
    <n v="1104.8992000000001"/>
    <s v="GL"/>
  </r>
  <r>
    <x v="7"/>
    <s v="JE-1271"/>
    <s v="1050"/>
    <x v="9"/>
    <x v="9"/>
    <s v="Expense"/>
    <s v="Monthly Personnel Allocation"/>
    <n v="1104.8992000000001"/>
    <m/>
    <n v="1104.8992000000001"/>
    <s v="GL"/>
  </r>
  <r>
    <x v="7"/>
    <s v="JE-1271"/>
    <s v="2010"/>
    <x v="9"/>
    <x v="9"/>
    <s v="Expense"/>
    <s v="Monthly Personnel Allocation"/>
    <n v="1933.5735999999999"/>
    <m/>
    <n v="1933.5735999999999"/>
    <s v="GL"/>
  </r>
  <r>
    <x v="7"/>
    <s v="JE-1271"/>
    <s v="2020"/>
    <x v="9"/>
    <x v="9"/>
    <s v="Expense"/>
    <s v="Monthly Personnel Allocation"/>
    <n v="2209.7984000000001"/>
    <m/>
    <n v="2209.7984000000001"/>
    <s v="GL"/>
  </r>
  <r>
    <x v="7"/>
    <s v="JE-1271"/>
    <s v="2030"/>
    <x v="9"/>
    <x v="9"/>
    <s v="Expense"/>
    <s v="Monthly Personnel Allocation"/>
    <n v="1657.3488"/>
    <m/>
    <n v="1657.3488"/>
    <s v="GL"/>
  </r>
  <r>
    <x v="7"/>
    <s v="JE-1271"/>
    <s v="2040"/>
    <x v="9"/>
    <x v="9"/>
    <s v="Expense"/>
    <s v="Monthly Personnel Allocation"/>
    <n v="1657.3488"/>
    <m/>
    <n v="1657.3488"/>
    <s v="GL"/>
  </r>
  <r>
    <x v="7"/>
    <s v="JE-1271"/>
    <s v="2050"/>
    <x v="9"/>
    <x v="9"/>
    <s v="Expense"/>
    <s v="Monthly Personnel Allocation"/>
    <n v="2209.7984000000001"/>
    <m/>
    <n v="2209.7984000000001"/>
    <s v="GL"/>
  </r>
  <r>
    <x v="6"/>
    <s v="JE-1270"/>
    <s v="1010"/>
    <x v="9"/>
    <x v="9"/>
    <s v="Expense"/>
    <s v="Monthly Personnel Allocation"/>
    <n v="805.17173076923098"/>
    <m/>
    <n v="805.17173076923098"/>
    <s v="GL"/>
  </r>
  <r>
    <x v="6"/>
    <s v="JE-1270"/>
    <s v="1030"/>
    <x v="9"/>
    <x v="9"/>
    <s v="Expense"/>
    <s v="Monthly Personnel Allocation"/>
    <n v="1073.56230769231"/>
    <m/>
    <n v="1073.56230769231"/>
    <s v="GL"/>
  </r>
  <r>
    <x v="6"/>
    <s v="JE-1270"/>
    <s v="1040"/>
    <x v="9"/>
    <x v="9"/>
    <s v="Expense"/>
    <s v="Monthly Personnel Allocation"/>
    <n v="1073.56230769231"/>
    <m/>
    <n v="1073.56230769231"/>
    <s v="GL"/>
  </r>
  <r>
    <x v="6"/>
    <s v="JE-1270"/>
    <s v="1050"/>
    <x v="9"/>
    <x v="9"/>
    <s v="Expense"/>
    <s v="Monthly Personnel Allocation"/>
    <n v="1073.56230769231"/>
    <m/>
    <n v="1073.56230769231"/>
    <s v="GL"/>
  </r>
  <r>
    <x v="6"/>
    <s v="JE-1270"/>
    <s v="2010"/>
    <x v="9"/>
    <x v="9"/>
    <s v="Expense"/>
    <s v="Monthly Personnel Allocation"/>
    <n v="1878.73403846154"/>
    <m/>
    <n v="1878.73403846154"/>
    <s v="GL"/>
  </r>
  <r>
    <x v="6"/>
    <s v="JE-1270"/>
    <s v="2020"/>
    <x v="9"/>
    <x v="9"/>
    <s v="Expense"/>
    <s v="Monthly Personnel Allocation"/>
    <n v="2147.12461538462"/>
    <m/>
    <n v="2147.12461538462"/>
    <s v="GL"/>
  </r>
  <r>
    <x v="6"/>
    <s v="JE-1270"/>
    <s v="2030"/>
    <x v="9"/>
    <x v="9"/>
    <s v="Expense"/>
    <s v="Monthly Personnel Allocation"/>
    <n v="1610.3434615384599"/>
    <m/>
    <n v="1610.3434615384599"/>
    <s v="GL"/>
  </r>
  <r>
    <x v="6"/>
    <s v="JE-1270"/>
    <s v="2040"/>
    <x v="9"/>
    <x v="9"/>
    <s v="Expense"/>
    <s v="Monthly Personnel Allocation"/>
    <n v="2147.12461538462"/>
    <m/>
    <n v="2147.12461538462"/>
    <s v="GL"/>
  </r>
  <r>
    <x v="6"/>
    <s v="JE-1270"/>
    <s v="2050"/>
    <x v="9"/>
    <x v="9"/>
    <s v="Expense"/>
    <s v="Monthly Personnel Allocation"/>
    <n v="2147.12461538462"/>
    <m/>
    <n v="2147.12461538462"/>
    <s v="GL"/>
  </r>
  <r>
    <x v="5"/>
    <s v="JE-1269"/>
    <s v="1010"/>
    <x v="9"/>
    <x v="9"/>
    <s v="Expense"/>
    <s v="Monthly Personnel Allocation"/>
    <n v="791.50903846153903"/>
    <m/>
    <n v="791.50903846153903"/>
    <s v="GL"/>
  </r>
  <r>
    <x v="5"/>
    <s v="JE-1269"/>
    <s v="1030"/>
    <x v="9"/>
    <x v="9"/>
    <s v="Expense"/>
    <s v="Monthly Personnel Allocation"/>
    <n v="1055.34538461539"/>
    <m/>
    <n v="1055.34538461539"/>
    <s v="GL"/>
  </r>
  <r>
    <x v="5"/>
    <s v="JE-1269"/>
    <s v="1040"/>
    <x v="9"/>
    <x v="9"/>
    <s v="Expense"/>
    <s v="Monthly Personnel Allocation"/>
    <n v="1055.34538461539"/>
    <m/>
    <n v="1055.34538461539"/>
    <s v="GL"/>
  </r>
  <r>
    <x v="5"/>
    <s v="JE-1269"/>
    <s v="1050"/>
    <x v="9"/>
    <x v="9"/>
    <s v="Expense"/>
    <s v="Monthly Personnel Allocation"/>
    <n v="1055.34538461539"/>
    <m/>
    <n v="1055.34538461539"/>
    <s v="GL"/>
  </r>
  <r>
    <x v="5"/>
    <s v="JE-1269"/>
    <s v="2010"/>
    <x v="9"/>
    <x v="9"/>
    <s v="Expense"/>
    <s v="Monthly Personnel Allocation"/>
    <n v="1846.8544230769201"/>
    <m/>
    <n v="1846.8544230769201"/>
    <s v="GL"/>
  </r>
  <r>
    <x v="5"/>
    <s v="JE-1269"/>
    <s v="2020"/>
    <x v="9"/>
    <x v="9"/>
    <s v="Expense"/>
    <s v="Monthly Personnel Allocation"/>
    <n v="2110.69076923077"/>
    <m/>
    <n v="2110.69076923077"/>
    <s v="GL"/>
  </r>
  <r>
    <x v="5"/>
    <s v="JE-1269"/>
    <s v="2030"/>
    <x v="9"/>
    <x v="9"/>
    <s v="Expense"/>
    <s v="Monthly Personnel Allocation"/>
    <n v="1583.0180769230799"/>
    <m/>
    <n v="1583.0180769230799"/>
    <s v="GL"/>
  </r>
  <r>
    <x v="5"/>
    <s v="JE-1269"/>
    <s v="2040"/>
    <x v="9"/>
    <x v="9"/>
    <s v="Expense"/>
    <s v="Monthly Personnel Allocation"/>
    <n v="2110.69076923077"/>
    <m/>
    <n v="2110.69076923077"/>
    <s v="GL"/>
  </r>
  <r>
    <x v="5"/>
    <s v="JE-1269"/>
    <s v="2050"/>
    <x v="9"/>
    <x v="9"/>
    <s v="Expense"/>
    <s v="Monthly Personnel Allocation"/>
    <n v="2110.69076923077"/>
    <m/>
    <n v="2110.69076923077"/>
    <s v="GL"/>
  </r>
  <r>
    <x v="4"/>
    <s v="JE-1268"/>
    <s v="1010"/>
    <x v="9"/>
    <x v="9"/>
    <s v="Expense"/>
    <s v="Monthly Personnel Allocation"/>
    <n v="852.072"/>
    <m/>
    <n v="852.072"/>
    <s v="GL"/>
  </r>
  <r>
    <x v="4"/>
    <s v="JE-1268"/>
    <s v="1030"/>
    <x v="9"/>
    <x v="9"/>
    <s v="Expense"/>
    <s v="Monthly Personnel Allocation"/>
    <n v="1136.096"/>
    <m/>
    <n v="1136.096"/>
    <s v="GL"/>
  </r>
  <r>
    <x v="4"/>
    <s v="JE-1268"/>
    <s v="1040"/>
    <x v="9"/>
    <x v="9"/>
    <s v="Expense"/>
    <s v="Monthly Personnel Allocation"/>
    <n v="1136.096"/>
    <m/>
    <n v="1136.096"/>
    <s v="GL"/>
  </r>
  <r>
    <x v="4"/>
    <s v="JE-1268"/>
    <s v="1050"/>
    <x v="9"/>
    <x v="9"/>
    <s v="Expense"/>
    <s v="Monthly Personnel Allocation"/>
    <n v="1136.096"/>
    <m/>
    <n v="1136.096"/>
    <s v="GL"/>
  </r>
  <r>
    <x v="4"/>
    <s v="JE-1268"/>
    <s v="2010"/>
    <x v="9"/>
    <x v="9"/>
    <s v="Expense"/>
    <s v="Monthly Personnel Allocation"/>
    <n v="1420.12"/>
    <m/>
    <n v="1420.12"/>
    <s v="GL"/>
  </r>
  <r>
    <x v="4"/>
    <s v="JE-1268"/>
    <s v="2020"/>
    <x v="9"/>
    <x v="9"/>
    <s v="Expense"/>
    <s v="Monthly Personnel Allocation"/>
    <n v="2272.192"/>
    <m/>
    <n v="2272.192"/>
    <s v="GL"/>
  </r>
  <r>
    <x v="4"/>
    <s v="JE-1268"/>
    <s v="2030"/>
    <x v="9"/>
    <x v="9"/>
    <s v="Expense"/>
    <s v="Monthly Personnel Allocation"/>
    <n v="1704.144"/>
    <m/>
    <n v="1704.144"/>
    <s v="GL"/>
  </r>
  <r>
    <x v="4"/>
    <s v="JE-1268"/>
    <s v="2040"/>
    <x v="9"/>
    <x v="9"/>
    <s v="Expense"/>
    <s v="Monthly Personnel Allocation"/>
    <n v="2272.192"/>
    <m/>
    <n v="2272.192"/>
    <s v="GL"/>
  </r>
  <r>
    <x v="4"/>
    <s v="JE-1268"/>
    <s v="2050"/>
    <x v="9"/>
    <x v="9"/>
    <s v="Expense"/>
    <s v="Monthly Personnel Allocation"/>
    <n v="2272.192"/>
    <m/>
    <n v="2272.192"/>
    <s v="GL"/>
  </r>
  <r>
    <x v="3"/>
    <s v="JE-1267"/>
    <s v="1010"/>
    <x v="9"/>
    <x v="9"/>
    <s v="Expense"/>
    <s v="Monthly Personnel Allocation"/>
    <n v="845.04"/>
    <m/>
    <n v="845.04"/>
    <s v="GL"/>
  </r>
  <r>
    <x v="3"/>
    <s v="JE-1267"/>
    <s v="1030"/>
    <x v="9"/>
    <x v="9"/>
    <s v="Expense"/>
    <s v="Monthly Personnel Allocation"/>
    <n v="1126.72"/>
    <m/>
    <n v="1126.72"/>
    <s v="GL"/>
  </r>
  <r>
    <x v="3"/>
    <s v="JE-1267"/>
    <s v="1040"/>
    <x v="9"/>
    <x v="9"/>
    <s v="Expense"/>
    <s v="Monthly Personnel Allocation"/>
    <n v="1126.72"/>
    <m/>
    <n v="1126.72"/>
    <s v="GL"/>
  </r>
  <r>
    <x v="3"/>
    <s v="JE-1267"/>
    <s v="1050"/>
    <x v="9"/>
    <x v="9"/>
    <s v="Expense"/>
    <s v="Monthly Personnel Allocation"/>
    <n v="1126.72"/>
    <m/>
    <n v="1126.72"/>
    <s v="GL"/>
  </r>
  <r>
    <x v="3"/>
    <s v="JE-1267"/>
    <s v="2010"/>
    <x v="9"/>
    <x v="9"/>
    <s v="Expense"/>
    <s v="Monthly Personnel Allocation"/>
    <n v="1971.76"/>
    <m/>
    <n v="1971.76"/>
    <s v="GL"/>
  </r>
  <r>
    <x v="3"/>
    <s v="JE-1267"/>
    <s v="2020"/>
    <x v="9"/>
    <x v="9"/>
    <s v="Expense"/>
    <s v="Monthly Personnel Allocation"/>
    <n v="1690.08"/>
    <m/>
    <n v="1690.08"/>
    <s v="GL"/>
  </r>
  <r>
    <x v="3"/>
    <s v="JE-1267"/>
    <s v="2030"/>
    <x v="9"/>
    <x v="9"/>
    <s v="Expense"/>
    <s v="Monthly Personnel Allocation"/>
    <n v="1690.08"/>
    <m/>
    <n v="1690.08"/>
    <s v="GL"/>
  </r>
  <r>
    <x v="3"/>
    <s v="JE-1267"/>
    <s v="2040"/>
    <x v="9"/>
    <x v="9"/>
    <s v="Expense"/>
    <s v="Monthly Personnel Allocation"/>
    <n v="2253.44"/>
    <m/>
    <n v="2253.44"/>
    <s v="GL"/>
  </r>
  <r>
    <x v="3"/>
    <s v="JE-1267"/>
    <s v="2050"/>
    <x v="9"/>
    <x v="9"/>
    <s v="Expense"/>
    <s v="Monthly Personnel Allocation"/>
    <n v="2253.44"/>
    <m/>
    <n v="2253.44"/>
    <s v="GL"/>
  </r>
  <r>
    <x v="2"/>
    <s v="JE-1266"/>
    <s v="1010"/>
    <x v="9"/>
    <x v="9"/>
    <s v="Expense"/>
    <s v="Monthly Personnel Allocation"/>
    <n v="822.73620000000005"/>
    <m/>
    <n v="822.73620000000005"/>
    <s v="GL"/>
  </r>
  <r>
    <x v="2"/>
    <s v="JE-1266"/>
    <s v="1030"/>
    <x v="9"/>
    <x v="9"/>
    <s v="Expense"/>
    <s v="Monthly Personnel Allocation"/>
    <n v="1096.9816000000001"/>
    <m/>
    <n v="1096.9816000000001"/>
    <s v="GL"/>
  </r>
  <r>
    <x v="2"/>
    <s v="JE-1266"/>
    <s v="1040"/>
    <x v="9"/>
    <x v="9"/>
    <s v="Expense"/>
    <s v="Monthly Personnel Allocation"/>
    <n v="1096.9816000000001"/>
    <m/>
    <n v="1096.9816000000001"/>
    <s v="GL"/>
  </r>
  <r>
    <x v="2"/>
    <s v="JE-1266"/>
    <s v="1050"/>
    <x v="9"/>
    <x v="9"/>
    <s v="Expense"/>
    <s v="Monthly Personnel Allocation"/>
    <n v="1096.9816000000001"/>
    <m/>
    <n v="1096.9816000000001"/>
    <s v="GL"/>
  </r>
  <r>
    <x v="2"/>
    <s v="JE-1266"/>
    <s v="2010"/>
    <x v="9"/>
    <x v="9"/>
    <s v="Expense"/>
    <s v="Monthly Personnel Allocation"/>
    <n v="1919.7177999999999"/>
    <m/>
    <n v="1919.7177999999999"/>
    <s v="GL"/>
  </r>
  <r>
    <x v="2"/>
    <s v="JE-1266"/>
    <s v="2020"/>
    <x v="9"/>
    <x v="9"/>
    <s v="Expense"/>
    <s v="Monthly Personnel Allocation"/>
    <n v="1645.4724000000001"/>
    <m/>
    <n v="1645.4724000000001"/>
    <s v="GL"/>
  </r>
  <r>
    <x v="2"/>
    <s v="JE-1266"/>
    <s v="2030"/>
    <x v="9"/>
    <x v="9"/>
    <s v="Expense"/>
    <s v="Monthly Personnel Allocation"/>
    <n v="1645.4724000000001"/>
    <m/>
    <n v="1645.4724000000001"/>
    <s v="GL"/>
  </r>
  <r>
    <x v="2"/>
    <s v="JE-1266"/>
    <s v="2040"/>
    <x v="9"/>
    <x v="9"/>
    <s v="Expense"/>
    <s v="Monthly Personnel Allocation"/>
    <n v="2193.9632000000001"/>
    <m/>
    <n v="2193.9632000000001"/>
    <s v="GL"/>
  </r>
  <r>
    <x v="2"/>
    <s v="JE-1266"/>
    <s v="2050"/>
    <x v="9"/>
    <x v="9"/>
    <s v="Expense"/>
    <s v="Monthly Personnel Allocation"/>
    <n v="2193.9632000000001"/>
    <m/>
    <n v="2193.9632000000001"/>
    <s v="GL"/>
  </r>
  <r>
    <x v="1"/>
    <s v="JE-1265"/>
    <s v="1010"/>
    <x v="9"/>
    <x v="9"/>
    <s v="Expense"/>
    <s v="Monthly Personnel Allocation"/>
    <n v="809.45280000000002"/>
    <m/>
    <n v="809.45280000000002"/>
    <s v="GL"/>
  </r>
  <r>
    <x v="1"/>
    <s v="JE-1265"/>
    <s v="1030"/>
    <x v="9"/>
    <x v="9"/>
    <s v="Expense"/>
    <s v="Monthly Personnel Allocation"/>
    <n v="1079.2704000000001"/>
    <m/>
    <n v="1079.2704000000001"/>
    <s v="GL"/>
  </r>
  <r>
    <x v="1"/>
    <s v="JE-1265"/>
    <s v="1040"/>
    <x v="9"/>
    <x v="9"/>
    <s v="Expense"/>
    <s v="Monthly Personnel Allocation"/>
    <n v="1079.2704000000001"/>
    <m/>
    <n v="1079.2704000000001"/>
    <s v="GL"/>
  </r>
  <r>
    <x v="1"/>
    <s v="JE-1265"/>
    <s v="1050"/>
    <x v="9"/>
    <x v="9"/>
    <s v="Expense"/>
    <s v="Monthly Personnel Allocation"/>
    <n v="1079.2704000000001"/>
    <m/>
    <n v="1079.2704000000001"/>
    <s v="GL"/>
  </r>
  <r>
    <x v="1"/>
    <s v="JE-1265"/>
    <s v="2010"/>
    <x v="9"/>
    <x v="9"/>
    <s v="Expense"/>
    <s v="Monthly Personnel Allocation"/>
    <n v="1888.7231999999999"/>
    <m/>
    <n v="1888.7231999999999"/>
    <s v="GL"/>
  </r>
  <r>
    <x v="1"/>
    <s v="JE-1265"/>
    <s v="2020"/>
    <x v="9"/>
    <x v="9"/>
    <s v="Expense"/>
    <s v="Monthly Personnel Allocation"/>
    <n v="1618.9056"/>
    <m/>
    <n v="1618.9056"/>
    <s v="GL"/>
  </r>
  <r>
    <x v="1"/>
    <s v="JE-1265"/>
    <s v="2030"/>
    <x v="9"/>
    <x v="9"/>
    <s v="Expense"/>
    <s v="Monthly Personnel Allocation"/>
    <n v="1618.9056"/>
    <m/>
    <n v="1618.9056"/>
    <s v="GL"/>
  </r>
  <r>
    <x v="1"/>
    <s v="JE-1265"/>
    <s v="2040"/>
    <x v="9"/>
    <x v="9"/>
    <s v="Expense"/>
    <s v="Monthly Personnel Allocation"/>
    <n v="2158.5408000000002"/>
    <m/>
    <n v="2158.5408000000002"/>
    <s v="GL"/>
  </r>
  <r>
    <x v="1"/>
    <s v="JE-1265"/>
    <s v="2050"/>
    <x v="9"/>
    <x v="9"/>
    <s v="Expense"/>
    <s v="Monthly Personnel Allocation"/>
    <n v="2158.5408000000002"/>
    <m/>
    <n v="2158.5408000000002"/>
    <s v="GL"/>
  </r>
  <r>
    <x v="12"/>
    <s v="JE-1264"/>
    <s v="1010"/>
    <x v="10"/>
    <x v="10"/>
    <s v="Expense"/>
    <s v="Monthly Personnel Allocation"/>
    <n v="548.93884615384604"/>
    <m/>
    <n v="548.93884615384604"/>
    <s v="GL"/>
  </r>
  <r>
    <x v="12"/>
    <s v="JE-1264"/>
    <s v="1030"/>
    <x v="10"/>
    <x v="10"/>
    <s v="Expense"/>
    <s v="Monthly Personnel Allocation"/>
    <n v="731.91846153846097"/>
    <m/>
    <n v="731.91846153846097"/>
    <s v="GL"/>
  </r>
  <r>
    <x v="12"/>
    <s v="JE-1264"/>
    <s v="1040"/>
    <x v="10"/>
    <x v="10"/>
    <s v="Expense"/>
    <s v="Monthly Personnel Allocation"/>
    <n v="1097.87769230769"/>
    <m/>
    <n v="1097.87769230769"/>
    <s v="GL"/>
  </r>
  <r>
    <x v="12"/>
    <s v="JE-1264"/>
    <s v="1050"/>
    <x v="10"/>
    <x v="10"/>
    <s v="Expense"/>
    <s v="Monthly Personnel Allocation"/>
    <n v="365.959230769231"/>
    <m/>
    <n v="365.959230769231"/>
    <s v="GL"/>
  </r>
  <r>
    <x v="12"/>
    <s v="JE-1264"/>
    <s v="2010"/>
    <x v="10"/>
    <x v="10"/>
    <s v="Expense"/>
    <s v="Monthly Personnel Allocation"/>
    <n v="1280.8573076923101"/>
    <m/>
    <n v="1280.8573076923101"/>
    <s v="GL"/>
  </r>
  <r>
    <x v="12"/>
    <s v="JE-1264"/>
    <s v="2020"/>
    <x v="10"/>
    <x v="10"/>
    <s v="Expense"/>
    <s v="Monthly Personnel Allocation"/>
    <n v="1463.8369230769199"/>
    <m/>
    <n v="1463.8369230769199"/>
    <s v="GL"/>
  </r>
  <r>
    <x v="12"/>
    <s v="JE-1264"/>
    <s v="2030"/>
    <x v="10"/>
    <x v="10"/>
    <s v="Expense"/>
    <s v="Monthly Personnel Allocation"/>
    <n v="731.91846153846097"/>
    <m/>
    <n v="731.91846153846097"/>
    <s v="GL"/>
  </r>
  <r>
    <x v="12"/>
    <s v="JE-1264"/>
    <s v="2040"/>
    <x v="10"/>
    <x v="10"/>
    <s v="Expense"/>
    <s v="Monthly Personnel Allocation"/>
    <n v="1463.8369230769199"/>
    <m/>
    <n v="1463.8369230769199"/>
    <s v="GL"/>
  </r>
  <r>
    <x v="12"/>
    <s v="JE-1264"/>
    <s v="2050"/>
    <x v="10"/>
    <x v="10"/>
    <s v="Expense"/>
    <s v="Monthly Personnel Allocation"/>
    <n v="1829.79615384615"/>
    <m/>
    <n v="1829.79615384615"/>
    <s v="GL"/>
  </r>
  <r>
    <x v="11"/>
    <s v="JE-1263"/>
    <s v="1010"/>
    <x v="10"/>
    <x v="10"/>
    <s v="Expense"/>
    <s v="Monthly Personnel Allocation"/>
    <n v="524.60192307692296"/>
    <m/>
    <n v="524.60192307692296"/>
    <s v="GL"/>
  </r>
  <r>
    <x v="11"/>
    <s v="JE-1263"/>
    <s v="1030"/>
    <x v="10"/>
    <x v="10"/>
    <s v="Expense"/>
    <s v="Monthly Personnel Allocation"/>
    <n v="699.46923076923099"/>
    <m/>
    <n v="699.46923076923099"/>
    <s v="GL"/>
  </r>
  <r>
    <x v="11"/>
    <s v="JE-1263"/>
    <s v="1040"/>
    <x v="10"/>
    <x v="10"/>
    <s v="Expense"/>
    <s v="Monthly Personnel Allocation"/>
    <n v="1049.20384615385"/>
    <m/>
    <n v="1049.20384615385"/>
    <s v="GL"/>
  </r>
  <r>
    <x v="11"/>
    <s v="JE-1263"/>
    <s v="1050"/>
    <x v="10"/>
    <x v="10"/>
    <s v="Expense"/>
    <s v="Monthly Personnel Allocation"/>
    <n v="349.73461538461498"/>
    <m/>
    <n v="349.73461538461498"/>
    <s v="GL"/>
  </r>
  <r>
    <x v="11"/>
    <s v="JE-1263"/>
    <s v="2010"/>
    <x v="10"/>
    <x v="10"/>
    <s v="Expense"/>
    <s v="Monthly Personnel Allocation"/>
    <n v="1224.0711538461501"/>
    <m/>
    <n v="1224.0711538461501"/>
    <s v="GL"/>
  </r>
  <r>
    <x v="11"/>
    <s v="JE-1263"/>
    <s v="2020"/>
    <x v="10"/>
    <x v="10"/>
    <s v="Expense"/>
    <s v="Monthly Personnel Allocation"/>
    <n v="1398.9384615384599"/>
    <m/>
    <n v="1398.9384615384599"/>
    <s v="GL"/>
  </r>
  <r>
    <x v="11"/>
    <s v="JE-1263"/>
    <s v="2030"/>
    <x v="10"/>
    <x v="10"/>
    <s v="Expense"/>
    <s v="Monthly Personnel Allocation"/>
    <n v="699.46923076923099"/>
    <m/>
    <n v="699.46923076923099"/>
    <s v="GL"/>
  </r>
  <r>
    <x v="11"/>
    <s v="JE-1263"/>
    <s v="2040"/>
    <x v="10"/>
    <x v="10"/>
    <s v="Expense"/>
    <s v="Monthly Personnel Allocation"/>
    <n v="1398.9384615384599"/>
    <m/>
    <n v="1398.9384615384599"/>
    <s v="GL"/>
  </r>
  <r>
    <x v="11"/>
    <s v="JE-1263"/>
    <s v="2050"/>
    <x v="10"/>
    <x v="10"/>
    <s v="Expense"/>
    <s v="Monthly Personnel Allocation"/>
    <n v="1748.6730769230801"/>
    <m/>
    <n v="1748.6730769230801"/>
    <s v="GL"/>
  </r>
  <r>
    <x v="10"/>
    <s v="JE-1262"/>
    <s v="1010"/>
    <x v="10"/>
    <x v="10"/>
    <s v="Expense"/>
    <s v="Monthly Personnel Allocation"/>
    <n v="561.31384615384604"/>
    <m/>
    <n v="561.31384615384604"/>
    <s v="GL"/>
  </r>
  <r>
    <x v="10"/>
    <s v="JE-1262"/>
    <s v="1030"/>
    <x v="10"/>
    <x v="10"/>
    <s v="Expense"/>
    <s v="Monthly Personnel Allocation"/>
    <n v="748.41846153846097"/>
    <m/>
    <n v="748.41846153846097"/>
    <s v="GL"/>
  </r>
  <r>
    <x v="10"/>
    <s v="JE-1262"/>
    <s v="1040"/>
    <x v="10"/>
    <x v="10"/>
    <s v="Expense"/>
    <s v="Monthly Personnel Allocation"/>
    <n v="748.41846153846097"/>
    <m/>
    <n v="748.41846153846097"/>
    <s v="GL"/>
  </r>
  <r>
    <x v="10"/>
    <s v="JE-1262"/>
    <s v="1050"/>
    <x v="10"/>
    <x v="10"/>
    <s v="Expense"/>
    <s v="Monthly Personnel Allocation"/>
    <n v="374.209230769231"/>
    <m/>
    <n v="374.209230769231"/>
    <s v="GL"/>
  </r>
  <r>
    <x v="10"/>
    <s v="JE-1262"/>
    <s v="2010"/>
    <x v="10"/>
    <x v="10"/>
    <s v="Expense"/>
    <s v="Monthly Personnel Allocation"/>
    <n v="1309.7323076923101"/>
    <m/>
    <n v="1309.7323076923101"/>
    <s v="GL"/>
  </r>
  <r>
    <x v="10"/>
    <s v="JE-1262"/>
    <s v="2020"/>
    <x v="10"/>
    <x v="10"/>
    <s v="Expense"/>
    <s v="Monthly Personnel Allocation"/>
    <n v="1496.8369230769199"/>
    <m/>
    <n v="1496.8369230769199"/>
    <s v="GL"/>
  </r>
  <r>
    <x v="10"/>
    <s v="JE-1262"/>
    <s v="2030"/>
    <x v="10"/>
    <x v="10"/>
    <s v="Expense"/>
    <s v="Monthly Personnel Allocation"/>
    <n v="1122.62769230769"/>
    <m/>
    <n v="1122.62769230769"/>
    <s v="GL"/>
  </r>
  <r>
    <x v="10"/>
    <s v="JE-1262"/>
    <s v="2040"/>
    <x v="10"/>
    <x v="10"/>
    <s v="Expense"/>
    <s v="Monthly Personnel Allocation"/>
    <n v="1496.8369230769199"/>
    <m/>
    <n v="1496.8369230769199"/>
    <s v="GL"/>
  </r>
  <r>
    <x v="10"/>
    <s v="JE-1262"/>
    <s v="2050"/>
    <x v="10"/>
    <x v="10"/>
    <s v="Expense"/>
    <s v="Monthly Personnel Allocation"/>
    <n v="1871.04615384615"/>
    <m/>
    <n v="1871.04615384615"/>
    <s v="GL"/>
  </r>
  <r>
    <x v="9"/>
    <s v="JE-1261"/>
    <s v="1010"/>
    <x v="10"/>
    <x v="10"/>
    <s v="Expense"/>
    <s v="Monthly Personnel Allocation"/>
    <n v="556.75846153846203"/>
    <m/>
    <n v="556.75846153846203"/>
    <s v="GL"/>
  </r>
  <r>
    <x v="9"/>
    <s v="JE-1261"/>
    <s v="1030"/>
    <x v="10"/>
    <x v="10"/>
    <s v="Expense"/>
    <s v="Monthly Personnel Allocation"/>
    <n v="742.34461538461505"/>
    <m/>
    <n v="742.34461538461505"/>
    <s v="GL"/>
  </r>
  <r>
    <x v="9"/>
    <s v="JE-1261"/>
    <s v="1040"/>
    <x v="10"/>
    <x v="10"/>
    <s v="Expense"/>
    <s v="Monthly Personnel Allocation"/>
    <n v="742.34461538461505"/>
    <m/>
    <n v="742.34461538461505"/>
    <s v="GL"/>
  </r>
  <r>
    <x v="9"/>
    <s v="JE-1261"/>
    <s v="1050"/>
    <x v="10"/>
    <x v="10"/>
    <s v="Expense"/>
    <s v="Monthly Personnel Allocation"/>
    <n v="371.17230769230798"/>
    <m/>
    <n v="371.17230769230798"/>
    <s v="GL"/>
  </r>
  <r>
    <x v="9"/>
    <s v="JE-1261"/>
    <s v="2010"/>
    <x v="10"/>
    <x v="10"/>
    <s v="Expense"/>
    <s v="Monthly Personnel Allocation"/>
    <n v="1299.1030769230799"/>
    <m/>
    <n v="1299.1030769230799"/>
    <s v="GL"/>
  </r>
  <r>
    <x v="9"/>
    <s v="JE-1261"/>
    <s v="2020"/>
    <x v="10"/>
    <x v="10"/>
    <s v="Expense"/>
    <s v="Monthly Personnel Allocation"/>
    <n v="1484.6892307692301"/>
    <m/>
    <n v="1484.6892307692301"/>
    <s v="GL"/>
  </r>
  <r>
    <x v="9"/>
    <s v="JE-1261"/>
    <s v="2030"/>
    <x v="10"/>
    <x v="10"/>
    <s v="Expense"/>
    <s v="Monthly Personnel Allocation"/>
    <n v="1113.51692307692"/>
    <m/>
    <n v="1113.51692307692"/>
    <s v="GL"/>
  </r>
  <r>
    <x v="9"/>
    <s v="JE-1261"/>
    <s v="2040"/>
    <x v="10"/>
    <x v="10"/>
    <s v="Expense"/>
    <s v="Monthly Personnel Allocation"/>
    <n v="1484.6892307692301"/>
    <m/>
    <n v="1484.6892307692301"/>
    <s v="GL"/>
  </r>
  <r>
    <x v="9"/>
    <s v="JE-1261"/>
    <s v="2050"/>
    <x v="10"/>
    <x v="10"/>
    <s v="Expense"/>
    <s v="Monthly Personnel Allocation"/>
    <n v="1855.86153846154"/>
    <m/>
    <n v="1855.86153846154"/>
    <s v="GL"/>
  </r>
  <r>
    <x v="8"/>
    <s v="JE-1260"/>
    <s v="1010"/>
    <x v="10"/>
    <x v="10"/>
    <s v="Expense"/>
    <s v="Monthly Personnel Allocation"/>
    <n v="568.23057692307702"/>
    <m/>
    <n v="568.23057692307702"/>
    <s v="GL"/>
  </r>
  <r>
    <x v="8"/>
    <s v="JE-1260"/>
    <s v="1030"/>
    <x v="10"/>
    <x v="10"/>
    <s v="Expense"/>
    <s v="Monthly Personnel Allocation"/>
    <n v="757.64076923076902"/>
    <m/>
    <n v="757.64076923076902"/>
    <s v="GL"/>
  </r>
  <r>
    <x v="8"/>
    <s v="JE-1260"/>
    <s v="1040"/>
    <x v="10"/>
    <x v="10"/>
    <s v="Expense"/>
    <s v="Monthly Personnel Allocation"/>
    <n v="757.64076923076902"/>
    <m/>
    <n v="757.64076923076902"/>
    <s v="GL"/>
  </r>
  <r>
    <x v="8"/>
    <s v="JE-1260"/>
    <s v="1050"/>
    <x v="10"/>
    <x v="10"/>
    <s v="Expense"/>
    <s v="Monthly Personnel Allocation"/>
    <n v="757.64076923076902"/>
    <m/>
    <n v="757.64076923076902"/>
    <s v="GL"/>
  </r>
  <r>
    <x v="8"/>
    <s v="JE-1260"/>
    <s v="2010"/>
    <x v="10"/>
    <x v="10"/>
    <s v="Expense"/>
    <s v="Monthly Personnel Allocation"/>
    <n v="1325.87134615385"/>
    <m/>
    <n v="1325.87134615385"/>
    <s v="GL"/>
  </r>
  <r>
    <x v="8"/>
    <s v="JE-1260"/>
    <s v="2020"/>
    <x v="10"/>
    <x v="10"/>
    <s v="Expense"/>
    <s v="Monthly Personnel Allocation"/>
    <n v="1515.2815384615401"/>
    <m/>
    <n v="1515.2815384615401"/>
    <s v="GL"/>
  </r>
  <r>
    <x v="8"/>
    <s v="JE-1260"/>
    <s v="2030"/>
    <x v="10"/>
    <x v="10"/>
    <s v="Expense"/>
    <s v="Monthly Personnel Allocation"/>
    <n v="1136.46115384615"/>
    <m/>
    <n v="1136.46115384615"/>
    <s v="GL"/>
  </r>
  <r>
    <x v="8"/>
    <s v="JE-1260"/>
    <s v="2040"/>
    <x v="10"/>
    <x v="10"/>
    <s v="Expense"/>
    <s v="Monthly Personnel Allocation"/>
    <n v="1515.2815384615401"/>
    <m/>
    <n v="1515.2815384615401"/>
    <s v="GL"/>
  </r>
  <r>
    <x v="8"/>
    <s v="JE-1260"/>
    <s v="2050"/>
    <x v="10"/>
    <x v="10"/>
    <s v="Expense"/>
    <s v="Monthly Personnel Allocation"/>
    <n v="1515.2815384615401"/>
    <m/>
    <n v="1515.2815384615401"/>
    <s v="GL"/>
  </r>
  <r>
    <x v="7"/>
    <s v="JE-1259"/>
    <s v="1010"/>
    <x v="10"/>
    <x v="10"/>
    <s v="Expense"/>
    <s v="Monthly Personnel Allocation"/>
    <n v="576.30600000000004"/>
    <m/>
    <n v="576.30600000000004"/>
    <s v="GL"/>
  </r>
  <r>
    <x v="7"/>
    <s v="JE-1259"/>
    <s v="1030"/>
    <x v="10"/>
    <x v="10"/>
    <s v="Expense"/>
    <s v="Monthly Personnel Allocation"/>
    <n v="768.40800000000002"/>
    <m/>
    <n v="768.40800000000002"/>
    <s v="GL"/>
  </r>
  <r>
    <x v="7"/>
    <s v="JE-1259"/>
    <s v="1040"/>
    <x v="10"/>
    <x v="10"/>
    <s v="Expense"/>
    <s v="Monthly Personnel Allocation"/>
    <n v="768.40800000000002"/>
    <m/>
    <n v="768.40800000000002"/>
    <s v="GL"/>
  </r>
  <r>
    <x v="7"/>
    <s v="JE-1259"/>
    <s v="1050"/>
    <x v="10"/>
    <x v="10"/>
    <s v="Expense"/>
    <s v="Monthly Personnel Allocation"/>
    <n v="768.40800000000002"/>
    <m/>
    <n v="768.40800000000002"/>
    <s v="GL"/>
  </r>
  <r>
    <x v="7"/>
    <s v="JE-1259"/>
    <s v="2010"/>
    <x v="10"/>
    <x v="10"/>
    <s v="Expense"/>
    <s v="Monthly Personnel Allocation"/>
    <n v="1344.7139999999999"/>
    <m/>
    <n v="1344.7139999999999"/>
    <s v="GL"/>
  </r>
  <r>
    <x v="7"/>
    <s v="JE-1259"/>
    <s v="2020"/>
    <x v="10"/>
    <x v="10"/>
    <s v="Expense"/>
    <s v="Monthly Personnel Allocation"/>
    <n v="1536.816"/>
    <m/>
    <n v="1536.816"/>
    <s v="GL"/>
  </r>
  <r>
    <x v="7"/>
    <s v="JE-1259"/>
    <s v="2030"/>
    <x v="10"/>
    <x v="10"/>
    <s v="Expense"/>
    <s v="Monthly Personnel Allocation"/>
    <n v="1152.6120000000001"/>
    <m/>
    <n v="1152.6120000000001"/>
    <s v="GL"/>
  </r>
  <r>
    <x v="7"/>
    <s v="JE-1259"/>
    <s v="2040"/>
    <x v="10"/>
    <x v="10"/>
    <s v="Expense"/>
    <s v="Monthly Personnel Allocation"/>
    <n v="1152.6120000000001"/>
    <m/>
    <n v="1152.6120000000001"/>
    <s v="GL"/>
  </r>
  <r>
    <x v="7"/>
    <s v="JE-1259"/>
    <s v="2050"/>
    <x v="10"/>
    <x v="10"/>
    <s v="Expense"/>
    <s v="Monthly Personnel Allocation"/>
    <n v="1536.816"/>
    <m/>
    <n v="1536.816"/>
    <s v="GL"/>
  </r>
  <r>
    <x v="6"/>
    <s v="JE-1258"/>
    <s v="1010"/>
    <x v="10"/>
    <x v="10"/>
    <s v="Expense"/>
    <s v="Monthly Personnel Allocation"/>
    <n v="559.959807692308"/>
    <m/>
    <n v="559.959807692308"/>
    <s v="GL"/>
  </r>
  <r>
    <x v="6"/>
    <s v="JE-1258"/>
    <s v="1030"/>
    <x v="10"/>
    <x v="10"/>
    <s v="Expense"/>
    <s v="Monthly Personnel Allocation"/>
    <n v="746.61307692307696"/>
    <m/>
    <n v="746.61307692307696"/>
    <s v="GL"/>
  </r>
  <r>
    <x v="6"/>
    <s v="JE-1258"/>
    <s v="1040"/>
    <x v="10"/>
    <x v="10"/>
    <s v="Expense"/>
    <s v="Monthly Personnel Allocation"/>
    <n v="746.61307692307696"/>
    <m/>
    <n v="746.61307692307696"/>
    <s v="GL"/>
  </r>
  <r>
    <x v="6"/>
    <s v="JE-1258"/>
    <s v="1050"/>
    <x v="10"/>
    <x v="10"/>
    <s v="Expense"/>
    <s v="Monthly Personnel Allocation"/>
    <n v="746.61307692307696"/>
    <m/>
    <n v="746.61307692307696"/>
    <s v="GL"/>
  </r>
  <r>
    <x v="6"/>
    <s v="JE-1258"/>
    <s v="2010"/>
    <x v="10"/>
    <x v="10"/>
    <s v="Expense"/>
    <s v="Monthly Personnel Allocation"/>
    <n v="1306.57288461539"/>
    <m/>
    <n v="1306.57288461539"/>
    <s v="GL"/>
  </r>
  <r>
    <x v="6"/>
    <s v="JE-1258"/>
    <s v="2020"/>
    <x v="10"/>
    <x v="10"/>
    <s v="Expense"/>
    <s v="Monthly Personnel Allocation"/>
    <n v="1493.2261538461501"/>
    <m/>
    <n v="1493.2261538461501"/>
    <s v="GL"/>
  </r>
  <r>
    <x v="6"/>
    <s v="JE-1258"/>
    <s v="2030"/>
    <x v="10"/>
    <x v="10"/>
    <s v="Expense"/>
    <s v="Monthly Personnel Allocation"/>
    <n v="1119.9196153846201"/>
    <m/>
    <n v="1119.9196153846201"/>
    <s v="GL"/>
  </r>
  <r>
    <x v="6"/>
    <s v="JE-1258"/>
    <s v="2040"/>
    <x v="10"/>
    <x v="10"/>
    <s v="Expense"/>
    <s v="Monthly Personnel Allocation"/>
    <n v="1493.2261538461501"/>
    <m/>
    <n v="1493.2261538461501"/>
    <s v="GL"/>
  </r>
  <r>
    <x v="6"/>
    <s v="JE-1258"/>
    <s v="2050"/>
    <x v="10"/>
    <x v="10"/>
    <s v="Expense"/>
    <s v="Monthly Personnel Allocation"/>
    <n v="1493.2261538461501"/>
    <m/>
    <n v="1493.2261538461501"/>
    <s v="GL"/>
  </r>
  <r>
    <x v="5"/>
    <s v="JE-1257"/>
    <s v="1010"/>
    <x v="10"/>
    <x v="10"/>
    <s v="Expense"/>
    <s v="Monthly Personnel Allocation"/>
    <n v="550.45846153846196"/>
    <m/>
    <n v="550.45846153846196"/>
    <s v="GL"/>
  </r>
  <r>
    <x v="5"/>
    <s v="JE-1257"/>
    <s v="1030"/>
    <x v="10"/>
    <x v="10"/>
    <s v="Expense"/>
    <s v="Monthly Personnel Allocation"/>
    <n v="733.94461538461496"/>
    <m/>
    <n v="733.94461538461496"/>
    <s v="GL"/>
  </r>
  <r>
    <x v="5"/>
    <s v="JE-1257"/>
    <s v="1040"/>
    <x v="10"/>
    <x v="10"/>
    <s v="Expense"/>
    <s v="Monthly Personnel Allocation"/>
    <n v="733.94461538461496"/>
    <m/>
    <n v="733.94461538461496"/>
    <s v="GL"/>
  </r>
  <r>
    <x v="5"/>
    <s v="JE-1257"/>
    <s v="1050"/>
    <x v="10"/>
    <x v="10"/>
    <s v="Expense"/>
    <s v="Monthly Personnel Allocation"/>
    <n v="733.94461538461496"/>
    <m/>
    <n v="733.94461538461496"/>
    <s v="GL"/>
  </r>
  <r>
    <x v="5"/>
    <s v="JE-1257"/>
    <s v="2010"/>
    <x v="10"/>
    <x v="10"/>
    <s v="Expense"/>
    <s v="Monthly Personnel Allocation"/>
    <n v="1284.4030769230801"/>
    <m/>
    <n v="1284.4030769230801"/>
    <s v="GL"/>
  </r>
  <r>
    <x v="5"/>
    <s v="JE-1257"/>
    <s v="2020"/>
    <x v="10"/>
    <x v="10"/>
    <s v="Expense"/>
    <s v="Monthly Personnel Allocation"/>
    <n v="1467.8892307692299"/>
    <m/>
    <n v="1467.8892307692299"/>
    <s v="GL"/>
  </r>
  <r>
    <x v="5"/>
    <s v="JE-1257"/>
    <s v="2030"/>
    <x v="10"/>
    <x v="10"/>
    <s v="Expense"/>
    <s v="Monthly Personnel Allocation"/>
    <n v="1100.9169230769201"/>
    <m/>
    <n v="1100.9169230769201"/>
    <s v="GL"/>
  </r>
  <r>
    <x v="5"/>
    <s v="JE-1257"/>
    <s v="2040"/>
    <x v="10"/>
    <x v="10"/>
    <s v="Expense"/>
    <s v="Monthly Personnel Allocation"/>
    <n v="1467.8892307692299"/>
    <m/>
    <n v="1467.8892307692299"/>
    <s v="GL"/>
  </r>
  <r>
    <x v="5"/>
    <s v="JE-1257"/>
    <s v="2050"/>
    <x v="10"/>
    <x v="10"/>
    <s v="Expense"/>
    <s v="Monthly Personnel Allocation"/>
    <n v="1467.8892307692299"/>
    <m/>
    <n v="1467.8892307692299"/>
    <s v="GL"/>
  </r>
  <r>
    <x v="4"/>
    <s v="JE-1256"/>
    <s v="1010"/>
    <x v="10"/>
    <x v="10"/>
    <s v="Expense"/>
    <s v="Monthly Personnel Allocation"/>
    <n v="592.57740000000001"/>
    <m/>
    <n v="592.57740000000001"/>
    <s v="GL"/>
  </r>
  <r>
    <x v="4"/>
    <s v="JE-1256"/>
    <s v="1030"/>
    <x v="10"/>
    <x v="10"/>
    <s v="Expense"/>
    <s v="Monthly Personnel Allocation"/>
    <n v="790.10320000000002"/>
    <m/>
    <n v="790.10320000000002"/>
    <s v="GL"/>
  </r>
  <r>
    <x v="4"/>
    <s v="JE-1256"/>
    <s v="1040"/>
    <x v="10"/>
    <x v="10"/>
    <s v="Expense"/>
    <s v="Monthly Personnel Allocation"/>
    <n v="790.10320000000002"/>
    <m/>
    <n v="790.10320000000002"/>
    <s v="GL"/>
  </r>
  <r>
    <x v="4"/>
    <s v="JE-1256"/>
    <s v="1050"/>
    <x v="10"/>
    <x v="10"/>
    <s v="Expense"/>
    <s v="Monthly Personnel Allocation"/>
    <n v="790.10320000000002"/>
    <m/>
    <n v="790.10320000000002"/>
    <s v="GL"/>
  </r>
  <r>
    <x v="4"/>
    <s v="JE-1256"/>
    <s v="2010"/>
    <x v="10"/>
    <x v="10"/>
    <s v="Expense"/>
    <s v="Monthly Personnel Allocation"/>
    <n v="987.62900000000002"/>
    <m/>
    <n v="987.62900000000002"/>
    <s v="GL"/>
  </r>
  <r>
    <x v="4"/>
    <s v="JE-1256"/>
    <s v="2020"/>
    <x v="10"/>
    <x v="10"/>
    <s v="Expense"/>
    <s v="Monthly Personnel Allocation"/>
    <n v="1580.2064"/>
    <m/>
    <n v="1580.2064"/>
    <s v="GL"/>
  </r>
  <r>
    <x v="4"/>
    <s v="JE-1256"/>
    <s v="2030"/>
    <x v="10"/>
    <x v="10"/>
    <s v="Expense"/>
    <s v="Monthly Personnel Allocation"/>
    <n v="1185.1548"/>
    <m/>
    <n v="1185.1548"/>
    <s v="GL"/>
  </r>
  <r>
    <x v="4"/>
    <s v="JE-1256"/>
    <s v="2040"/>
    <x v="10"/>
    <x v="10"/>
    <s v="Expense"/>
    <s v="Monthly Personnel Allocation"/>
    <n v="1580.2064"/>
    <m/>
    <n v="1580.2064"/>
    <s v="GL"/>
  </r>
  <r>
    <x v="4"/>
    <s v="JE-1256"/>
    <s v="2050"/>
    <x v="10"/>
    <x v="10"/>
    <s v="Expense"/>
    <s v="Monthly Personnel Allocation"/>
    <n v="1580.2064"/>
    <m/>
    <n v="1580.2064"/>
    <s v="GL"/>
  </r>
  <r>
    <x v="3"/>
    <s v="JE-1255"/>
    <s v="1010"/>
    <x v="10"/>
    <x v="10"/>
    <s v="Expense"/>
    <s v="Monthly Personnel Allocation"/>
    <n v="587.68679999999995"/>
    <m/>
    <n v="587.68679999999995"/>
    <s v="GL"/>
  </r>
  <r>
    <x v="3"/>
    <s v="JE-1255"/>
    <s v="1030"/>
    <x v="10"/>
    <x v="10"/>
    <s v="Expense"/>
    <s v="Monthly Personnel Allocation"/>
    <n v="783.58240000000001"/>
    <m/>
    <n v="783.58240000000001"/>
    <s v="GL"/>
  </r>
  <r>
    <x v="3"/>
    <s v="JE-1255"/>
    <s v="1040"/>
    <x v="10"/>
    <x v="10"/>
    <s v="Expense"/>
    <s v="Monthly Personnel Allocation"/>
    <n v="783.58240000000001"/>
    <m/>
    <n v="783.58240000000001"/>
    <s v="GL"/>
  </r>
  <r>
    <x v="3"/>
    <s v="JE-1255"/>
    <s v="1050"/>
    <x v="10"/>
    <x v="10"/>
    <s v="Expense"/>
    <s v="Monthly Personnel Allocation"/>
    <n v="783.58240000000001"/>
    <m/>
    <n v="783.58240000000001"/>
    <s v="GL"/>
  </r>
  <r>
    <x v="3"/>
    <s v="JE-1255"/>
    <s v="2010"/>
    <x v="10"/>
    <x v="10"/>
    <s v="Expense"/>
    <s v="Monthly Personnel Allocation"/>
    <n v="1371.2692"/>
    <m/>
    <n v="1371.2692"/>
    <s v="GL"/>
  </r>
  <r>
    <x v="3"/>
    <s v="JE-1255"/>
    <s v="2020"/>
    <x v="10"/>
    <x v="10"/>
    <s v="Expense"/>
    <s v="Monthly Personnel Allocation"/>
    <n v="1175.3735999999999"/>
    <m/>
    <n v="1175.3735999999999"/>
    <s v="GL"/>
  </r>
  <r>
    <x v="3"/>
    <s v="JE-1255"/>
    <s v="2030"/>
    <x v="10"/>
    <x v="10"/>
    <s v="Expense"/>
    <s v="Monthly Personnel Allocation"/>
    <n v="1175.3735999999999"/>
    <m/>
    <n v="1175.3735999999999"/>
    <s v="GL"/>
  </r>
  <r>
    <x v="3"/>
    <s v="JE-1255"/>
    <s v="2040"/>
    <x v="10"/>
    <x v="10"/>
    <s v="Expense"/>
    <s v="Monthly Personnel Allocation"/>
    <n v="1567.1648"/>
    <m/>
    <n v="1567.1648"/>
    <s v="GL"/>
  </r>
  <r>
    <x v="3"/>
    <s v="JE-1255"/>
    <s v="2050"/>
    <x v="10"/>
    <x v="10"/>
    <s v="Expense"/>
    <s v="Monthly Personnel Allocation"/>
    <n v="1567.1648"/>
    <m/>
    <n v="1567.1648"/>
    <s v="GL"/>
  </r>
  <r>
    <x v="2"/>
    <s v="JE-1254"/>
    <s v="1010"/>
    <x v="10"/>
    <x v="10"/>
    <s v="Expense"/>
    <s v="Monthly Personnel Allocation"/>
    <n v="572.17560000000003"/>
    <m/>
    <n v="572.17560000000003"/>
    <s v="GL"/>
  </r>
  <r>
    <x v="2"/>
    <s v="JE-1254"/>
    <s v="1030"/>
    <x v="10"/>
    <x v="10"/>
    <s v="Expense"/>
    <s v="Monthly Personnel Allocation"/>
    <n v="762.9008"/>
    <m/>
    <n v="762.9008"/>
    <s v="GL"/>
  </r>
  <r>
    <x v="2"/>
    <s v="JE-1254"/>
    <s v="1040"/>
    <x v="10"/>
    <x v="10"/>
    <s v="Expense"/>
    <s v="Monthly Personnel Allocation"/>
    <n v="762.9008"/>
    <m/>
    <n v="762.9008"/>
    <s v="GL"/>
  </r>
  <r>
    <x v="2"/>
    <s v="JE-1254"/>
    <s v="1050"/>
    <x v="10"/>
    <x v="10"/>
    <s v="Expense"/>
    <s v="Monthly Personnel Allocation"/>
    <n v="762.9008"/>
    <m/>
    <n v="762.9008"/>
    <s v="GL"/>
  </r>
  <r>
    <x v="2"/>
    <s v="JE-1254"/>
    <s v="2010"/>
    <x v="10"/>
    <x v="10"/>
    <s v="Expense"/>
    <s v="Monthly Personnel Allocation"/>
    <n v="1335.0763999999999"/>
    <m/>
    <n v="1335.0763999999999"/>
    <s v="GL"/>
  </r>
  <r>
    <x v="2"/>
    <s v="JE-1254"/>
    <s v="2020"/>
    <x v="10"/>
    <x v="10"/>
    <s v="Expense"/>
    <s v="Monthly Personnel Allocation"/>
    <n v="1144.3512000000001"/>
    <m/>
    <n v="1144.3512000000001"/>
    <s v="GL"/>
  </r>
  <r>
    <x v="2"/>
    <s v="JE-1254"/>
    <s v="2030"/>
    <x v="10"/>
    <x v="10"/>
    <s v="Expense"/>
    <s v="Monthly Personnel Allocation"/>
    <n v="1144.3512000000001"/>
    <m/>
    <n v="1144.3512000000001"/>
    <s v="GL"/>
  </r>
  <r>
    <x v="2"/>
    <s v="JE-1254"/>
    <s v="2040"/>
    <x v="10"/>
    <x v="10"/>
    <s v="Expense"/>
    <s v="Monthly Personnel Allocation"/>
    <n v="1525.8016"/>
    <m/>
    <n v="1525.8016"/>
    <s v="GL"/>
  </r>
  <r>
    <x v="2"/>
    <s v="JE-1254"/>
    <s v="2050"/>
    <x v="10"/>
    <x v="10"/>
    <s v="Expense"/>
    <s v="Monthly Personnel Allocation"/>
    <n v="1525.8016"/>
    <m/>
    <n v="1525.8016"/>
    <s v="GL"/>
  </r>
  <r>
    <x v="1"/>
    <s v="JE-1253"/>
    <s v="1010"/>
    <x v="10"/>
    <x v="10"/>
    <s v="Expense"/>
    <s v="Monthly Personnel Allocation"/>
    <n v="562.93740000000003"/>
    <m/>
    <n v="562.93740000000003"/>
    <s v="GL"/>
  </r>
  <r>
    <x v="1"/>
    <s v="JE-1253"/>
    <s v="1030"/>
    <x v="10"/>
    <x v="10"/>
    <s v="Expense"/>
    <s v="Monthly Personnel Allocation"/>
    <n v="750.58320000000003"/>
    <m/>
    <n v="750.58320000000003"/>
    <s v="GL"/>
  </r>
  <r>
    <x v="1"/>
    <s v="JE-1253"/>
    <s v="1040"/>
    <x v="10"/>
    <x v="10"/>
    <s v="Expense"/>
    <s v="Monthly Personnel Allocation"/>
    <n v="750.58320000000003"/>
    <m/>
    <n v="750.58320000000003"/>
    <s v="GL"/>
  </r>
  <r>
    <x v="1"/>
    <s v="JE-1253"/>
    <s v="1050"/>
    <x v="10"/>
    <x v="10"/>
    <s v="Expense"/>
    <s v="Monthly Personnel Allocation"/>
    <n v="750.58320000000003"/>
    <m/>
    <n v="750.58320000000003"/>
    <s v="GL"/>
  </r>
  <r>
    <x v="1"/>
    <s v="JE-1253"/>
    <s v="2010"/>
    <x v="10"/>
    <x v="10"/>
    <s v="Expense"/>
    <s v="Monthly Personnel Allocation"/>
    <n v="1313.5206000000001"/>
    <m/>
    <n v="1313.5206000000001"/>
    <s v="GL"/>
  </r>
  <r>
    <x v="1"/>
    <s v="JE-1253"/>
    <s v="2020"/>
    <x v="10"/>
    <x v="10"/>
    <s v="Expense"/>
    <s v="Monthly Personnel Allocation"/>
    <n v="1125.8748000000001"/>
    <m/>
    <n v="1125.8748000000001"/>
    <s v="GL"/>
  </r>
  <r>
    <x v="1"/>
    <s v="JE-1253"/>
    <s v="2030"/>
    <x v="10"/>
    <x v="10"/>
    <s v="Expense"/>
    <s v="Monthly Personnel Allocation"/>
    <n v="1125.8748000000001"/>
    <m/>
    <n v="1125.8748000000001"/>
    <s v="GL"/>
  </r>
  <r>
    <x v="1"/>
    <s v="JE-1253"/>
    <s v="2040"/>
    <x v="10"/>
    <x v="10"/>
    <s v="Expense"/>
    <s v="Monthly Personnel Allocation"/>
    <n v="1501.1664000000001"/>
    <m/>
    <n v="1501.1664000000001"/>
    <s v="GL"/>
  </r>
  <r>
    <x v="1"/>
    <s v="JE-1253"/>
    <s v="2050"/>
    <x v="10"/>
    <x v="10"/>
    <s v="Expense"/>
    <s v="Monthly Personnel Allocation"/>
    <n v="1501.1664000000001"/>
    <m/>
    <n v="1501.1664000000001"/>
    <s v="GL"/>
  </r>
  <r>
    <x v="12"/>
    <s v="JE-1252"/>
    <s v="1010"/>
    <x v="11"/>
    <x v="11"/>
    <s v="Expense"/>
    <s v="Monthly Personnel Allocation"/>
    <n v="7175.6740384615396"/>
    <m/>
    <n v="7175.6740384615396"/>
    <s v="GL"/>
  </r>
  <r>
    <x v="12"/>
    <s v="JE-1252"/>
    <s v="1030"/>
    <x v="11"/>
    <x v="11"/>
    <s v="Expense"/>
    <s v="Monthly Personnel Allocation"/>
    <n v="9567.5653846153891"/>
    <m/>
    <n v="9567.5653846153891"/>
    <s v="GL"/>
  </r>
  <r>
    <x v="12"/>
    <s v="JE-1252"/>
    <s v="1040"/>
    <x v="11"/>
    <x v="11"/>
    <s v="Expense"/>
    <s v="Monthly Personnel Allocation"/>
    <n v="14351.348076923099"/>
    <m/>
    <n v="14351.348076923099"/>
    <s v="GL"/>
  </r>
  <r>
    <x v="12"/>
    <s v="JE-1252"/>
    <s v="1050"/>
    <x v="11"/>
    <x v="11"/>
    <s v="Expense"/>
    <s v="Monthly Personnel Allocation"/>
    <n v="4783.78269230769"/>
    <m/>
    <n v="4783.78269230769"/>
    <s v="GL"/>
  </r>
  <r>
    <x v="12"/>
    <s v="JE-1252"/>
    <s v="2010"/>
    <x v="11"/>
    <x v="11"/>
    <s v="Expense"/>
    <s v="Monthly Personnel Allocation"/>
    <n v="16743.239423076899"/>
    <m/>
    <n v="16743.239423076899"/>
    <s v="GL"/>
  </r>
  <r>
    <x v="12"/>
    <s v="JE-1252"/>
    <s v="2020"/>
    <x v="11"/>
    <x v="11"/>
    <s v="Expense"/>
    <s v="Monthly Personnel Allocation"/>
    <n v="19135.1307692308"/>
    <m/>
    <n v="19135.1307692308"/>
    <s v="GL"/>
  </r>
  <r>
    <x v="12"/>
    <s v="JE-1252"/>
    <s v="2030"/>
    <x v="11"/>
    <x v="11"/>
    <s v="Expense"/>
    <s v="Monthly Personnel Allocation"/>
    <n v="9567.5653846153891"/>
    <m/>
    <n v="9567.5653846153891"/>
    <s v="GL"/>
  </r>
  <r>
    <x v="12"/>
    <s v="JE-1252"/>
    <s v="2040"/>
    <x v="11"/>
    <x v="11"/>
    <s v="Expense"/>
    <s v="Monthly Personnel Allocation"/>
    <n v="19135.1307692308"/>
    <m/>
    <n v="19135.1307692308"/>
    <s v="GL"/>
  </r>
  <r>
    <x v="12"/>
    <s v="JE-1252"/>
    <s v="2050"/>
    <x v="11"/>
    <x v="11"/>
    <s v="Expense"/>
    <s v="Monthly Personnel Allocation"/>
    <n v="23918.913461538501"/>
    <m/>
    <n v="23918.913461538501"/>
    <s v="GL"/>
  </r>
  <r>
    <x v="11"/>
    <s v="JE-1251"/>
    <s v="1010"/>
    <x v="11"/>
    <x v="11"/>
    <s v="Expense"/>
    <s v="Monthly Personnel Allocation"/>
    <n v="6857.5471153846202"/>
    <m/>
    <n v="6857.5471153846202"/>
    <s v="GL"/>
  </r>
  <r>
    <x v="11"/>
    <s v="JE-1251"/>
    <s v="1030"/>
    <x v="11"/>
    <x v="11"/>
    <s v="Expense"/>
    <s v="Monthly Personnel Allocation"/>
    <n v="9143.3961538461499"/>
    <m/>
    <n v="9143.3961538461499"/>
    <s v="GL"/>
  </r>
  <r>
    <x v="11"/>
    <s v="JE-1251"/>
    <s v="1040"/>
    <x v="11"/>
    <x v="11"/>
    <s v="Expense"/>
    <s v="Monthly Personnel Allocation"/>
    <n v="13715.0942307692"/>
    <m/>
    <n v="13715.0942307692"/>
    <s v="GL"/>
  </r>
  <r>
    <x v="11"/>
    <s v="JE-1251"/>
    <s v="1050"/>
    <x v="11"/>
    <x v="11"/>
    <s v="Expense"/>
    <s v="Monthly Personnel Allocation"/>
    <n v="4571.6980769230804"/>
    <m/>
    <n v="4571.6980769230804"/>
    <s v="GL"/>
  </r>
  <r>
    <x v="11"/>
    <s v="JE-1251"/>
    <s v="2010"/>
    <x v="11"/>
    <x v="11"/>
    <s v="Expense"/>
    <s v="Monthly Personnel Allocation"/>
    <n v="16000.9432692308"/>
    <m/>
    <n v="16000.9432692308"/>
    <s v="GL"/>
  </r>
  <r>
    <x v="11"/>
    <s v="JE-1251"/>
    <s v="2020"/>
    <x v="11"/>
    <x v="11"/>
    <s v="Expense"/>
    <s v="Monthly Personnel Allocation"/>
    <n v="18286.7923076923"/>
    <m/>
    <n v="18286.7923076923"/>
    <s v="GL"/>
  </r>
  <r>
    <x v="11"/>
    <s v="JE-1251"/>
    <s v="2030"/>
    <x v="11"/>
    <x v="11"/>
    <s v="Expense"/>
    <s v="Monthly Personnel Allocation"/>
    <n v="9143.3961538461499"/>
    <m/>
    <n v="9143.3961538461499"/>
    <s v="GL"/>
  </r>
  <r>
    <x v="11"/>
    <s v="JE-1251"/>
    <s v="2040"/>
    <x v="11"/>
    <x v="11"/>
    <s v="Expense"/>
    <s v="Monthly Personnel Allocation"/>
    <n v="18286.7923076923"/>
    <m/>
    <n v="18286.7923076923"/>
    <s v="GL"/>
  </r>
  <r>
    <x v="11"/>
    <s v="JE-1251"/>
    <s v="2050"/>
    <x v="11"/>
    <x v="11"/>
    <s v="Expense"/>
    <s v="Monthly Personnel Allocation"/>
    <n v="22858.490384615401"/>
    <m/>
    <n v="22858.490384615401"/>
    <s v="GL"/>
  </r>
  <r>
    <x v="10"/>
    <s v="JE-1250"/>
    <s v="1010"/>
    <x v="11"/>
    <x v="11"/>
    <s v="Expense"/>
    <s v="Monthly Personnel Allocation"/>
    <n v="7337.43"/>
    <m/>
    <n v="7337.43"/>
    <s v="GL"/>
  </r>
  <r>
    <x v="10"/>
    <s v="JE-1250"/>
    <s v="1030"/>
    <x v="11"/>
    <x v="11"/>
    <s v="Expense"/>
    <s v="Monthly Personnel Allocation"/>
    <n v="9783.24"/>
    <m/>
    <n v="9783.24"/>
    <s v="GL"/>
  </r>
  <r>
    <x v="10"/>
    <s v="JE-1250"/>
    <s v="1040"/>
    <x v="11"/>
    <x v="11"/>
    <s v="Expense"/>
    <s v="Monthly Personnel Allocation"/>
    <n v="9783.24"/>
    <m/>
    <n v="9783.24"/>
    <s v="GL"/>
  </r>
  <r>
    <x v="10"/>
    <s v="JE-1250"/>
    <s v="1050"/>
    <x v="11"/>
    <x v="11"/>
    <s v="Expense"/>
    <s v="Monthly Personnel Allocation"/>
    <n v="4891.62"/>
    <m/>
    <n v="4891.62"/>
    <s v="GL"/>
  </r>
  <r>
    <x v="10"/>
    <s v="JE-1250"/>
    <s v="2010"/>
    <x v="11"/>
    <x v="11"/>
    <s v="Expense"/>
    <s v="Monthly Personnel Allocation"/>
    <n v="17120.669999999998"/>
    <m/>
    <n v="17120.669999999998"/>
    <s v="GL"/>
  </r>
  <r>
    <x v="10"/>
    <s v="JE-1250"/>
    <s v="2020"/>
    <x v="11"/>
    <x v="11"/>
    <s v="Expense"/>
    <s v="Monthly Personnel Allocation"/>
    <n v="19566.48"/>
    <m/>
    <n v="19566.48"/>
    <s v="GL"/>
  </r>
  <r>
    <x v="10"/>
    <s v="JE-1250"/>
    <s v="2030"/>
    <x v="11"/>
    <x v="11"/>
    <s v="Expense"/>
    <s v="Monthly Personnel Allocation"/>
    <n v="14674.86"/>
    <m/>
    <n v="14674.86"/>
    <s v="GL"/>
  </r>
  <r>
    <x v="10"/>
    <s v="JE-1250"/>
    <s v="2040"/>
    <x v="11"/>
    <x v="11"/>
    <s v="Expense"/>
    <s v="Monthly Personnel Allocation"/>
    <n v="19566.48"/>
    <m/>
    <n v="19566.48"/>
    <s v="GL"/>
  </r>
  <r>
    <x v="10"/>
    <s v="JE-1250"/>
    <s v="2050"/>
    <x v="11"/>
    <x v="11"/>
    <s v="Expense"/>
    <s v="Monthly Personnel Allocation"/>
    <n v="24458.1"/>
    <m/>
    <n v="24458.1"/>
    <s v="GL"/>
  </r>
  <r>
    <x v="9"/>
    <s v="JE-1249"/>
    <s v="1010"/>
    <x v="11"/>
    <x v="11"/>
    <s v="Expense"/>
    <s v="Monthly Personnel Allocation"/>
    <n v="7277.8886538461602"/>
    <m/>
    <n v="7277.8886538461602"/>
    <s v="GL"/>
  </r>
  <r>
    <x v="9"/>
    <s v="JE-1249"/>
    <s v="1030"/>
    <x v="11"/>
    <x v="11"/>
    <s v="Expense"/>
    <s v="Monthly Personnel Allocation"/>
    <n v="9703.8515384615403"/>
    <m/>
    <n v="9703.8515384615403"/>
    <s v="GL"/>
  </r>
  <r>
    <x v="9"/>
    <s v="JE-1249"/>
    <s v="1040"/>
    <x v="11"/>
    <x v="11"/>
    <s v="Expense"/>
    <s v="Monthly Personnel Allocation"/>
    <n v="9703.8515384615403"/>
    <m/>
    <n v="9703.8515384615403"/>
    <s v="GL"/>
  </r>
  <r>
    <x v="9"/>
    <s v="JE-1249"/>
    <s v="1050"/>
    <x v="11"/>
    <x v="11"/>
    <s v="Expense"/>
    <s v="Monthly Personnel Allocation"/>
    <n v="4851.9257692307701"/>
    <m/>
    <n v="4851.9257692307701"/>
    <s v="GL"/>
  </r>
  <r>
    <x v="9"/>
    <s v="JE-1249"/>
    <s v="2010"/>
    <x v="11"/>
    <x v="11"/>
    <s v="Expense"/>
    <s v="Monthly Personnel Allocation"/>
    <n v="16981.740192307701"/>
    <m/>
    <n v="16981.740192307701"/>
    <s v="GL"/>
  </r>
  <r>
    <x v="9"/>
    <s v="JE-1249"/>
    <s v="2020"/>
    <x v="11"/>
    <x v="11"/>
    <s v="Expense"/>
    <s v="Monthly Personnel Allocation"/>
    <n v="19407.703076923099"/>
    <m/>
    <n v="19407.703076923099"/>
    <s v="GL"/>
  </r>
  <r>
    <x v="9"/>
    <s v="JE-1249"/>
    <s v="2030"/>
    <x v="11"/>
    <x v="11"/>
    <s v="Expense"/>
    <s v="Monthly Personnel Allocation"/>
    <n v="14555.7773076923"/>
    <m/>
    <n v="14555.7773076923"/>
    <s v="GL"/>
  </r>
  <r>
    <x v="9"/>
    <s v="JE-1249"/>
    <s v="2040"/>
    <x v="11"/>
    <x v="11"/>
    <s v="Expense"/>
    <s v="Monthly Personnel Allocation"/>
    <n v="19407.703076923099"/>
    <m/>
    <n v="19407.703076923099"/>
    <s v="GL"/>
  </r>
  <r>
    <x v="9"/>
    <s v="JE-1249"/>
    <s v="2050"/>
    <x v="11"/>
    <x v="11"/>
    <s v="Expense"/>
    <s v="Monthly Personnel Allocation"/>
    <n v="24259.628846153901"/>
    <m/>
    <n v="24259.628846153901"/>
    <s v="GL"/>
  </r>
  <r>
    <x v="8"/>
    <s v="JE-1248"/>
    <s v="1010"/>
    <x v="11"/>
    <x v="11"/>
    <s v="Expense"/>
    <s v="Monthly Personnel Allocation"/>
    <n v="7427.8494230769202"/>
    <m/>
    <n v="7427.8494230769202"/>
    <s v="GL"/>
  </r>
  <r>
    <x v="8"/>
    <s v="JE-1248"/>
    <s v="1030"/>
    <x v="11"/>
    <x v="11"/>
    <s v="Expense"/>
    <s v="Monthly Personnel Allocation"/>
    <n v="9903.7992307692293"/>
    <m/>
    <n v="9903.7992307692293"/>
    <s v="GL"/>
  </r>
  <r>
    <x v="8"/>
    <s v="JE-1248"/>
    <s v="1040"/>
    <x v="11"/>
    <x v="11"/>
    <s v="Expense"/>
    <s v="Monthly Personnel Allocation"/>
    <n v="9903.7992307692293"/>
    <m/>
    <n v="9903.7992307692293"/>
    <s v="GL"/>
  </r>
  <r>
    <x v="8"/>
    <s v="JE-1248"/>
    <s v="1050"/>
    <x v="11"/>
    <x v="11"/>
    <s v="Expense"/>
    <s v="Monthly Personnel Allocation"/>
    <n v="9903.7992307692293"/>
    <m/>
    <n v="9903.7992307692293"/>
    <s v="GL"/>
  </r>
  <r>
    <x v="8"/>
    <s v="JE-1248"/>
    <s v="2010"/>
    <x v="11"/>
    <x v="11"/>
    <s v="Expense"/>
    <s v="Monthly Personnel Allocation"/>
    <n v="17331.648653846201"/>
    <m/>
    <n v="17331.648653846201"/>
    <s v="GL"/>
  </r>
  <r>
    <x v="8"/>
    <s v="JE-1248"/>
    <s v="2020"/>
    <x v="11"/>
    <x v="11"/>
    <s v="Expense"/>
    <s v="Monthly Personnel Allocation"/>
    <n v="19807.598461538499"/>
    <m/>
    <n v="19807.598461538499"/>
    <s v="GL"/>
  </r>
  <r>
    <x v="8"/>
    <s v="JE-1248"/>
    <s v="2030"/>
    <x v="11"/>
    <x v="11"/>
    <s v="Expense"/>
    <s v="Monthly Personnel Allocation"/>
    <n v="14855.6988461539"/>
    <m/>
    <n v="14855.6988461539"/>
    <s v="GL"/>
  </r>
  <r>
    <x v="8"/>
    <s v="JE-1248"/>
    <s v="2040"/>
    <x v="11"/>
    <x v="11"/>
    <s v="Expense"/>
    <s v="Monthly Personnel Allocation"/>
    <n v="19807.598461538499"/>
    <m/>
    <n v="19807.598461538499"/>
    <s v="GL"/>
  </r>
  <r>
    <x v="8"/>
    <s v="JE-1248"/>
    <s v="2050"/>
    <x v="11"/>
    <x v="11"/>
    <s v="Expense"/>
    <s v="Monthly Personnel Allocation"/>
    <n v="19807.598461538499"/>
    <m/>
    <n v="19807.598461538499"/>
    <s v="GL"/>
  </r>
  <r>
    <x v="7"/>
    <s v="JE-1247"/>
    <s v="1010"/>
    <x v="11"/>
    <x v="11"/>
    <s v="Expense"/>
    <s v="Monthly Personnel Allocation"/>
    <n v="7533.4056"/>
    <m/>
    <n v="7533.4056"/>
    <s v="GL"/>
  </r>
  <r>
    <x v="7"/>
    <s v="JE-1247"/>
    <s v="1030"/>
    <x v="11"/>
    <x v="11"/>
    <s v="Expense"/>
    <s v="Monthly Personnel Allocation"/>
    <n v="10044.540800000001"/>
    <m/>
    <n v="10044.540800000001"/>
    <s v="GL"/>
  </r>
  <r>
    <x v="7"/>
    <s v="JE-1247"/>
    <s v="1040"/>
    <x v="11"/>
    <x v="11"/>
    <s v="Expense"/>
    <s v="Monthly Personnel Allocation"/>
    <n v="10044.540800000001"/>
    <m/>
    <n v="10044.540800000001"/>
    <s v="GL"/>
  </r>
  <r>
    <x v="7"/>
    <s v="JE-1247"/>
    <s v="1050"/>
    <x v="11"/>
    <x v="11"/>
    <s v="Expense"/>
    <s v="Monthly Personnel Allocation"/>
    <n v="10044.540800000001"/>
    <m/>
    <n v="10044.540800000001"/>
    <s v="GL"/>
  </r>
  <r>
    <x v="7"/>
    <s v="JE-1247"/>
    <s v="2010"/>
    <x v="11"/>
    <x v="11"/>
    <s v="Expense"/>
    <s v="Monthly Personnel Allocation"/>
    <n v="17577.946400000001"/>
    <m/>
    <n v="17577.946400000001"/>
    <s v="GL"/>
  </r>
  <r>
    <x v="7"/>
    <s v="JE-1247"/>
    <s v="2020"/>
    <x v="11"/>
    <x v="11"/>
    <s v="Expense"/>
    <s v="Monthly Personnel Allocation"/>
    <n v="20089.081600000001"/>
    <m/>
    <n v="20089.081600000001"/>
    <s v="GL"/>
  </r>
  <r>
    <x v="7"/>
    <s v="JE-1247"/>
    <s v="2030"/>
    <x v="11"/>
    <x v="11"/>
    <s v="Expense"/>
    <s v="Monthly Personnel Allocation"/>
    <n v="15066.8112"/>
    <m/>
    <n v="15066.8112"/>
    <s v="GL"/>
  </r>
  <r>
    <x v="7"/>
    <s v="JE-1247"/>
    <s v="2040"/>
    <x v="11"/>
    <x v="11"/>
    <s v="Expense"/>
    <s v="Monthly Personnel Allocation"/>
    <n v="15066.8112"/>
    <m/>
    <n v="15066.8112"/>
    <s v="GL"/>
  </r>
  <r>
    <x v="7"/>
    <s v="JE-1247"/>
    <s v="2050"/>
    <x v="11"/>
    <x v="11"/>
    <s v="Expense"/>
    <s v="Monthly Personnel Allocation"/>
    <n v="20089.081600000001"/>
    <m/>
    <n v="20089.081600000001"/>
    <s v="GL"/>
  </r>
  <r>
    <x v="6"/>
    <s v="JE-1246"/>
    <s v="1010"/>
    <x v="11"/>
    <x v="11"/>
    <s v="Expense"/>
    <s v="Monthly Personnel Allocation"/>
    <n v="7319.7409615384604"/>
    <m/>
    <n v="7319.7409615384604"/>
    <s v="GL"/>
  </r>
  <r>
    <x v="6"/>
    <s v="JE-1246"/>
    <s v="1030"/>
    <x v="11"/>
    <x v="11"/>
    <s v="Expense"/>
    <s v="Monthly Personnel Allocation"/>
    <n v="9759.6546153846193"/>
    <m/>
    <n v="9759.6546153846193"/>
    <s v="GL"/>
  </r>
  <r>
    <x v="6"/>
    <s v="JE-1246"/>
    <s v="1040"/>
    <x v="11"/>
    <x v="11"/>
    <s v="Expense"/>
    <s v="Monthly Personnel Allocation"/>
    <n v="9759.6546153846193"/>
    <m/>
    <n v="9759.6546153846193"/>
    <s v="GL"/>
  </r>
  <r>
    <x v="6"/>
    <s v="JE-1246"/>
    <s v="1050"/>
    <x v="11"/>
    <x v="11"/>
    <s v="Expense"/>
    <s v="Monthly Personnel Allocation"/>
    <n v="9759.6546153846193"/>
    <m/>
    <n v="9759.6546153846193"/>
    <s v="GL"/>
  </r>
  <r>
    <x v="6"/>
    <s v="JE-1246"/>
    <s v="2010"/>
    <x v="11"/>
    <x v="11"/>
    <s v="Expense"/>
    <s v="Monthly Personnel Allocation"/>
    <n v="17079.3955769231"/>
    <m/>
    <n v="17079.3955769231"/>
    <s v="GL"/>
  </r>
  <r>
    <x v="6"/>
    <s v="JE-1246"/>
    <s v="2020"/>
    <x v="11"/>
    <x v="11"/>
    <s v="Expense"/>
    <s v="Monthly Personnel Allocation"/>
    <n v="19519.309230769199"/>
    <m/>
    <n v="19519.309230769199"/>
    <s v="GL"/>
  </r>
  <r>
    <x v="6"/>
    <s v="JE-1246"/>
    <s v="2030"/>
    <x v="11"/>
    <x v="11"/>
    <s v="Expense"/>
    <s v="Monthly Personnel Allocation"/>
    <n v="14639.481923076901"/>
    <m/>
    <n v="14639.481923076901"/>
    <s v="GL"/>
  </r>
  <r>
    <x v="6"/>
    <s v="JE-1246"/>
    <s v="2040"/>
    <x v="11"/>
    <x v="11"/>
    <s v="Expense"/>
    <s v="Monthly Personnel Allocation"/>
    <n v="19519.309230769199"/>
    <m/>
    <n v="19519.309230769199"/>
    <s v="GL"/>
  </r>
  <r>
    <x v="6"/>
    <s v="JE-1246"/>
    <s v="2050"/>
    <x v="11"/>
    <x v="11"/>
    <s v="Expense"/>
    <s v="Monthly Personnel Allocation"/>
    <n v="19519.309230769199"/>
    <m/>
    <n v="19519.309230769199"/>
    <s v="GL"/>
  </r>
  <r>
    <x v="5"/>
    <s v="JE-1245"/>
    <s v="1010"/>
    <x v="11"/>
    <x v="11"/>
    <s v="Expense"/>
    <s v="Monthly Personnel Allocation"/>
    <n v="7195.5351923076896"/>
    <m/>
    <n v="7195.5351923076896"/>
    <s v="GL"/>
  </r>
  <r>
    <x v="5"/>
    <s v="JE-1245"/>
    <s v="1030"/>
    <x v="11"/>
    <x v="11"/>
    <s v="Expense"/>
    <s v="Monthly Personnel Allocation"/>
    <n v="9594.0469230769195"/>
    <m/>
    <n v="9594.0469230769195"/>
    <s v="GL"/>
  </r>
  <r>
    <x v="5"/>
    <s v="JE-1245"/>
    <s v="1040"/>
    <x v="11"/>
    <x v="11"/>
    <s v="Expense"/>
    <s v="Monthly Personnel Allocation"/>
    <n v="9594.0469230769195"/>
    <m/>
    <n v="9594.0469230769195"/>
    <s v="GL"/>
  </r>
  <r>
    <x v="5"/>
    <s v="JE-1245"/>
    <s v="1050"/>
    <x v="11"/>
    <x v="11"/>
    <s v="Expense"/>
    <s v="Monthly Personnel Allocation"/>
    <n v="9594.0469230769195"/>
    <m/>
    <n v="9594.0469230769195"/>
    <s v="GL"/>
  </r>
  <r>
    <x v="5"/>
    <s v="JE-1245"/>
    <s v="2010"/>
    <x v="11"/>
    <x v="11"/>
    <s v="Expense"/>
    <s v="Monthly Personnel Allocation"/>
    <n v="16789.582115384601"/>
    <m/>
    <n v="16789.582115384601"/>
    <s v="GL"/>
  </r>
  <r>
    <x v="5"/>
    <s v="JE-1245"/>
    <s v="2020"/>
    <x v="11"/>
    <x v="11"/>
    <s v="Expense"/>
    <s v="Monthly Personnel Allocation"/>
    <n v="19188.093846153901"/>
    <m/>
    <n v="19188.093846153901"/>
    <s v="GL"/>
  </r>
  <r>
    <x v="5"/>
    <s v="JE-1245"/>
    <s v="2030"/>
    <x v="11"/>
    <x v="11"/>
    <s v="Expense"/>
    <s v="Monthly Personnel Allocation"/>
    <n v="14391.070384615399"/>
    <m/>
    <n v="14391.070384615399"/>
    <s v="GL"/>
  </r>
  <r>
    <x v="5"/>
    <s v="JE-1245"/>
    <s v="2040"/>
    <x v="11"/>
    <x v="11"/>
    <s v="Expense"/>
    <s v="Monthly Personnel Allocation"/>
    <n v="19188.093846153901"/>
    <m/>
    <n v="19188.093846153901"/>
    <s v="GL"/>
  </r>
  <r>
    <x v="5"/>
    <s v="JE-1245"/>
    <s v="2050"/>
    <x v="11"/>
    <x v="11"/>
    <s v="Expense"/>
    <s v="Monthly Personnel Allocation"/>
    <n v="19188.093846153901"/>
    <m/>
    <n v="19188.093846153901"/>
    <s v="GL"/>
  </r>
  <r>
    <x v="4"/>
    <s v="JE-1244"/>
    <s v="1010"/>
    <x v="11"/>
    <x v="11"/>
    <s v="Expense"/>
    <s v="Monthly Personnel Allocation"/>
    <n v="7746.1080000000002"/>
    <m/>
    <n v="7746.1080000000002"/>
    <s v="GL"/>
  </r>
  <r>
    <x v="4"/>
    <s v="JE-1244"/>
    <s v="1030"/>
    <x v="11"/>
    <x v="11"/>
    <s v="Expense"/>
    <s v="Monthly Personnel Allocation"/>
    <n v="10328.144"/>
    <m/>
    <n v="10328.144"/>
    <s v="GL"/>
  </r>
  <r>
    <x v="4"/>
    <s v="JE-1244"/>
    <s v="1040"/>
    <x v="11"/>
    <x v="11"/>
    <s v="Expense"/>
    <s v="Monthly Personnel Allocation"/>
    <n v="10328.144"/>
    <m/>
    <n v="10328.144"/>
    <s v="GL"/>
  </r>
  <r>
    <x v="4"/>
    <s v="JE-1244"/>
    <s v="1050"/>
    <x v="11"/>
    <x v="11"/>
    <s v="Expense"/>
    <s v="Monthly Personnel Allocation"/>
    <n v="10328.144"/>
    <m/>
    <n v="10328.144"/>
    <s v="GL"/>
  </r>
  <r>
    <x v="4"/>
    <s v="JE-1244"/>
    <s v="2010"/>
    <x v="11"/>
    <x v="11"/>
    <s v="Expense"/>
    <s v="Monthly Personnel Allocation"/>
    <n v="12910.18"/>
    <m/>
    <n v="12910.18"/>
    <s v="GL"/>
  </r>
  <r>
    <x v="4"/>
    <s v="JE-1244"/>
    <s v="2020"/>
    <x v="11"/>
    <x v="11"/>
    <s v="Expense"/>
    <s v="Monthly Personnel Allocation"/>
    <n v="20656.288"/>
    <m/>
    <n v="20656.288"/>
    <s v="GL"/>
  </r>
  <r>
    <x v="4"/>
    <s v="JE-1244"/>
    <s v="2030"/>
    <x v="11"/>
    <x v="11"/>
    <s v="Expense"/>
    <s v="Monthly Personnel Allocation"/>
    <n v="15492.216"/>
    <m/>
    <n v="15492.216"/>
    <s v="GL"/>
  </r>
  <r>
    <x v="4"/>
    <s v="JE-1244"/>
    <s v="2040"/>
    <x v="11"/>
    <x v="11"/>
    <s v="Expense"/>
    <s v="Monthly Personnel Allocation"/>
    <n v="20656.288"/>
    <m/>
    <n v="20656.288"/>
    <s v="GL"/>
  </r>
  <r>
    <x v="4"/>
    <s v="JE-1244"/>
    <s v="2050"/>
    <x v="11"/>
    <x v="11"/>
    <s v="Expense"/>
    <s v="Monthly Personnel Allocation"/>
    <n v="20656.288"/>
    <m/>
    <n v="20656.288"/>
    <s v="GL"/>
  </r>
  <r>
    <x v="3"/>
    <s v="JE-1243"/>
    <s v="1010"/>
    <x v="11"/>
    <x v="11"/>
    <s v="Expense"/>
    <s v="Monthly Personnel Allocation"/>
    <n v="7682.1797999999999"/>
    <m/>
    <n v="7682.1797999999999"/>
    <s v="GL"/>
  </r>
  <r>
    <x v="3"/>
    <s v="JE-1243"/>
    <s v="1030"/>
    <x v="11"/>
    <x v="11"/>
    <s v="Expense"/>
    <s v="Monthly Personnel Allocation"/>
    <n v="10242.9064"/>
    <m/>
    <n v="10242.9064"/>
    <s v="GL"/>
  </r>
  <r>
    <x v="3"/>
    <s v="JE-1243"/>
    <s v="1040"/>
    <x v="11"/>
    <x v="11"/>
    <s v="Expense"/>
    <s v="Monthly Personnel Allocation"/>
    <n v="10242.9064"/>
    <m/>
    <n v="10242.9064"/>
    <s v="GL"/>
  </r>
  <r>
    <x v="3"/>
    <s v="JE-1243"/>
    <s v="1050"/>
    <x v="11"/>
    <x v="11"/>
    <s v="Expense"/>
    <s v="Monthly Personnel Allocation"/>
    <n v="10242.9064"/>
    <m/>
    <n v="10242.9064"/>
    <s v="GL"/>
  </r>
  <r>
    <x v="3"/>
    <s v="JE-1243"/>
    <s v="2010"/>
    <x v="11"/>
    <x v="11"/>
    <s v="Expense"/>
    <s v="Monthly Personnel Allocation"/>
    <n v="17925.086200000002"/>
    <m/>
    <n v="17925.086200000002"/>
    <s v="GL"/>
  </r>
  <r>
    <x v="3"/>
    <s v="JE-1243"/>
    <s v="2020"/>
    <x v="11"/>
    <x v="11"/>
    <s v="Expense"/>
    <s v="Monthly Personnel Allocation"/>
    <n v="15364.3596"/>
    <m/>
    <n v="15364.3596"/>
    <s v="GL"/>
  </r>
  <r>
    <x v="3"/>
    <s v="JE-1243"/>
    <s v="2030"/>
    <x v="11"/>
    <x v="11"/>
    <s v="Expense"/>
    <s v="Monthly Personnel Allocation"/>
    <n v="15364.3596"/>
    <m/>
    <n v="15364.3596"/>
    <s v="GL"/>
  </r>
  <r>
    <x v="3"/>
    <s v="JE-1243"/>
    <s v="2040"/>
    <x v="11"/>
    <x v="11"/>
    <s v="Expense"/>
    <s v="Monthly Personnel Allocation"/>
    <n v="20485.8128"/>
    <m/>
    <n v="20485.8128"/>
    <s v="GL"/>
  </r>
  <r>
    <x v="3"/>
    <s v="JE-1243"/>
    <s v="2050"/>
    <x v="11"/>
    <x v="11"/>
    <s v="Expense"/>
    <s v="Monthly Personnel Allocation"/>
    <n v="20485.8128"/>
    <m/>
    <n v="20485.8128"/>
    <s v="GL"/>
  </r>
  <r>
    <x v="2"/>
    <s v="JE-1242"/>
    <s v="1010"/>
    <x v="11"/>
    <x v="11"/>
    <s v="Expense"/>
    <s v="Monthly Personnel Allocation"/>
    <n v="7479.4224000000004"/>
    <m/>
    <n v="7479.4224000000004"/>
    <s v="GL"/>
  </r>
  <r>
    <x v="2"/>
    <s v="JE-1242"/>
    <s v="1030"/>
    <x v="11"/>
    <x v="11"/>
    <s v="Expense"/>
    <s v="Monthly Personnel Allocation"/>
    <n v="9972.5632000000005"/>
    <m/>
    <n v="9972.5632000000005"/>
    <s v="GL"/>
  </r>
  <r>
    <x v="2"/>
    <s v="JE-1242"/>
    <s v="1040"/>
    <x v="11"/>
    <x v="11"/>
    <s v="Expense"/>
    <s v="Monthly Personnel Allocation"/>
    <n v="9972.5632000000005"/>
    <m/>
    <n v="9972.5632000000005"/>
    <s v="GL"/>
  </r>
  <r>
    <x v="2"/>
    <s v="JE-1242"/>
    <s v="1050"/>
    <x v="11"/>
    <x v="11"/>
    <s v="Expense"/>
    <s v="Monthly Personnel Allocation"/>
    <n v="9972.5632000000005"/>
    <m/>
    <n v="9972.5632000000005"/>
    <s v="GL"/>
  </r>
  <r>
    <x v="2"/>
    <s v="JE-1242"/>
    <s v="2010"/>
    <x v="11"/>
    <x v="11"/>
    <s v="Expense"/>
    <s v="Monthly Personnel Allocation"/>
    <n v="17451.9856"/>
    <m/>
    <n v="17451.9856"/>
    <s v="GL"/>
  </r>
  <r>
    <x v="2"/>
    <s v="JE-1242"/>
    <s v="2020"/>
    <x v="11"/>
    <x v="11"/>
    <s v="Expense"/>
    <s v="Monthly Personnel Allocation"/>
    <n v="14958.844800000001"/>
    <m/>
    <n v="14958.844800000001"/>
    <s v="GL"/>
  </r>
  <r>
    <x v="2"/>
    <s v="JE-1242"/>
    <s v="2030"/>
    <x v="11"/>
    <x v="11"/>
    <s v="Expense"/>
    <s v="Monthly Personnel Allocation"/>
    <n v="14958.844800000001"/>
    <m/>
    <n v="14958.844800000001"/>
    <s v="GL"/>
  </r>
  <r>
    <x v="2"/>
    <s v="JE-1242"/>
    <s v="2040"/>
    <x v="11"/>
    <x v="11"/>
    <s v="Expense"/>
    <s v="Monthly Personnel Allocation"/>
    <n v="19945.126400000001"/>
    <m/>
    <n v="19945.126400000001"/>
    <s v="GL"/>
  </r>
  <r>
    <x v="2"/>
    <s v="JE-1242"/>
    <s v="2050"/>
    <x v="11"/>
    <x v="11"/>
    <s v="Expense"/>
    <s v="Monthly Personnel Allocation"/>
    <n v="19945.126400000001"/>
    <m/>
    <n v="19945.126400000001"/>
    <s v="GL"/>
  </r>
  <r>
    <x v="1"/>
    <s v="JE-1241"/>
    <s v="1010"/>
    <x v="11"/>
    <x v="11"/>
    <s v="Expense"/>
    <s v="Monthly Personnel Allocation"/>
    <n v="7358.6628000000001"/>
    <m/>
    <n v="7358.6628000000001"/>
    <s v="GL"/>
  </r>
  <r>
    <x v="1"/>
    <s v="JE-1241"/>
    <s v="1030"/>
    <x v="11"/>
    <x v="11"/>
    <s v="Expense"/>
    <s v="Monthly Personnel Allocation"/>
    <n v="9811.5504000000001"/>
    <m/>
    <n v="9811.5504000000001"/>
    <s v="GL"/>
  </r>
  <r>
    <x v="1"/>
    <s v="JE-1241"/>
    <s v="1040"/>
    <x v="11"/>
    <x v="11"/>
    <s v="Expense"/>
    <s v="Monthly Personnel Allocation"/>
    <n v="9811.5504000000001"/>
    <m/>
    <n v="9811.5504000000001"/>
    <s v="GL"/>
  </r>
  <r>
    <x v="1"/>
    <s v="JE-1241"/>
    <s v="1050"/>
    <x v="11"/>
    <x v="11"/>
    <s v="Expense"/>
    <s v="Monthly Personnel Allocation"/>
    <n v="9811.5504000000001"/>
    <m/>
    <n v="9811.5504000000001"/>
    <s v="GL"/>
  </r>
  <r>
    <x v="1"/>
    <s v="JE-1241"/>
    <s v="2010"/>
    <x v="11"/>
    <x v="11"/>
    <s v="Expense"/>
    <s v="Monthly Personnel Allocation"/>
    <n v="17170.213199999998"/>
    <m/>
    <n v="17170.213199999998"/>
    <s v="GL"/>
  </r>
  <r>
    <x v="1"/>
    <s v="JE-1241"/>
    <s v="2020"/>
    <x v="11"/>
    <x v="11"/>
    <s v="Expense"/>
    <s v="Monthly Personnel Allocation"/>
    <n v="14717.3256"/>
    <m/>
    <n v="14717.3256"/>
    <s v="GL"/>
  </r>
  <r>
    <x v="1"/>
    <s v="JE-1241"/>
    <s v="2030"/>
    <x v="11"/>
    <x v="11"/>
    <s v="Expense"/>
    <s v="Monthly Personnel Allocation"/>
    <n v="14717.3256"/>
    <m/>
    <n v="14717.3256"/>
    <s v="GL"/>
  </r>
  <r>
    <x v="1"/>
    <s v="JE-1241"/>
    <s v="2040"/>
    <x v="11"/>
    <x v="11"/>
    <s v="Expense"/>
    <s v="Monthly Personnel Allocation"/>
    <n v="19623.1008"/>
    <m/>
    <n v="19623.1008"/>
    <s v="GL"/>
  </r>
  <r>
    <x v="1"/>
    <s v="JE-1241"/>
    <s v="2050"/>
    <x v="11"/>
    <x v="11"/>
    <s v="Expense"/>
    <s v="Monthly Personnel Allocation"/>
    <n v="19623.1008"/>
    <m/>
    <n v="19623.1008"/>
    <s v="GL"/>
  </r>
  <r>
    <x v="13"/>
    <s v="JE-1000"/>
    <m/>
    <x v="12"/>
    <x v="12"/>
    <s v="Asset"/>
    <s v="Opening balances as of 6/30/2025"/>
    <n v="0"/>
    <n v="0"/>
    <n v="0"/>
    <s v="Opening"/>
  </r>
  <r>
    <x v="13"/>
    <s v="JE-1000"/>
    <m/>
    <x v="13"/>
    <x v="13"/>
    <s v="Liability"/>
    <s v="Opening balances as of 6/30/2025"/>
    <m/>
    <n v="23763.8"/>
    <n v="-23763.8"/>
    <s v="Opening"/>
  </r>
  <r>
    <x v="14"/>
    <s v="JE-1004"/>
    <m/>
    <x v="13"/>
    <x v="13"/>
    <s v="Liability"/>
    <s v="Monthly utilities"/>
    <m/>
    <n v="1423.76"/>
    <n v="-1423.76"/>
    <s v="GL"/>
  </r>
  <r>
    <x v="15"/>
    <s v="JE-1006"/>
    <s v="1020"/>
    <x v="12"/>
    <x v="12"/>
    <s v="Asset"/>
    <s v="Quarterly insurance premium"/>
    <n v="8100"/>
    <m/>
    <n v="8100"/>
    <s v="GL"/>
  </r>
  <r>
    <x v="15"/>
    <s v="JE-1006"/>
    <m/>
    <x v="13"/>
    <x v="13"/>
    <s v="Liability"/>
    <s v="Quarterly insurance premium"/>
    <m/>
    <n v="8100"/>
    <n v="-8100"/>
    <s v="GL"/>
  </r>
  <r>
    <x v="16"/>
    <s v="JE-1007"/>
    <m/>
    <x v="13"/>
    <x v="13"/>
    <s v="Liability"/>
    <s v="Office supplies purchase"/>
    <m/>
    <n v="701.06"/>
    <n v="-701.06"/>
    <s v="GL"/>
  </r>
  <r>
    <x v="17"/>
    <s v="JE-1011"/>
    <m/>
    <x v="13"/>
    <x v="13"/>
    <s v="Liability"/>
    <s v="AP disbursement run"/>
    <n v="25491.47"/>
    <m/>
    <n v="25491.47"/>
    <s v="GL"/>
  </r>
  <r>
    <x v="18"/>
    <s v="JE-1023"/>
    <m/>
    <x v="13"/>
    <x v="13"/>
    <s v="Liability"/>
    <s v="Monthly utilities"/>
    <m/>
    <n v="1470.97"/>
    <n v="-1470.97"/>
    <s v="GL"/>
  </r>
  <r>
    <x v="19"/>
    <s v="JE-1025"/>
    <m/>
    <x v="13"/>
    <x v="13"/>
    <s v="Liability"/>
    <s v="Office supplies purchase"/>
    <m/>
    <n v="644.87"/>
    <n v="-644.87"/>
    <s v="GL"/>
  </r>
  <r>
    <x v="20"/>
    <s v="JE-1026"/>
    <m/>
    <x v="13"/>
    <x v="13"/>
    <s v="Liability"/>
    <s v="Office supplies purchase"/>
    <m/>
    <n v="213.46"/>
    <n v="-213.46"/>
    <s v="GL"/>
  </r>
  <r>
    <x v="21"/>
    <s v="JE-1030"/>
    <m/>
    <x v="13"/>
    <x v="13"/>
    <s v="Liability"/>
    <s v="AP disbursement run"/>
    <n v="10183"/>
    <m/>
    <n v="10183"/>
    <s v="GL"/>
  </r>
  <r>
    <x v="22"/>
    <s v="JE-1037"/>
    <m/>
    <x v="13"/>
    <x v="13"/>
    <s v="Liability"/>
    <s v="Legal fees"/>
    <m/>
    <n v="2750.88"/>
    <n v="-2750.88"/>
    <s v="GL"/>
  </r>
  <r>
    <x v="23"/>
    <s v="JE-1043"/>
    <m/>
    <x v="13"/>
    <x v="13"/>
    <s v="Liability"/>
    <s v="Monthly utilities"/>
    <m/>
    <n v="1091.6199999999999"/>
    <n v="-1091.6199999999999"/>
    <s v="GL"/>
  </r>
  <r>
    <x v="24"/>
    <s v="JE-1045"/>
    <m/>
    <x v="13"/>
    <x v="13"/>
    <s v="Liability"/>
    <s v="Office supplies purchase"/>
    <m/>
    <n v="591.29"/>
    <n v="-591.29"/>
    <s v="GL"/>
  </r>
  <r>
    <x v="25"/>
    <s v="JE-1048"/>
    <m/>
    <x v="13"/>
    <x v="13"/>
    <s v="Liability"/>
    <s v="AP disbursement run"/>
    <n v="19622.849999999999"/>
    <m/>
    <n v="19622.849999999999"/>
    <s v="GL"/>
  </r>
  <r>
    <x v="26"/>
    <s v="JE-1055"/>
    <m/>
    <x v="13"/>
    <x v="13"/>
    <s v="Liability"/>
    <s v="Professional fees - audit/accounting"/>
    <m/>
    <n v="21086.560000000001"/>
    <n v="-21086.560000000001"/>
    <s v="GL"/>
  </r>
  <r>
    <x v="27"/>
    <s v="JE-1060"/>
    <m/>
    <x v="13"/>
    <x v="13"/>
    <s v="Liability"/>
    <s v="Monthly utilities"/>
    <m/>
    <n v="1006.48"/>
    <n v="-1006.48"/>
    <s v="GL"/>
  </r>
  <r>
    <x v="28"/>
    <s v="JE-1062"/>
    <s v="1020"/>
    <x v="12"/>
    <x v="12"/>
    <s v="Asset"/>
    <s v="Quarterly insurance premium"/>
    <n v="8100"/>
    <m/>
    <n v="8100"/>
    <s v="GL"/>
  </r>
  <r>
    <x v="28"/>
    <s v="JE-1062"/>
    <m/>
    <x v="13"/>
    <x v="13"/>
    <s v="Liability"/>
    <s v="Quarterly insurance premium"/>
    <m/>
    <n v="8100"/>
    <n v="-8100"/>
    <s v="GL"/>
  </r>
  <r>
    <x v="29"/>
    <s v="JE-1063"/>
    <m/>
    <x v="13"/>
    <x v="13"/>
    <s v="Liability"/>
    <s v="Office supplies purchase"/>
    <m/>
    <n v="753.64"/>
    <n v="-753.64"/>
    <s v="GL"/>
  </r>
  <r>
    <x v="27"/>
    <s v="JE-1065"/>
    <m/>
    <x v="13"/>
    <x v="13"/>
    <s v="Liability"/>
    <s v="Consultant / contract labor invoice"/>
    <m/>
    <n v="14969.25"/>
    <n v="-14969.25"/>
    <s v="GL"/>
  </r>
  <r>
    <x v="30"/>
    <s v="JE-1067"/>
    <m/>
    <x v="13"/>
    <x v="13"/>
    <s v="Liability"/>
    <s v="AP disbursement run"/>
    <n v="23527.74"/>
    <m/>
    <n v="23527.74"/>
    <s v="GL"/>
  </r>
  <r>
    <x v="31"/>
    <s v="JE-1079"/>
    <m/>
    <x v="13"/>
    <x v="13"/>
    <s v="Liability"/>
    <s v="Monthly utilities"/>
    <m/>
    <n v="1124.32"/>
    <n v="-1124.32"/>
    <s v="GL"/>
  </r>
  <r>
    <x v="32"/>
    <s v="JE-1081"/>
    <m/>
    <x v="13"/>
    <x v="13"/>
    <s v="Liability"/>
    <s v="Office supplies purchase"/>
    <m/>
    <n v="771.82"/>
    <n v="-771.82"/>
    <s v="GL"/>
  </r>
  <r>
    <x v="33"/>
    <s v="JE-1082"/>
    <m/>
    <x v="13"/>
    <x v="13"/>
    <s v="Liability"/>
    <s v="Office supplies purchase"/>
    <m/>
    <n v="265.89999999999998"/>
    <n v="-265.89999999999998"/>
    <s v="GL"/>
  </r>
  <r>
    <x v="34"/>
    <s v="JE-1084"/>
    <m/>
    <x v="13"/>
    <x v="13"/>
    <s v="Liability"/>
    <s v="Consultant / contract labor invoice"/>
    <m/>
    <n v="9256.74"/>
    <n v="-9256.74"/>
    <s v="GL"/>
  </r>
  <r>
    <x v="35"/>
    <s v="JE-1086"/>
    <m/>
    <x v="13"/>
    <x v="13"/>
    <s v="Liability"/>
    <s v="AP disbursement run"/>
    <n v="14446.02"/>
    <m/>
    <n v="14446.02"/>
    <s v="GL"/>
  </r>
  <r>
    <x v="36"/>
    <s v="JE-1097"/>
    <m/>
    <x v="13"/>
    <x v="13"/>
    <s v="Liability"/>
    <s v="Monthly utilities"/>
    <m/>
    <n v="1350.34"/>
    <n v="-1350.34"/>
    <s v="GL"/>
  </r>
  <r>
    <x v="37"/>
    <s v="JE-1099"/>
    <m/>
    <x v="13"/>
    <x v="13"/>
    <s v="Liability"/>
    <s v="Office supplies purchase"/>
    <m/>
    <n v="364.38"/>
    <n v="-364.38"/>
    <s v="GL"/>
  </r>
  <r>
    <x v="38"/>
    <s v="JE-1100"/>
    <m/>
    <x v="13"/>
    <x v="13"/>
    <s v="Liability"/>
    <s v="Office supplies purchase"/>
    <m/>
    <n v="856.07"/>
    <n v="-856.07"/>
    <s v="GL"/>
  </r>
  <r>
    <x v="38"/>
    <s v="JE-1103"/>
    <m/>
    <x v="13"/>
    <x v="13"/>
    <s v="Liability"/>
    <s v="Consultant / contract labor invoice"/>
    <m/>
    <n v="11087.13"/>
    <n v="-11087.13"/>
    <s v="GL"/>
  </r>
  <r>
    <x v="39"/>
    <s v="JE-1105"/>
    <m/>
    <x v="13"/>
    <x v="13"/>
    <s v="Liability"/>
    <s v="AP disbursement run"/>
    <n v="13854.94"/>
    <m/>
    <n v="13854.94"/>
    <s v="GL"/>
  </r>
  <r>
    <x v="40"/>
    <s v="JE-1116"/>
    <m/>
    <x v="13"/>
    <x v="13"/>
    <s v="Liability"/>
    <s v="Monthly utilities"/>
    <m/>
    <n v="1354.45"/>
    <n v="-1354.45"/>
    <s v="GL"/>
  </r>
  <r>
    <x v="41"/>
    <s v="JE-1118"/>
    <s v="1020"/>
    <x v="12"/>
    <x v="12"/>
    <s v="Asset"/>
    <s v="Quarterly insurance premium"/>
    <n v="8100"/>
    <m/>
    <n v="8100"/>
    <s v="GL"/>
  </r>
  <r>
    <x v="41"/>
    <s v="JE-1118"/>
    <m/>
    <x v="13"/>
    <x v="13"/>
    <s v="Liability"/>
    <s v="Quarterly insurance premium"/>
    <m/>
    <n v="8100"/>
    <n v="-8100"/>
    <s v="GL"/>
  </r>
  <r>
    <x v="42"/>
    <s v="JE-1119"/>
    <m/>
    <x v="13"/>
    <x v="13"/>
    <s v="Liability"/>
    <s v="Office supplies purchase"/>
    <m/>
    <n v="196.2"/>
    <n v="-196.2"/>
    <s v="GL"/>
  </r>
  <r>
    <x v="43"/>
    <s v="JE-1120"/>
    <m/>
    <x v="13"/>
    <x v="13"/>
    <s v="Liability"/>
    <s v="Office supplies purchase"/>
    <m/>
    <n v="357.19"/>
    <n v="-357.19"/>
    <s v="GL"/>
  </r>
  <r>
    <x v="44"/>
    <s v="JE-1123"/>
    <m/>
    <x v="13"/>
    <x v="13"/>
    <s v="Liability"/>
    <s v="Consultant / contract labor invoice"/>
    <m/>
    <n v="9412.7999999999993"/>
    <n v="-9412.7999999999993"/>
    <s v="GL"/>
  </r>
  <r>
    <x v="45"/>
    <s v="JE-1125"/>
    <m/>
    <x v="13"/>
    <x v="13"/>
    <s v="Liability"/>
    <s v="AP disbursement run"/>
    <n v="18029.22"/>
    <m/>
    <n v="18029.22"/>
    <s v="GL"/>
  </r>
  <r>
    <x v="46"/>
    <s v="JE-1136"/>
    <m/>
    <x v="13"/>
    <x v="13"/>
    <s v="Liability"/>
    <s v="Monthly utilities"/>
    <m/>
    <n v="1324.38"/>
    <n v="-1324.38"/>
    <s v="GL"/>
  </r>
  <r>
    <x v="47"/>
    <s v="JE-1138"/>
    <m/>
    <x v="13"/>
    <x v="13"/>
    <s v="Liability"/>
    <s v="Office supplies purchase"/>
    <m/>
    <n v="226.67"/>
    <n v="-226.67"/>
    <s v="GL"/>
  </r>
  <r>
    <x v="48"/>
    <s v="JE-1142"/>
    <m/>
    <x v="13"/>
    <x v="13"/>
    <s v="Liability"/>
    <s v="AP disbursement run"/>
    <n v="5670.59"/>
    <m/>
    <n v="5670.59"/>
    <s v="GL"/>
  </r>
  <r>
    <x v="49"/>
    <s v="JE-1153"/>
    <m/>
    <x v="13"/>
    <x v="13"/>
    <s v="Liability"/>
    <s v="Monthly utilities"/>
    <m/>
    <n v="1018.54"/>
    <n v="-1018.54"/>
    <s v="GL"/>
  </r>
  <r>
    <x v="50"/>
    <s v="JE-1155"/>
    <m/>
    <x v="13"/>
    <x v="13"/>
    <s v="Liability"/>
    <s v="Office supplies purchase"/>
    <m/>
    <n v="874.88"/>
    <n v="-874.88"/>
    <s v="GL"/>
  </r>
  <r>
    <x v="51"/>
    <s v="JE-1156"/>
    <m/>
    <x v="13"/>
    <x v="13"/>
    <s v="Liability"/>
    <s v="Office supplies purchase"/>
    <m/>
    <n v="471.81"/>
    <n v="-471.81"/>
    <s v="GL"/>
  </r>
  <r>
    <x v="52"/>
    <s v="JE-1160"/>
    <m/>
    <x v="13"/>
    <x v="13"/>
    <s v="Liability"/>
    <s v="AP disbursement run"/>
    <n v="8377.5499999999993"/>
    <m/>
    <n v="8377.5499999999993"/>
    <s v="GL"/>
  </r>
  <r>
    <x v="53"/>
    <s v="JE-1167"/>
    <m/>
    <x v="13"/>
    <x v="13"/>
    <s v="Liability"/>
    <s v="Professional fees - audit/accounting"/>
    <m/>
    <n v="6914.64"/>
    <n v="-6914.64"/>
    <s v="GL"/>
  </r>
  <r>
    <x v="54"/>
    <s v="JE-1172"/>
    <m/>
    <x v="13"/>
    <x v="13"/>
    <s v="Liability"/>
    <s v="Monthly utilities"/>
    <m/>
    <n v="836.05"/>
    <n v="-836.05"/>
    <s v="GL"/>
  </r>
  <r>
    <x v="55"/>
    <s v="JE-1174"/>
    <s v="1020"/>
    <x v="12"/>
    <x v="12"/>
    <s v="Asset"/>
    <s v="Quarterly insurance premium"/>
    <n v="8100"/>
    <m/>
    <n v="8100"/>
    <s v="GL"/>
  </r>
  <r>
    <x v="55"/>
    <s v="JE-1174"/>
    <m/>
    <x v="13"/>
    <x v="13"/>
    <s v="Liability"/>
    <s v="Quarterly insurance premium"/>
    <m/>
    <n v="8100"/>
    <n v="-8100"/>
    <s v="GL"/>
  </r>
  <r>
    <x v="56"/>
    <s v="JE-1175"/>
    <m/>
    <x v="13"/>
    <x v="13"/>
    <s v="Liability"/>
    <s v="Office supplies purchase"/>
    <m/>
    <n v="699.91"/>
    <n v="-699.91"/>
    <s v="GL"/>
  </r>
  <r>
    <x v="57"/>
    <s v="JE-1178"/>
    <m/>
    <x v="13"/>
    <x v="13"/>
    <s v="Liability"/>
    <s v="Consultant / contract labor invoice"/>
    <m/>
    <n v="11059.79"/>
    <n v="-11059.79"/>
    <s v="GL"/>
  </r>
  <r>
    <x v="58"/>
    <s v="JE-1180"/>
    <m/>
    <x v="13"/>
    <x v="13"/>
    <s v="Liability"/>
    <s v="AP disbursement run"/>
    <n v="17616.2"/>
    <m/>
    <n v="17616.2"/>
    <s v="GL"/>
  </r>
  <r>
    <x v="59"/>
    <s v="JE-1193"/>
    <m/>
    <x v="13"/>
    <x v="13"/>
    <s v="Liability"/>
    <s v="Monthly utilities"/>
    <m/>
    <n v="919.34"/>
    <n v="-919.34"/>
    <s v="GL"/>
  </r>
  <r>
    <x v="60"/>
    <s v="JE-1195"/>
    <m/>
    <x v="13"/>
    <x v="13"/>
    <s v="Liability"/>
    <s v="Office supplies purchase"/>
    <m/>
    <n v="857.04"/>
    <n v="-857.04"/>
    <s v="GL"/>
  </r>
  <r>
    <x v="61"/>
    <s v="JE-1198"/>
    <m/>
    <x v="13"/>
    <x v="13"/>
    <s v="Liability"/>
    <s v="AP disbursement run"/>
    <n v="7222.58"/>
    <m/>
    <n v="7222.58"/>
    <s v="GL"/>
  </r>
  <r>
    <x v="62"/>
    <s v="JE-1205"/>
    <m/>
    <x v="13"/>
    <x v="13"/>
    <s v="Liability"/>
    <s v="Legal fees"/>
    <m/>
    <n v="1981.66"/>
    <n v="-1981.66"/>
    <s v="GL"/>
  </r>
  <r>
    <x v="63"/>
    <s v="JE-1211"/>
    <m/>
    <x v="13"/>
    <x v="13"/>
    <s v="Liability"/>
    <s v="Monthly utilities"/>
    <m/>
    <n v="918.79"/>
    <n v="-918.79"/>
    <s v="GL"/>
  </r>
  <r>
    <x v="64"/>
    <s v="JE-1213"/>
    <m/>
    <x v="13"/>
    <x v="13"/>
    <s v="Liability"/>
    <s v="Office supplies purchase"/>
    <m/>
    <n v="251.07"/>
    <n v="-251.07"/>
    <s v="GL"/>
  </r>
  <r>
    <x v="65"/>
    <s v="JE-1216"/>
    <m/>
    <x v="13"/>
    <x v="13"/>
    <s v="Liability"/>
    <s v="AP disbursement run"/>
    <n v="13730.12"/>
    <m/>
    <n v="13730.12"/>
    <s v="GL"/>
  </r>
  <r>
    <x v="66"/>
    <s v="JE-1223"/>
    <m/>
    <x v="13"/>
    <x v="13"/>
    <s v="Liability"/>
    <s v="Professional fees - audit/accounting"/>
    <m/>
    <n v="14729.44"/>
    <n v="-14729.44"/>
    <s v="GL"/>
  </r>
  <r>
    <x v="1"/>
    <s v="JE-1229"/>
    <s v="1020"/>
    <x v="12"/>
    <x v="12"/>
    <s v="Asset"/>
    <s v="Monthly Insurance Allocation"/>
    <m/>
    <n v="2700.01"/>
    <n v="-2700"/>
    <s v="GL"/>
  </r>
  <r>
    <x v="1"/>
    <s v="JE-1229"/>
    <s v="2010"/>
    <x v="14"/>
    <x v="14"/>
    <s v="Expense"/>
    <s v="Monthly Insurance Allocation"/>
    <n v="117.39"/>
    <m/>
    <n v="117.39"/>
    <s v="GL"/>
  </r>
  <r>
    <x v="1"/>
    <s v="JE-1229"/>
    <s v="2020"/>
    <x v="14"/>
    <x v="14"/>
    <s v="Expense"/>
    <s v="Monthly Insurance Allocation"/>
    <n v="100.64"/>
    <m/>
    <n v="100.64"/>
    <s v="GL"/>
  </r>
  <r>
    <x v="1"/>
    <s v="JE-1229"/>
    <s v="2030"/>
    <x v="14"/>
    <x v="14"/>
    <s v="Expense"/>
    <s v="Monthly Insurance Allocation"/>
    <n v="100.63"/>
    <m/>
    <n v="100.63"/>
    <s v="GL"/>
  </r>
  <r>
    <x v="1"/>
    <s v="JE-1229"/>
    <s v="2040"/>
    <x v="14"/>
    <x v="14"/>
    <s v="Expense"/>
    <s v="Monthly Insurance Allocation"/>
    <n v="134.16999999999999"/>
    <m/>
    <n v="134.16999999999999"/>
    <s v="GL"/>
  </r>
  <r>
    <x v="1"/>
    <s v="JE-1229"/>
    <s v="2050"/>
    <x v="14"/>
    <x v="14"/>
    <s v="Expense"/>
    <s v="Monthly Insurance Allocation"/>
    <n v="134.16999999999999"/>
    <m/>
    <n v="134.16999999999999"/>
    <s v="GL"/>
  </r>
  <r>
    <x v="1"/>
    <s v="JE-1229"/>
    <s v="1010"/>
    <x v="14"/>
    <x v="14"/>
    <s v="Expense"/>
    <s v="Monthly Insurance Allocation"/>
    <n v="422.6"/>
    <m/>
    <n v="422.6"/>
    <s v="GL"/>
  </r>
  <r>
    <x v="1"/>
    <s v="JE-1229"/>
    <s v="1030"/>
    <x v="14"/>
    <x v="14"/>
    <s v="Expense"/>
    <s v="Monthly Insurance Allocation"/>
    <n v="563.47"/>
    <m/>
    <n v="563.47"/>
    <s v="GL"/>
  </r>
  <r>
    <x v="1"/>
    <s v="JE-1229"/>
    <s v="1040"/>
    <x v="14"/>
    <x v="14"/>
    <s v="Expense"/>
    <s v="Monthly Insurance Allocation"/>
    <n v="563.47"/>
    <m/>
    <n v="563.47"/>
    <s v="GL"/>
  </r>
  <r>
    <x v="1"/>
    <s v="JE-1229"/>
    <s v="1050"/>
    <x v="14"/>
    <x v="14"/>
    <s v="Expense"/>
    <s v="Monthly Insurance Allocation"/>
    <n v="563.47"/>
    <m/>
    <n v="563.47"/>
    <s v="GL"/>
  </r>
  <r>
    <x v="2"/>
    <s v="JE-1230"/>
    <s v="1020"/>
    <x v="12"/>
    <x v="12"/>
    <s v="Asset"/>
    <s v="Monthly Insurance Allocation"/>
    <m/>
    <n v="2700.01"/>
    <n v="-2700"/>
    <s v="GL"/>
  </r>
  <r>
    <x v="2"/>
    <s v="JE-1230"/>
    <s v="2010"/>
    <x v="14"/>
    <x v="14"/>
    <s v="Expense"/>
    <s v="Monthly Insurance Allocation"/>
    <n v="117.39"/>
    <m/>
    <n v="117.39"/>
    <s v="GL"/>
  </r>
  <r>
    <x v="2"/>
    <s v="JE-1230"/>
    <s v="2020"/>
    <x v="14"/>
    <x v="14"/>
    <s v="Expense"/>
    <s v="Monthly Insurance Allocation"/>
    <n v="100.64"/>
    <m/>
    <n v="100.64"/>
    <s v="GL"/>
  </r>
  <r>
    <x v="2"/>
    <s v="JE-1230"/>
    <s v="2030"/>
    <x v="14"/>
    <x v="14"/>
    <s v="Expense"/>
    <s v="Monthly Insurance Allocation"/>
    <n v="100.63"/>
    <m/>
    <n v="100.63"/>
    <s v="GL"/>
  </r>
  <r>
    <x v="2"/>
    <s v="JE-1230"/>
    <s v="2040"/>
    <x v="14"/>
    <x v="14"/>
    <s v="Expense"/>
    <s v="Monthly Insurance Allocation"/>
    <n v="134.16999999999999"/>
    <m/>
    <n v="134.16999999999999"/>
    <s v="GL"/>
  </r>
  <r>
    <x v="2"/>
    <s v="JE-1230"/>
    <s v="2050"/>
    <x v="14"/>
    <x v="14"/>
    <s v="Expense"/>
    <s v="Monthly Insurance Allocation"/>
    <n v="134.16999999999999"/>
    <m/>
    <n v="134.16999999999999"/>
    <s v="GL"/>
  </r>
  <r>
    <x v="2"/>
    <s v="JE-1230"/>
    <s v="1010"/>
    <x v="14"/>
    <x v="14"/>
    <s v="Expense"/>
    <s v="Monthly Insurance Allocation"/>
    <n v="422.6"/>
    <m/>
    <n v="422.6"/>
    <s v="GL"/>
  </r>
  <r>
    <x v="2"/>
    <s v="JE-1230"/>
    <s v="1030"/>
    <x v="14"/>
    <x v="14"/>
    <s v="Expense"/>
    <s v="Monthly Insurance Allocation"/>
    <n v="563.47"/>
    <m/>
    <n v="563.47"/>
    <s v="GL"/>
  </r>
  <r>
    <x v="2"/>
    <s v="JE-1230"/>
    <s v="1040"/>
    <x v="14"/>
    <x v="14"/>
    <s v="Expense"/>
    <s v="Monthly Insurance Allocation"/>
    <n v="563.47"/>
    <m/>
    <n v="563.47"/>
    <s v="GL"/>
  </r>
  <r>
    <x v="2"/>
    <s v="JE-1230"/>
    <s v="1050"/>
    <x v="14"/>
    <x v="14"/>
    <s v="Expense"/>
    <s v="Monthly Insurance Allocation"/>
    <n v="563.47"/>
    <m/>
    <n v="563.47"/>
    <s v="GL"/>
  </r>
  <r>
    <x v="3"/>
    <s v="JE-1231"/>
    <s v="1020"/>
    <x v="12"/>
    <x v="12"/>
    <s v="Asset"/>
    <s v="Monthly Insurance Allocation"/>
    <m/>
    <n v="2700.01"/>
    <n v="-2700"/>
    <s v="GL"/>
  </r>
  <r>
    <x v="3"/>
    <s v="JE-1231"/>
    <s v="2010"/>
    <x v="14"/>
    <x v="14"/>
    <s v="Expense"/>
    <s v="Monthly Insurance Allocation"/>
    <n v="117.39"/>
    <m/>
    <n v="117.39"/>
    <s v="GL"/>
  </r>
  <r>
    <x v="3"/>
    <s v="JE-1231"/>
    <s v="2020"/>
    <x v="14"/>
    <x v="14"/>
    <s v="Expense"/>
    <s v="Monthly Insurance Allocation"/>
    <n v="100.64"/>
    <m/>
    <n v="100.64"/>
    <s v="GL"/>
  </r>
  <r>
    <x v="3"/>
    <s v="JE-1231"/>
    <s v="2030"/>
    <x v="14"/>
    <x v="14"/>
    <s v="Expense"/>
    <s v="Monthly Insurance Allocation"/>
    <n v="100.63"/>
    <m/>
    <n v="100.63"/>
    <s v="GL"/>
  </r>
  <r>
    <x v="3"/>
    <s v="JE-1231"/>
    <s v="2040"/>
    <x v="14"/>
    <x v="14"/>
    <s v="Expense"/>
    <s v="Monthly Insurance Allocation"/>
    <n v="134.16999999999999"/>
    <m/>
    <n v="134.16999999999999"/>
    <s v="GL"/>
  </r>
  <r>
    <x v="3"/>
    <s v="JE-1231"/>
    <s v="2050"/>
    <x v="14"/>
    <x v="14"/>
    <s v="Expense"/>
    <s v="Monthly Insurance Allocation"/>
    <n v="134.16999999999999"/>
    <m/>
    <n v="134.16999999999999"/>
    <s v="GL"/>
  </r>
  <r>
    <x v="3"/>
    <s v="JE-1231"/>
    <s v="1010"/>
    <x v="14"/>
    <x v="14"/>
    <s v="Expense"/>
    <s v="Monthly Insurance Allocation"/>
    <n v="422.6"/>
    <m/>
    <n v="422.6"/>
    <s v="GL"/>
  </r>
  <r>
    <x v="3"/>
    <s v="JE-1231"/>
    <s v="1030"/>
    <x v="14"/>
    <x v="14"/>
    <s v="Expense"/>
    <s v="Monthly Insurance Allocation"/>
    <n v="563.47"/>
    <m/>
    <n v="563.47"/>
    <s v="GL"/>
  </r>
  <r>
    <x v="3"/>
    <s v="JE-1231"/>
    <s v="1040"/>
    <x v="14"/>
    <x v="14"/>
    <s v="Expense"/>
    <s v="Monthly Insurance Allocation"/>
    <n v="563.47"/>
    <m/>
    <n v="563.47"/>
    <s v="GL"/>
  </r>
  <r>
    <x v="3"/>
    <s v="JE-1231"/>
    <s v="1050"/>
    <x v="14"/>
    <x v="14"/>
    <s v="Expense"/>
    <s v="Monthly Insurance Allocation"/>
    <n v="563.47"/>
    <m/>
    <n v="563.47"/>
    <s v="GL"/>
  </r>
  <r>
    <x v="4"/>
    <s v="JE-1232"/>
    <s v="1020"/>
    <x v="12"/>
    <x v="12"/>
    <s v="Asset"/>
    <s v="Monthly Insurance Allocation"/>
    <m/>
    <n v="2700.01"/>
    <n v="-2700"/>
    <s v="GL"/>
  </r>
  <r>
    <x v="4"/>
    <s v="JE-1232"/>
    <s v="2010"/>
    <x v="14"/>
    <x v="14"/>
    <s v="Expense"/>
    <s v="Monthly Insurance Allocation"/>
    <n v="83.85"/>
    <m/>
    <n v="83.85"/>
    <s v="GL"/>
  </r>
  <r>
    <x v="4"/>
    <s v="JE-1232"/>
    <s v="2020"/>
    <x v="14"/>
    <x v="14"/>
    <s v="Expense"/>
    <s v="Monthly Insurance Allocation"/>
    <n v="134.18"/>
    <m/>
    <n v="134.18"/>
    <s v="GL"/>
  </r>
  <r>
    <x v="4"/>
    <s v="JE-1232"/>
    <s v="2030"/>
    <x v="14"/>
    <x v="14"/>
    <s v="Expense"/>
    <s v="Monthly Insurance Allocation"/>
    <n v="100.63"/>
    <m/>
    <n v="100.63"/>
    <s v="GL"/>
  </r>
  <r>
    <x v="4"/>
    <s v="JE-1232"/>
    <s v="2040"/>
    <x v="14"/>
    <x v="14"/>
    <s v="Expense"/>
    <s v="Monthly Insurance Allocation"/>
    <n v="134.16999999999999"/>
    <m/>
    <n v="134.16999999999999"/>
    <s v="GL"/>
  </r>
  <r>
    <x v="4"/>
    <s v="JE-1232"/>
    <s v="2050"/>
    <x v="14"/>
    <x v="14"/>
    <s v="Expense"/>
    <s v="Monthly Insurance Allocation"/>
    <n v="134.16999999999999"/>
    <m/>
    <n v="134.16999999999999"/>
    <s v="GL"/>
  </r>
  <r>
    <x v="4"/>
    <s v="JE-1232"/>
    <s v="1010"/>
    <x v="14"/>
    <x v="14"/>
    <s v="Expense"/>
    <s v="Monthly Insurance Allocation"/>
    <n v="422.6"/>
    <m/>
    <n v="422.6"/>
    <s v="GL"/>
  </r>
  <r>
    <x v="4"/>
    <s v="JE-1232"/>
    <s v="1030"/>
    <x v="14"/>
    <x v="14"/>
    <s v="Expense"/>
    <s v="Monthly Insurance Allocation"/>
    <n v="563.47"/>
    <m/>
    <n v="563.47"/>
    <s v="GL"/>
  </r>
  <r>
    <x v="4"/>
    <s v="JE-1232"/>
    <s v="1040"/>
    <x v="14"/>
    <x v="14"/>
    <s v="Expense"/>
    <s v="Monthly Insurance Allocation"/>
    <n v="563.47"/>
    <m/>
    <n v="563.47"/>
    <s v="GL"/>
  </r>
  <r>
    <x v="11"/>
    <s v="JE-1299"/>
    <m/>
    <x v="15"/>
    <x v="15"/>
    <s v="Liability"/>
    <s v="Deferred revenue recognized - annual contract"/>
    <n v="25000"/>
    <m/>
    <n v="25000"/>
    <s v="GL"/>
  </r>
  <r>
    <x v="67"/>
    <s v="JE-1227"/>
    <m/>
    <x v="16"/>
    <x v="16"/>
    <s v="Asset"/>
    <s v="Draw on line of credit for bridge financing"/>
    <n v="40000"/>
    <m/>
    <n v="40000"/>
    <s v="GL"/>
  </r>
  <r>
    <x v="67"/>
    <s v="JE-1227"/>
    <m/>
    <x v="17"/>
    <x v="17"/>
    <s v="Liability"/>
    <s v="Draw on line of credit for bridge financing"/>
    <m/>
    <n v="40000"/>
    <n v="-40000"/>
    <s v="GL"/>
  </r>
  <r>
    <x v="68"/>
    <s v="JE-1226"/>
    <m/>
    <x v="18"/>
    <x v="18"/>
    <s v="Asset"/>
    <s v="Purchase of office equipment"/>
    <n v="18500"/>
    <m/>
    <n v="18500"/>
    <s v="GL"/>
  </r>
  <r>
    <x v="68"/>
    <s v="JE-1226"/>
    <m/>
    <x v="16"/>
    <x v="16"/>
    <s v="Asset"/>
    <s v="Purchase of office equipment"/>
    <m/>
    <n v="18500"/>
    <n v="-18500"/>
    <s v="GL"/>
  </r>
  <r>
    <x v="69"/>
    <s v="JE-1225"/>
    <s v="1020"/>
    <x v="19"/>
    <x v="19"/>
    <s v="Expense"/>
    <s v="Miscellaneous expense"/>
    <n v="283.82"/>
    <m/>
    <n v="283.82"/>
    <s v="GL"/>
  </r>
  <r>
    <x v="69"/>
    <s v="JE-1225"/>
    <m/>
    <x v="16"/>
    <x v="16"/>
    <s v="Asset"/>
    <s v="Miscellaneous expense"/>
    <m/>
    <n v="283.82"/>
    <n v="-283.82"/>
    <s v="GL"/>
  </r>
  <r>
    <x v="70"/>
    <s v="JE-1224"/>
    <m/>
    <x v="20"/>
    <x v="20"/>
    <s v="Liability"/>
    <s v="Note payable - monthly debt service"/>
    <n v="1180"/>
    <m/>
    <n v="1180"/>
    <s v="GL"/>
  </r>
  <r>
    <x v="70"/>
    <s v="JE-1224"/>
    <m/>
    <x v="16"/>
    <x v="16"/>
    <s v="Asset"/>
    <s v="Note payable - monthly debt service"/>
    <m/>
    <n v="1569.6"/>
    <n v="-1569.6"/>
    <s v="GL"/>
  </r>
  <r>
    <x v="66"/>
    <s v="JE-1223"/>
    <s v="2040"/>
    <x v="21"/>
    <x v="21"/>
    <s v="Expense"/>
    <s v="Professional fees - audit/accounting"/>
    <n v="14729.44"/>
    <m/>
    <n v="14729.44"/>
    <s v="GL"/>
  </r>
  <r>
    <x v="4"/>
    <s v="JE-1232"/>
    <s v="1050"/>
    <x v="14"/>
    <x v="14"/>
    <s v="Expense"/>
    <s v="Monthly Insurance Allocation"/>
    <n v="563.47"/>
    <m/>
    <n v="563.47"/>
    <s v="GL"/>
  </r>
  <r>
    <x v="70"/>
    <s v="JE-1222"/>
    <s v="2040"/>
    <x v="22"/>
    <x v="22"/>
    <s v="Expense"/>
    <s v="Office supplies purchase"/>
    <n v="1532.75"/>
    <m/>
    <n v="1532.75"/>
    <s v="GL"/>
  </r>
  <r>
    <x v="5"/>
    <s v="JE-1233"/>
    <s v="1020"/>
    <x v="12"/>
    <x v="12"/>
    <s v="Asset"/>
    <s v="Monthly Insurance Allocation"/>
    <m/>
    <n v="2700.01"/>
    <n v="-2700"/>
    <s v="GL"/>
  </r>
  <r>
    <x v="5"/>
    <s v="JE-1233"/>
    <s v="2010"/>
    <x v="14"/>
    <x v="14"/>
    <s v="Expense"/>
    <s v="Monthly Insurance Allocation"/>
    <n v="111.04"/>
    <m/>
    <n v="111.04"/>
    <s v="GL"/>
  </r>
  <r>
    <x v="70"/>
    <s v="JE-1017"/>
    <m/>
    <x v="23"/>
    <x v="23"/>
    <s v="Asset"/>
    <s v="Monthly depreciation expense"/>
    <m/>
    <n v="2450"/>
    <n v="-2450"/>
    <s v="GL"/>
  </r>
  <r>
    <x v="70"/>
    <s v="JE-1220"/>
    <s v="1020"/>
    <x v="24"/>
    <x v="24"/>
    <s v="Revenue"/>
    <s v="Interest income on money market reserve"/>
    <m/>
    <n v="1014.93"/>
    <n v="-1014.93"/>
    <s v="GL"/>
  </r>
  <r>
    <x v="70"/>
    <s v="JE-1220"/>
    <m/>
    <x v="25"/>
    <x v="25"/>
    <s v="Asset"/>
    <s v="Interest income on money market reserve"/>
    <n v="1014.93"/>
    <m/>
    <n v="1014.93"/>
    <s v="GL"/>
  </r>
  <r>
    <x v="70"/>
    <s v="JE-1300"/>
    <m/>
    <x v="0"/>
    <x v="0"/>
    <s v="Asset"/>
    <s v="Accrue grant revenue earned - federal"/>
    <n v="43762.19"/>
    <m/>
    <n v="43762.19"/>
    <s v="GL"/>
  </r>
  <r>
    <x v="71"/>
    <s v="JE-1218"/>
    <m/>
    <x v="16"/>
    <x v="16"/>
    <s v="Asset"/>
    <s v="Federal grant reimbursement draw"/>
    <n v="45483.48"/>
    <m/>
    <n v="45483.48"/>
    <s v="GL"/>
  </r>
  <r>
    <x v="71"/>
    <s v="JE-1218"/>
    <m/>
    <x v="0"/>
    <x v="0"/>
    <s v="Asset"/>
    <s v="Federal grant reimbursement draw"/>
    <m/>
    <n v="45483.48"/>
    <n v="-45483.48"/>
    <s v="GL"/>
  </r>
  <r>
    <x v="72"/>
    <s v="JE-1300"/>
    <m/>
    <x v="16"/>
    <x v="16"/>
    <s v="Asset"/>
    <s v="Client contract payment received"/>
    <n v="178617.63"/>
    <m/>
    <n v="178617.63"/>
    <s v="GL"/>
  </r>
  <r>
    <x v="5"/>
    <s v="JE-1233"/>
    <s v="2020"/>
    <x v="14"/>
    <x v="14"/>
    <s v="Expense"/>
    <s v="Monthly Insurance Allocation"/>
    <n v="126.93"/>
    <m/>
    <n v="126.93"/>
    <s v="GL"/>
  </r>
  <r>
    <x v="65"/>
    <s v="JE-1216"/>
    <m/>
    <x v="16"/>
    <x v="16"/>
    <s v="Asset"/>
    <s v="AP disbursement run"/>
    <m/>
    <n v="13730.12"/>
    <n v="-13730.12"/>
    <s v="GL"/>
  </r>
  <r>
    <x v="70"/>
    <s v="JE-1215"/>
    <s v="1020"/>
    <x v="26"/>
    <x v="26"/>
    <s v="Expense"/>
    <s v="Monthly bank service charges"/>
    <n v="57.27"/>
    <m/>
    <n v="57.27"/>
    <s v="GL"/>
  </r>
  <r>
    <x v="70"/>
    <s v="JE-1215"/>
    <m/>
    <x v="16"/>
    <x v="16"/>
    <s v="Asset"/>
    <s v="Monthly bank service charges"/>
    <m/>
    <n v="57.27"/>
    <n v="-57.27"/>
    <s v="GL"/>
  </r>
  <r>
    <x v="63"/>
    <s v="JE-1214"/>
    <s v="2040"/>
    <x v="27"/>
    <x v="27"/>
    <s v="Expense"/>
    <s v="Business meals"/>
    <n v="270.13"/>
    <m/>
    <n v="270.13"/>
    <s v="GL"/>
  </r>
  <r>
    <x v="63"/>
    <s v="JE-1214"/>
    <m/>
    <x v="16"/>
    <x v="16"/>
    <s v="Asset"/>
    <s v="Business meals"/>
    <m/>
    <n v="270.13"/>
    <n v="-270.13"/>
    <s v="GL"/>
  </r>
  <r>
    <x v="64"/>
    <s v="JE-1213"/>
    <s v="2030"/>
    <x v="22"/>
    <x v="22"/>
    <s v="Expense"/>
    <s v="Office supplies purchase"/>
    <n v="251.07"/>
    <m/>
    <n v="251.07"/>
    <s v="GL"/>
  </r>
  <r>
    <x v="5"/>
    <s v="JE-1233"/>
    <s v="2030"/>
    <x v="14"/>
    <x v="14"/>
    <s v="Expense"/>
    <s v="Monthly Insurance Allocation"/>
    <n v="95.19"/>
    <m/>
    <n v="95.19"/>
    <s v="GL"/>
  </r>
  <r>
    <x v="73"/>
    <s v="JE-1212"/>
    <s v="2030"/>
    <x v="28"/>
    <x v="28"/>
    <s v="Expense"/>
    <s v="Software and subscription renewals"/>
    <n v="2786.24"/>
    <m/>
    <n v="2786.24"/>
    <s v="GL"/>
  </r>
  <r>
    <x v="73"/>
    <s v="JE-1212"/>
    <m/>
    <x v="16"/>
    <x v="16"/>
    <s v="Asset"/>
    <s v="Software and subscription renewals"/>
    <m/>
    <n v="2786.24"/>
    <n v="-2786.24"/>
    <s v="GL"/>
  </r>
  <r>
    <x v="12"/>
    <s v="JE-1211"/>
    <s v="1010"/>
    <x v="29"/>
    <x v="29"/>
    <s v="Expense"/>
    <s v="Monthly utilities"/>
    <n v="53.007115384615403"/>
    <m/>
    <n v="53.007115384615403"/>
    <s v="GL"/>
  </r>
  <r>
    <x v="12"/>
    <s v="JE-1211"/>
    <s v="1030"/>
    <x v="29"/>
    <x v="29"/>
    <s v="Expense"/>
    <s v="Monthly utilities"/>
    <n v="70.676153846153895"/>
    <m/>
    <n v="70.676153846153895"/>
    <s v="GL"/>
  </r>
  <r>
    <x v="12"/>
    <s v="JE-1211"/>
    <s v="1040"/>
    <x v="29"/>
    <x v="29"/>
    <s v="Expense"/>
    <s v="Monthly utilities"/>
    <n v="106.01423076923101"/>
    <m/>
    <n v="106.01423076923101"/>
    <s v="GL"/>
  </r>
  <r>
    <x v="12"/>
    <s v="JE-1211"/>
    <s v="1050"/>
    <x v="29"/>
    <x v="29"/>
    <s v="Expense"/>
    <s v="Monthly utilities"/>
    <n v="35.338076923076898"/>
    <m/>
    <n v="35.338076923076898"/>
    <s v="GL"/>
  </r>
  <r>
    <x v="12"/>
    <s v="JE-1211"/>
    <s v="2010"/>
    <x v="29"/>
    <x v="29"/>
    <s v="Expense"/>
    <s v="Monthly utilities"/>
    <n v="123.683269230769"/>
    <m/>
    <n v="123.683269230769"/>
    <s v="GL"/>
  </r>
  <r>
    <x v="12"/>
    <s v="JE-1211"/>
    <s v="2020"/>
    <x v="29"/>
    <x v="29"/>
    <s v="Expense"/>
    <s v="Monthly utilities"/>
    <n v="141.35230769230799"/>
    <m/>
    <n v="141.35230769230799"/>
    <s v="GL"/>
  </r>
  <r>
    <x v="12"/>
    <s v="JE-1211"/>
    <s v="2030"/>
    <x v="29"/>
    <x v="29"/>
    <s v="Expense"/>
    <s v="Monthly utilities"/>
    <n v="70.676153846153895"/>
    <m/>
    <n v="70.676153846153895"/>
    <s v="GL"/>
  </r>
  <r>
    <x v="12"/>
    <s v="JE-1211"/>
    <s v="2040"/>
    <x v="29"/>
    <x v="29"/>
    <s v="Expense"/>
    <s v="Monthly utilities"/>
    <n v="141.35230769230799"/>
    <m/>
    <n v="141.35230769230799"/>
    <s v="GL"/>
  </r>
  <r>
    <x v="12"/>
    <s v="JE-1211"/>
    <s v="2050"/>
    <x v="29"/>
    <x v="29"/>
    <s v="Expense"/>
    <s v="Monthly utilities"/>
    <n v="176.690384615385"/>
    <m/>
    <n v="176.690384615385"/>
    <s v="GL"/>
  </r>
  <r>
    <x v="5"/>
    <s v="JE-1233"/>
    <s v="2040"/>
    <x v="14"/>
    <x v="14"/>
    <s v="Expense"/>
    <s v="Monthly Insurance Allocation"/>
    <n v="126.92"/>
    <m/>
    <n v="126.92"/>
    <s v="GL"/>
  </r>
  <r>
    <x v="12"/>
    <s v="JE-1003"/>
    <m/>
    <x v="13"/>
    <x v="13"/>
    <s v="Liability"/>
    <s v="Monthly office rent"/>
    <m/>
    <n v="9800"/>
    <n v="-9800"/>
    <s v="GL"/>
  </r>
  <r>
    <x v="74"/>
    <s v="JE-1207"/>
    <s v="1020"/>
    <x v="30"/>
    <x v="30"/>
    <s v="Revenue"/>
    <s v="Miscellaneous other revenue"/>
    <m/>
    <n v="1345.27"/>
    <n v="-1345.27"/>
    <s v="GL"/>
  </r>
  <r>
    <x v="74"/>
    <s v="JE-1207"/>
    <m/>
    <x v="16"/>
    <x v="16"/>
    <s v="Asset"/>
    <s v="Miscellaneous other revenue"/>
    <n v="1345.27"/>
    <m/>
    <n v="1345.27"/>
    <s v="GL"/>
  </r>
  <r>
    <x v="75"/>
    <s v="JE-1206"/>
    <m/>
    <x v="20"/>
    <x v="20"/>
    <s v="Liability"/>
    <s v="Note payable - monthly debt service"/>
    <n v="1180"/>
    <m/>
    <n v="1180"/>
    <s v="GL"/>
  </r>
  <r>
    <x v="75"/>
    <s v="JE-1206"/>
    <m/>
    <x v="16"/>
    <x v="16"/>
    <s v="Asset"/>
    <s v="Note payable - monthly debt service"/>
    <m/>
    <n v="1569.58"/>
    <n v="-1569.58"/>
    <s v="GL"/>
  </r>
  <r>
    <x v="62"/>
    <s v="JE-1205"/>
    <s v="1020"/>
    <x v="31"/>
    <x v="31"/>
    <s v="Expense"/>
    <s v="Legal fees"/>
    <n v="1981.66"/>
    <m/>
    <n v="1981.66"/>
    <s v="GL"/>
  </r>
  <r>
    <x v="5"/>
    <s v="JE-1233"/>
    <s v="2050"/>
    <x v="14"/>
    <x v="14"/>
    <s v="Expense"/>
    <s v="Monthly Insurance Allocation"/>
    <n v="126.92"/>
    <m/>
    <n v="126.92"/>
    <s v="GL"/>
  </r>
  <r>
    <x v="75"/>
    <s v="JE-1204"/>
    <s v="2020"/>
    <x v="22"/>
    <x v="22"/>
    <s v="Expense"/>
    <s v="Office supplies purchase"/>
    <n v="994"/>
    <m/>
    <n v="994"/>
    <s v="GL"/>
  </r>
  <r>
    <x v="5"/>
    <s v="JE-1233"/>
    <s v="1010"/>
    <x v="14"/>
    <x v="14"/>
    <s v="Expense"/>
    <s v="Monthly Insurance Allocation"/>
    <n v="422.6"/>
    <m/>
    <n v="422.6"/>
    <s v="GL"/>
  </r>
  <r>
    <x v="75"/>
    <s v="JE-1017"/>
    <m/>
    <x v="23"/>
    <x v="23"/>
    <s v="Asset"/>
    <s v="Monthly depreciation expense"/>
    <m/>
    <n v="2450"/>
    <n v="-2450"/>
    <s v="GL"/>
  </r>
  <r>
    <x v="75"/>
    <s v="JE-1202"/>
    <s v="1020"/>
    <x v="24"/>
    <x v="24"/>
    <s v="Revenue"/>
    <s v="Interest income on money market reserve"/>
    <m/>
    <n v="1031.68"/>
    <n v="-1031.68"/>
    <s v="GL"/>
  </r>
  <r>
    <x v="75"/>
    <s v="JE-1202"/>
    <m/>
    <x v="25"/>
    <x v="25"/>
    <s v="Asset"/>
    <s v="Interest income on money market reserve"/>
    <n v="1031.68"/>
    <m/>
    <n v="1031.68"/>
    <s v="GL"/>
  </r>
  <r>
    <x v="75"/>
    <s v="JE-1299"/>
    <m/>
    <x v="0"/>
    <x v="0"/>
    <s v="Asset"/>
    <s v="Accrue grant revenue earned - federal"/>
    <n v="73169.440000000002"/>
    <m/>
    <n v="73169.440000000002"/>
    <s v="GL"/>
  </r>
  <r>
    <x v="62"/>
    <s v="JE-1200"/>
    <m/>
    <x v="16"/>
    <x v="16"/>
    <s v="Asset"/>
    <s v="Federal grant reimbursement draw"/>
    <n v="59968.94"/>
    <m/>
    <n v="59968.94"/>
    <s v="GL"/>
  </r>
  <r>
    <x v="62"/>
    <s v="JE-1200"/>
    <m/>
    <x v="0"/>
    <x v="0"/>
    <s v="Asset"/>
    <s v="Federal grant reimbursement draw"/>
    <m/>
    <n v="59968.94"/>
    <n v="-59968.94"/>
    <s v="GL"/>
  </r>
  <r>
    <x v="60"/>
    <s v="JE-1299"/>
    <m/>
    <x v="16"/>
    <x v="16"/>
    <s v="Asset"/>
    <s v="Client contract payment received"/>
    <n v="140547.62"/>
    <m/>
    <n v="140547.62"/>
    <s v="GL"/>
  </r>
  <r>
    <x v="5"/>
    <s v="JE-1233"/>
    <s v="1030"/>
    <x v="14"/>
    <x v="14"/>
    <s v="Expense"/>
    <s v="Monthly Insurance Allocation"/>
    <n v="563.47"/>
    <m/>
    <n v="563.47"/>
    <s v="GL"/>
  </r>
  <r>
    <x v="61"/>
    <s v="JE-1198"/>
    <m/>
    <x v="16"/>
    <x v="16"/>
    <s v="Asset"/>
    <s v="AP disbursement run"/>
    <m/>
    <n v="7222.58"/>
    <n v="-7222.58"/>
    <s v="GL"/>
  </r>
  <r>
    <x v="75"/>
    <s v="JE-1197"/>
    <s v="1020"/>
    <x v="26"/>
    <x v="26"/>
    <s v="Expense"/>
    <s v="Monthly bank service charges"/>
    <n v="118.91"/>
    <m/>
    <n v="118.91"/>
    <s v="GL"/>
  </r>
  <r>
    <x v="75"/>
    <s v="JE-1197"/>
    <m/>
    <x v="16"/>
    <x v="16"/>
    <s v="Asset"/>
    <s v="Monthly bank service charges"/>
    <m/>
    <n v="118.91"/>
    <n v="-118.91"/>
    <s v="GL"/>
  </r>
  <r>
    <x v="62"/>
    <s v="JE-1196"/>
    <s v="2050"/>
    <x v="32"/>
    <x v="32"/>
    <s v="Expense"/>
    <s v="Staff travel - program site visit"/>
    <n v="2177.46"/>
    <m/>
    <n v="2177.46"/>
    <s v="GL"/>
  </r>
  <r>
    <x v="62"/>
    <s v="JE-1196"/>
    <m/>
    <x v="16"/>
    <x v="16"/>
    <s v="Asset"/>
    <s v="Staff travel - program site visit"/>
    <m/>
    <n v="2177.46"/>
    <n v="-2177.46"/>
    <s v="GL"/>
  </r>
  <r>
    <x v="60"/>
    <s v="JE-1195"/>
    <s v="2010"/>
    <x v="22"/>
    <x v="22"/>
    <s v="Expense"/>
    <s v="Office supplies purchase"/>
    <n v="857.04"/>
    <m/>
    <n v="857.04"/>
    <s v="GL"/>
  </r>
  <r>
    <x v="5"/>
    <s v="JE-1233"/>
    <s v="1040"/>
    <x v="14"/>
    <x v="14"/>
    <s v="Expense"/>
    <s v="Monthly Insurance Allocation"/>
    <n v="563.47"/>
    <m/>
    <n v="563.47"/>
    <s v="GL"/>
  </r>
  <r>
    <x v="76"/>
    <s v="JE-1194"/>
    <s v="2050"/>
    <x v="28"/>
    <x v="28"/>
    <s v="Expense"/>
    <s v="Software and subscription renewals"/>
    <n v="3319.91"/>
    <m/>
    <n v="3319.91"/>
    <s v="GL"/>
  </r>
  <r>
    <x v="76"/>
    <s v="JE-1194"/>
    <m/>
    <x v="16"/>
    <x v="16"/>
    <s v="Asset"/>
    <s v="Software and subscription renewals"/>
    <m/>
    <n v="3319.91"/>
    <n v="-3319.91"/>
    <s v="GL"/>
  </r>
  <r>
    <x v="11"/>
    <s v="JE-1193"/>
    <s v="1010"/>
    <x v="29"/>
    <x v="29"/>
    <s v="Expense"/>
    <s v="Monthly utilities"/>
    <n v="53.038846153846201"/>
    <m/>
    <n v="53.038846153846201"/>
    <s v="GL"/>
  </r>
  <r>
    <x v="11"/>
    <s v="JE-1193"/>
    <s v="1030"/>
    <x v="29"/>
    <x v="29"/>
    <s v="Expense"/>
    <s v="Monthly utilities"/>
    <n v="70.718461538461497"/>
    <m/>
    <n v="70.718461538461497"/>
    <s v="GL"/>
  </r>
  <r>
    <x v="11"/>
    <s v="JE-1193"/>
    <s v="1040"/>
    <x v="29"/>
    <x v="29"/>
    <s v="Expense"/>
    <s v="Monthly utilities"/>
    <n v="106.077692307692"/>
    <m/>
    <n v="106.077692307692"/>
    <s v="GL"/>
  </r>
  <r>
    <x v="11"/>
    <s v="JE-1193"/>
    <s v="1050"/>
    <x v="29"/>
    <x v="29"/>
    <s v="Expense"/>
    <s v="Monthly utilities"/>
    <n v="35.359230769230798"/>
    <m/>
    <n v="35.359230769230798"/>
    <s v="GL"/>
  </r>
  <r>
    <x v="11"/>
    <s v="JE-1193"/>
    <s v="2010"/>
    <x v="29"/>
    <x v="29"/>
    <s v="Expense"/>
    <s v="Monthly utilities"/>
    <n v="123.757307692308"/>
    <m/>
    <n v="123.757307692308"/>
    <s v="GL"/>
  </r>
  <r>
    <x v="11"/>
    <s v="JE-1193"/>
    <s v="2020"/>
    <x v="29"/>
    <x v="29"/>
    <s v="Expense"/>
    <s v="Monthly utilities"/>
    <n v="141.43692307692299"/>
    <m/>
    <n v="141.43692307692299"/>
    <s v="GL"/>
  </r>
  <r>
    <x v="11"/>
    <s v="JE-1193"/>
    <s v="2030"/>
    <x v="29"/>
    <x v="29"/>
    <s v="Expense"/>
    <s v="Monthly utilities"/>
    <n v="70.718461538461497"/>
    <m/>
    <n v="70.718461538461497"/>
    <s v="GL"/>
  </r>
  <r>
    <x v="11"/>
    <s v="JE-1193"/>
    <s v="2040"/>
    <x v="29"/>
    <x v="29"/>
    <s v="Expense"/>
    <s v="Monthly utilities"/>
    <n v="141.43692307692299"/>
    <m/>
    <n v="141.43692307692299"/>
    <s v="GL"/>
  </r>
  <r>
    <x v="11"/>
    <s v="JE-1193"/>
    <s v="2050"/>
    <x v="29"/>
    <x v="29"/>
    <s v="Expense"/>
    <s v="Monthly utilities"/>
    <n v="176.796153846154"/>
    <m/>
    <n v="176.796153846154"/>
    <s v="GL"/>
  </r>
  <r>
    <x v="5"/>
    <s v="JE-1233"/>
    <s v="1050"/>
    <x v="14"/>
    <x v="14"/>
    <s v="Expense"/>
    <s v="Monthly Insurance Allocation"/>
    <n v="563.47"/>
    <m/>
    <n v="563.47"/>
    <s v="GL"/>
  </r>
  <r>
    <x v="11"/>
    <s v="JE-1003"/>
    <m/>
    <x v="13"/>
    <x v="13"/>
    <s v="Liability"/>
    <s v="Monthly office rent"/>
    <m/>
    <n v="9800"/>
    <n v="-9800"/>
    <s v="GL"/>
  </r>
  <r>
    <x v="57"/>
    <s v="JE-1189"/>
    <s v="1020"/>
    <x v="30"/>
    <x v="30"/>
    <s v="Revenue"/>
    <s v="Miscellaneous other revenue"/>
    <m/>
    <n v="1874.86"/>
    <n v="-1874.86"/>
    <s v="GL"/>
  </r>
  <r>
    <x v="57"/>
    <s v="JE-1189"/>
    <m/>
    <x v="16"/>
    <x v="16"/>
    <s v="Asset"/>
    <s v="Miscellaneous other revenue"/>
    <n v="1874.86"/>
    <m/>
    <n v="1874.86"/>
    <s v="GL"/>
  </r>
  <r>
    <x v="77"/>
    <s v="JE-1188"/>
    <m/>
    <x v="20"/>
    <x v="20"/>
    <s v="Liability"/>
    <s v="Note payable - monthly debt service"/>
    <n v="1180"/>
    <m/>
    <n v="1180"/>
    <s v="GL"/>
  </r>
  <r>
    <x v="77"/>
    <s v="JE-1188"/>
    <m/>
    <x v="16"/>
    <x v="16"/>
    <s v="Asset"/>
    <s v="Note payable - monthly debt service"/>
    <m/>
    <n v="1569.58"/>
    <n v="-1569.58"/>
    <s v="GL"/>
  </r>
  <r>
    <x v="77"/>
    <s v="JE-1187"/>
    <s v="1050"/>
    <x v="22"/>
    <x v="22"/>
    <s v="Expense"/>
    <s v="Office supplies purchase"/>
    <n v="1121.32"/>
    <m/>
    <n v="1121.32"/>
    <s v="GL"/>
  </r>
  <r>
    <x v="6"/>
    <s v="JE-1234"/>
    <s v="1020"/>
    <x v="12"/>
    <x v="12"/>
    <s v="Asset"/>
    <s v="Monthly Insurance Allocation"/>
    <m/>
    <n v="2700.01"/>
    <n v="-2700"/>
    <s v="GL"/>
  </r>
  <r>
    <x v="6"/>
    <s v="JE-1234"/>
    <s v="2010"/>
    <x v="14"/>
    <x v="14"/>
    <s v="Expense"/>
    <s v="Monthly Insurance Allocation"/>
    <n v="111.04"/>
    <m/>
    <n v="111.04"/>
    <s v="GL"/>
  </r>
  <r>
    <x v="77"/>
    <s v="JE-1017"/>
    <m/>
    <x v="23"/>
    <x v="23"/>
    <s v="Asset"/>
    <s v="Monthly depreciation expense"/>
    <m/>
    <n v="2450"/>
    <n v="-2450"/>
    <s v="GL"/>
  </r>
  <r>
    <x v="77"/>
    <s v="JE-1185"/>
    <s v="1020"/>
    <x v="24"/>
    <x v="24"/>
    <s v="Revenue"/>
    <s v="Interest income on money market reserve"/>
    <m/>
    <n v="840"/>
    <n v="-840"/>
    <s v="GL"/>
  </r>
  <r>
    <x v="77"/>
    <s v="JE-1185"/>
    <m/>
    <x v="25"/>
    <x v="25"/>
    <s v="Asset"/>
    <s v="Interest income on money market reserve"/>
    <n v="840"/>
    <m/>
    <n v="840"/>
    <s v="GL"/>
  </r>
  <r>
    <x v="56"/>
    <s v="JE-1298"/>
    <m/>
    <x v="33"/>
    <x v="33"/>
    <s v="Asset"/>
    <s v="Foundation grant award recognized"/>
    <n v="97018.32"/>
    <m/>
    <n v="97018.32"/>
    <s v="GL"/>
  </r>
  <r>
    <x v="77"/>
    <s v="JE-1298"/>
    <m/>
    <x v="0"/>
    <x v="0"/>
    <s v="Asset"/>
    <s v="Accrue grant revenue earned - federal"/>
    <n v="59789.29"/>
    <m/>
    <n v="59789.29"/>
    <s v="GL"/>
  </r>
  <r>
    <x v="78"/>
    <s v="JE-1182"/>
    <m/>
    <x v="16"/>
    <x v="16"/>
    <s v="Asset"/>
    <s v="Federal grant reimbursement draw"/>
    <n v="56934.3"/>
    <m/>
    <n v="56934.3"/>
    <s v="GL"/>
  </r>
  <r>
    <x v="78"/>
    <s v="JE-1182"/>
    <m/>
    <x v="0"/>
    <x v="0"/>
    <s v="Asset"/>
    <s v="Federal grant reimbursement draw"/>
    <m/>
    <n v="56934.3"/>
    <n v="-56934.3"/>
    <s v="GL"/>
  </r>
  <r>
    <x v="79"/>
    <s v="JE-1298"/>
    <m/>
    <x v="16"/>
    <x v="16"/>
    <s v="Asset"/>
    <s v="Client contract payment received"/>
    <n v="154298.14000000001"/>
    <m/>
    <n v="154298.14000000001"/>
    <s v="GL"/>
  </r>
  <r>
    <x v="6"/>
    <s v="JE-1234"/>
    <s v="2020"/>
    <x v="14"/>
    <x v="14"/>
    <s v="Expense"/>
    <s v="Monthly Insurance Allocation"/>
    <n v="126.93"/>
    <m/>
    <n v="126.93"/>
    <s v="GL"/>
  </r>
  <r>
    <x v="58"/>
    <s v="JE-1180"/>
    <m/>
    <x v="16"/>
    <x v="16"/>
    <s v="Asset"/>
    <s v="AP disbursement run"/>
    <m/>
    <n v="17616.2"/>
    <n v="-17616.2"/>
    <s v="GL"/>
  </r>
  <r>
    <x v="77"/>
    <s v="JE-1179"/>
    <s v="1020"/>
    <x v="26"/>
    <x v="26"/>
    <s v="Expense"/>
    <s v="Monthly bank service charges"/>
    <n v="79.44"/>
    <m/>
    <n v="79.44"/>
    <s v="GL"/>
  </r>
  <r>
    <x v="77"/>
    <s v="JE-1179"/>
    <m/>
    <x v="16"/>
    <x v="16"/>
    <s v="Asset"/>
    <s v="Monthly bank service charges"/>
    <m/>
    <n v="79.44"/>
    <n v="-79.44"/>
    <s v="GL"/>
  </r>
  <r>
    <x v="57"/>
    <s v="JE-1178"/>
    <s v="2020"/>
    <x v="34"/>
    <x v="34"/>
    <s v="Expense"/>
    <s v="Consultant / contract labor invoice"/>
    <n v="11059.79"/>
    <m/>
    <n v="11059.79"/>
    <s v="GL"/>
  </r>
  <r>
    <x v="6"/>
    <s v="JE-1234"/>
    <s v="2030"/>
    <x v="14"/>
    <x v="14"/>
    <s v="Expense"/>
    <s v="Monthly Insurance Allocation"/>
    <n v="95.19"/>
    <m/>
    <n v="95.19"/>
    <s v="GL"/>
  </r>
  <r>
    <x v="58"/>
    <s v="JE-1177"/>
    <s v="2030"/>
    <x v="27"/>
    <x v="27"/>
    <s v="Expense"/>
    <s v="Business meals"/>
    <n v="418.88"/>
    <m/>
    <n v="418.88"/>
    <s v="GL"/>
  </r>
  <r>
    <x v="58"/>
    <s v="JE-1177"/>
    <m/>
    <x v="16"/>
    <x v="16"/>
    <s v="Asset"/>
    <s v="Business meals"/>
    <m/>
    <n v="418.88"/>
    <n v="-418.88"/>
    <s v="GL"/>
  </r>
  <r>
    <x v="57"/>
    <s v="JE-1176"/>
    <s v="2040"/>
    <x v="32"/>
    <x v="32"/>
    <s v="Expense"/>
    <s v="Staff travel - program site visit"/>
    <n v="3989.75"/>
    <m/>
    <n v="3989.75"/>
    <s v="GL"/>
  </r>
  <r>
    <x v="57"/>
    <s v="JE-1176"/>
    <m/>
    <x v="16"/>
    <x v="16"/>
    <s v="Asset"/>
    <s v="Staff travel - program site visit"/>
    <m/>
    <n v="3989.75"/>
    <n v="-3989.75"/>
    <s v="GL"/>
  </r>
  <r>
    <x v="56"/>
    <s v="JE-1175"/>
    <s v="1040"/>
    <x v="22"/>
    <x v="22"/>
    <s v="Expense"/>
    <s v="Office supplies purchase"/>
    <n v="699.91"/>
    <m/>
    <n v="699.91"/>
    <s v="GL"/>
  </r>
  <r>
    <x v="6"/>
    <s v="JE-1234"/>
    <s v="2040"/>
    <x v="14"/>
    <x v="14"/>
    <s v="Expense"/>
    <s v="Monthly Insurance Allocation"/>
    <n v="126.92"/>
    <m/>
    <n v="126.92"/>
    <s v="GL"/>
  </r>
  <r>
    <x v="6"/>
    <s v="JE-1234"/>
    <s v="2050"/>
    <x v="14"/>
    <x v="14"/>
    <s v="Expense"/>
    <s v="Monthly Insurance Allocation"/>
    <n v="126.92"/>
    <m/>
    <n v="126.92"/>
    <s v="GL"/>
  </r>
  <r>
    <x v="6"/>
    <s v="JE-1234"/>
    <s v="1010"/>
    <x v="14"/>
    <x v="14"/>
    <s v="Expense"/>
    <s v="Monthly Insurance Allocation"/>
    <n v="422.6"/>
    <m/>
    <n v="422.6"/>
    <s v="GL"/>
  </r>
  <r>
    <x v="55"/>
    <s v="JE-1174"/>
    <m/>
    <x v="16"/>
    <x v="16"/>
    <s v="Asset"/>
    <s v="Quarterly insurance premium"/>
    <m/>
    <n v="8100"/>
    <n v="-8100"/>
    <s v="GL"/>
  </r>
  <r>
    <x v="80"/>
    <s v="JE-1173"/>
    <s v="2040"/>
    <x v="28"/>
    <x v="28"/>
    <s v="Expense"/>
    <s v="Software and subscription renewals"/>
    <n v="2422.9899999999998"/>
    <m/>
    <n v="2422.9899999999998"/>
    <s v="GL"/>
  </r>
  <r>
    <x v="80"/>
    <s v="JE-1173"/>
    <m/>
    <x v="16"/>
    <x v="16"/>
    <s v="Asset"/>
    <s v="Software and subscription renewals"/>
    <m/>
    <n v="2422.9899999999998"/>
    <n v="-2422.9899999999998"/>
    <s v="GL"/>
  </r>
  <r>
    <x v="10"/>
    <s v="JE-1172"/>
    <s v="1010"/>
    <x v="29"/>
    <x v="29"/>
    <s v="Expense"/>
    <s v="Monthly utilities"/>
    <n v="48.233653846153899"/>
    <m/>
    <n v="48.233653846153899"/>
    <s v="GL"/>
  </r>
  <r>
    <x v="10"/>
    <s v="JE-1172"/>
    <s v="1030"/>
    <x v="29"/>
    <x v="29"/>
    <s v="Expense"/>
    <s v="Monthly utilities"/>
    <n v="64.311538461538504"/>
    <m/>
    <n v="64.311538461538504"/>
    <s v="GL"/>
  </r>
  <r>
    <x v="10"/>
    <s v="JE-1172"/>
    <s v="1040"/>
    <x v="29"/>
    <x v="29"/>
    <s v="Expense"/>
    <s v="Monthly utilities"/>
    <n v="64.311538461538504"/>
    <m/>
    <n v="64.311538461538504"/>
    <s v="GL"/>
  </r>
  <r>
    <x v="10"/>
    <s v="JE-1172"/>
    <s v="1050"/>
    <x v="29"/>
    <x v="29"/>
    <s v="Expense"/>
    <s v="Monthly utilities"/>
    <n v="32.155769230769202"/>
    <m/>
    <n v="32.155769230769202"/>
    <s v="GL"/>
  </r>
  <r>
    <x v="10"/>
    <s v="JE-1172"/>
    <s v="2010"/>
    <x v="29"/>
    <x v="29"/>
    <s v="Expense"/>
    <s v="Monthly utilities"/>
    <n v="112.54519230769201"/>
    <m/>
    <n v="112.54519230769201"/>
    <s v="GL"/>
  </r>
  <r>
    <x v="10"/>
    <s v="JE-1172"/>
    <s v="2020"/>
    <x v="29"/>
    <x v="29"/>
    <s v="Expense"/>
    <s v="Monthly utilities"/>
    <n v="128.62307692307701"/>
    <m/>
    <n v="128.62307692307701"/>
    <s v="GL"/>
  </r>
  <r>
    <x v="10"/>
    <s v="JE-1172"/>
    <s v="2030"/>
    <x v="29"/>
    <x v="29"/>
    <s v="Expense"/>
    <s v="Monthly utilities"/>
    <n v="96.467307692307699"/>
    <m/>
    <n v="96.467307692307699"/>
    <s v="GL"/>
  </r>
  <r>
    <x v="10"/>
    <s v="JE-1172"/>
    <s v="2040"/>
    <x v="29"/>
    <x v="29"/>
    <s v="Expense"/>
    <s v="Monthly utilities"/>
    <n v="128.62307692307701"/>
    <m/>
    <n v="128.62307692307701"/>
    <s v="GL"/>
  </r>
  <r>
    <x v="10"/>
    <s v="JE-1172"/>
    <s v="2050"/>
    <x v="29"/>
    <x v="29"/>
    <s v="Expense"/>
    <s v="Monthly utilities"/>
    <n v="160.77884615384599"/>
    <m/>
    <n v="160.77884615384599"/>
    <s v="GL"/>
  </r>
  <r>
    <x v="6"/>
    <s v="JE-1234"/>
    <s v="1030"/>
    <x v="14"/>
    <x v="14"/>
    <s v="Expense"/>
    <s v="Monthly Insurance Allocation"/>
    <n v="563.47"/>
    <m/>
    <n v="563.47"/>
    <s v="GL"/>
  </r>
  <r>
    <x v="10"/>
    <s v="JE-1003"/>
    <m/>
    <x v="13"/>
    <x v="13"/>
    <s v="Liability"/>
    <s v="Monthly office rent"/>
    <m/>
    <n v="9800"/>
    <n v="-9800"/>
    <s v="GL"/>
  </r>
  <r>
    <x v="81"/>
    <s v="JE-1168"/>
    <m/>
    <x v="20"/>
    <x v="20"/>
    <s v="Liability"/>
    <s v="Note payable - monthly debt service"/>
    <n v="1180"/>
    <m/>
    <n v="1180"/>
    <s v="GL"/>
  </r>
  <r>
    <x v="81"/>
    <s v="JE-1168"/>
    <m/>
    <x v="16"/>
    <x v="16"/>
    <s v="Asset"/>
    <s v="Note payable - monthly debt service"/>
    <m/>
    <n v="1569.58"/>
    <n v="-1569.58"/>
    <s v="GL"/>
  </r>
  <r>
    <x v="53"/>
    <s v="JE-1167"/>
    <s v="2030"/>
    <x v="21"/>
    <x v="21"/>
    <s v="Expense"/>
    <s v="Professional fees - audit/accounting"/>
    <n v="6914.64"/>
    <m/>
    <n v="6914.64"/>
    <s v="GL"/>
  </r>
  <r>
    <x v="6"/>
    <s v="JE-1234"/>
    <s v="1040"/>
    <x v="14"/>
    <x v="14"/>
    <s v="Expense"/>
    <s v="Monthly Insurance Allocation"/>
    <n v="563.47"/>
    <m/>
    <n v="563.47"/>
    <s v="GL"/>
  </r>
  <r>
    <x v="81"/>
    <s v="JE-1166"/>
    <s v="1030"/>
    <x v="22"/>
    <x v="22"/>
    <s v="Expense"/>
    <s v="Office supplies purchase"/>
    <n v="1423.58"/>
    <m/>
    <n v="1423.58"/>
    <s v="GL"/>
  </r>
  <r>
    <x v="6"/>
    <s v="JE-1234"/>
    <s v="1050"/>
    <x v="14"/>
    <x v="14"/>
    <s v="Expense"/>
    <s v="Monthly Insurance Allocation"/>
    <n v="563.47"/>
    <m/>
    <n v="563.47"/>
    <s v="GL"/>
  </r>
  <r>
    <x v="81"/>
    <s v="JE-1017"/>
    <m/>
    <x v="23"/>
    <x v="23"/>
    <s v="Asset"/>
    <s v="Monthly depreciation expense"/>
    <m/>
    <n v="2450"/>
    <n v="-2450"/>
    <s v="GL"/>
  </r>
  <r>
    <x v="81"/>
    <s v="JE-1164"/>
    <s v="1020"/>
    <x v="24"/>
    <x v="24"/>
    <s v="Revenue"/>
    <s v="Interest income on money market reserve"/>
    <m/>
    <n v="912.66"/>
    <n v="-912.66"/>
    <s v="GL"/>
  </r>
  <r>
    <x v="81"/>
    <s v="JE-1164"/>
    <m/>
    <x v="25"/>
    <x v="25"/>
    <s v="Asset"/>
    <s v="Interest income on money market reserve"/>
    <n v="912.66"/>
    <m/>
    <n v="912.66"/>
    <s v="GL"/>
  </r>
  <r>
    <x v="81"/>
    <s v="JE-1297"/>
    <m/>
    <x v="0"/>
    <x v="0"/>
    <s v="Asset"/>
    <s v="Accrue grant revenue earned - federal"/>
    <n v="68959.009999999995"/>
    <m/>
    <n v="68959.009999999995"/>
    <s v="GL"/>
  </r>
  <r>
    <x v="82"/>
    <s v="JE-1162"/>
    <m/>
    <x v="16"/>
    <x v="16"/>
    <s v="Asset"/>
    <s v="Federal grant reimbursement draw"/>
    <n v="93435.47"/>
    <m/>
    <n v="93435.47"/>
    <s v="GL"/>
  </r>
  <r>
    <x v="82"/>
    <s v="JE-1162"/>
    <m/>
    <x v="0"/>
    <x v="0"/>
    <s v="Asset"/>
    <s v="Federal grant reimbursement draw"/>
    <m/>
    <n v="93435.47"/>
    <n v="-93435.47"/>
    <s v="GL"/>
  </r>
  <r>
    <x v="83"/>
    <s v="JE-1297"/>
    <m/>
    <x v="16"/>
    <x v="16"/>
    <s v="Asset"/>
    <s v="Client contract payment received"/>
    <n v="150835.78"/>
    <m/>
    <n v="150835.78"/>
    <s v="GL"/>
  </r>
  <r>
    <x v="7"/>
    <s v="JE-1235"/>
    <s v="1020"/>
    <x v="12"/>
    <x v="12"/>
    <s v="Asset"/>
    <s v="Monthly Insurance Allocation"/>
    <m/>
    <n v="2700.01"/>
    <n v="-2700"/>
    <s v="GL"/>
  </r>
  <r>
    <x v="7"/>
    <s v="JE-1235"/>
    <s v="2010"/>
    <x v="14"/>
    <x v="14"/>
    <s v="Expense"/>
    <s v="Monthly Insurance Allocation"/>
    <n v="117.39"/>
    <m/>
    <n v="117.39"/>
    <s v="GL"/>
  </r>
  <r>
    <x v="52"/>
    <s v="JE-1160"/>
    <m/>
    <x v="16"/>
    <x v="16"/>
    <s v="Asset"/>
    <s v="AP disbursement run"/>
    <m/>
    <n v="8377.5499999999993"/>
    <n v="-8377.5499999999993"/>
    <s v="GL"/>
  </r>
  <r>
    <x v="81"/>
    <s v="JE-1159"/>
    <s v="1020"/>
    <x v="26"/>
    <x v="26"/>
    <s v="Expense"/>
    <s v="Monthly bank service charges"/>
    <n v="82.24"/>
    <m/>
    <n v="82.24"/>
    <s v="GL"/>
  </r>
  <r>
    <x v="81"/>
    <s v="JE-1159"/>
    <m/>
    <x v="16"/>
    <x v="16"/>
    <s v="Asset"/>
    <s v="Monthly bank service charges"/>
    <m/>
    <n v="82.24"/>
    <n v="-82.24"/>
    <s v="GL"/>
  </r>
  <r>
    <x v="84"/>
    <s v="JE-1158"/>
    <s v="2050"/>
    <x v="27"/>
    <x v="27"/>
    <s v="Expense"/>
    <s v="Business meals"/>
    <n v="477.06"/>
    <m/>
    <n v="477.06"/>
    <s v="GL"/>
  </r>
  <r>
    <x v="84"/>
    <s v="JE-1158"/>
    <m/>
    <x v="16"/>
    <x v="16"/>
    <s v="Asset"/>
    <s v="Business meals"/>
    <m/>
    <n v="477.06"/>
    <n v="-477.06"/>
    <s v="GL"/>
  </r>
  <r>
    <x v="85"/>
    <s v="JE-1157"/>
    <s v="2030"/>
    <x v="32"/>
    <x v="32"/>
    <s v="Expense"/>
    <s v="Staff travel - program site visit"/>
    <n v="3422.65"/>
    <m/>
    <n v="3422.65"/>
    <s v="GL"/>
  </r>
  <r>
    <x v="85"/>
    <s v="JE-1157"/>
    <m/>
    <x v="16"/>
    <x v="16"/>
    <s v="Asset"/>
    <s v="Staff travel - program site visit"/>
    <m/>
    <n v="3422.65"/>
    <n v="-3422.65"/>
    <s v="GL"/>
  </r>
  <r>
    <x v="51"/>
    <s v="JE-1156"/>
    <s v="1020"/>
    <x v="22"/>
    <x v="22"/>
    <s v="Expense"/>
    <s v="Office supplies purchase"/>
    <n v="471.81"/>
    <m/>
    <n v="471.81"/>
    <s v="GL"/>
  </r>
  <r>
    <x v="7"/>
    <s v="JE-1235"/>
    <s v="2020"/>
    <x v="14"/>
    <x v="14"/>
    <s v="Expense"/>
    <s v="Monthly Insurance Allocation"/>
    <n v="134.18"/>
    <m/>
    <n v="134.18"/>
    <s v="GL"/>
  </r>
  <r>
    <x v="50"/>
    <s v="JE-1155"/>
    <s v="1010"/>
    <x v="22"/>
    <x v="22"/>
    <s v="Expense"/>
    <s v="Office supplies purchase"/>
    <n v="874.88"/>
    <m/>
    <n v="874.88"/>
    <s v="GL"/>
  </r>
  <r>
    <x v="7"/>
    <s v="JE-1235"/>
    <s v="2030"/>
    <x v="14"/>
    <x v="14"/>
    <s v="Expense"/>
    <s v="Monthly Insurance Allocation"/>
    <n v="100.63"/>
    <m/>
    <n v="100.63"/>
    <s v="GL"/>
  </r>
  <r>
    <x v="86"/>
    <s v="JE-1154"/>
    <s v="2030"/>
    <x v="28"/>
    <x v="28"/>
    <s v="Expense"/>
    <s v="Software and subscription renewals"/>
    <n v="2456.5"/>
    <m/>
    <n v="2456.5"/>
    <s v="GL"/>
  </r>
  <r>
    <x v="86"/>
    <s v="JE-1154"/>
    <m/>
    <x v="16"/>
    <x v="16"/>
    <s v="Asset"/>
    <s v="Software and subscription renewals"/>
    <m/>
    <n v="2456.5"/>
    <n v="-2456.5"/>
    <s v="GL"/>
  </r>
  <r>
    <x v="9"/>
    <s v="JE-1153"/>
    <s v="1010"/>
    <x v="29"/>
    <x v="29"/>
    <s v="Expense"/>
    <s v="Monthly utilities"/>
    <n v="58.761923076923097"/>
    <m/>
    <n v="58.761923076923097"/>
    <s v="GL"/>
  </r>
  <r>
    <x v="9"/>
    <s v="JE-1153"/>
    <s v="1030"/>
    <x v="29"/>
    <x v="29"/>
    <s v="Expense"/>
    <s v="Monthly utilities"/>
    <n v="78.3492307692308"/>
    <m/>
    <n v="78.3492307692308"/>
    <s v="GL"/>
  </r>
  <r>
    <x v="9"/>
    <s v="JE-1153"/>
    <s v="1040"/>
    <x v="29"/>
    <x v="29"/>
    <s v="Expense"/>
    <s v="Monthly utilities"/>
    <n v="78.3492307692308"/>
    <m/>
    <n v="78.3492307692308"/>
    <s v="GL"/>
  </r>
  <r>
    <x v="9"/>
    <s v="JE-1153"/>
    <s v="1050"/>
    <x v="29"/>
    <x v="29"/>
    <s v="Expense"/>
    <s v="Monthly utilities"/>
    <n v="39.1746153846154"/>
    <m/>
    <n v="39.1746153846154"/>
    <s v="GL"/>
  </r>
  <r>
    <x v="9"/>
    <s v="JE-1153"/>
    <s v="2010"/>
    <x v="29"/>
    <x v="29"/>
    <s v="Expense"/>
    <s v="Monthly utilities"/>
    <n v="137.111153846154"/>
    <m/>
    <n v="137.111153846154"/>
    <s v="GL"/>
  </r>
  <r>
    <x v="9"/>
    <s v="JE-1153"/>
    <s v="2020"/>
    <x v="29"/>
    <x v="29"/>
    <s v="Expense"/>
    <s v="Monthly utilities"/>
    <n v="156.698461538462"/>
    <m/>
    <n v="156.698461538462"/>
    <s v="GL"/>
  </r>
  <r>
    <x v="9"/>
    <s v="JE-1153"/>
    <s v="2030"/>
    <x v="29"/>
    <x v="29"/>
    <s v="Expense"/>
    <s v="Monthly utilities"/>
    <n v="117.52384615384599"/>
    <m/>
    <n v="117.52384615384599"/>
    <s v="GL"/>
  </r>
  <r>
    <x v="9"/>
    <s v="JE-1153"/>
    <s v="2040"/>
    <x v="29"/>
    <x v="29"/>
    <s v="Expense"/>
    <s v="Monthly utilities"/>
    <n v="156.698461538462"/>
    <m/>
    <n v="156.698461538462"/>
    <s v="GL"/>
  </r>
  <r>
    <x v="9"/>
    <s v="JE-1153"/>
    <s v="2050"/>
    <x v="29"/>
    <x v="29"/>
    <s v="Expense"/>
    <s v="Monthly utilities"/>
    <n v="195.87307692307701"/>
    <m/>
    <n v="195.87307692307701"/>
    <s v="GL"/>
  </r>
  <r>
    <x v="7"/>
    <s v="JE-1235"/>
    <s v="2040"/>
    <x v="14"/>
    <x v="14"/>
    <s v="Expense"/>
    <s v="Monthly Insurance Allocation"/>
    <n v="100.63"/>
    <m/>
    <n v="100.63"/>
    <s v="GL"/>
  </r>
  <r>
    <x v="9"/>
    <s v="JE-1003"/>
    <m/>
    <x v="13"/>
    <x v="13"/>
    <s v="Liability"/>
    <s v="Monthly office rent"/>
    <m/>
    <n v="9800"/>
    <n v="-9800"/>
    <s v="GL"/>
  </r>
  <r>
    <x v="87"/>
    <s v="JE-1149"/>
    <m/>
    <x v="20"/>
    <x v="20"/>
    <s v="Liability"/>
    <s v="Note payable - monthly debt service"/>
    <n v="1180"/>
    <m/>
    <n v="1180"/>
    <s v="GL"/>
  </r>
  <r>
    <x v="87"/>
    <s v="JE-1149"/>
    <m/>
    <x v="16"/>
    <x v="16"/>
    <s v="Asset"/>
    <s v="Note payable - monthly debt service"/>
    <m/>
    <n v="1569.58"/>
    <n v="-1569.58"/>
    <s v="GL"/>
  </r>
  <r>
    <x v="87"/>
    <s v="JE-1148"/>
    <s v="2050"/>
    <x v="22"/>
    <x v="22"/>
    <s v="Expense"/>
    <s v="Office supplies purchase"/>
    <n v="1599.5"/>
    <m/>
    <n v="1599.5"/>
    <s v="GL"/>
  </r>
  <r>
    <x v="7"/>
    <s v="JE-1235"/>
    <s v="2050"/>
    <x v="14"/>
    <x v="14"/>
    <s v="Expense"/>
    <s v="Monthly Insurance Allocation"/>
    <n v="134.16999999999999"/>
    <m/>
    <n v="134.16999999999999"/>
    <s v="GL"/>
  </r>
  <r>
    <x v="87"/>
    <s v="JE-1017"/>
    <m/>
    <x v="23"/>
    <x v="23"/>
    <s v="Asset"/>
    <s v="Monthly depreciation expense"/>
    <m/>
    <n v="2450"/>
    <n v="-2450"/>
    <s v="GL"/>
  </r>
  <r>
    <x v="87"/>
    <s v="JE-1146"/>
    <s v="1020"/>
    <x v="24"/>
    <x v="24"/>
    <s v="Revenue"/>
    <s v="Interest income on money market reserve"/>
    <m/>
    <n v="765.18"/>
    <n v="-765.18"/>
    <s v="GL"/>
  </r>
  <r>
    <x v="87"/>
    <s v="JE-1146"/>
    <m/>
    <x v="25"/>
    <x v="25"/>
    <s v="Asset"/>
    <s v="Interest income on money market reserve"/>
    <n v="765.18"/>
    <m/>
    <n v="765.18"/>
    <s v="GL"/>
  </r>
  <r>
    <x v="87"/>
    <s v="JE-1296"/>
    <m/>
    <x v="0"/>
    <x v="0"/>
    <s v="Asset"/>
    <s v="Accrue grant revenue earned - federal"/>
    <n v="67516.27"/>
    <m/>
    <n v="67516.27"/>
    <s v="GL"/>
  </r>
  <r>
    <x v="88"/>
    <s v="JE-1144"/>
    <m/>
    <x v="16"/>
    <x v="16"/>
    <s v="Asset"/>
    <s v="Federal grant reimbursement draw"/>
    <n v="88067.46"/>
    <m/>
    <n v="88067.46"/>
    <s v="GL"/>
  </r>
  <r>
    <x v="88"/>
    <s v="JE-1144"/>
    <m/>
    <x v="0"/>
    <x v="0"/>
    <s v="Asset"/>
    <s v="Federal grant reimbursement draw"/>
    <m/>
    <n v="88067.46"/>
    <n v="-88067.46"/>
    <s v="GL"/>
  </r>
  <r>
    <x v="89"/>
    <s v="JE-1296"/>
    <m/>
    <x v="16"/>
    <x v="16"/>
    <s v="Asset"/>
    <s v="Client contract payment received"/>
    <n v="204628.59"/>
    <m/>
    <n v="204628.59"/>
    <s v="GL"/>
  </r>
  <r>
    <x v="7"/>
    <s v="JE-1235"/>
    <s v="1010"/>
    <x v="14"/>
    <x v="14"/>
    <s v="Expense"/>
    <s v="Monthly Insurance Allocation"/>
    <n v="422.6"/>
    <m/>
    <n v="422.6"/>
    <s v="GL"/>
  </r>
  <r>
    <x v="48"/>
    <s v="JE-1142"/>
    <m/>
    <x v="16"/>
    <x v="16"/>
    <s v="Asset"/>
    <s v="AP disbursement run"/>
    <m/>
    <n v="5670.59"/>
    <n v="-5670.59"/>
    <s v="GL"/>
  </r>
  <r>
    <x v="87"/>
    <s v="JE-1141"/>
    <s v="1020"/>
    <x v="26"/>
    <x v="26"/>
    <s v="Expense"/>
    <s v="Monthly bank service charges"/>
    <n v="58.68"/>
    <m/>
    <n v="58.68"/>
    <s v="GL"/>
  </r>
  <r>
    <x v="87"/>
    <s v="JE-1141"/>
    <m/>
    <x v="16"/>
    <x v="16"/>
    <s v="Asset"/>
    <s v="Monthly bank service charges"/>
    <m/>
    <n v="58.68"/>
    <n v="-58.68"/>
    <s v="GL"/>
  </r>
  <r>
    <x v="46"/>
    <s v="JE-1140"/>
    <s v="2040"/>
    <x v="27"/>
    <x v="27"/>
    <s v="Expense"/>
    <s v="Business meals"/>
    <n v="385.68"/>
    <m/>
    <n v="385.68"/>
    <s v="GL"/>
  </r>
  <r>
    <x v="46"/>
    <s v="JE-1140"/>
    <m/>
    <x v="16"/>
    <x v="16"/>
    <s v="Asset"/>
    <s v="Business meals"/>
    <m/>
    <n v="385.68"/>
    <n v="-385.68"/>
    <s v="GL"/>
  </r>
  <r>
    <x v="90"/>
    <s v="JE-1139"/>
    <s v="2040"/>
    <x v="32"/>
    <x v="32"/>
    <s v="Expense"/>
    <s v="Staff travel - program site visit"/>
    <n v="3702.02"/>
    <m/>
    <n v="3702.02"/>
    <s v="GL"/>
  </r>
  <r>
    <x v="90"/>
    <s v="JE-1139"/>
    <m/>
    <x v="16"/>
    <x v="16"/>
    <s v="Asset"/>
    <s v="Staff travel - program site visit"/>
    <m/>
    <n v="3702.02"/>
    <n v="-3702.02"/>
    <s v="GL"/>
  </r>
  <r>
    <x v="47"/>
    <s v="JE-1138"/>
    <s v="2040"/>
    <x v="22"/>
    <x v="22"/>
    <s v="Expense"/>
    <s v="Office supplies purchase"/>
    <n v="226.67"/>
    <m/>
    <n v="226.67"/>
    <s v="GL"/>
  </r>
  <r>
    <x v="7"/>
    <s v="JE-1235"/>
    <s v="1030"/>
    <x v="14"/>
    <x v="14"/>
    <s v="Expense"/>
    <s v="Monthly Insurance Allocation"/>
    <n v="563.47"/>
    <m/>
    <n v="563.47"/>
    <s v="GL"/>
  </r>
  <r>
    <x v="91"/>
    <s v="JE-1137"/>
    <s v="2020"/>
    <x v="28"/>
    <x v="28"/>
    <s v="Expense"/>
    <s v="Software and subscription renewals"/>
    <n v="2984.15"/>
    <m/>
    <n v="2984.15"/>
    <s v="GL"/>
  </r>
  <r>
    <x v="91"/>
    <s v="JE-1137"/>
    <m/>
    <x v="16"/>
    <x v="16"/>
    <s v="Asset"/>
    <s v="Software and subscription renewals"/>
    <m/>
    <n v="2984.15"/>
    <n v="-2984.15"/>
    <s v="GL"/>
  </r>
  <r>
    <x v="8"/>
    <s v="JE-1136"/>
    <s v="1010"/>
    <x v="29"/>
    <x v="29"/>
    <s v="Expense"/>
    <s v="Monthly utilities"/>
    <n v="76.406538461538503"/>
    <m/>
    <n v="76.406538461538503"/>
    <s v="GL"/>
  </r>
  <r>
    <x v="8"/>
    <s v="JE-1136"/>
    <s v="1030"/>
    <x v="29"/>
    <x v="29"/>
    <s v="Expense"/>
    <s v="Monthly utilities"/>
    <n v="101.875384615385"/>
    <m/>
    <n v="101.875384615385"/>
    <s v="GL"/>
  </r>
  <r>
    <x v="8"/>
    <s v="JE-1136"/>
    <s v="1040"/>
    <x v="29"/>
    <x v="29"/>
    <s v="Expense"/>
    <s v="Monthly utilities"/>
    <n v="101.875384615385"/>
    <m/>
    <n v="101.875384615385"/>
    <s v="GL"/>
  </r>
  <r>
    <x v="8"/>
    <s v="JE-1136"/>
    <s v="1050"/>
    <x v="29"/>
    <x v="29"/>
    <s v="Expense"/>
    <s v="Monthly utilities"/>
    <n v="101.875384615385"/>
    <m/>
    <n v="101.875384615385"/>
    <s v="GL"/>
  </r>
  <r>
    <x v="8"/>
    <s v="JE-1136"/>
    <s v="2010"/>
    <x v="29"/>
    <x v="29"/>
    <s v="Expense"/>
    <s v="Monthly utilities"/>
    <n v="178.28192307692299"/>
    <m/>
    <n v="178.28192307692299"/>
    <s v="GL"/>
  </r>
  <r>
    <x v="8"/>
    <s v="JE-1136"/>
    <s v="2020"/>
    <x v="29"/>
    <x v="29"/>
    <s v="Expense"/>
    <s v="Monthly utilities"/>
    <n v="203.75076923076901"/>
    <m/>
    <n v="203.75076923076901"/>
    <s v="GL"/>
  </r>
  <r>
    <x v="8"/>
    <s v="JE-1136"/>
    <s v="2030"/>
    <x v="29"/>
    <x v="29"/>
    <s v="Expense"/>
    <s v="Monthly utilities"/>
    <n v="152.81307692307701"/>
    <m/>
    <n v="152.81307692307701"/>
    <s v="GL"/>
  </r>
  <r>
    <x v="8"/>
    <s v="JE-1136"/>
    <s v="2040"/>
    <x v="29"/>
    <x v="29"/>
    <s v="Expense"/>
    <s v="Monthly utilities"/>
    <n v="203.75076923076901"/>
    <m/>
    <n v="203.75076923076901"/>
    <s v="GL"/>
  </r>
  <r>
    <x v="8"/>
    <s v="JE-1136"/>
    <s v="2050"/>
    <x v="29"/>
    <x v="29"/>
    <s v="Expense"/>
    <s v="Monthly utilities"/>
    <n v="203.75076923076901"/>
    <m/>
    <n v="203.75076923076901"/>
    <s v="GL"/>
  </r>
  <r>
    <x v="7"/>
    <s v="JE-1235"/>
    <s v="1040"/>
    <x v="14"/>
    <x v="14"/>
    <s v="Expense"/>
    <s v="Monthly Insurance Allocation"/>
    <n v="563.47"/>
    <m/>
    <n v="563.47"/>
    <s v="GL"/>
  </r>
  <r>
    <x v="8"/>
    <s v="JE-1003"/>
    <m/>
    <x v="13"/>
    <x v="13"/>
    <s v="Liability"/>
    <s v="Monthly office rent"/>
    <m/>
    <n v="9800"/>
    <n v="-9800"/>
    <s v="GL"/>
  </r>
  <r>
    <x v="92"/>
    <s v="JE-1132"/>
    <s v="1020"/>
    <x v="30"/>
    <x v="30"/>
    <s v="Revenue"/>
    <s v="Miscellaneous other revenue"/>
    <m/>
    <n v="790.79"/>
    <n v="-790.79"/>
    <s v="GL"/>
  </r>
  <r>
    <x v="92"/>
    <s v="JE-1132"/>
    <m/>
    <x v="16"/>
    <x v="16"/>
    <s v="Asset"/>
    <s v="Miscellaneous other revenue"/>
    <n v="790.79"/>
    <m/>
    <n v="790.79"/>
    <s v="GL"/>
  </r>
  <r>
    <x v="93"/>
    <s v="JE-1131"/>
    <m/>
    <x v="20"/>
    <x v="20"/>
    <s v="Liability"/>
    <s v="Note payable - monthly debt service"/>
    <n v="1180"/>
    <m/>
    <n v="1180"/>
    <s v="GL"/>
  </r>
  <r>
    <x v="93"/>
    <s v="JE-1131"/>
    <m/>
    <x v="16"/>
    <x v="16"/>
    <s v="Asset"/>
    <s v="Note payable - monthly debt service"/>
    <m/>
    <n v="1569.58"/>
    <n v="-1569.58"/>
    <s v="GL"/>
  </r>
  <r>
    <x v="93"/>
    <s v="JE-1130"/>
    <s v="2030"/>
    <x v="22"/>
    <x v="22"/>
    <s v="Expense"/>
    <s v="Office supplies purchase"/>
    <n v="1449.23"/>
    <m/>
    <n v="1449.23"/>
    <s v="GL"/>
  </r>
  <r>
    <x v="7"/>
    <s v="JE-1235"/>
    <s v="1050"/>
    <x v="14"/>
    <x v="14"/>
    <s v="Expense"/>
    <s v="Monthly Insurance Allocation"/>
    <n v="563.47"/>
    <m/>
    <n v="563.47"/>
    <s v="GL"/>
  </r>
  <r>
    <x v="93"/>
    <s v="JE-1017"/>
    <m/>
    <x v="23"/>
    <x v="23"/>
    <s v="Asset"/>
    <s v="Monthly depreciation expense"/>
    <m/>
    <n v="2450"/>
    <n v="-2450"/>
    <s v="GL"/>
  </r>
  <r>
    <x v="93"/>
    <s v="JE-1128"/>
    <s v="1020"/>
    <x v="24"/>
    <x v="24"/>
    <s v="Revenue"/>
    <s v="Interest income on money market reserve"/>
    <m/>
    <n v="891.8"/>
    <n v="-891.8"/>
    <s v="GL"/>
  </r>
  <r>
    <x v="93"/>
    <s v="JE-1128"/>
    <m/>
    <x v="25"/>
    <x v="25"/>
    <s v="Asset"/>
    <s v="Interest income on money market reserve"/>
    <n v="891.8"/>
    <m/>
    <n v="891.8"/>
    <s v="GL"/>
  </r>
  <r>
    <x v="43"/>
    <s v="JE-1295"/>
    <m/>
    <x v="33"/>
    <x v="33"/>
    <s v="Asset"/>
    <s v="Foundation grant award recognized"/>
    <n v="89973.02"/>
    <m/>
    <n v="89973.02"/>
    <s v="GL"/>
  </r>
  <r>
    <x v="94"/>
    <s v="JE-1295"/>
    <m/>
    <x v="16"/>
    <x v="16"/>
    <s v="Asset"/>
    <s v="Client contract payment received"/>
    <n v="149261.82999999999"/>
    <m/>
    <n v="149261.82999999999"/>
    <s v="GL"/>
  </r>
  <r>
    <x v="8"/>
    <s v="JE-1236"/>
    <s v="1020"/>
    <x v="12"/>
    <x v="12"/>
    <s v="Asset"/>
    <s v="Monthly Insurance Allocation"/>
    <m/>
    <n v="2700.01"/>
    <n v="-2700"/>
    <s v="GL"/>
  </r>
  <r>
    <x v="8"/>
    <s v="JE-1236"/>
    <s v="2010"/>
    <x v="14"/>
    <x v="14"/>
    <s v="Expense"/>
    <s v="Monthly Insurance Allocation"/>
    <n v="111.04"/>
    <m/>
    <n v="111.04"/>
    <s v="GL"/>
  </r>
  <r>
    <x v="45"/>
    <s v="JE-1125"/>
    <m/>
    <x v="16"/>
    <x v="16"/>
    <s v="Asset"/>
    <s v="AP disbursement run"/>
    <m/>
    <n v="18029.22"/>
    <n v="-18029.22"/>
    <s v="GL"/>
  </r>
  <r>
    <x v="93"/>
    <s v="JE-1124"/>
    <s v="1020"/>
    <x v="26"/>
    <x v="26"/>
    <s v="Expense"/>
    <s v="Monthly bank service charges"/>
    <n v="91.86"/>
    <m/>
    <n v="91.86"/>
    <s v="GL"/>
  </r>
  <r>
    <x v="93"/>
    <s v="JE-1124"/>
    <m/>
    <x v="16"/>
    <x v="16"/>
    <s v="Asset"/>
    <s v="Monthly bank service charges"/>
    <m/>
    <n v="91.86"/>
    <n v="-91.86"/>
    <s v="GL"/>
  </r>
  <r>
    <x v="44"/>
    <s v="JE-1123"/>
    <s v="2050"/>
    <x v="34"/>
    <x v="34"/>
    <s v="Expense"/>
    <s v="Consultant / contract labor invoice"/>
    <n v="9412.7999999999993"/>
    <m/>
    <n v="9412.7999999999993"/>
    <s v="GL"/>
  </r>
  <r>
    <x v="8"/>
    <s v="JE-1236"/>
    <s v="2020"/>
    <x v="14"/>
    <x v="14"/>
    <s v="Expense"/>
    <s v="Monthly Insurance Allocation"/>
    <n v="126.93"/>
    <m/>
    <n v="126.93"/>
    <s v="GL"/>
  </r>
  <r>
    <x v="95"/>
    <s v="JE-1122"/>
    <s v="2030"/>
    <x v="27"/>
    <x v="27"/>
    <s v="Expense"/>
    <s v="Business meals"/>
    <n v="596.09"/>
    <m/>
    <n v="596.09"/>
    <s v="GL"/>
  </r>
  <r>
    <x v="95"/>
    <s v="JE-1122"/>
    <m/>
    <x v="16"/>
    <x v="16"/>
    <s v="Asset"/>
    <s v="Business meals"/>
    <m/>
    <n v="596.09"/>
    <n v="-596.09"/>
    <s v="GL"/>
  </r>
  <r>
    <x v="96"/>
    <s v="JE-1121"/>
    <s v="2030"/>
    <x v="32"/>
    <x v="32"/>
    <s v="Expense"/>
    <s v="Staff travel - program site visit"/>
    <n v="3148.23"/>
    <m/>
    <n v="3148.23"/>
    <s v="GL"/>
  </r>
  <r>
    <x v="96"/>
    <s v="JE-1121"/>
    <m/>
    <x v="16"/>
    <x v="16"/>
    <s v="Asset"/>
    <s v="Staff travel - program site visit"/>
    <m/>
    <n v="3148.23"/>
    <n v="-3148.23"/>
    <s v="GL"/>
  </r>
  <r>
    <x v="43"/>
    <s v="JE-1120"/>
    <s v="2010"/>
    <x v="22"/>
    <x v="22"/>
    <s v="Expense"/>
    <s v="Office supplies purchase"/>
    <n v="357.19"/>
    <m/>
    <n v="357.19"/>
    <s v="GL"/>
  </r>
  <r>
    <x v="8"/>
    <s v="JE-1236"/>
    <s v="2030"/>
    <x v="14"/>
    <x v="14"/>
    <s v="Expense"/>
    <s v="Monthly Insurance Allocation"/>
    <n v="95.19"/>
    <m/>
    <n v="95.19"/>
    <s v="GL"/>
  </r>
  <r>
    <x v="42"/>
    <s v="JE-1119"/>
    <s v="2020"/>
    <x v="22"/>
    <x v="22"/>
    <s v="Expense"/>
    <s v="Office supplies purchase"/>
    <n v="196.2"/>
    <m/>
    <n v="196.2"/>
    <s v="GL"/>
  </r>
  <r>
    <x v="8"/>
    <s v="JE-1236"/>
    <s v="2040"/>
    <x v="14"/>
    <x v="14"/>
    <s v="Expense"/>
    <s v="Monthly Insurance Allocation"/>
    <n v="126.92"/>
    <m/>
    <n v="126.92"/>
    <s v="GL"/>
  </r>
  <r>
    <x v="8"/>
    <s v="JE-1236"/>
    <s v="2050"/>
    <x v="14"/>
    <x v="14"/>
    <s v="Expense"/>
    <s v="Monthly Insurance Allocation"/>
    <n v="126.92"/>
    <m/>
    <n v="126.92"/>
    <s v="GL"/>
  </r>
  <r>
    <x v="8"/>
    <s v="JE-1236"/>
    <s v="1010"/>
    <x v="14"/>
    <x v="14"/>
    <s v="Expense"/>
    <s v="Monthly Insurance Allocation"/>
    <n v="422.6"/>
    <m/>
    <n v="422.6"/>
    <s v="GL"/>
  </r>
  <r>
    <x v="41"/>
    <s v="JE-1118"/>
    <m/>
    <x v="16"/>
    <x v="16"/>
    <s v="Asset"/>
    <s v="Quarterly insurance premium"/>
    <m/>
    <n v="8100"/>
    <n v="-8100"/>
    <s v="GL"/>
  </r>
  <r>
    <x v="97"/>
    <s v="JE-1117"/>
    <s v="2010"/>
    <x v="28"/>
    <x v="28"/>
    <s v="Expense"/>
    <s v="Software and subscription renewals"/>
    <n v="2469.64"/>
    <m/>
    <n v="2469.64"/>
    <s v="GL"/>
  </r>
  <r>
    <x v="97"/>
    <s v="JE-1117"/>
    <m/>
    <x v="16"/>
    <x v="16"/>
    <s v="Asset"/>
    <s v="Software and subscription renewals"/>
    <m/>
    <n v="2469.64"/>
    <n v="-2469.64"/>
    <s v="GL"/>
  </r>
  <r>
    <x v="7"/>
    <s v="JE-1116"/>
    <s v="1010"/>
    <x v="29"/>
    <x v="29"/>
    <s v="Expense"/>
    <s v="Monthly utilities"/>
    <n v="81.266999999999996"/>
    <m/>
    <n v="81.266999999999996"/>
    <s v="GL"/>
  </r>
  <r>
    <x v="7"/>
    <s v="JE-1116"/>
    <s v="1030"/>
    <x v="29"/>
    <x v="29"/>
    <s v="Expense"/>
    <s v="Monthly utilities"/>
    <n v="108.35599999999999"/>
    <m/>
    <n v="108.35599999999999"/>
    <s v="GL"/>
  </r>
  <r>
    <x v="7"/>
    <s v="JE-1116"/>
    <s v="1040"/>
    <x v="29"/>
    <x v="29"/>
    <s v="Expense"/>
    <s v="Monthly utilities"/>
    <n v="108.35599999999999"/>
    <m/>
    <n v="108.35599999999999"/>
    <s v="GL"/>
  </r>
  <r>
    <x v="7"/>
    <s v="JE-1116"/>
    <s v="1050"/>
    <x v="29"/>
    <x v="29"/>
    <s v="Expense"/>
    <s v="Monthly utilities"/>
    <n v="108.35599999999999"/>
    <m/>
    <n v="108.35599999999999"/>
    <s v="GL"/>
  </r>
  <r>
    <x v="7"/>
    <s v="JE-1116"/>
    <s v="2010"/>
    <x v="29"/>
    <x v="29"/>
    <s v="Expense"/>
    <s v="Monthly utilities"/>
    <n v="189.62299999999999"/>
    <m/>
    <n v="189.62299999999999"/>
    <s v="GL"/>
  </r>
  <r>
    <x v="7"/>
    <s v="JE-1116"/>
    <s v="2020"/>
    <x v="29"/>
    <x v="29"/>
    <s v="Expense"/>
    <s v="Monthly utilities"/>
    <n v="216.71199999999999"/>
    <m/>
    <n v="216.71199999999999"/>
    <s v="GL"/>
  </r>
  <r>
    <x v="7"/>
    <s v="JE-1116"/>
    <s v="2030"/>
    <x v="29"/>
    <x v="29"/>
    <s v="Expense"/>
    <s v="Monthly utilities"/>
    <n v="162.53399999999999"/>
    <m/>
    <n v="162.53399999999999"/>
    <s v="GL"/>
  </r>
  <r>
    <x v="7"/>
    <s v="JE-1116"/>
    <s v="2040"/>
    <x v="29"/>
    <x v="29"/>
    <s v="Expense"/>
    <s v="Monthly utilities"/>
    <n v="162.53399999999999"/>
    <m/>
    <n v="162.53399999999999"/>
    <s v="GL"/>
  </r>
  <r>
    <x v="7"/>
    <s v="JE-1116"/>
    <s v="2050"/>
    <x v="29"/>
    <x v="29"/>
    <s v="Expense"/>
    <s v="Monthly utilities"/>
    <n v="216.71199999999999"/>
    <m/>
    <n v="216.71199999999999"/>
    <s v="GL"/>
  </r>
  <r>
    <x v="8"/>
    <s v="JE-1236"/>
    <s v="1030"/>
    <x v="14"/>
    <x v="14"/>
    <s v="Expense"/>
    <s v="Monthly Insurance Allocation"/>
    <n v="563.47"/>
    <m/>
    <n v="563.47"/>
    <s v="GL"/>
  </r>
  <r>
    <x v="7"/>
    <s v="JE-1003"/>
    <m/>
    <x v="13"/>
    <x v="13"/>
    <s v="Liability"/>
    <s v="Monthly office rent"/>
    <m/>
    <n v="9800"/>
    <n v="-9800"/>
    <s v="GL"/>
  </r>
  <r>
    <x v="38"/>
    <s v="JE-1112"/>
    <m/>
    <x v="20"/>
    <x v="20"/>
    <s v="Liability"/>
    <s v="Note payable - monthly debt service"/>
    <n v="1180"/>
    <m/>
    <n v="1180"/>
    <s v="GL"/>
  </r>
  <r>
    <x v="38"/>
    <s v="JE-1112"/>
    <m/>
    <x v="16"/>
    <x v="16"/>
    <s v="Asset"/>
    <s v="Note payable - monthly debt service"/>
    <m/>
    <n v="1569.58"/>
    <n v="-1569.58"/>
    <s v="GL"/>
  </r>
  <r>
    <x v="38"/>
    <s v="JE-1111"/>
    <s v="1050"/>
    <x v="22"/>
    <x v="22"/>
    <s v="Expense"/>
    <s v="Office supplies purchase"/>
    <n v="1040.81"/>
    <m/>
    <n v="1040.81"/>
    <s v="GL"/>
  </r>
  <r>
    <x v="8"/>
    <s v="JE-1236"/>
    <s v="1040"/>
    <x v="14"/>
    <x v="14"/>
    <s v="Expense"/>
    <s v="Monthly Insurance Allocation"/>
    <n v="563.47"/>
    <m/>
    <n v="563.47"/>
    <s v="GL"/>
  </r>
  <r>
    <x v="38"/>
    <s v="JE-1017"/>
    <m/>
    <x v="23"/>
    <x v="23"/>
    <s v="Asset"/>
    <s v="Monthly depreciation expense"/>
    <m/>
    <n v="2450"/>
    <n v="-2450"/>
    <s v="GL"/>
  </r>
  <r>
    <x v="38"/>
    <s v="JE-1109"/>
    <s v="1020"/>
    <x v="24"/>
    <x v="24"/>
    <s v="Revenue"/>
    <s v="Interest income on money market reserve"/>
    <m/>
    <n v="968.98"/>
    <n v="-968.98"/>
    <s v="GL"/>
  </r>
  <r>
    <x v="38"/>
    <s v="JE-1109"/>
    <m/>
    <x v="25"/>
    <x v="25"/>
    <s v="Asset"/>
    <s v="Interest income on money market reserve"/>
    <n v="968.98"/>
    <m/>
    <n v="968.98"/>
    <s v="GL"/>
  </r>
  <r>
    <x v="38"/>
    <s v="JE-1294"/>
    <m/>
    <x v="0"/>
    <x v="0"/>
    <s v="Asset"/>
    <s v="Accrue grant revenue earned - federal"/>
    <n v="66964.800000000003"/>
    <m/>
    <n v="66964.800000000003"/>
    <s v="GL"/>
  </r>
  <r>
    <x v="98"/>
    <s v="JE-1107"/>
    <m/>
    <x v="16"/>
    <x v="16"/>
    <s v="Asset"/>
    <s v="Federal grant reimbursement draw"/>
    <n v="55589.91"/>
    <m/>
    <n v="55589.91"/>
    <s v="GL"/>
  </r>
  <r>
    <x v="98"/>
    <s v="JE-1107"/>
    <m/>
    <x v="0"/>
    <x v="0"/>
    <s v="Asset"/>
    <s v="Federal grant reimbursement draw"/>
    <m/>
    <n v="55589.91"/>
    <n v="-55589.91"/>
    <s v="GL"/>
  </r>
  <r>
    <x v="99"/>
    <s v="JE-1294"/>
    <m/>
    <x v="16"/>
    <x v="16"/>
    <s v="Asset"/>
    <s v="Client contract payment received"/>
    <n v="201070.31"/>
    <m/>
    <n v="201070.31"/>
    <s v="GL"/>
  </r>
  <r>
    <x v="8"/>
    <s v="JE-1236"/>
    <s v="1050"/>
    <x v="14"/>
    <x v="14"/>
    <s v="Expense"/>
    <s v="Monthly Insurance Allocation"/>
    <n v="563.47"/>
    <m/>
    <n v="563.47"/>
    <s v="GL"/>
  </r>
  <r>
    <x v="39"/>
    <s v="JE-1105"/>
    <m/>
    <x v="16"/>
    <x v="16"/>
    <s v="Asset"/>
    <s v="AP disbursement run"/>
    <m/>
    <n v="13854.94"/>
    <n v="-13854.94"/>
    <s v="GL"/>
  </r>
  <r>
    <x v="38"/>
    <s v="JE-1104"/>
    <s v="1020"/>
    <x v="26"/>
    <x v="26"/>
    <s v="Expense"/>
    <s v="Monthly bank service charges"/>
    <n v="81.73"/>
    <m/>
    <n v="81.73"/>
    <s v="GL"/>
  </r>
  <r>
    <x v="38"/>
    <s v="JE-1104"/>
    <m/>
    <x v="16"/>
    <x v="16"/>
    <s v="Asset"/>
    <s v="Monthly bank service charges"/>
    <m/>
    <n v="81.73"/>
    <n v="-81.73"/>
    <s v="GL"/>
  </r>
  <r>
    <x v="38"/>
    <s v="JE-1103"/>
    <s v="2040"/>
    <x v="34"/>
    <x v="34"/>
    <s v="Expense"/>
    <s v="Consultant / contract labor invoice"/>
    <n v="11087.13"/>
    <m/>
    <n v="11087.13"/>
    <s v="GL"/>
  </r>
  <r>
    <x v="9"/>
    <s v="JE-1237"/>
    <s v="1020"/>
    <x v="12"/>
    <x v="12"/>
    <s v="Asset"/>
    <s v="Monthly Insurance Allocation"/>
    <m/>
    <n v="2700"/>
    <n v="-2700"/>
    <s v="GL"/>
  </r>
  <r>
    <x v="9"/>
    <s v="JE-1237"/>
    <s v="2010"/>
    <x v="14"/>
    <x v="14"/>
    <s v="Expense"/>
    <s v="Monthly Insurance Allocation"/>
    <n v="105.35"/>
    <m/>
    <n v="105.35"/>
    <s v="GL"/>
  </r>
  <r>
    <x v="100"/>
    <s v="JE-1102"/>
    <s v="2050"/>
    <x v="27"/>
    <x v="27"/>
    <s v="Expense"/>
    <s v="Business meals"/>
    <n v="513.54"/>
    <m/>
    <n v="513.54"/>
    <s v="GL"/>
  </r>
  <r>
    <x v="100"/>
    <s v="JE-1102"/>
    <m/>
    <x v="16"/>
    <x v="16"/>
    <s v="Asset"/>
    <s v="Business meals"/>
    <m/>
    <n v="513.54"/>
    <n v="-513.54"/>
    <s v="GL"/>
  </r>
  <r>
    <x v="101"/>
    <s v="JE-1101"/>
    <s v="2050"/>
    <x v="32"/>
    <x v="32"/>
    <s v="Expense"/>
    <s v="Staff travel - program site visit"/>
    <n v="3234.87"/>
    <m/>
    <n v="3234.87"/>
    <s v="GL"/>
  </r>
  <r>
    <x v="101"/>
    <s v="JE-1101"/>
    <m/>
    <x v="16"/>
    <x v="16"/>
    <s v="Asset"/>
    <s v="Staff travel - program site visit"/>
    <m/>
    <n v="3234.87"/>
    <n v="-3234.87"/>
    <s v="GL"/>
  </r>
  <r>
    <x v="38"/>
    <s v="JE-1100"/>
    <s v="1040"/>
    <x v="22"/>
    <x v="22"/>
    <s v="Expense"/>
    <s v="Office supplies purchase"/>
    <n v="856.07"/>
    <m/>
    <n v="856.07"/>
    <s v="GL"/>
  </r>
  <r>
    <x v="9"/>
    <s v="JE-1237"/>
    <s v="2020"/>
    <x v="14"/>
    <x v="14"/>
    <s v="Expense"/>
    <s v="Monthly Insurance Allocation"/>
    <n v="120.42"/>
    <m/>
    <n v="120.42"/>
    <s v="GL"/>
  </r>
  <r>
    <x v="37"/>
    <s v="JE-1099"/>
    <s v="1030"/>
    <x v="22"/>
    <x v="22"/>
    <s v="Expense"/>
    <s v="Office supplies purchase"/>
    <n v="364.38"/>
    <m/>
    <n v="364.38"/>
    <s v="GL"/>
  </r>
  <r>
    <x v="9"/>
    <s v="JE-1237"/>
    <s v="2030"/>
    <x v="14"/>
    <x v="14"/>
    <s v="Expense"/>
    <s v="Monthly Insurance Allocation"/>
    <n v="90.31"/>
    <m/>
    <n v="90.31"/>
    <s v="GL"/>
  </r>
  <r>
    <x v="102"/>
    <s v="JE-1098"/>
    <s v="1050"/>
    <x v="28"/>
    <x v="28"/>
    <s v="Expense"/>
    <s v="Software and subscription renewals"/>
    <n v="2635.58"/>
    <m/>
    <n v="2635.58"/>
    <s v="GL"/>
  </r>
  <r>
    <x v="102"/>
    <s v="JE-1098"/>
    <m/>
    <x v="16"/>
    <x v="16"/>
    <s v="Asset"/>
    <s v="Software and subscription renewals"/>
    <m/>
    <n v="2635.58"/>
    <n v="-2635.58"/>
    <s v="GL"/>
  </r>
  <r>
    <x v="6"/>
    <s v="JE-1097"/>
    <s v="1010"/>
    <x v="29"/>
    <x v="29"/>
    <s v="Expense"/>
    <s v="Monthly utilities"/>
    <n v="77.904230769230793"/>
    <m/>
    <n v="77.904230769230793"/>
    <s v="GL"/>
  </r>
  <r>
    <x v="6"/>
    <s v="JE-1097"/>
    <s v="1030"/>
    <x v="29"/>
    <x v="29"/>
    <s v="Expense"/>
    <s v="Monthly utilities"/>
    <n v="103.872307692308"/>
    <m/>
    <n v="103.872307692308"/>
    <s v="GL"/>
  </r>
  <r>
    <x v="6"/>
    <s v="JE-1097"/>
    <s v="1040"/>
    <x v="29"/>
    <x v="29"/>
    <s v="Expense"/>
    <s v="Monthly utilities"/>
    <n v="103.872307692308"/>
    <m/>
    <n v="103.872307692308"/>
    <s v="GL"/>
  </r>
  <r>
    <x v="6"/>
    <s v="JE-1097"/>
    <s v="1050"/>
    <x v="29"/>
    <x v="29"/>
    <s v="Expense"/>
    <s v="Monthly utilities"/>
    <n v="103.872307692308"/>
    <m/>
    <n v="103.872307692308"/>
    <s v="GL"/>
  </r>
  <r>
    <x v="6"/>
    <s v="JE-1097"/>
    <s v="2010"/>
    <x v="29"/>
    <x v="29"/>
    <s v="Expense"/>
    <s v="Monthly utilities"/>
    <n v="181.77653846153899"/>
    <m/>
    <n v="181.77653846153899"/>
    <s v="GL"/>
  </r>
  <r>
    <x v="6"/>
    <s v="JE-1097"/>
    <s v="2020"/>
    <x v="29"/>
    <x v="29"/>
    <s v="Expense"/>
    <s v="Monthly utilities"/>
    <n v="207.744615384615"/>
    <m/>
    <n v="207.744615384615"/>
    <s v="GL"/>
  </r>
  <r>
    <x v="6"/>
    <s v="JE-1097"/>
    <s v="2030"/>
    <x v="29"/>
    <x v="29"/>
    <s v="Expense"/>
    <s v="Monthly utilities"/>
    <n v="155.80846153846201"/>
    <m/>
    <n v="155.80846153846201"/>
    <s v="GL"/>
  </r>
  <r>
    <x v="6"/>
    <s v="JE-1097"/>
    <s v="2040"/>
    <x v="29"/>
    <x v="29"/>
    <s v="Expense"/>
    <s v="Monthly utilities"/>
    <n v="207.744615384615"/>
    <m/>
    <n v="207.744615384615"/>
    <s v="GL"/>
  </r>
  <r>
    <x v="6"/>
    <s v="JE-1097"/>
    <s v="2050"/>
    <x v="29"/>
    <x v="29"/>
    <s v="Expense"/>
    <s v="Monthly utilities"/>
    <n v="207.744615384615"/>
    <m/>
    <n v="207.744615384615"/>
    <s v="GL"/>
  </r>
  <r>
    <x v="9"/>
    <s v="JE-1237"/>
    <s v="2040"/>
    <x v="14"/>
    <x v="14"/>
    <s v="Expense"/>
    <s v="Monthly Insurance Allocation"/>
    <n v="120.41"/>
    <m/>
    <n v="120.41"/>
    <s v="GL"/>
  </r>
  <r>
    <x v="6"/>
    <s v="JE-1003"/>
    <m/>
    <x v="13"/>
    <x v="13"/>
    <s v="Liability"/>
    <s v="Monthly office rent"/>
    <m/>
    <n v="9800"/>
    <n v="-9800"/>
    <s v="GL"/>
  </r>
  <r>
    <x v="103"/>
    <s v="JE-1093"/>
    <m/>
    <x v="20"/>
    <x v="20"/>
    <s v="Liability"/>
    <s v="Note payable - monthly debt service"/>
    <n v="1180"/>
    <m/>
    <n v="1180"/>
    <s v="GL"/>
  </r>
  <r>
    <x v="103"/>
    <s v="JE-1093"/>
    <m/>
    <x v="16"/>
    <x v="16"/>
    <s v="Asset"/>
    <s v="Note payable - monthly debt service"/>
    <m/>
    <n v="1569.58"/>
    <n v="-1569.58"/>
    <s v="GL"/>
  </r>
  <r>
    <x v="103"/>
    <s v="JE-1092"/>
    <s v="1020"/>
    <x v="22"/>
    <x v="22"/>
    <s v="Expense"/>
    <s v="Office supplies purchase"/>
    <n v="1013.08"/>
    <m/>
    <n v="1013.08"/>
    <s v="GL"/>
  </r>
  <r>
    <x v="9"/>
    <s v="JE-1237"/>
    <s v="2050"/>
    <x v="14"/>
    <x v="14"/>
    <s v="Expense"/>
    <s v="Monthly Insurance Allocation"/>
    <n v="150.51"/>
    <m/>
    <n v="150.51"/>
    <s v="GL"/>
  </r>
  <r>
    <x v="103"/>
    <s v="JE-1017"/>
    <m/>
    <x v="23"/>
    <x v="23"/>
    <s v="Asset"/>
    <s v="Monthly depreciation expense"/>
    <m/>
    <n v="2450"/>
    <n v="-2450"/>
    <s v="GL"/>
  </r>
  <r>
    <x v="103"/>
    <s v="JE-1090"/>
    <s v="1020"/>
    <x v="24"/>
    <x v="24"/>
    <s v="Revenue"/>
    <s v="Interest income on money market reserve"/>
    <m/>
    <n v="862.17"/>
    <n v="-862.17"/>
    <s v="GL"/>
  </r>
  <r>
    <x v="103"/>
    <s v="JE-1090"/>
    <m/>
    <x v="25"/>
    <x v="25"/>
    <s v="Asset"/>
    <s v="Interest income on money market reserve"/>
    <n v="862.17"/>
    <m/>
    <n v="862.17"/>
    <s v="GL"/>
  </r>
  <r>
    <x v="103"/>
    <s v="JE-1293"/>
    <m/>
    <x v="0"/>
    <x v="0"/>
    <s v="Asset"/>
    <s v="Accrue grant revenue earned - federal"/>
    <n v="49945.56"/>
    <m/>
    <n v="49945.56"/>
    <s v="GL"/>
  </r>
  <r>
    <x v="104"/>
    <s v="JE-1088"/>
    <m/>
    <x v="16"/>
    <x v="16"/>
    <s v="Asset"/>
    <s v="Federal grant reimbursement draw"/>
    <n v="70383.14"/>
    <m/>
    <n v="70383.14"/>
    <s v="GL"/>
  </r>
  <r>
    <x v="104"/>
    <s v="JE-1088"/>
    <m/>
    <x v="0"/>
    <x v="0"/>
    <s v="Asset"/>
    <s v="Federal grant reimbursement draw"/>
    <m/>
    <n v="70383.14"/>
    <n v="-70383.14"/>
    <s v="GL"/>
  </r>
  <r>
    <x v="105"/>
    <s v="JE-1293"/>
    <m/>
    <x v="16"/>
    <x v="16"/>
    <s v="Asset"/>
    <s v="Client contract payment received"/>
    <n v="183771.01"/>
    <m/>
    <n v="183771.01"/>
    <s v="GL"/>
  </r>
  <r>
    <x v="9"/>
    <s v="JE-1237"/>
    <s v="1010"/>
    <x v="14"/>
    <x v="14"/>
    <s v="Expense"/>
    <s v="Monthly Insurance Allocation"/>
    <n v="487.62"/>
    <m/>
    <n v="487.62"/>
    <s v="GL"/>
  </r>
  <r>
    <x v="35"/>
    <s v="JE-1086"/>
    <m/>
    <x v="16"/>
    <x v="16"/>
    <s v="Asset"/>
    <s v="AP disbursement run"/>
    <m/>
    <n v="14446.02"/>
    <n v="-14446.02"/>
    <s v="GL"/>
  </r>
  <r>
    <x v="103"/>
    <s v="JE-1085"/>
    <s v="1020"/>
    <x v="26"/>
    <x v="26"/>
    <s v="Expense"/>
    <s v="Monthly bank service charges"/>
    <n v="78.150000000000006"/>
    <m/>
    <n v="78.150000000000006"/>
    <s v="GL"/>
  </r>
  <r>
    <x v="103"/>
    <s v="JE-1085"/>
    <m/>
    <x v="16"/>
    <x v="16"/>
    <s v="Asset"/>
    <s v="Monthly bank service charges"/>
    <m/>
    <n v="78.150000000000006"/>
    <n v="-78.150000000000006"/>
    <s v="GL"/>
  </r>
  <r>
    <x v="34"/>
    <s v="JE-1084"/>
    <s v="2030"/>
    <x v="34"/>
    <x v="34"/>
    <s v="Expense"/>
    <s v="Consultant / contract labor invoice"/>
    <n v="9256.74"/>
    <m/>
    <n v="9256.74"/>
    <s v="GL"/>
  </r>
  <r>
    <x v="9"/>
    <s v="JE-1237"/>
    <s v="1030"/>
    <x v="14"/>
    <x v="14"/>
    <s v="Expense"/>
    <s v="Monthly Insurance Allocation"/>
    <n v="650.15"/>
    <m/>
    <n v="650.15"/>
    <s v="GL"/>
  </r>
  <r>
    <x v="106"/>
    <s v="JE-1083"/>
    <s v="2040"/>
    <x v="32"/>
    <x v="32"/>
    <s v="Expense"/>
    <s v="Staff travel - program site visit"/>
    <n v="611.67999999999995"/>
    <m/>
    <n v="611.67999999999995"/>
    <s v="GL"/>
  </r>
  <r>
    <x v="106"/>
    <s v="JE-1083"/>
    <m/>
    <x v="16"/>
    <x v="16"/>
    <s v="Asset"/>
    <s v="Staff travel - program site visit"/>
    <m/>
    <n v="611.67999999999995"/>
    <n v="-611.67999999999995"/>
    <s v="GL"/>
  </r>
  <r>
    <x v="33"/>
    <s v="JE-1082"/>
    <s v="1010"/>
    <x v="22"/>
    <x v="22"/>
    <s v="Expense"/>
    <s v="Office supplies purchase"/>
    <n v="265.89999999999998"/>
    <m/>
    <n v="265.89999999999998"/>
    <s v="GL"/>
  </r>
  <r>
    <x v="9"/>
    <s v="JE-1237"/>
    <s v="1040"/>
    <x v="14"/>
    <x v="14"/>
    <s v="Expense"/>
    <s v="Monthly Insurance Allocation"/>
    <n v="650.15"/>
    <m/>
    <n v="650.15"/>
    <s v="GL"/>
  </r>
  <r>
    <x v="32"/>
    <s v="JE-1081"/>
    <s v="2050"/>
    <x v="22"/>
    <x v="22"/>
    <s v="Expense"/>
    <s v="Office supplies purchase"/>
    <n v="771.82"/>
    <m/>
    <n v="771.82"/>
    <s v="GL"/>
  </r>
  <r>
    <x v="9"/>
    <s v="JE-1237"/>
    <s v="1050"/>
    <x v="14"/>
    <x v="14"/>
    <s v="Expense"/>
    <s v="Monthly Insurance Allocation"/>
    <n v="325.08"/>
    <m/>
    <n v="325.08"/>
    <s v="GL"/>
  </r>
  <r>
    <x v="107"/>
    <s v="JE-1080"/>
    <s v="1040"/>
    <x v="28"/>
    <x v="28"/>
    <s v="Expense"/>
    <s v="Software and subscription renewals"/>
    <n v="3018.05"/>
    <m/>
    <n v="3018.05"/>
    <s v="GL"/>
  </r>
  <r>
    <x v="107"/>
    <s v="JE-1080"/>
    <m/>
    <x v="16"/>
    <x v="16"/>
    <s v="Asset"/>
    <s v="Software and subscription renewals"/>
    <m/>
    <n v="3018.05"/>
    <n v="-3018.05"/>
    <s v="GL"/>
  </r>
  <r>
    <x v="5"/>
    <s v="JE-1079"/>
    <s v="1010"/>
    <x v="29"/>
    <x v="29"/>
    <s v="Expense"/>
    <s v="Monthly utilities"/>
    <n v="64.864615384615405"/>
    <m/>
    <n v="64.864615384615405"/>
    <s v="GL"/>
  </r>
  <r>
    <x v="5"/>
    <s v="JE-1079"/>
    <s v="1030"/>
    <x v="29"/>
    <x v="29"/>
    <s v="Expense"/>
    <s v="Monthly utilities"/>
    <n v="86.486153846153798"/>
    <m/>
    <n v="86.486153846153798"/>
    <s v="GL"/>
  </r>
  <r>
    <x v="5"/>
    <s v="JE-1079"/>
    <s v="1040"/>
    <x v="29"/>
    <x v="29"/>
    <s v="Expense"/>
    <s v="Monthly utilities"/>
    <n v="86.486153846153798"/>
    <m/>
    <n v="86.486153846153798"/>
    <s v="GL"/>
  </r>
  <r>
    <x v="5"/>
    <s v="JE-1079"/>
    <s v="1050"/>
    <x v="29"/>
    <x v="29"/>
    <s v="Expense"/>
    <s v="Monthly utilities"/>
    <n v="86.486153846153798"/>
    <m/>
    <n v="86.486153846153798"/>
    <s v="GL"/>
  </r>
  <r>
    <x v="5"/>
    <s v="JE-1079"/>
    <s v="2010"/>
    <x v="29"/>
    <x v="29"/>
    <s v="Expense"/>
    <s v="Monthly utilities"/>
    <n v="151.350769230769"/>
    <m/>
    <n v="151.350769230769"/>
    <s v="GL"/>
  </r>
  <r>
    <x v="5"/>
    <s v="JE-1079"/>
    <s v="2020"/>
    <x v="29"/>
    <x v="29"/>
    <s v="Expense"/>
    <s v="Monthly utilities"/>
    <n v="172.97230769230799"/>
    <m/>
    <n v="172.97230769230799"/>
    <s v="GL"/>
  </r>
  <r>
    <x v="5"/>
    <s v="JE-1079"/>
    <s v="2030"/>
    <x v="29"/>
    <x v="29"/>
    <s v="Expense"/>
    <s v="Monthly utilities"/>
    <n v="129.72923076923101"/>
    <m/>
    <n v="129.72923076923101"/>
    <s v="GL"/>
  </r>
  <r>
    <x v="5"/>
    <s v="JE-1079"/>
    <s v="2040"/>
    <x v="29"/>
    <x v="29"/>
    <s v="Expense"/>
    <s v="Monthly utilities"/>
    <n v="172.97230769230799"/>
    <m/>
    <n v="172.97230769230799"/>
    <s v="GL"/>
  </r>
  <r>
    <x v="5"/>
    <s v="JE-1079"/>
    <s v="2050"/>
    <x v="29"/>
    <x v="29"/>
    <s v="Expense"/>
    <s v="Monthly utilities"/>
    <n v="172.97230769230799"/>
    <m/>
    <n v="172.97230769230799"/>
    <s v="GL"/>
  </r>
  <r>
    <x v="10"/>
    <s v="JE-1238"/>
    <s v="1020"/>
    <x v="12"/>
    <x v="12"/>
    <s v="Asset"/>
    <s v="Monthly Insurance Allocation"/>
    <m/>
    <n v="2700"/>
    <n v="-2700"/>
    <s v="GL"/>
  </r>
  <r>
    <x v="10"/>
    <s v="JE-1238"/>
    <s v="2010"/>
    <x v="14"/>
    <x v="14"/>
    <s v="Expense"/>
    <s v="Monthly Insurance Allocation"/>
    <n v="105.35"/>
    <m/>
    <n v="105.35"/>
    <s v="GL"/>
  </r>
  <r>
    <x v="5"/>
    <s v="JE-1003"/>
    <m/>
    <x v="13"/>
    <x v="13"/>
    <s v="Liability"/>
    <s v="Monthly office rent"/>
    <m/>
    <n v="9800"/>
    <n v="-9800"/>
    <s v="GL"/>
  </r>
  <r>
    <x v="108"/>
    <s v="JE-1075"/>
    <m/>
    <x v="20"/>
    <x v="20"/>
    <s v="Liability"/>
    <s v="Note payable - monthly debt service"/>
    <n v="1180"/>
    <m/>
    <n v="1180"/>
    <s v="GL"/>
  </r>
  <r>
    <x v="108"/>
    <s v="JE-1075"/>
    <m/>
    <x v="16"/>
    <x v="16"/>
    <s v="Asset"/>
    <s v="Note payable - monthly debt service"/>
    <m/>
    <n v="1569.58"/>
    <n v="-1569.58"/>
    <s v="GL"/>
  </r>
  <r>
    <x v="108"/>
    <s v="JE-1074"/>
    <s v="2040"/>
    <x v="22"/>
    <x v="22"/>
    <s v="Expense"/>
    <s v="Office supplies purchase"/>
    <n v="1167.1300000000001"/>
    <m/>
    <n v="1167.1300000000001"/>
    <s v="GL"/>
  </r>
  <r>
    <x v="10"/>
    <s v="JE-1238"/>
    <s v="2020"/>
    <x v="14"/>
    <x v="14"/>
    <s v="Expense"/>
    <s v="Monthly Insurance Allocation"/>
    <n v="120.42"/>
    <m/>
    <n v="120.42"/>
    <s v="GL"/>
  </r>
  <r>
    <x v="108"/>
    <s v="JE-1017"/>
    <m/>
    <x v="23"/>
    <x v="23"/>
    <s v="Asset"/>
    <s v="Monthly depreciation expense"/>
    <m/>
    <n v="2450"/>
    <n v="-2450"/>
    <s v="GL"/>
  </r>
  <r>
    <x v="108"/>
    <s v="JE-1072"/>
    <s v="1020"/>
    <x v="24"/>
    <x v="24"/>
    <s v="Revenue"/>
    <s v="Interest income on money market reserve"/>
    <m/>
    <n v="769.06"/>
    <n v="-769.06"/>
    <s v="GL"/>
  </r>
  <r>
    <x v="108"/>
    <s v="JE-1072"/>
    <m/>
    <x v="25"/>
    <x v="25"/>
    <s v="Asset"/>
    <s v="Interest income on money market reserve"/>
    <n v="769.06"/>
    <m/>
    <n v="769.06"/>
    <s v="GL"/>
  </r>
  <r>
    <x v="109"/>
    <s v="JE-1292"/>
    <m/>
    <x v="33"/>
    <x v="33"/>
    <s v="Asset"/>
    <s v="Foundation grant award recognized"/>
    <n v="79551.199999999997"/>
    <m/>
    <n v="79551.199999999997"/>
    <s v="GL"/>
  </r>
  <r>
    <x v="108"/>
    <s v="JE-1292"/>
    <m/>
    <x v="0"/>
    <x v="0"/>
    <s v="Asset"/>
    <s v="Accrue grant revenue earned - federal"/>
    <n v="79603.97"/>
    <m/>
    <n v="79603.97"/>
    <s v="GL"/>
  </r>
  <r>
    <x v="29"/>
    <s v="JE-1069"/>
    <m/>
    <x v="16"/>
    <x v="16"/>
    <s v="Asset"/>
    <s v="Federal grant reimbursement draw"/>
    <n v="76372.3"/>
    <m/>
    <n v="76372.3"/>
    <s v="GL"/>
  </r>
  <r>
    <x v="29"/>
    <s v="JE-1069"/>
    <m/>
    <x v="0"/>
    <x v="0"/>
    <s v="Asset"/>
    <s v="Federal grant reimbursement draw"/>
    <m/>
    <n v="76372.3"/>
    <n v="-76372.3"/>
    <s v="GL"/>
  </r>
  <r>
    <x v="110"/>
    <s v="JE-1292"/>
    <m/>
    <x v="16"/>
    <x v="16"/>
    <s v="Asset"/>
    <s v="Client contract payment received"/>
    <n v="143298.15"/>
    <m/>
    <n v="143298.15"/>
    <s v="GL"/>
  </r>
  <r>
    <x v="10"/>
    <s v="JE-1238"/>
    <s v="2030"/>
    <x v="14"/>
    <x v="14"/>
    <s v="Expense"/>
    <s v="Monthly Insurance Allocation"/>
    <n v="90.31"/>
    <m/>
    <n v="90.31"/>
    <s v="GL"/>
  </r>
  <r>
    <x v="30"/>
    <s v="JE-1067"/>
    <m/>
    <x v="16"/>
    <x v="16"/>
    <s v="Asset"/>
    <s v="AP disbursement run"/>
    <m/>
    <n v="23527.74"/>
    <n v="-23527.74"/>
    <s v="GL"/>
  </r>
  <r>
    <x v="108"/>
    <s v="JE-1066"/>
    <s v="1020"/>
    <x v="26"/>
    <x v="26"/>
    <s v="Expense"/>
    <s v="Monthly bank service charges"/>
    <n v="78.31"/>
    <m/>
    <n v="78.31"/>
    <s v="GL"/>
  </r>
  <r>
    <x v="108"/>
    <s v="JE-1066"/>
    <m/>
    <x v="16"/>
    <x v="16"/>
    <s v="Asset"/>
    <s v="Monthly bank service charges"/>
    <m/>
    <n v="78.31"/>
    <n v="-78.31"/>
    <s v="GL"/>
  </r>
  <r>
    <x v="27"/>
    <s v="JE-1065"/>
    <s v="2020"/>
    <x v="34"/>
    <x v="34"/>
    <s v="Expense"/>
    <s v="Consultant / contract labor invoice"/>
    <n v="14969.25"/>
    <m/>
    <n v="14969.25"/>
    <s v="GL"/>
  </r>
  <r>
    <x v="10"/>
    <s v="JE-1238"/>
    <s v="2040"/>
    <x v="14"/>
    <x v="14"/>
    <s v="Expense"/>
    <s v="Monthly Insurance Allocation"/>
    <n v="120.41"/>
    <m/>
    <n v="120.41"/>
    <s v="GL"/>
  </r>
  <r>
    <x v="111"/>
    <s v="JE-1064"/>
    <s v="2030"/>
    <x v="32"/>
    <x v="32"/>
    <s v="Expense"/>
    <s v="Staff travel - program site visit"/>
    <n v="2704.51"/>
    <m/>
    <n v="2704.51"/>
    <s v="GL"/>
  </r>
  <r>
    <x v="111"/>
    <s v="JE-1064"/>
    <m/>
    <x v="16"/>
    <x v="16"/>
    <s v="Asset"/>
    <s v="Staff travel - program site visit"/>
    <m/>
    <n v="2704.51"/>
    <n v="-2704.51"/>
    <s v="GL"/>
  </r>
  <r>
    <x v="29"/>
    <s v="JE-1063"/>
    <s v="2030"/>
    <x v="22"/>
    <x v="22"/>
    <s v="Expense"/>
    <s v="Office supplies purchase"/>
    <n v="753.64"/>
    <m/>
    <n v="753.64"/>
    <s v="GL"/>
  </r>
  <r>
    <x v="10"/>
    <s v="JE-1238"/>
    <s v="2050"/>
    <x v="14"/>
    <x v="14"/>
    <s v="Expense"/>
    <s v="Monthly Insurance Allocation"/>
    <n v="150.51"/>
    <m/>
    <n v="150.51"/>
    <s v="GL"/>
  </r>
  <r>
    <x v="10"/>
    <s v="JE-1238"/>
    <s v="1010"/>
    <x v="14"/>
    <x v="14"/>
    <s v="Expense"/>
    <s v="Monthly Insurance Allocation"/>
    <n v="487.62"/>
    <m/>
    <n v="487.62"/>
    <s v="GL"/>
  </r>
  <r>
    <x v="10"/>
    <s v="JE-1238"/>
    <s v="1030"/>
    <x v="14"/>
    <x v="14"/>
    <s v="Expense"/>
    <s v="Monthly Insurance Allocation"/>
    <n v="650.15"/>
    <m/>
    <n v="650.15"/>
    <s v="GL"/>
  </r>
  <r>
    <x v="28"/>
    <s v="JE-1062"/>
    <m/>
    <x v="16"/>
    <x v="16"/>
    <s v="Asset"/>
    <s v="Quarterly insurance premium"/>
    <m/>
    <n v="8100"/>
    <n v="-8100"/>
    <s v="GL"/>
  </r>
  <r>
    <x v="112"/>
    <s v="JE-1061"/>
    <s v="1030"/>
    <x v="28"/>
    <x v="28"/>
    <s v="Expense"/>
    <s v="Software and subscription renewals"/>
    <n v="2517.86"/>
    <m/>
    <n v="2517.86"/>
    <s v="GL"/>
  </r>
  <r>
    <x v="112"/>
    <s v="JE-1061"/>
    <m/>
    <x v="16"/>
    <x v="16"/>
    <s v="Asset"/>
    <s v="Software and subscription renewals"/>
    <m/>
    <n v="2517.86"/>
    <n v="-2517.86"/>
    <s v="GL"/>
  </r>
  <r>
    <x v="4"/>
    <s v="JE-1060"/>
    <s v="1010"/>
    <x v="29"/>
    <x v="29"/>
    <s v="Expense"/>
    <s v="Monthly utilities"/>
    <n v="60.388800000000003"/>
    <m/>
    <n v="60.388800000000003"/>
    <s v="GL"/>
  </r>
  <r>
    <x v="4"/>
    <s v="JE-1060"/>
    <s v="1030"/>
    <x v="29"/>
    <x v="29"/>
    <s v="Expense"/>
    <s v="Monthly utilities"/>
    <n v="80.5184"/>
    <m/>
    <n v="80.5184"/>
    <s v="GL"/>
  </r>
  <r>
    <x v="4"/>
    <s v="JE-1060"/>
    <s v="1040"/>
    <x v="29"/>
    <x v="29"/>
    <s v="Expense"/>
    <s v="Monthly utilities"/>
    <n v="80.5184"/>
    <m/>
    <n v="80.5184"/>
    <s v="GL"/>
  </r>
  <r>
    <x v="4"/>
    <s v="JE-1060"/>
    <s v="1050"/>
    <x v="29"/>
    <x v="29"/>
    <s v="Expense"/>
    <s v="Monthly utilities"/>
    <n v="80.5184"/>
    <m/>
    <n v="80.5184"/>
    <s v="GL"/>
  </r>
  <r>
    <x v="4"/>
    <s v="JE-1060"/>
    <s v="2010"/>
    <x v="29"/>
    <x v="29"/>
    <s v="Expense"/>
    <s v="Monthly utilities"/>
    <n v="100.648"/>
    <m/>
    <n v="100.648"/>
    <s v="GL"/>
  </r>
  <r>
    <x v="4"/>
    <s v="JE-1060"/>
    <s v="2020"/>
    <x v="29"/>
    <x v="29"/>
    <s v="Expense"/>
    <s v="Monthly utilities"/>
    <n v="161.0368"/>
    <m/>
    <n v="161.0368"/>
    <s v="GL"/>
  </r>
  <r>
    <x v="4"/>
    <s v="JE-1060"/>
    <s v="2030"/>
    <x v="29"/>
    <x v="29"/>
    <s v="Expense"/>
    <s v="Monthly utilities"/>
    <n v="120.77760000000001"/>
    <m/>
    <n v="120.77760000000001"/>
    <s v="GL"/>
  </r>
  <r>
    <x v="4"/>
    <s v="JE-1060"/>
    <s v="2040"/>
    <x v="29"/>
    <x v="29"/>
    <s v="Expense"/>
    <s v="Monthly utilities"/>
    <n v="161.0368"/>
    <m/>
    <n v="161.0368"/>
    <s v="GL"/>
  </r>
  <r>
    <x v="4"/>
    <s v="JE-1060"/>
    <s v="2050"/>
    <x v="29"/>
    <x v="29"/>
    <s v="Expense"/>
    <s v="Monthly utilities"/>
    <n v="161.0368"/>
    <m/>
    <n v="161.0368"/>
    <s v="GL"/>
  </r>
  <r>
    <x v="10"/>
    <s v="JE-1238"/>
    <s v="1040"/>
    <x v="14"/>
    <x v="14"/>
    <s v="Expense"/>
    <s v="Monthly Insurance Allocation"/>
    <n v="650.15"/>
    <m/>
    <n v="650.15"/>
    <s v="GL"/>
  </r>
  <r>
    <x v="4"/>
    <s v="JE-1003"/>
    <m/>
    <x v="13"/>
    <x v="13"/>
    <s v="Liability"/>
    <s v="Monthly office rent"/>
    <m/>
    <n v="9800"/>
    <n v="-9800"/>
    <s v="GL"/>
  </r>
  <r>
    <x v="113"/>
    <s v="JE-1056"/>
    <m/>
    <x v="20"/>
    <x v="20"/>
    <s v="Liability"/>
    <s v="Note payable - monthly debt service"/>
    <n v="1180"/>
    <m/>
    <n v="1180"/>
    <s v="GL"/>
  </r>
  <r>
    <x v="113"/>
    <s v="JE-1056"/>
    <m/>
    <x v="16"/>
    <x v="16"/>
    <s v="Asset"/>
    <s v="Note payable - monthly debt service"/>
    <m/>
    <n v="1569.58"/>
    <n v="-1569.58"/>
    <s v="GL"/>
  </r>
  <r>
    <x v="26"/>
    <s v="JE-1055"/>
    <s v="1020"/>
    <x v="21"/>
    <x v="21"/>
    <s v="Expense"/>
    <s v="Professional fees - audit/accounting"/>
    <n v="21086.560000000001"/>
    <m/>
    <n v="21086.560000000001"/>
    <s v="GL"/>
  </r>
  <r>
    <x v="10"/>
    <s v="JE-1238"/>
    <s v="1050"/>
    <x v="14"/>
    <x v="14"/>
    <s v="Expense"/>
    <s v="Monthly Insurance Allocation"/>
    <n v="325.08"/>
    <m/>
    <n v="325.08"/>
    <s v="GL"/>
  </r>
  <r>
    <x v="113"/>
    <s v="JE-1054"/>
    <s v="2020"/>
    <x v="22"/>
    <x v="22"/>
    <s v="Expense"/>
    <s v="Office supplies purchase"/>
    <n v="1047.69"/>
    <m/>
    <n v="1047.69"/>
    <s v="GL"/>
  </r>
  <r>
    <x v="11"/>
    <s v="JE-1239"/>
    <s v="1020"/>
    <x v="12"/>
    <x v="12"/>
    <s v="Asset"/>
    <s v="Monthly Insurance Allocation"/>
    <m/>
    <n v="2700"/>
    <n v="-2700"/>
    <s v="GL"/>
  </r>
  <r>
    <x v="11"/>
    <s v="JE-1239"/>
    <s v="2010"/>
    <x v="14"/>
    <x v="14"/>
    <s v="Expense"/>
    <s v="Monthly Insurance Allocation"/>
    <n v="111.04"/>
    <m/>
    <n v="111.04"/>
    <s v="GL"/>
  </r>
  <r>
    <x v="113"/>
    <s v="JE-1017"/>
    <m/>
    <x v="23"/>
    <x v="23"/>
    <s v="Asset"/>
    <s v="Monthly depreciation expense"/>
    <m/>
    <n v="2450"/>
    <n v="-2450"/>
    <s v="GL"/>
  </r>
  <r>
    <x v="113"/>
    <s v="JE-1052"/>
    <s v="1020"/>
    <x v="24"/>
    <x v="24"/>
    <s v="Revenue"/>
    <s v="Interest income on money market reserve"/>
    <m/>
    <n v="830.32"/>
    <n v="-830.32"/>
    <s v="GL"/>
  </r>
  <r>
    <x v="113"/>
    <s v="JE-1052"/>
    <m/>
    <x v="25"/>
    <x v="25"/>
    <s v="Asset"/>
    <s v="Interest income on money market reserve"/>
    <n v="830.32"/>
    <m/>
    <n v="830.32"/>
    <s v="GL"/>
  </r>
  <r>
    <x v="113"/>
    <s v="JE-1291"/>
    <m/>
    <x v="0"/>
    <x v="0"/>
    <s v="Asset"/>
    <s v="Accrue grant revenue earned - federal"/>
    <n v="55772.65"/>
    <m/>
    <n v="55772.65"/>
    <s v="GL"/>
  </r>
  <r>
    <x v="114"/>
    <s v="JE-1050"/>
    <m/>
    <x v="16"/>
    <x v="16"/>
    <s v="Asset"/>
    <s v="Federal grant reimbursement draw"/>
    <n v="46605.01"/>
    <m/>
    <n v="46605.01"/>
    <s v="GL"/>
  </r>
  <r>
    <x v="114"/>
    <s v="JE-1050"/>
    <m/>
    <x v="0"/>
    <x v="0"/>
    <s v="Asset"/>
    <s v="Federal grant reimbursement draw"/>
    <m/>
    <n v="46605.01"/>
    <n v="-46605.01"/>
    <s v="GL"/>
  </r>
  <r>
    <x v="115"/>
    <s v="JE-1291"/>
    <m/>
    <x v="16"/>
    <x v="16"/>
    <s v="Asset"/>
    <s v="Client contract payment received"/>
    <n v="194319.99"/>
    <m/>
    <n v="194319.99"/>
    <s v="GL"/>
  </r>
  <r>
    <x v="11"/>
    <s v="JE-1239"/>
    <s v="2020"/>
    <x v="14"/>
    <x v="14"/>
    <s v="Expense"/>
    <s v="Monthly Insurance Allocation"/>
    <n v="126.93"/>
    <m/>
    <n v="126.93"/>
    <s v="GL"/>
  </r>
  <r>
    <x v="25"/>
    <s v="JE-1048"/>
    <m/>
    <x v="16"/>
    <x v="16"/>
    <s v="Asset"/>
    <s v="AP disbursement run"/>
    <m/>
    <n v="19622.849999999999"/>
    <n v="-19622.849999999999"/>
    <s v="GL"/>
  </r>
  <r>
    <x v="113"/>
    <s v="JE-1047"/>
    <s v="1020"/>
    <x v="26"/>
    <x v="26"/>
    <s v="Expense"/>
    <s v="Monthly bank service charges"/>
    <n v="93.19"/>
    <m/>
    <n v="93.19"/>
    <s v="GL"/>
  </r>
  <r>
    <x v="113"/>
    <s v="JE-1047"/>
    <m/>
    <x v="16"/>
    <x v="16"/>
    <s v="Asset"/>
    <s v="Monthly bank service charges"/>
    <m/>
    <n v="93.19"/>
    <n v="-93.19"/>
    <s v="GL"/>
  </r>
  <r>
    <x v="113"/>
    <s v="JE-1046"/>
    <s v="2050"/>
    <x v="32"/>
    <x v="32"/>
    <s v="Expense"/>
    <s v="Staff travel - program site visit"/>
    <n v="1966.04"/>
    <m/>
    <n v="1966.04"/>
    <s v="GL"/>
  </r>
  <r>
    <x v="113"/>
    <s v="JE-1046"/>
    <m/>
    <x v="16"/>
    <x v="16"/>
    <s v="Asset"/>
    <s v="Staff travel - program site visit"/>
    <m/>
    <n v="1966.04"/>
    <n v="-1966.04"/>
    <s v="GL"/>
  </r>
  <r>
    <x v="24"/>
    <s v="JE-1045"/>
    <s v="2010"/>
    <x v="22"/>
    <x v="22"/>
    <s v="Expense"/>
    <s v="Office supplies purchase"/>
    <n v="591.29"/>
    <m/>
    <n v="591.29"/>
    <s v="GL"/>
  </r>
  <r>
    <x v="11"/>
    <s v="JE-1239"/>
    <s v="2030"/>
    <x v="14"/>
    <x v="14"/>
    <s v="Expense"/>
    <s v="Monthly Insurance Allocation"/>
    <n v="63.46"/>
    <m/>
    <n v="63.46"/>
    <s v="GL"/>
  </r>
  <r>
    <x v="116"/>
    <s v="JE-1044"/>
    <s v="1020"/>
    <x v="28"/>
    <x v="28"/>
    <s v="Expense"/>
    <s v="Software and subscription renewals"/>
    <n v="2930.96"/>
    <m/>
    <n v="2930.96"/>
    <s v="GL"/>
  </r>
  <r>
    <x v="116"/>
    <s v="JE-1044"/>
    <m/>
    <x v="16"/>
    <x v="16"/>
    <s v="Asset"/>
    <s v="Software and subscription renewals"/>
    <m/>
    <n v="2930.96"/>
    <n v="-2930.96"/>
    <s v="GL"/>
  </r>
  <r>
    <x v="3"/>
    <s v="JE-1043"/>
    <s v="1010"/>
    <x v="29"/>
    <x v="29"/>
    <s v="Expense"/>
    <s v="Monthly utilities"/>
    <n v="65.497200000000007"/>
    <m/>
    <n v="65.497200000000007"/>
    <s v="GL"/>
  </r>
  <r>
    <x v="3"/>
    <s v="JE-1043"/>
    <s v="1030"/>
    <x v="29"/>
    <x v="29"/>
    <s v="Expense"/>
    <s v="Monthly utilities"/>
    <n v="87.329599999999999"/>
    <m/>
    <n v="87.329599999999999"/>
    <s v="GL"/>
  </r>
  <r>
    <x v="3"/>
    <s v="JE-1043"/>
    <s v="1040"/>
    <x v="29"/>
    <x v="29"/>
    <s v="Expense"/>
    <s v="Monthly utilities"/>
    <n v="87.329599999999999"/>
    <m/>
    <n v="87.329599999999999"/>
    <s v="GL"/>
  </r>
  <r>
    <x v="3"/>
    <s v="JE-1043"/>
    <s v="1050"/>
    <x v="29"/>
    <x v="29"/>
    <s v="Expense"/>
    <s v="Monthly utilities"/>
    <n v="87.329599999999999"/>
    <m/>
    <n v="87.329599999999999"/>
    <s v="GL"/>
  </r>
  <r>
    <x v="3"/>
    <s v="JE-1043"/>
    <s v="2010"/>
    <x v="29"/>
    <x v="29"/>
    <s v="Expense"/>
    <s v="Monthly utilities"/>
    <n v="152.82679999999999"/>
    <m/>
    <n v="152.82679999999999"/>
    <s v="GL"/>
  </r>
  <r>
    <x v="3"/>
    <s v="JE-1043"/>
    <s v="2020"/>
    <x v="29"/>
    <x v="29"/>
    <s v="Expense"/>
    <s v="Monthly utilities"/>
    <n v="130.99440000000001"/>
    <m/>
    <n v="130.99440000000001"/>
    <s v="GL"/>
  </r>
  <r>
    <x v="3"/>
    <s v="JE-1043"/>
    <s v="2030"/>
    <x v="29"/>
    <x v="29"/>
    <s v="Expense"/>
    <s v="Monthly utilities"/>
    <n v="130.99440000000001"/>
    <m/>
    <n v="130.99440000000001"/>
    <s v="GL"/>
  </r>
  <r>
    <x v="3"/>
    <s v="JE-1043"/>
    <s v="2040"/>
    <x v="29"/>
    <x v="29"/>
    <s v="Expense"/>
    <s v="Monthly utilities"/>
    <n v="174.6592"/>
    <m/>
    <n v="174.6592"/>
    <s v="GL"/>
  </r>
  <r>
    <x v="3"/>
    <s v="JE-1043"/>
    <s v="2050"/>
    <x v="29"/>
    <x v="29"/>
    <s v="Expense"/>
    <s v="Monthly utilities"/>
    <n v="174.6592"/>
    <m/>
    <n v="174.6592"/>
    <s v="GL"/>
  </r>
  <r>
    <x v="11"/>
    <s v="JE-1239"/>
    <s v="2040"/>
    <x v="14"/>
    <x v="14"/>
    <s v="Expense"/>
    <s v="Monthly Insurance Allocation"/>
    <n v="126.92"/>
    <m/>
    <n v="126.92"/>
    <s v="GL"/>
  </r>
  <r>
    <x v="3"/>
    <s v="JE-1003"/>
    <m/>
    <x v="13"/>
    <x v="13"/>
    <s v="Liability"/>
    <s v="Monthly office rent"/>
    <m/>
    <n v="9800"/>
    <n v="-9800"/>
    <s v="GL"/>
  </r>
  <r>
    <x v="117"/>
    <s v="JE-1039"/>
    <s v="1020"/>
    <x v="19"/>
    <x v="19"/>
    <s v="Expense"/>
    <s v="Miscellaneous expense"/>
    <n v="523.03"/>
    <m/>
    <n v="523.03"/>
    <s v="GL"/>
  </r>
  <r>
    <x v="117"/>
    <s v="JE-1039"/>
    <m/>
    <x v="16"/>
    <x v="16"/>
    <s v="Asset"/>
    <s v="Miscellaneous expense"/>
    <m/>
    <n v="523.03"/>
    <n v="-523.03"/>
    <s v="GL"/>
  </r>
  <r>
    <x v="118"/>
    <s v="JE-1038"/>
    <m/>
    <x v="20"/>
    <x v="20"/>
    <s v="Liability"/>
    <s v="Note payable - monthly debt service"/>
    <n v="1180"/>
    <m/>
    <n v="1180"/>
    <s v="GL"/>
  </r>
  <r>
    <x v="118"/>
    <s v="JE-1038"/>
    <m/>
    <x v="16"/>
    <x v="16"/>
    <s v="Asset"/>
    <s v="Note payable - monthly debt service"/>
    <m/>
    <n v="1569.58"/>
    <n v="-1569.58"/>
    <s v="GL"/>
  </r>
  <r>
    <x v="22"/>
    <s v="JE-1037"/>
    <s v="1020"/>
    <x v="31"/>
    <x v="31"/>
    <s v="Expense"/>
    <s v="Legal fees"/>
    <n v="2750.88"/>
    <m/>
    <n v="2750.88"/>
    <s v="GL"/>
  </r>
  <r>
    <x v="11"/>
    <s v="JE-1239"/>
    <s v="2050"/>
    <x v="14"/>
    <x v="14"/>
    <s v="Expense"/>
    <s v="Monthly Insurance Allocation"/>
    <n v="158.65"/>
    <m/>
    <n v="158.65"/>
    <s v="GL"/>
  </r>
  <r>
    <x v="118"/>
    <s v="JE-1036"/>
    <s v="1050"/>
    <x v="22"/>
    <x v="22"/>
    <s v="Expense"/>
    <s v="Office supplies purchase"/>
    <n v="1062.95"/>
    <m/>
    <n v="1062.95"/>
    <s v="GL"/>
  </r>
  <r>
    <x v="11"/>
    <s v="JE-1239"/>
    <s v="1010"/>
    <x v="14"/>
    <x v="14"/>
    <s v="Expense"/>
    <s v="Monthly Insurance Allocation"/>
    <n v="422.6"/>
    <m/>
    <n v="422.6"/>
    <s v="GL"/>
  </r>
  <r>
    <x v="118"/>
    <s v="JE-1017"/>
    <m/>
    <x v="23"/>
    <x v="23"/>
    <s v="Asset"/>
    <s v="Monthly depreciation expense"/>
    <m/>
    <n v="2450"/>
    <n v="-2450"/>
    <s v="GL"/>
  </r>
  <r>
    <x v="118"/>
    <s v="JE-1034"/>
    <s v="1020"/>
    <x v="24"/>
    <x v="24"/>
    <s v="Revenue"/>
    <s v="Interest income on money market reserve"/>
    <m/>
    <n v="773.94"/>
    <n v="-773.94"/>
    <s v="GL"/>
  </r>
  <r>
    <x v="118"/>
    <s v="JE-1034"/>
    <m/>
    <x v="25"/>
    <x v="25"/>
    <s v="Asset"/>
    <s v="Interest income on money market reserve"/>
    <n v="773.94"/>
    <m/>
    <n v="773.94"/>
    <s v="GL"/>
  </r>
  <r>
    <x v="118"/>
    <s v="JE-1290"/>
    <m/>
    <x v="0"/>
    <x v="0"/>
    <s v="Asset"/>
    <s v="Accrue grant revenue earned - federal"/>
    <n v="54469.4"/>
    <m/>
    <n v="54469.4"/>
    <s v="GL"/>
  </r>
  <r>
    <x v="119"/>
    <s v="JE-1032"/>
    <m/>
    <x v="16"/>
    <x v="16"/>
    <s v="Asset"/>
    <s v="Federal grant reimbursement draw"/>
    <n v="56394.91"/>
    <m/>
    <n v="56394.91"/>
    <s v="GL"/>
  </r>
  <r>
    <x v="119"/>
    <s v="JE-1032"/>
    <m/>
    <x v="0"/>
    <x v="0"/>
    <s v="Asset"/>
    <s v="Federal grant reimbursement draw"/>
    <m/>
    <n v="56394.91"/>
    <n v="-56394.91"/>
    <s v="GL"/>
  </r>
  <r>
    <x v="120"/>
    <s v="JE-1290"/>
    <m/>
    <x v="16"/>
    <x v="16"/>
    <s v="Asset"/>
    <s v="Client contract payment received"/>
    <n v="189320.03"/>
    <m/>
    <n v="189320.03"/>
    <s v="GL"/>
  </r>
  <r>
    <x v="11"/>
    <s v="JE-1239"/>
    <s v="1030"/>
    <x v="14"/>
    <x v="14"/>
    <s v="Expense"/>
    <s v="Monthly Insurance Allocation"/>
    <n v="563.47"/>
    <m/>
    <n v="563.47"/>
    <s v="GL"/>
  </r>
  <r>
    <x v="21"/>
    <s v="JE-1030"/>
    <m/>
    <x v="16"/>
    <x v="16"/>
    <s v="Asset"/>
    <s v="AP disbursement run"/>
    <m/>
    <n v="10183"/>
    <n v="-10183"/>
    <s v="GL"/>
  </r>
  <r>
    <x v="118"/>
    <s v="JE-1029"/>
    <s v="1020"/>
    <x v="26"/>
    <x v="26"/>
    <s v="Expense"/>
    <s v="Monthly bank service charges"/>
    <n v="108.25"/>
    <m/>
    <n v="108.25"/>
    <s v="GL"/>
  </r>
  <r>
    <x v="118"/>
    <s v="JE-1029"/>
    <m/>
    <x v="16"/>
    <x v="16"/>
    <s v="Asset"/>
    <s v="Monthly bank service charges"/>
    <m/>
    <n v="108.25"/>
    <n v="-108.25"/>
    <s v="GL"/>
  </r>
  <r>
    <x v="22"/>
    <s v="JE-1028"/>
    <s v="2040"/>
    <x v="27"/>
    <x v="27"/>
    <s v="Expense"/>
    <s v="Business meals"/>
    <n v="247.11"/>
    <m/>
    <n v="247.11"/>
    <s v="GL"/>
  </r>
  <r>
    <x v="22"/>
    <s v="JE-1028"/>
    <m/>
    <x v="16"/>
    <x v="16"/>
    <s v="Asset"/>
    <s v="Business meals"/>
    <m/>
    <n v="247.11"/>
    <n v="-247.11"/>
    <s v="GL"/>
  </r>
  <r>
    <x v="121"/>
    <s v="JE-1027"/>
    <s v="2040"/>
    <x v="32"/>
    <x v="32"/>
    <s v="Expense"/>
    <s v="Staff travel - program site visit"/>
    <n v="4103.22"/>
    <m/>
    <n v="4103.22"/>
    <s v="GL"/>
  </r>
  <r>
    <x v="121"/>
    <s v="JE-1027"/>
    <m/>
    <x v="16"/>
    <x v="16"/>
    <s v="Asset"/>
    <s v="Staff travel - program site visit"/>
    <m/>
    <n v="4103.22"/>
    <n v="-4103.22"/>
    <s v="GL"/>
  </r>
  <r>
    <x v="20"/>
    <s v="JE-1026"/>
    <s v="1030"/>
    <x v="22"/>
    <x v="22"/>
    <s v="Expense"/>
    <s v="Office supplies purchase"/>
    <n v="213.46"/>
    <m/>
    <n v="213.46"/>
    <s v="GL"/>
  </r>
  <r>
    <x v="11"/>
    <s v="JE-1239"/>
    <s v="1040"/>
    <x v="14"/>
    <x v="14"/>
    <s v="Expense"/>
    <s v="Monthly Insurance Allocation"/>
    <n v="845.2"/>
    <m/>
    <n v="845.2"/>
    <s v="GL"/>
  </r>
  <r>
    <x v="19"/>
    <s v="JE-1025"/>
    <s v="1040"/>
    <x v="22"/>
    <x v="22"/>
    <s v="Expense"/>
    <s v="Office supplies purchase"/>
    <n v="644.87"/>
    <m/>
    <n v="644.87"/>
    <s v="GL"/>
  </r>
  <r>
    <x v="11"/>
    <s v="JE-1239"/>
    <s v="1050"/>
    <x v="14"/>
    <x v="14"/>
    <s v="Expense"/>
    <s v="Monthly Insurance Allocation"/>
    <n v="281.73"/>
    <m/>
    <n v="281.73"/>
    <s v="GL"/>
  </r>
  <r>
    <x v="122"/>
    <s v="JE-1024"/>
    <s v="1010"/>
    <x v="28"/>
    <x v="28"/>
    <s v="Expense"/>
    <s v="Software and subscription renewals"/>
    <n v="2630.78"/>
    <m/>
    <n v="2630.78"/>
    <s v="GL"/>
  </r>
  <r>
    <x v="122"/>
    <s v="JE-1024"/>
    <m/>
    <x v="16"/>
    <x v="16"/>
    <s v="Asset"/>
    <s v="Software and subscription renewals"/>
    <m/>
    <n v="2630.78"/>
    <n v="-2630.78"/>
    <s v="GL"/>
  </r>
  <r>
    <x v="2"/>
    <s v="JE-1023"/>
    <s v="1010"/>
    <x v="29"/>
    <x v="29"/>
    <s v="Expense"/>
    <s v="Monthly utilities"/>
    <n v="88.258200000000002"/>
    <m/>
    <n v="88.258200000000002"/>
    <s v="GL"/>
  </r>
  <r>
    <x v="2"/>
    <s v="JE-1023"/>
    <s v="1030"/>
    <x v="29"/>
    <x v="29"/>
    <s v="Expense"/>
    <s v="Monthly utilities"/>
    <n v="117.6776"/>
    <m/>
    <n v="117.6776"/>
    <s v="GL"/>
  </r>
  <r>
    <x v="2"/>
    <s v="JE-1023"/>
    <s v="1040"/>
    <x v="29"/>
    <x v="29"/>
    <s v="Expense"/>
    <s v="Monthly utilities"/>
    <n v="117.6776"/>
    <m/>
    <n v="117.6776"/>
    <s v="GL"/>
  </r>
  <r>
    <x v="2"/>
    <s v="JE-1023"/>
    <s v="1050"/>
    <x v="29"/>
    <x v="29"/>
    <s v="Expense"/>
    <s v="Monthly utilities"/>
    <n v="117.6776"/>
    <m/>
    <n v="117.6776"/>
    <s v="GL"/>
  </r>
  <r>
    <x v="2"/>
    <s v="JE-1023"/>
    <s v="2010"/>
    <x v="29"/>
    <x v="29"/>
    <s v="Expense"/>
    <s v="Monthly utilities"/>
    <n v="205.9358"/>
    <m/>
    <n v="205.9358"/>
    <s v="GL"/>
  </r>
  <r>
    <x v="2"/>
    <s v="JE-1023"/>
    <s v="2020"/>
    <x v="29"/>
    <x v="29"/>
    <s v="Expense"/>
    <s v="Monthly utilities"/>
    <n v="176.5164"/>
    <m/>
    <n v="176.5164"/>
    <s v="GL"/>
  </r>
  <r>
    <x v="2"/>
    <s v="JE-1023"/>
    <s v="2030"/>
    <x v="29"/>
    <x v="29"/>
    <s v="Expense"/>
    <s v="Monthly utilities"/>
    <n v="176.5164"/>
    <m/>
    <n v="176.5164"/>
    <s v="GL"/>
  </r>
  <r>
    <x v="2"/>
    <s v="JE-1023"/>
    <s v="2040"/>
    <x v="29"/>
    <x v="29"/>
    <s v="Expense"/>
    <s v="Monthly utilities"/>
    <n v="235.3552"/>
    <m/>
    <n v="235.3552"/>
    <s v="GL"/>
  </r>
  <r>
    <x v="2"/>
    <s v="JE-1023"/>
    <s v="2050"/>
    <x v="29"/>
    <x v="29"/>
    <s v="Expense"/>
    <s v="Monthly utilities"/>
    <n v="235.3552"/>
    <m/>
    <n v="235.3552"/>
    <s v="GL"/>
  </r>
  <r>
    <x v="12"/>
    <s v="JE-1240"/>
    <s v="1020"/>
    <x v="12"/>
    <x v="12"/>
    <s v="Asset"/>
    <s v="Monthly Insurance Allocation"/>
    <m/>
    <n v="2700"/>
    <n v="-2700"/>
    <s v="GL"/>
  </r>
  <r>
    <x v="12"/>
    <s v="JE-1240"/>
    <s v="2010"/>
    <x v="14"/>
    <x v="14"/>
    <s v="Expense"/>
    <s v="Monthly Insurance Allocation"/>
    <n v="111.04"/>
    <m/>
    <n v="111.04"/>
    <s v="GL"/>
  </r>
  <r>
    <x v="2"/>
    <s v="JE-1003"/>
    <m/>
    <x v="13"/>
    <x v="13"/>
    <s v="Liability"/>
    <s v="Monthly office rent"/>
    <m/>
    <n v="9800"/>
    <n v="-9800"/>
    <s v="GL"/>
  </r>
  <r>
    <x v="123"/>
    <s v="JE-1019"/>
    <s v="1020"/>
    <x v="35"/>
    <x v="35"/>
    <s v="Expense"/>
    <s v="Note payable - monthly debt service"/>
    <n v="389.58"/>
    <m/>
    <n v="389.58"/>
    <s v="GL"/>
  </r>
  <r>
    <x v="118"/>
    <s v="JE-1019"/>
    <s v="1020"/>
    <x v="35"/>
    <x v="35"/>
    <s v="Expense"/>
    <s v="Note payable - monthly debt service"/>
    <n v="389.58"/>
    <m/>
    <n v="389.58"/>
    <s v="GL"/>
  </r>
  <r>
    <x v="113"/>
    <s v="JE-1019"/>
    <s v="1020"/>
    <x v="35"/>
    <x v="35"/>
    <s v="Expense"/>
    <s v="Note payable - monthly debt service"/>
    <n v="389.58"/>
    <m/>
    <n v="389.58"/>
    <s v="GL"/>
  </r>
  <r>
    <x v="108"/>
    <s v="JE-1019"/>
    <s v="1020"/>
    <x v="35"/>
    <x v="35"/>
    <s v="Expense"/>
    <s v="Note payable - monthly debt service"/>
    <n v="389.58"/>
    <m/>
    <n v="389.58"/>
    <s v="GL"/>
  </r>
  <r>
    <x v="103"/>
    <s v="JE-1019"/>
    <s v="1020"/>
    <x v="35"/>
    <x v="35"/>
    <s v="Expense"/>
    <s v="Note payable - monthly debt service"/>
    <n v="389.58"/>
    <m/>
    <n v="389.58"/>
    <s v="GL"/>
  </r>
  <r>
    <x v="38"/>
    <s v="JE-1019"/>
    <s v="1020"/>
    <x v="35"/>
    <x v="35"/>
    <s v="Expense"/>
    <s v="Note payable - monthly debt service"/>
    <n v="389.58"/>
    <m/>
    <n v="389.58"/>
    <s v="GL"/>
  </r>
  <r>
    <x v="93"/>
    <s v="JE-1019"/>
    <s v="1020"/>
    <x v="35"/>
    <x v="35"/>
    <s v="Expense"/>
    <s v="Note payable - monthly debt service"/>
    <n v="389.58"/>
    <m/>
    <n v="389.58"/>
    <s v="GL"/>
  </r>
  <r>
    <x v="87"/>
    <s v="JE-1019"/>
    <s v="1020"/>
    <x v="35"/>
    <x v="35"/>
    <s v="Expense"/>
    <s v="Note payable - monthly debt service"/>
    <n v="389.58"/>
    <m/>
    <n v="389.58"/>
    <s v="GL"/>
  </r>
  <r>
    <x v="81"/>
    <s v="JE-1019"/>
    <s v="1020"/>
    <x v="35"/>
    <x v="35"/>
    <s v="Expense"/>
    <s v="Note payable - monthly debt service"/>
    <n v="389.58"/>
    <m/>
    <n v="389.58"/>
    <s v="GL"/>
  </r>
  <r>
    <x v="77"/>
    <s v="JE-1019"/>
    <s v="1020"/>
    <x v="35"/>
    <x v="35"/>
    <s v="Expense"/>
    <s v="Note payable - monthly debt service"/>
    <n v="389.58"/>
    <m/>
    <n v="389.58"/>
    <s v="GL"/>
  </r>
  <r>
    <x v="75"/>
    <s v="JE-1019"/>
    <s v="1020"/>
    <x v="35"/>
    <x v="35"/>
    <s v="Expense"/>
    <s v="Note payable - monthly debt service"/>
    <n v="389.58"/>
    <m/>
    <n v="389.58"/>
    <s v="GL"/>
  </r>
  <r>
    <x v="70"/>
    <s v="JE-1019"/>
    <s v="1020"/>
    <x v="35"/>
    <x v="35"/>
    <s v="Expense"/>
    <s v="Note payable - monthly debt service"/>
    <n v="389.58"/>
    <m/>
    <n v="389.58"/>
    <s v="GL"/>
  </r>
  <r>
    <x v="123"/>
    <s v="JE-1019"/>
    <m/>
    <x v="20"/>
    <x v="20"/>
    <s v="Liability"/>
    <s v="Note payable - monthly debt service"/>
    <n v="1180"/>
    <m/>
    <n v="1180"/>
    <s v="GL"/>
  </r>
  <r>
    <x v="123"/>
    <s v="JE-1019"/>
    <m/>
    <x v="16"/>
    <x v="16"/>
    <s v="Asset"/>
    <s v="Note payable - monthly debt service"/>
    <m/>
    <n v="1569.58"/>
    <n v="-1569.58"/>
    <s v="GL"/>
  </r>
  <r>
    <x v="123"/>
    <s v="JE-1018"/>
    <s v="1020"/>
    <x v="22"/>
    <x v="22"/>
    <s v="Expense"/>
    <s v="Office supplies purchase"/>
    <n v="1011.76"/>
    <m/>
    <n v="1011.76"/>
    <s v="GL"/>
  </r>
  <r>
    <x v="12"/>
    <s v="JE-1240"/>
    <s v="2020"/>
    <x v="14"/>
    <x v="14"/>
    <s v="Expense"/>
    <s v="Monthly Insurance Allocation"/>
    <n v="126.93"/>
    <m/>
    <n v="126.93"/>
    <s v="GL"/>
  </r>
  <r>
    <x v="123"/>
    <s v="JE-1017"/>
    <s v="1020"/>
    <x v="36"/>
    <x v="36"/>
    <s v="Expense"/>
    <s v="Monthly depreciation expense"/>
    <n v="2450"/>
    <m/>
    <n v="2450"/>
    <s v="GL"/>
  </r>
  <r>
    <x v="118"/>
    <s v="JE-1017"/>
    <s v="1020"/>
    <x v="36"/>
    <x v="36"/>
    <s v="Expense"/>
    <s v="Monthly depreciation expense"/>
    <n v="2450"/>
    <m/>
    <n v="2450"/>
    <s v="GL"/>
  </r>
  <r>
    <x v="113"/>
    <s v="JE-1017"/>
    <s v="1020"/>
    <x v="36"/>
    <x v="36"/>
    <s v="Expense"/>
    <s v="Monthly depreciation expense"/>
    <n v="2450"/>
    <m/>
    <n v="2450"/>
    <s v="GL"/>
  </r>
  <r>
    <x v="108"/>
    <s v="JE-1017"/>
    <s v="1020"/>
    <x v="36"/>
    <x v="36"/>
    <s v="Expense"/>
    <s v="Monthly depreciation expense"/>
    <n v="2450"/>
    <m/>
    <n v="2450"/>
    <s v="GL"/>
  </r>
  <r>
    <x v="103"/>
    <s v="JE-1017"/>
    <s v="1020"/>
    <x v="36"/>
    <x v="36"/>
    <s v="Expense"/>
    <s v="Monthly depreciation expense"/>
    <n v="2450"/>
    <m/>
    <n v="2450"/>
    <s v="GL"/>
  </r>
  <r>
    <x v="38"/>
    <s v="JE-1017"/>
    <s v="1020"/>
    <x v="36"/>
    <x v="36"/>
    <s v="Expense"/>
    <s v="Monthly depreciation expense"/>
    <n v="2450"/>
    <m/>
    <n v="2450"/>
    <s v="GL"/>
  </r>
  <r>
    <x v="93"/>
    <s v="JE-1017"/>
    <s v="1020"/>
    <x v="36"/>
    <x v="36"/>
    <s v="Expense"/>
    <s v="Monthly depreciation expense"/>
    <n v="2450"/>
    <m/>
    <n v="2450"/>
    <s v="GL"/>
  </r>
  <r>
    <x v="87"/>
    <s v="JE-1017"/>
    <s v="1020"/>
    <x v="36"/>
    <x v="36"/>
    <s v="Expense"/>
    <s v="Monthly depreciation expense"/>
    <n v="2450"/>
    <m/>
    <n v="2450"/>
    <s v="GL"/>
  </r>
  <r>
    <x v="81"/>
    <s v="JE-1017"/>
    <s v="1020"/>
    <x v="36"/>
    <x v="36"/>
    <s v="Expense"/>
    <s v="Monthly depreciation expense"/>
    <n v="2450"/>
    <m/>
    <n v="2450"/>
    <s v="GL"/>
  </r>
  <r>
    <x v="77"/>
    <s v="JE-1017"/>
    <s v="1020"/>
    <x v="36"/>
    <x v="36"/>
    <s v="Expense"/>
    <s v="Monthly depreciation expense"/>
    <n v="2450"/>
    <m/>
    <n v="2450"/>
    <s v="GL"/>
  </r>
  <r>
    <x v="75"/>
    <s v="JE-1017"/>
    <s v="1020"/>
    <x v="36"/>
    <x v="36"/>
    <s v="Expense"/>
    <s v="Monthly depreciation expense"/>
    <n v="2450"/>
    <m/>
    <n v="2450"/>
    <s v="GL"/>
  </r>
  <r>
    <x v="70"/>
    <s v="JE-1017"/>
    <s v="1020"/>
    <x v="36"/>
    <x v="36"/>
    <s v="Expense"/>
    <s v="Monthly depreciation expense"/>
    <n v="2450"/>
    <m/>
    <n v="2450"/>
    <s v="GL"/>
  </r>
  <r>
    <x v="123"/>
    <s v="JE-1017"/>
    <m/>
    <x v="23"/>
    <x v="23"/>
    <s v="Asset"/>
    <s v="Monthly depreciation expense"/>
    <m/>
    <n v="2450"/>
    <n v="-2450"/>
    <s v="GL"/>
  </r>
  <r>
    <x v="123"/>
    <s v="JE-1016"/>
    <s v="1020"/>
    <x v="24"/>
    <x v="24"/>
    <s v="Revenue"/>
    <s v="Interest income on money market reserve"/>
    <m/>
    <n v="977.64"/>
    <n v="-977.64"/>
    <s v="GL"/>
  </r>
  <r>
    <x v="123"/>
    <s v="JE-1016"/>
    <m/>
    <x v="25"/>
    <x v="25"/>
    <s v="Asset"/>
    <s v="Interest income on money market reserve"/>
    <n v="977.64"/>
    <m/>
    <n v="977.64"/>
    <s v="GL"/>
  </r>
  <r>
    <x v="124"/>
    <s v="JE-1289"/>
    <m/>
    <x v="33"/>
    <x v="33"/>
    <s v="Asset"/>
    <s v="Foundation grant award recognized"/>
    <n v="110851.02"/>
    <m/>
    <n v="110851.02"/>
    <s v="GL"/>
  </r>
  <r>
    <x v="123"/>
    <s v="JE-1289"/>
    <m/>
    <x v="0"/>
    <x v="0"/>
    <s v="Asset"/>
    <s v="Accrue grant revenue earned - federal"/>
    <n v="53909.54"/>
    <m/>
    <n v="53909.54"/>
    <s v="GL"/>
  </r>
  <r>
    <x v="125"/>
    <s v="JE-1013"/>
    <m/>
    <x v="16"/>
    <x v="16"/>
    <s v="Asset"/>
    <s v="Federal grant reimbursement draw"/>
    <n v="67460.45"/>
    <m/>
    <n v="67460.45"/>
    <s v="GL"/>
  </r>
  <r>
    <x v="125"/>
    <s v="JE-1013"/>
    <m/>
    <x v="0"/>
    <x v="0"/>
    <s v="Asset"/>
    <s v="Federal grant reimbursement draw"/>
    <m/>
    <n v="67460.45"/>
    <n v="-67460.45"/>
    <s v="GL"/>
  </r>
  <r>
    <x v="126"/>
    <s v="JE-1289"/>
    <m/>
    <x v="16"/>
    <x v="16"/>
    <s v="Asset"/>
    <s v="Client contract payment received"/>
    <n v="189092.75"/>
    <m/>
    <n v="189092.75"/>
    <s v="GL"/>
  </r>
  <r>
    <x v="12"/>
    <s v="JE-1240"/>
    <s v="2030"/>
    <x v="14"/>
    <x v="14"/>
    <s v="Expense"/>
    <s v="Monthly Insurance Allocation"/>
    <n v="63.46"/>
    <m/>
    <n v="63.46"/>
    <s v="GL"/>
  </r>
  <r>
    <x v="17"/>
    <s v="JE-1011"/>
    <m/>
    <x v="16"/>
    <x v="16"/>
    <s v="Asset"/>
    <s v="AP disbursement run"/>
    <m/>
    <n v="25491.47"/>
    <n v="-25491.47"/>
    <s v="GL"/>
  </r>
  <r>
    <x v="123"/>
    <s v="JE-1010"/>
    <s v="1020"/>
    <x v="26"/>
    <x v="26"/>
    <s v="Expense"/>
    <s v="Monthly bank service charges"/>
    <n v="82.71"/>
    <m/>
    <n v="82.71"/>
    <s v="GL"/>
  </r>
  <r>
    <x v="123"/>
    <s v="JE-1010"/>
    <m/>
    <x v="16"/>
    <x v="16"/>
    <s v="Asset"/>
    <s v="Monthly bank service charges"/>
    <m/>
    <n v="82.71"/>
    <n v="-82.71"/>
    <s v="GL"/>
  </r>
  <r>
    <x v="127"/>
    <s v="JE-1009"/>
    <s v="2030"/>
    <x v="27"/>
    <x v="27"/>
    <s v="Expense"/>
    <s v="Business meals"/>
    <n v="204.62"/>
    <m/>
    <n v="204.62"/>
    <s v="GL"/>
  </r>
  <r>
    <x v="127"/>
    <s v="JE-1009"/>
    <m/>
    <x v="16"/>
    <x v="16"/>
    <s v="Asset"/>
    <s v="Business meals"/>
    <m/>
    <n v="204.62"/>
    <n v="-204.62"/>
    <s v="GL"/>
  </r>
  <r>
    <x v="128"/>
    <s v="JE-1008"/>
    <s v="2030"/>
    <x v="32"/>
    <x v="32"/>
    <s v="Expense"/>
    <s v="Staff travel - program site visit"/>
    <n v="2725.77"/>
    <m/>
    <n v="2725.77"/>
    <s v="GL"/>
  </r>
  <r>
    <x v="128"/>
    <s v="JE-1008"/>
    <m/>
    <x v="16"/>
    <x v="16"/>
    <s v="Asset"/>
    <s v="Staff travel - program site visit"/>
    <m/>
    <n v="2725.77"/>
    <n v="-2725.77"/>
    <s v="GL"/>
  </r>
  <r>
    <x v="16"/>
    <s v="JE-1007"/>
    <s v="1010"/>
    <x v="22"/>
    <x v="22"/>
    <s v="Expense"/>
    <s v="Office supplies purchase"/>
    <n v="701.06"/>
    <m/>
    <n v="701.06"/>
    <s v="GL"/>
  </r>
  <r>
    <x v="12"/>
    <s v="JE-1240"/>
    <s v="2040"/>
    <x v="14"/>
    <x v="14"/>
    <s v="Expense"/>
    <s v="Monthly Insurance Allocation"/>
    <n v="126.92"/>
    <m/>
    <n v="126.92"/>
    <s v="GL"/>
  </r>
  <r>
    <x v="12"/>
    <s v="JE-1240"/>
    <s v="2050"/>
    <x v="14"/>
    <x v="14"/>
    <s v="Expense"/>
    <s v="Monthly Insurance Allocation"/>
    <n v="158.65"/>
    <m/>
    <n v="158.65"/>
    <s v="GL"/>
  </r>
  <r>
    <x v="12"/>
    <s v="JE-1240"/>
    <s v="1010"/>
    <x v="14"/>
    <x v="14"/>
    <s v="Expense"/>
    <s v="Monthly Insurance Allocation"/>
    <n v="422.6"/>
    <m/>
    <n v="422.6"/>
    <s v="GL"/>
  </r>
  <r>
    <x v="15"/>
    <s v="JE-1006"/>
    <m/>
    <x v="16"/>
    <x v="16"/>
    <s v="Asset"/>
    <s v="Quarterly insurance premium"/>
    <m/>
    <n v="8100"/>
    <n v="-8100"/>
    <s v="GL"/>
  </r>
  <r>
    <x v="129"/>
    <s v="JE-1005"/>
    <s v="2050"/>
    <x v="28"/>
    <x v="28"/>
    <s v="Expense"/>
    <s v="Software and subscription renewals"/>
    <n v="2467.85"/>
    <m/>
    <n v="2467.85"/>
    <s v="GL"/>
  </r>
  <r>
    <x v="129"/>
    <s v="JE-1005"/>
    <m/>
    <x v="16"/>
    <x v="16"/>
    <s v="Asset"/>
    <s v="Software and subscription renewals"/>
    <m/>
    <n v="2467.85"/>
    <n v="-2467.85"/>
    <s v="GL"/>
  </r>
  <r>
    <x v="1"/>
    <s v="JE-1004"/>
    <s v="1010"/>
    <x v="29"/>
    <x v="29"/>
    <s v="Expense"/>
    <s v="Monthly utilities"/>
    <n v="85.425600000000003"/>
    <m/>
    <n v="85.425600000000003"/>
    <s v="GL"/>
  </r>
  <r>
    <x v="1"/>
    <s v="JE-1004"/>
    <s v="1030"/>
    <x v="29"/>
    <x v="29"/>
    <s v="Expense"/>
    <s v="Monthly utilities"/>
    <n v="113.9008"/>
    <m/>
    <n v="113.9008"/>
    <s v="GL"/>
  </r>
  <r>
    <x v="1"/>
    <s v="JE-1004"/>
    <s v="1040"/>
    <x v="29"/>
    <x v="29"/>
    <s v="Expense"/>
    <s v="Monthly utilities"/>
    <n v="113.9008"/>
    <m/>
    <n v="113.9008"/>
    <s v="GL"/>
  </r>
  <r>
    <x v="1"/>
    <s v="JE-1004"/>
    <s v="1050"/>
    <x v="29"/>
    <x v="29"/>
    <s v="Expense"/>
    <s v="Monthly utilities"/>
    <n v="113.9008"/>
    <m/>
    <n v="113.9008"/>
    <s v="GL"/>
  </r>
  <r>
    <x v="1"/>
    <s v="JE-1004"/>
    <s v="2010"/>
    <x v="29"/>
    <x v="29"/>
    <s v="Expense"/>
    <s v="Monthly utilities"/>
    <n v="199.32640000000001"/>
    <m/>
    <n v="199.32640000000001"/>
    <s v="GL"/>
  </r>
  <r>
    <x v="1"/>
    <s v="JE-1004"/>
    <s v="2020"/>
    <x v="29"/>
    <x v="29"/>
    <s v="Expense"/>
    <s v="Monthly utilities"/>
    <n v="170.85120000000001"/>
    <m/>
    <n v="170.85120000000001"/>
    <s v="GL"/>
  </r>
  <r>
    <x v="1"/>
    <s v="JE-1004"/>
    <s v="2030"/>
    <x v="29"/>
    <x v="29"/>
    <s v="Expense"/>
    <s v="Monthly utilities"/>
    <n v="170.85120000000001"/>
    <m/>
    <n v="170.85120000000001"/>
    <s v="GL"/>
  </r>
  <r>
    <x v="1"/>
    <s v="JE-1004"/>
    <s v="2040"/>
    <x v="29"/>
    <x v="29"/>
    <s v="Expense"/>
    <s v="Monthly utilities"/>
    <n v="227.80160000000001"/>
    <m/>
    <n v="227.80160000000001"/>
    <s v="GL"/>
  </r>
  <r>
    <x v="1"/>
    <s v="JE-1004"/>
    <s v="2050"/>
    <x v="29"/>
    <x v="29"/>
    <s v="Expense"/>
    <s v="Monthly utilities"/>
    <n v="227.80160000000001"/>
    <m/>
    <n v="227.80160000000001"/>
    <s v="GL"/>
  </r>
  <r>
    <x v="12"/>
    <s v="JE-1240"/>
    <s v="1030"/>
    <x v="14"/>
    <x v="14"/>
    <s v="Expense"/>
    <s v="Monthly Insurance Allocation"/>
    <n v="563.47"/>
    <m/>
    <n v="563.47"/>
    <s v="GL"/>
  </r>
  <r>
    <x v="1"/>
    <s v="JE-1003"/>
    <s v="1010"/>
    <x v="37"/>
    <x v="37"/>
    <s v="Expense"/>
    <s v="Monthly office rent"/>
    <n v="588"/>
    <m/>
    <n v="588"/>
    <s v="GL"/>
  </r>
  <r>
    <x v="1"/>
    <s v="JE-1003"/>
    <s v="1030"/>
    <x v="37"/>
    <x v="37"/>
    <s v="Expense"/>
    <s v="Monthly office rent"/>
    <n v="784"/>
    <m/>
    <n v="784"/>
    <s v="GL"/>
  </r>
  <r>
    <x v="1"/>
    <s v="JE-1003"/>
    <s v="1040"/>
    <x v="37"/>
    <x v="37"/>
    <s v="Expense"/>
    <s v="Monthly office rent"/>
    <n v="784"/>
    <m/>
    <n v="784"/>
    <s v="GL"/>
  </r>
  <r>
    <x v="1"/>
    <s v="JE-1003"/>
    <s v="1050"/>
    <x v="37"/>
    <x v="37"/>
    <s v="Expense"/>
    <s v="Monthly office rent"/>
    <n v="784"/>
    <m/>
    <n v="784"/>
    <s v="GL"/>
  </r>
  <r>
    <x v="1"/>
    <s v="JE-1003"/>
    <s v="2010"/>
    <x v="37"/>
    <x v="37"/>
    <s v="Expense"/>
    <s v="Monthly office rent"/>
    <n v="1372"/>
    <m/>
    <n v="1372"/>
    <s v="GL"/>
  </r>
  <r>
    <x v="1"/>
    <s v="JE-1003"/>
    <s v="2020"/>
    <x v="37"/>
    <x v="37"/>
    <s v="Expense"/>
    <s v="Monthly office rent"/>
    <n v="1176"/>
    <m/>
    <n v="1176"/>
    <s v="GL"/>
  </r>
  <r>
    <x v="1"/>
    <s v="JE-1003"/>
    <s v="2030"/>
    <x v="37"/>
    <x v="37"/>
    <s v="Expense"/>
    <s v="Monthly office rent"/>
    <n v="1176"/>
    <m/>
    <n v="1176"/>
    <s v="GL"/>
  </r>
  <r>
    <x v="1"/>
    <s v="JE-1003"/>
    <s v="2040"/>
    <x v="37"/>
    <x v="37"/>
    <s v="Expense"/>
    <s v="Monthly office rent"/>
    <n v="1568"/>
    <m/>
    <n v="1568"/>
    <s v="GL"/>
  </r>
  <r>
    <x v="1"/>
    <s v="JE-1003"/>
    <s v="2050"/>
    <x v="37"/>
    <x v="37"/>
    <s v="Expense"/>
    <s v="Monthly office rent"/>
    <n v="1568"/>
    <m/>
    <n v="1568"/>
    <s v="GL"/>
  </r>
  <r>
    <x v="2"/>
    <s v="JE-1003"/>
    <s v="1010"/>
    <x v="37"/>
    <x v="37"/>
    <s v="Expense"/>
    <s v="Monthly office rent"/>
    <n v="588"/>
    <m/>
    <n v="588"/>
    <s v="GL"/>
  </r>
  <r>
    <x v="2"/>
    <s v="JE-1003"/>
    <s v="1030"/>
    <x v="37"/>
    <x v="37"/>
    <s v="Expense"/>
    <s v="Monthly office rent"/>
    <n v="784"/>
    <m/>
    <n v="784"/>
    <s v="GL"/>
  </r>
  <r>
    <x v="2"/>
    <s v="JE-1003"/>
    <s v="1040"/>
    <x v="37"/>
    <x v="37"/>
    <s v="Expense"/>
    <s v="Monthly office rent"/>
    <n v="784"/>
    <m/>
    <n v="784"/>
    <s v="GL"/>
  </r>
  <r>
    <x v="2"/>
    <s v="JE-1003"/>
    <s v="1050"/>
    <x v="37"/>
    <x v="37"/>
    <s v="Expense"/>
    <s v="Monthly office rent"/>
    <n v="784"/>
    <m/>
    <n v="784"/>
    <s v="GL"/>
  </r>
  <r>
    <x v="2"/>
    <s v="JE-1003"/>
    <s v="2010"/>
    <x v="37"/>
    <x v="37"/>
    <s v="Expense"/>
    <s v="Monthly office rent"/>
    <n v="1372"/>
    <m/>
    <n v="1372"/>
    <s v="GL"/>
  </r>
  <r>
    <x v="2"/>
    <s v="JE-1003"/>
    <s v="2020"/>
    <x v="37"/>
    <x v="37"/>
    <s v="Expense"/>
    <s v="Monthly office rent"/>
    <n v="1176"/>
    <m/>
    <n v="1176"/>
    <s v="GL"/>
  </r>
  <r>
    <x v="2"/>
    <s v="JE-1003"/>
    <s v="2030"/>
    <x v="37"/>
    <x v="37"/>
    <s v="Expense"/>
    <s v="Monthly office rent"/>
    <n v="1176"/>
    <m/>
    <n v="1176"/>
    <s v="GL"/>
  </r>
  <r>
    <x v="2"/>
    <s v="JE-1003"/>
    <s v="2040"/>
    <x v="37"/>
    <x v="37"/>
    <s v="Expense"/>
    <s v="Monthly office rent"/>
    <n v="1568"/>
    <m/>
    <n v="1568"/>
    <s v="GL"/>
  </r>
  <r>
    <x v="2"/>
    <s v="JE-1003"/>
    <s v="2050"/>
    <x v="37"/>
    <x v="37"/>
    <s v="Expense"/>
    <s v="Monthly office rent"/>
    <n v="1568"/>
    <m/>
    <n v="1568"/>
    <s v="GL"/>
  </r>
  <r>
    <x v="3"/>
    <s v="JE-1003"/>
    <s v="1010"/>
    <x v="37"/>
    <x v="37"/>
    <s v="Expense"/>
    <s v="Monthly office rent"/>
    <n v="588"/>
    <m/>
    <n v="588"/>
    <s v="GL"/>
  </r>
  <r>
    <x v="3"/>
    <s v="JE-1003"/>
    <s v="1030"/>
    <x v="37"/>
    <x v="37"/>
    <s v="Expense"/>
    <s v="Monthly office rent"/>
    <n v="784"/>
    <m/>
    <n v="784"/>
    <s v="GL"/>
  </r>
  <r>
    <x v="3"/>
    <s v="JE-1003"/>
    <s v="1040"/>
    <x v="37"/>
    <x v="37"/>
    <s v="Expense"/>
    <s v="Monthly office rent"/>
    <n v="784"/>
    <m/>
    <n v="784"/>
    <s v="GL"/>
  </r>
  <r>
    <x v="3"/>
    <s v="JE-1003"/>
    <s v="1050"/>
    <x v="37"/>
    <x v="37"/>
    <s v="Expense"/>
    <s v="Monthly office rent"/>
    <n v="784"/>
    <m/>
    <n v="784"/>
    <s v="GL"/>
  </r>
  <r>
    <x v="3"/>
    <s v="JE-1003"/>
    <s v="2010"/>
    <x v="37"/>
    <x v="37"/>
    <s v="Expense"/>
    <s v="Monthly office rent"/>
    <n v="1372"/>
    <m/>
    <n v="1372"/>
    <s v="GL"/>
  </r>
  <r>
    <x v="3"/>
    <s v="JE-1003"/>
    <s v="2020"/>
    <x v="37"/>
    <x v="37"/>
    <s v="Expense"/>
    <s v="Monthly office rent"/>
    <n v="1176"/>
    <m/>
    <n v="1176"/>
    <s v="GL"/>
  </r>
  <r>
    <x v="3"/>
    <s v="JE-1003"/>
    <s v="2030"/>
    <x v="37"/>
    <x v="37"/>
    <s v="Expense"/>
    <s v="Monthly office rent"/>
    <n v="1176"/>
    <m/>
    <n v="1176"/>
    <s v="GL"/>
  </r>
  <r>
    <x v="3"/>
    <s v="JE-1003"/>
    <s v="2040"/>
    <x v="37"/>
    <x v="37"/>
    <s v="Expense"/>
    <s v="Monthly office rent"/>
    <n v="1568"/>
    <m/>
    <n v="1568"/>
    <s v="GL"/>
  </r>
  <r>
    <x v="3"/>
    <s v="JE-1003"/>
    <s v="2050"/>
    <x v="37"/>
    <x v="37"/>
    <s v="Expense"/>
    <s v="Monthly office rent"/>
    <n v="1568"/>
    <m/>
    <n v="1568"/>
    <s v="GL"/>
  </r>
  <r>
    <x v="4"/>
    <s v="JE-1003"/>
    <s v="1010"/>
    <x v="37"/>
    <x v="37"/>
    <s v="Expense"/>
    <s v="Monthly office rent"/>
    <n v="588"/>
    <m/>
    <n v="588"/>
    <s v="GL"/>
  </r>
  <r>
    <x v="4"/>
    <s v="JE-1003"/>
    <s v="1030"/>
    <x v="37"/>
    <x v="37"/>
    <s v="Expense"/>
    <s v="Monthly office rent"/>
    <n v="784"/>
    <m/>
    <n v="784"/>
    <s v="GL"/>
  </r>
  <r>
    <x v="4"/>
    <s v="JE-1003"/>
    <s v="1040"/>
    <x v="37"/>
    <x v="37"/>
    <s v="Expense"/>
    <s v="Monthly office rent"/>
    <n v="784"/>
    <m/>
    <n v="784"/>
    <s v="GL"/>
  </r>
  <r>
    <x v="4"/>
    <s v="JE-1003"/>
    <s v="1050"/>
    <x v="37"/>
    <x v="37"/>
    <s v="Expense"/>
    <s v="Monthly office rent"/>
    <n v="784"/>
    <m/>
    <n v="784"/>
    <s v="GL"/>
  </r>
  <r>
    <x v="4"/>
    <s v="JE-1003"/>
    <s v="2010"/>
    <x v="37"/>
    <x v="37"/>
    <s v="Expense"/>
    <s v="Monthly office rent"/>
    <n v="980"/>
    <m/>
    <n v="980"/>
    <s v="GL"/>
  </r>
  <r>
    <x v="4"/>
    <s v="JE-1003"/>
    <s v="2020"/>
    <x v="37"/>
    <x v="37"/>
    <s v="Expense"/>
    <s v="Monthly office rent"/>
    <n v="1568"/>
    <m/>
    <n v="1568"/>
    <s v="GL"/>
  </r>
  <r>
    <x v="4"/>
    <s v="JE-1003"/>
    <s v="2030"/>
    <x v="37"/>
    <x v="37"/>
    <s v="Expense"/>
    <s v="Monthly office rent"/>
    <n v="1176"/>
    <m/>
    <n v="1176"/>
    <s v="GL"/>
  </r>
  <r>
    <x v="4"/>
    <s v="JE-1003"/>
    <s v="2040"/>
    <x v="37"/>
    <x v="37"/>
    <s v="Expense"/>
    <s v="Monthly office rent"/>
    <n v="1568"/>
    <m/>
    <n v="1568"/>
    <s v="GL"/>
  </r>
  <r>
    <x v="4"/>
    <s v="JE-1003"/>
    <s v="2050"/>
    <x v="37"/>
    <x v="37"/>
    <s v="Expense"/>
    <s v="Monthly office rent"/>
    <n v="1568"/>
    <m/>
    <n v="1568"/>
    <s v="GL"/>
  </r>
  <r>
    <x v="5"/>
    <s v="JE-1003"/>
    <s v="1010"/>
    <x v="37"/>
    <x v="37"/>
    <s v="Expense"/>
    <s v="Monthly office rent"/>
    <n v="565.38461538461604"/>
    <m/>
    <n v="565.38461538461604"/>
    <s v="GL"/>
  </r>
  <r>
    <x v="5"/>
    <s v="JE-1003"/>
    <s v="1030"/>
    <x v="37"/>
    <x v="37"/>
    <s v="Expense"/>
    <s v="Monthly office rent"/>
    <n v="753.84615384615404"/>
    <m/>
    <n v="753.84615384615404"/>
    <s v="GL"/>
  </r>
  <r>
    <x v="5"/>
    <s v="JE-1003"/>
    <s v="1040"/>
    <x v="37"/>
    <x v="37"/>
    <s v="Expense"/>
    <s v="Monthly office rent"/>
    <n v="753.84615384615404"/>
    <m/>
    <n v="753.84615384615404"/>
    <s v="GL"/>
  </r>
  <r>
    <x v="5"/>
    <s v="JE-1003"/>
    <s v="1050"/>
    <x v="37"/>
    <x v="37"/>
    <s v="Expense"/>
    <s v="Monthly office rent"/>
    <n v="753.84615384615404"/>
    <m/>
    <n v="753.84615384615404"/>
    <s v="GL"/>
  </r>
  <r>
    <x v="5"/>
    <s v="JE-1003"/>
    <s v="2010"/>
    <x v="37"/>
    <x v="37"/>
    <s v="Expense"/>
    <s v="Monthly office rent"/>
    <n v="1319.23076923077"/>
    <m/>
    <n v="1319.23076923077"/>
    <s v="GL"/>
  </r>
  <r>
    <x v="5"/>
    <s v="JE-1003"/>
    <s v="2020"/>
    <x v="37"/>
    <x v="37"/>
    <s v="Expense"/>
    <s v="Monthly office rent"/>
    <n v="1507.6923076923099"/>
    <m/>
    <n v="1507.6923076923099"/>
    <s v="GL"/>
  </r>
  <r>
    <x v="5"/>
    <s v="JE-1003"/>
    <s v="2030"/>
    <x v="37"/>
    <x v="37"/>
    <s v="Expense"/>
    <s v="Monthly office rent"/>
    <n v="1130.76923076923"/>
    <m/>
    <n v="1130.76923076923"/>
    <s v="GL"/>
  </r>
  <r>
    <x v="5"/>
    <s v="JE-1003"/>
    <s v="2040"/>
    <x v="37"/>
    <x v="37"/>
    <s v="Expense"/>
    <s v="Monthly office rent"/>
    <n v="1507.6923076923099"/>
    <m/>
    <n v="1507.6923076923099"/>
    <s v="GL"/>
  </r>
  <r>
    <x v="5"/>
    <s v="JE-1003"/>
    <s v="2050"/>
    <x v="37"/>
    <x v="37"/>
    <s v="Expense"/>
    <s v="Monthly office rent"/>
    <n v="1507.6923076923099"/>
    <m/>
    <n v="1507.6923076923099"/>
    <s v="GL"/>
  </r>
  <r>
    <x v="6"/>
    <s v="JE-1003"/>
    <s v="1010"/>
    <x v="37"/>
    <x v="37"/>
    <s v="Expense"/>
    <s v="Monthly office rent"/>
    <n v="565.38461538461604"/>
    <m/>
    <n v="565.38461538461604"/>
    <s v="GL"/>
  </r>
  <r>
    <x v="6"/>
    <s v="JE-1003"/>
    <s v="1030"/>
    <x v="37"/>
    <x v="37"/>
    <s v="Expense"/>
    <s v="Monthly office rent"/>
    <n v="753.84615384615404"/>
    <m/>
    <n v="753.84615384615404"/>
    <s v="GL"/>
  </r>
  <r>
    <x v="6"/>
    <s v="JE-1003"/>
    <s v="1040"/>
    <x v="37"/>
    <x v="37"/>
    <s v="Expense"/>
    <s v="Monthly office rent"/>
    <n v="753.84615384615404"/>
    <m/>
    <n v="753.84615384615404"/>
    <s v="GL"/>
  </r>
  <r>
    <x v="6"/>
    <s v="JE-1003"/>
    <s v="1050"/>
    <x v="37"/>
    <x v="37"/>
    <s v="Expense"/>
    <s v="Monthly office rent"/>
    <n v="753.84615384615404"/>
    <m/>
    <n v="753.84615384615404"/>
    <s v="GL"/>
  </r>
  <r>
    <x v="6"/>
    <s v="JE-1003"/>
    <s v="2010"/>
    <x v="37"/>
    <x v="37"/>
    <s v="Expense"/>
    <s v="Monthly office rent"/>
    <n v="1319.23076923077"/>
    <m/>
    <n v="1319.23076923077"/>
    <s v="GL"/>
  </r>
  <r>
    <x v="6"/>
    <s v="JE-1003"/>
    <s v="2020"/>
    <x v="37"/>
    <x v="37"/>
    <s v="Expense"/>
    <s v="Monthly office rent"/>
    <n v="1507.6923076923099"/>
    <m/>
    <n v="1507.6923076923099"/>
    <s v="GL"/>
  </r>
  <r>
    <x v="6"/>
    <s v="JE-1003"/>
    <s v="2030"/>
    <x v="37"/>
    <x v="37"/>
    <s v="Expense"/>
    <s v="Monthly office rent"/>
    <n v="1130.76923076923"/>
    <m/>
    <n v="1130.76923076923"/>
    <s v="GL"/>
  </r>
  <r>
    <x v="6"/>
    <s v="JE-1003"/>
    <s v="2040"/>
    <x v="37"/>
    <x v="37"/>
    <s v="Expense"/>
    <s v="Monthly office rent"/>
    <n v="1507.6923076923099"/>
    <m/>
    <n v="1507.6923076923099"/>
    <s v="GL"/>
  </r>
  <r>
    <x v="6"/>
    <s v="JE-1003"/>
    <s v="2050"/>
    <x v="37"/>
    <x v="37"/>
    <s v="Expense"/>
    <s v="Monthly office rent"/>
    <n v="1507.6923076923099"/>
    <m/>
    <n v="1507.6923076923099"/>
    <s v="GL"/>
  </r>
  <r>
    <x v="7"/>
    <s v="JE-1003"/>
    <s v="1010"/>
    <x v="37"/>
    <x v="37"/>
    <s v="Expense"/>
    <s v="Monthly office rent"/>
    <n v="588"/>
    <m/>
    <n v="588"/>
    <s v="GL"/>
  </r>
  <r>
    <x v="7"/>
    <s v="JE-1003"/>
    <s v="1030"/>
    <x v="37"/>
    <x v="37"/>
    <s v="Expense"/>
    <s v="Monthly office rent"/>
    <n v="784"/>
    <m/>
    <n v="784"/>
    <s v="GL"/>
  </r>
  <r>
    <x v="7"/>
    <s v="JE-1003"/>
    <s v="1040"/>
    <x v="37"/>
    <x v="37"/>
    <s v="Expense"/>
    <s v="Monthly office rent"/>
    <n v="784"/>
    <m/>
    <n v="784"/>
    <s v="GL"/>
  </r>
  <r>
    <x v="7"/>
    <s v="JE-1003"/>
    <s v="1050"/>
    <x v="37"/>
    <x v="37"/>
    <s v="Expense"/>
    <s v="Monthly office rent"/>
    <n v="784"/>
    <m/>
    <n v="784"/>
    <s v="GL"/>
  </r>
  <r>
    <x v="7"/>
    <s v="JE-1003"/>
    <s v="2010"/>
    <x v="37"/>
    <x v="37"/>
    <s v="Expense"/>
    <s v="Monthly office rent"/>
    <n v="1372"/>
    <m/>
    <n v="1372"/>
    <s v="GL"/>
  </r>
  <r>
    <x v="7"/>
    <s v="JE-1003"/>
    <s v="2020"/>
    <x v="37"/>
    <x v="37"/>
    <s v="Expense"/>
    <s v="Monthly office rent"/>
    <n v="1568"/>
    <m/>
    <n v="1568"/>
    <s v="GL"/>
  </r>
  <r>
    <x v="7"/>
    <s v="JE-1003"/>
    <s v="2030"/>
    <x v="37"/>
    <x v="37"/>
    <s v="Expense"/>
    <s v="Monthly office rent"/>
    <n v="1176"/>
    <m/>
    <n v="1176"/>
    <s v="GL"/>
  </r>
  <r>
    <x v="7"/>
    <s v="JE-1003"/>
    <s v="2040"/>
    <x v="37"/>
    <x v="37"/>
    <s v="Expense"/>
    <s v="Monthly office rent"/>
    <n v="1176"/>
    <m/>
    <n v="1176"/>
    <s v="GL"/>
  </r>
  <r>
    <x v="7"/>
    <s v="JE-1003"/>
    <s v="2050"/>
    <x v="37"/>
    <x v="37"/>
    <s v="Expense"/>
    <s v="Monthly office rent"/>
    <n v="1568"/>
    <m/>
    <n v="1568"/>
    <s v="GL"/>
  </r>
  <r>
    <x v="8"/>
    <s v="JE-1003"/>
    <s v="1010"/>
    <x v="37"/>
    <x v="37"/>
    <s v="Expense"/>
    <s v="Monthly office rent"/>
    <n v="565.38461538461604"/>
    <m/>
    <n v="565.38461538461604"/>
    <s v="GL"/>
  </r>
  <r>
    <x v="8"/>
    <s v="JE-1003"/>
    <s v="1030"/>
    <x v="37"/>
    <x v="37"/>
    <s v="Expense"/>
    <s v="Monthly office rent"/>
    <n v="753.84615384615404"/>
    <m/>
    <n v="753.84615384615404"/>
    <s v="GL"/>
  </r>
  <r>
    <x v="8"/>
    <s v="JE-1003"/>
    <s v="1040"/>
    <x v="37"/>
    <x v="37"/>
    <s v="Expense"/>
    <s v="Monthly office rent"/>
    <n v="753.84615384615404"/>
    <m/>
    <n v="753.84615384615404"/>
    <s v="GL"/>
  </r>
  <r>
    <x v="8"/>
    <s v="JE-1003"/>
    <s v="1050"/>
    <x v="37"/>
    <x v="37"/>
    <s v="Expense"/>
    <s v="Monthly office rent"/>
    <n v="753.84615384615404"/>
    <m/>
    <n v="753.84615384615404"/>
    <s v="GL"/>
  </r>
  <r>
    <x v="8"/>
    <s v="JE-1003"/>
    <s v="2010"/>
    <x v="37"/>
    <x v="37"/>
    <s v="Expense"/>
    <s v="Monthly office rent"/>
    <n v="1319.23076923077"/>
    <m/>
    <n v="1319.23076923077"/>
    <s v="GL"/>
  </r>
  <r>
    <x v="8"/>
    <s v="JE-1003"/>
    <s v="2020"/>
    <x v="37"/>
    <x v="37"/>
    <s v="Expense"/>
    <s v="Monthly office rent"/>
    <n v="1507.6923076923099"/>
    <m/>
    <n v="1507.6923076923099"/>
    <s v="GL"/>
  </r>
  <r>
    <x v="8"/>
    <s v="JE-1003"/>
    <s v="2030"/>
    <x v="37"/>
    <x v="37"/>
    <s v="Expense"/>
    <s v="Monthly office rent"/>
    <n v="1130.76923076923"/>
    <m/>
    <n v="1130.76923076923"/>
    <s v="GL"/>
  </r>
  <r>
    <x v="8"/>
    <s v="JE-1003"/>
    <s v="2040"/>
    <x v="37"/>
    <x v="37"/>
    <s v="Expense"/>
    <s v="Monthly office rent"/>
    <n v="1507.6923076923099"/>
    <m/>
    <n v="1507.6923076923099"/>
    <s v="GL"/>
  </r>
  <r>
    <x v="8"/>
    <s v="JE-1003"/>
    <s v="2050"/>
    <x v="37"/>
    <x v="37"/>
    <s v="Expense"/>
    <s v="Monthly office rent"/>
    <n v="1507.6923076923099"/>
    <m/>
    <n v="1507.6923076923099"/>
    <s v="GL"/>
  </r>
  <r>
    <x v="9"/>
    <s v="JE-1003"/>
    <s v="1010"/>
    <x v="37"/>
    <x v="37"/>
    <s v="Expense"/>
    <s v="Monthly office rent"/>
    <n v="565.38461538461604"/>
    <m/>
    <n v="565.38461538461604"/>
    <s v="GL"/>
  </r>
  <r>
    <x v="9"/>
    <s v="JE-1003"/>
    <s v="1030"/>
    <x v="37"/>
    <x v="37"/>
    <s v="Expense"/>
    <s v="Monthly office rent"/>
    <n v="753.84615384615404"/>
    <m/>
    <n v="753.84615384615404"/>
    <s v="GL"/>
  </r>
  <r>
    <x v="9"/>
    <s v="JE-1003"/>
    <s v="1040"/>
    <x v="37"/>
    <x v="37"/>
    <s v="Expense"/>
    <s v="Monthly office rent"/>
    <n v="753.84615384615404"/>
    <m/>
    <n v="753.84615384615404"/>
    <s v="GL"/>
  </r>
  <r>
    <x v="9"/>
    <s v="JE-1003"/>
    <s v="1050"/>
    <x v="37"/>
    <x v="37"/>
    <s v="Expense"/>
    <s v="Monthly office rent"/>
    <n v="376.92307692307702"/>
    <m/>
    <n v="376.92307692307702"/>
    <s v="GL"/>
  </r>
  <r>
    <x v="9"/>
    <s v="JE-1003"/>
    <s v="2010"/>
    <x v="37"/>
    <x v="37"/>
    <s v="Expense"/>
    <s v="Monthly office rent"/>
    <n v="1319.23076923077"/>
    <m/>
    <n v="1319.23076923077"/>
    <s v="GL"/>
  </r>
  <r>
    <x v="9"/>
    <s v="JE-1003"/>
    <s v="2020"/>
    <x v="37"/>
    <x v="37"/>
    <s v="Expense"/>
    <s v="Monthly office rent"/>
    <n v="1507.6923076923099"/>
    <m/>
    <n v="1507.6923076923099"/>
    <s v="GL"/>
  </r>
  <r>
    <x v="9"/>
    <s v="JE-1003"/>
    <s v="2030"/>
    <x v="37"/>
    <x v="37"/>
    <s v="Expense"/>
    <s v="Monthly office rent"/>
    <n v="1130.76923076923"/>
    <m/>
    <n v="1130.76923076923"/>
    <s v="GL"/>
  </r>
  <r>
    <x v="9"/>
    <s v="JE-1003"/>
    <s v="2040"/>
    <x v="37"/>
    <x v="37"/>
    <s v="Expense"/>
    <s v="Monthly office rent"/>
    <n v="1507.6923076923099"/>
    <m/>
    <n v="1507.6923076923099"/>
    <s v="GL"/>
  </r>
  <r>
    <x v="9"/>
    <s v="JE-1003"/>
    <s v="2050"/>
    <x v="37"/>
    <x v="37"/>
    <s v="Expense"/>
    <s v="Monthly office rent"/>
    <n v="1884.61538461539"/>
    <m/>
    <n v="1884.61538461539"/>
    <s v="GL"/>
  </r>
  <r>
    <x v="10"/>
    <s v="JE-1003"/>
    <s v="1010"/>
    <x v="37"/>
    <x v="37"/>
    <s v="Expense"/>
    <s v="Monthly office rent"/>
    <n v="565.38461538461604"/>
    <m/>
    <n v="565.38461538461604"/>
    <s v="GL"/>
  </r>
  <r>
    <x v="10"/>
    <s v="JE-1003"/>
    <s v="1030"/>
    <x v="37"/>
    <x v="37"/>
    <s v="Expense"/>
    <s v="Monthly office rent"/>
    <n v="753.84615384615404"/>
    <m/>
    <n v="753.84615384615404"/>
    <s v="GL"/>
  </r>
  <r>
    <x v="10"/>
    <s v="JE-1003"/>
    <s v="1040"/>
    <x v="37"/>
    <x v="37"/>
    <s v="Expense"/>
    <s v="Monthly office rent"/>
    <n v="753.84615384615404"/>
    <m/>
    <n v="753.84615384615404"/>
    <s v="GL"/>
  </r>
  <r>
    <x v="10"/>
    <s v="JE-1003"/>
    <s v="1050"/>
    <x v="37"/>
    <x v="37"/>
    <s v="Expense"/>
    <s v="Monthly office rent"/>
    <n v="376.92307692307702"/>
    <m/>
    <n v="376.92307692307702"/>
    <s v="GL"/>
  </r>
  <r>
    <x v="10"/>
    <s v="JE-1003"/>
    <s v="2010"/>
    <x v="37"/>
    <x v="37"/>
    <s v="Expense"/>
    <s v="Monthly office rent"/>
    <n v="1319.23076923077"/>
    <m/>
    <n v="1319.23076923077"/>
    <s v="GL"/>
  </r>
  <r>
    <x v="10"/>
    <s v="JE-1003"/>
    <s v="2020"/>
    <x v="37"/>
    <x v="37"/>
    <s v="Expense"/>
    <s v="Monthly office rent"/>
    <n v="1507.6923076923099"/>
    <m/>
    <n v="1507.6923076923099"/>
    <s v="GL"/>
  </r>
  <r>
    <x v="10"/>
    <s v="JE-1003"/>
    <s v="2030"/>
    <x v="37"/>
    <x v="37"/>
    <s v="Expense"/>
    <s v="Monthly office rent"/>
    <n v="1130.76923076923"/>
    <m/>
    <n v="1130.76923076923"/>
    <s v="GL"/>
  </r>
  <r>
    <x v="10"/>
    <s v="JE-1003"/>
    <s v="2040"/>
    <x v="37"/>
    <x v="37"/>
    <s v="Expense"/>
    <s v="Monthly office rent"/>
    <n v="1507.6923076923099"/>
    <m/>
    <n v="1507.6923076923099"/>
    <s v="GL"/>
  </r>
  <r>
    <x v="10"/>
    <s v="JE-1003"/>
    <s v="2050"/>
    <x v="37"/>
    <x v="37"/>
    <s v="Expense"/>
    <s v="Monthly office rent"/>
    <n v="1884.61538461539"/>
    <m/>
    <n v="1884.61538461539"/>
    <s v="GL"/>
  </r>
  <r>
    <x v="11"/>
    <s v="JE-1003"/>
    <s v="1010"/>
    <x v="37"/>
    <x v="37"/>
    <s v="Expense"/>
    <s v="Monthly office rent"/>
    <n v="565.38461538461604"/>
    <m/>
    <n v="565.38461538461604"/>
    <s v="GL"/>
  </r>
  <r>
    <x v="11"/>
    <s v="JE-1003"/>
    <s v="1030"/>
    <x v="37"/>
    <x v="37"/>
    <s v="Expense"/>
    <s v="Monthly office rent"/>
    <n v="753.84615384615404"/>
    <m/>
    <n v="753.84615384615404"/>
    <s v="GL"/>
  </r>
  <r>
    <x v="11"/>
    <s v="JE-1003"/>
    <s v="1040"/>
    <x v="37"/>
    <x v="37"/>
    <s v="Expense"/>
    <s v="Monthly office rent"/>
    <n v="1130.76923076923"/>
    <m/>
    <n v="1130.76923076923"/>
    <s v="GL"/>
  </r>
  <r>
    <x v="11"/>
    <s v="JE-1003"/>
    <s v="1050"/>
    <x v="37"/>
    <x v="37"/>
    <s v="Expense"/>
    <s v="Monthly office rent"/>
    <n v="376.92307692307702"/>
    <m/>
    <n v="376.92307692307702"/>
    <s v="GL"/>
  </r>
  <r>
    <x v="11"/>
    <s v="JE-1003"/>
    <s v="2010"/>
    <x v="37"/>
    <x v="37"/>
    <s v="Expense"/>
    <s v="Monthly office rent"/>
    <n v="1319.23076923077"/>
    <m/>
    <n v="1319.23076923077"/>
    <s v="GL"/>
  </r>
  <r>
    <x v="11"/>
    <s v="JE-1003"/>
    <s v="2020"/>
    <x v="37"/>
    <x v="37"/>
    <s v="Expense"/>
    <s v="Monthly office rent"/>
    <n v="1507.6923076923099"/>
    <m/>
    <n v="1507.6923076923099"/>
    <s v="GL"/>
  </r>
  <r>
    <x v="11"/>
    <s v="JE-1003"/>
    <s v="2030"/>
    <x v="37"/>
    <x v="37"/>
    <s v="Expense"/>
    <s v="Monthly office rent"/>
    <n v="753.84615384615404"/>
    <m/>
    <n v="753.84615384615404"/>
    <s v="GL"/>
  </r>
  <r>
    <x v="11"/>
    <s v="JE-1003"/>
    <s v="2040"/>
    <x v="37"/>
    <x v="37"/>
    <s v="Expense"/>
    <s v="Monthly office rent"/>
    <n v="1507.6923076923099"/>
    <m/>
    <n v="1507.6923076923099"/>
    <s v="GL"/>
  </r>
  <r>
    <x v="11"/>
    <s v="JE-1003"/>
    <s v="2050"/>
    <x v="37"/>
    <x v="37"/>
    <s v="Expense"/>
    <s v="Monthly office rent"/>
    <n v="1884.61538461539"/>
    <m/>
    <n v="1884.61538461539"/>
    <s v="GL"/>
  </r>
  <r>
    <x v="12"/>
    <s v="JE-1003"/>
    <s v="1010"/>
    <x v="37"/>
    <x v="37"/>
    <s v="Expense"/>
    <s v="Monthly office rent"/>
    <n v="565.38461538461604"/>
    <m/>
    <n v="565.38461538461604"/>
    <s v="GL"/>
  </r>
  <r>
    <x v="12"/>
    <s v="JE-1003"/>
    <s v="1030"/>
    <x v="37"/>
    <x v="37"/>
    <s v="Expense"/>
    <s v="Monthly office rent"/>
    <n v="753.84615384615404"/>
    <m/>
    <n v="753.84615384615404"/>
    <s v="GL"/>
  </r>
  <r>
    <x v="12"/>
    <s v="JE-1003"/>
    <s v="1040"/>
    <x v="37"/>
    <x v="37"/>
    <s v="Expense"/>
    <s v="Monthly office rent"/>
    <n v="1130.76923076923"/>
    <m/>
    <n v="1130.76923076923"/>
    <s v="GL"/>
  </r>
  <r>
    <x v="12"/>
    <s v="JE-1003"/>
    <s v="1050"/>
    <x v="37"/>
    <x v="37"/>
    <s v="Expense"/>
    <s v="Monthly office rent"/>
    <n v="376.92307692307702"/>
    <m/>
    <n v="376.92307692307702"/>
    <s v="GL"/>
  </r>
  <r>
    <x v="12"/>
    <s v="JE-1003"/>
    <s v="2010"/>
    <x v="37"/>
    <x v="37"/>
    <s v="Expense"/>
    <s v="Monthly office rent"/>
    <n v="1319.23076923077"/>
    <m/>
    <n v="1319.23076923077"/>
    <s v="GL"/>
  </r>
  <r>
    <x v="12"/>
    <s v="JE-1003"/>
    <s v="2020"/>
    <x v="37"/>
    <x v="37"/>
    <s v="Expense"/>
    <s v="Monthly office rent"/>
    <n v="1507.6923076923099"/>
    <m/>
    <n v="1507.6923076923099"/>
    <s v="GL"/>
  </r>
  <r>
    <x v="12"/>
    <s v="JE-1003"/>
    <s v="2030"/>
    <x v="37"/>
    <x v="37"/>
    <s v="Expense"/>
    <s v="Monthly office rent"/>
    <n v="753.84615384615404"/>
    <m/>
    <n v="753.84615384615404"/>
    <s v="GL"/>
  </r>
  <r>
    <x v="12"/>
    <s v="JE-1003"/>
    <s v="2040"/>
    <x v="37"/>
    <x v="37"/>
    <s v="Expense"/>
    <s v="Monthly office rent"/>
    <n v="1507.6923076923099"/>
    <m/>
    <n v="1507.6923076923099"/>
    <s v="GL"/>
  </r>
  <r>
    <x v="12"/>
    <s v="JE-1003"/>
    <s v="2050"/>
    <x v="37"/>
    <x v="37"/>
    <s v="Expense"/>
    <s v="Monthly office rent"/>
    <n v="1884.61538461539"/>
    <m/>
    <n v="1884.61538461539"/>
    <s v="GL"/>
  </r>
  <r>
    <x v="1"/>
    <s v="JE-1003"/>
    <m/>
    <x v="16"/>
    <x v="16"/>
    <s v="Asset"/>
    <s v="Monthly office rent"/>
    <m/>
    <n v="9800"/>
    <n v="-9800"/>
    <s v="GL"/>
  </r>
  <r>
    <x v="13"/>
    <s v="JE-1000"/>
    <m/>
    <x v="16"/>
    <x v="16"/>
    <s v="Asset"/>
    <s v="Opening Balance"/>
    <n v="185000"/>
    <m/>
    <n v="185000"/>
    <s v="Opening"/>
  </r>
  <r>
    <x v="13"/>
    <s v="JE-1000"/>
    <m/>
    <x v="38"/>
    <x v="38"/>
    <s v="Asset"/>
    <s v="Opening balances as of 6/30/2025"/>
    <n v="42000"/>
    <m/>
    <n v="42000"/>
    <s v="Opening"/>
  </r>
  <r>
    <x v="13"/>
    <s v="JE-1000"/>
    <m/>
    <x v="25"/>
    <x v="25"/>
    <s v="Asset"/>
    <s v="Opening balances as of 6/30/2025"/>
    <n v="250000"/>
    <m/>
    <n v="250000"/>
    <s v="Opening"/>
  </r>
  <r>
    <x v="13"/>
    <s v="JE-1000"/>
    <m/>
    <x v="33"/>
    <x v="33"/>
    <s v="Asset"/>
    <s v="Opening balances as of 6/30/2025"/>
    <n v="38500"/>
    <m/>
    <n v="38500"/>
    <s v="Opening"/>
  </r>
  <r>
    <x v="13"/>
    <s v="JE-1000"/>
    <m/>
    <x v="0"/>
    <x v="0"/>
    <s v="Asset"/>
    <s v="Opening balances as of 6/30/2025"/>
    <n v="96000"/>
    <m/>
    <n v="96000"/>
    <s v="Opening"/>
  </r>
  <r>
    <x v="12"/>
    <s v="JE-1240"/>
    <s v="1040"/>
    <x v="14"/>
    <x v="14"/>
    <s v="Expense"/>
    <s v="Monthly Insurance Allocation"/>
    <n v="845.2"/>
    <m/>
    <n v="845.2"/>
    <s v="GL"/>
  </r>
  <r>
    <x v="13"/>
    <s v="JE-1000"/>
    <m/>
    <x v="18"/>
    <x v="18"/>
    <s v="Asset"/>
    <s v="Opening balances as of 6/30/2025"/>
    <n v="145000"/>
    <m/>
    <n v="145000"/>
    <s v="Opening"/>
  </r>
  <r>
    <x v="13"/>
    <s v="JE-1000"/>
    <m/>
    <x v="23"/>
    <x v="23"/>
    <s v="Asset"/>
    <s v="Opening balances as of 6/30/2025"/>
    <m/>
    <n v="62000"/>
    <n v="-62000"/>
    <s v="Opening"/>
  </r>
  <r>
    <x v="13"/>
    <s v="JE-1000"/>
    <m/>
    <x v="39"/>
    <x v="39"/>
    <s v="Asset"/>
    <s v="Opening balances as of 6/30/2025"/>
    <n v="8000"/>
    <m/>
    <n v="8000"/>
    <s v="Opening"/>
  </r>
  <r>
    <x v="12"/>
    <s v="JE-1240"/>
    <s v="1050"/>
    <x v="14"/>
    <x v="14"/>
    <s v="Expense"/>
    <s v="Monthly Insurance Allocation"/>
    <n v="281.73"/>
    <m/>
    <n v="281.73"/>
    <s v="GL"/>
  </r>
  <r>
    <x v="13"/>
    <s v="JE-1000"/>
    <m/>
    <x v="40"/>
    <x v="40"/>
    <s v="Liability"/>
    <s v="Opening balances as of 6/30/2025"/>
    <m/>
    <n v="31000"/>
    <n v="-31000"/>
    <s v="Opening"/>
  </r>
  <r>
    <x v="13"/>
    <s v="JE-1000"/>
    <m/>
    <x v="41"/>
    <x v="41"/>
    <s v="Liability"/>
    <s v="Opening balances as of 6/30/2025"/>
    <m/>
    <n v="18500"/>
    <n v="-18500"/>
    <s v="Opening"/>
  </r>
  <r>
    <x v="13"/>
    <s v="JE-1000"/>
    <m/>
    <x v="15"/>
    <x v="15"/>
    <s v="Liability"/>
    <s v="Opening balances as of 6/30/2025"/>
    <m/>
    <n v="41000"/>
    <n v="-41000"/>
    <s v="Opening"/>
  </r>
  <r>
    <x v="13"/>
    <s v="JE-1000"/>
    <m/>
    <x v="42"/>
    <x v="42"/>
    <s v="Liability"/>
    <s v="Opening balances as of 6/30/2025"/>
    <m/>
    <n v="22000"/>
    <n v="-22000"/>
    <s v="Opening"/>
  </r>
  <r>
    <x v="13"/>
    <s v="JE-1000"/>
    <m/>
    <x v="17"/>
    <x v="17"/>
    <s v="Liability"/>
    <s v="Opening balances as of 6/30/2025"/>
    <m/>
    <n v="15000"/>
    <n v="-15000"/>
    <s v="Opening"/>
  </r>
  <r>
    <x v="13"/>
    <s v="JE-1000"/>
    <m/>
    <x v="20"/>
    <x v="20"/>
    <s v="Liability"/>
    <s v="Opening balances as of 6/30/2025"/>
    <m/>
    <n v="85000"/>
    <n v="-85000"/>
    <s v="Opening"/>
  </r>
  <r>
    <x v="13"/>
    <s v="JE-1000"/>
    <m/>
    <x v="2"/>
    <x v="2"/>
    <s v="Equity"/>
    <s v="Opening balances as of 6/30/2025"/>
    <m/>
    <n v="310000"/>
    <n v="-310000"/>
    <s v="Opening"/>
  </r>
  <r>
    <x v="13"/>
    <s v="JE-1000"/>
    <m/>
    <x v="1"/>
    <x v="1"/>
    <s v="Equity"/>
    <s v="Opening balances as of 6/30/2025"/>
    <m/>
    <n v="138300"/>
    <n v="-138300"/>
    <s v="Opening"/>
  </r>
  <r>
    <x v="1"/>
    <s v="JE-1241"/>
    <m/>
    <x v="40"/>
    <x v="40"/>
    <s v="Liability"/>
    <s v="Accrue payroll liability"/>
    <m/>
    <n v="122644.38"/>
    <n v="-122644.38"/>
    <s v="GL"/>
  </r>
  <r>
    <x v="2"/>
    <s v="JE-1242"/>
    <m/>
    <x v="40"/>
    <x v="40"/>
    <s v="Liability"/>
    <s v="Accrue payroll liability"/>
    <m/>
    <n v="124657.04"/>
    <n v="-124657.04"/>
    <s v="GL"/>
  </r>
  <r>
    <x v="3"/>
    <s v="JE-1243"/>
    <m/>
    <x v="40"/>
    <x v="40"/>
    <s v="Liability"/>
    <s v="Accrue payroll liability"/>
    <m/>
    <n v="128036.33"/>
    <n v="-128036.33"/>
    <s v="GL"/>
  </r>
  <r>
    <x v="4"/>
    <s v="JE-1244"/>
    <m/>
    <x v="40"/>
    <x v="40"/>
    <s v="Liability"/>
    <s v="Accrue payroll liability"/>
    <m/>
    <n v="129101.8"/>
    <n v="-129101.8"/>
    <s v="GL"/>
  </r>
  <r>
    <x v="5"/>
    <s v="JE-1245"/>
    <m/>
    <x v="40"/>
    <x v="40"/>
    <s v="Liability"/>
    <s v="Accrue payroll liability"/>
    <m/>
    <n v="124722.61"/>
    <n v="-124722.61"/>
    <s v="GL"/>
  </r>
  <r>
    <x v="6"/>
    <s v="JE-1246"/>
    <m/>
    <x v="40"/>
    <x v="40"/>
    <s v="Liability"/>
    <s v="Accrue payroll liability"/>
    <m/>
    <n v="126875.51"/>
    <n v="-126875.51"/>
    <s v="GL"/>
  </r>
  <r>
    <x v="7"/>
    <s v="JE-1247"/>
    <m/>
    <x v="40"/>
    <x v="40"/>
    <s v="Liability"/>
    <s v="Accrue payroll liability"/>
    <m/>
    <n v="125556.76"/>
    <n v="-125556.76"/>
    <s v="GL"/>
  </r>
  <r>
    <x v="8"/>
    <s v="JE-1248"/>
    <m/>
    <x v="40"/>
    <x v="40"/>
    <s v="Liability"/>
    <s v="Accrue payroll liability"/>
    <m/>
    <n v="128749.39"/>
    <n v="-128749.39"/>
    <s v="GL"/>
  </r>
  <r>
    <x v="9"/>
    <s v="JE-1249"/>
    <m/>
    <x v="40"/>
    <x v="40"/>
    <s v="Liability"/>
    <s v="Accrue payroll liability"/>
    <m/>
    <n v="126150.07"/>
    <n v="-126150.07"/>
    <s v="GL"/>
  </r>
  <r>
    <x v="10"/>
    <s v="JE-1250"/>
    <m/>
    <x v="40"/>
    <x v="40"/>
    <s v="Liability"/>
    <s v="Accrue payroll liability"/>
    <m/>
    <n v="127182.12"/>
    <n v="-127182.12"/>
    <s v="GL"/>
  </r>
  <r>
    <x v="11"/>
    <s v="JE-1251"/>
    <m/>
    <x v="40"/>
    <x v="40"/>
    <s v="Liability"/>
    <s v="Accrue payroll liability"/>
    <m/>
    <n v="118864.15"/>
    <n v="-118864.15"/>
    <s v="GL"/>
  </r>
  <r>
    <x v="12"/>
    <s v="JE-1252"/>
    <m/>
    <x v="40"/>
    <x v="40"/>
    <s v="Liability"/>
    <s v="Accrue payroll liability"/>
    <m/>
    <n v="124378.35"/>
    <n v="-124378.35"/>
    <s v="GL"/>
  </r>
  <r>
    <x v="1"/>
    <s v="JE-1253"/>
    <m/>
    <x v="40"/>
    <x v="40"/>
    <s v="Liability"/>
    <s v="Accrue payroll liability"/>
    <m/>
    <n v="9382.2900000000009"/>
    <n v="-9382.2900000000009"/>
    <s v="GL"/>
  </r>
  <r>
    <x v="2"/>
    <s v="JE-1254"/>
    <m/>
    <x v="40"/>
    <x v="40"/>
    <s v="Liability"/>
    <s v="Accrue payroll liability"/>
    <m/>
    <n v="9536.26"/>
    <n v="-9536.26"/>
    <s v="GL"/>
  </r>
  <r>
    <x v="3"/>
    <s v="JE-1255"/>
    <m/>
    <x v="40"/>
    <x v="40"/>
    <s v="Liability"/>
    <s v="Accrue payroll liability"/>
    <m/>
    <n v="9794.7800000000007"/>
    <n v="-9794.7800000000007"/>
    <s v="GL"/>
  </r>
  <r>
    <x v="4"/>
    <s v="JE-1256"/>
    <m/>
    <x v="40"/>
    <x v="40"/>
    <s v="Liability"/>
    <s v="Accrue payroll liability"/>
    <m/>
    <n v="9876.2900000000009"/>
    <n v="-9876.2900000000009"/>
    <s v="GL"/>
  </r>
  <r>
    <x v="5"/>
    <s v="JE-1257"/>
    <m/>
    <x v="40"/>
    <x v="40"/>
    <s v="Liability"/>
    <s v="Accrue payroll liability"/>
    <m/>
    <n v="9541.2800000000007"/>
    <n v="-9541.2800000000007"/>
    <s v="GL"/>
  </r>
  <r>
    <x v="6"/>
    <s v="JE-1258"/>
    <m/>
    <x v="40"/>
    <x v="40"/>
    <s v="Liability"/>
    <s v="Accrue payroll liability"/>
    <m/>
    <n v="9705.9699999999993"/>
    <n v="-9705.9699999999993"/>
    <s v="GL"/>
  </r>
  <r>
    <x v="7"/>
    <s v="JE-1259"/>
    <m/>
    <x v="40"/>
    <x v="40"/>
    <s v="Liability"/>
    <s v="Accrue payroll liability"/>
    <m/>
    <n v="9605.1"/>
    <n v="-9605.1"/>
    <s v="GL"/>
  </r>
  <r>
    <x v="8"/>
    <s v="JE-1260"/>
    <m/>
    <x v="40"/>
    <x v="40"/>
    <s v="Liability"/>
    <s v="Accrue payroll liability"/>
    <m/>
    <n v="9849.33"/>
    <n v="-9849.33"/>
    <s v="GL"/>
  </r>
  <r>
    <x v="9"/>
    <s v="JE-1261"/>
    <m/>
    <x v="40"/>
    <x v="40"/>
    <s v="Liability"/>
    <s v="Accrue payroll liability"/>
    <m/>
    <n v="9650.48"/>
    <n v="-9650.48"/>
    <s v="GL"/>
  </r>
  <r>
    <x v="10"/>
    <s v="JE-1262"/>
    <m/>
    <x v="40"/>
    <x v="40"/>
    <s v="Liability"/>
    <s v="Accrue payroll liability"/>
    <m/>
    <n v="9729.44"/>
    <n v="-9729.44"/>
    <s v="GL"/>
  </r>
  <r>
    <x v="11"/>
    <s v="JE-1263"/>
    <m/>
    <x v="40"/>
    <x v="40"/>
    <s v="Liability"/>
    <s v="Accrue payroll liability"/>
    <m/>
    <n v="9093.1"/>
    <n v="-9093.1"/>
    <s v="GL"/>
  </r>
  <r>
    <x v="12"/>
    <s v="JE-1264"/>
    <m/>
    <x v="40"/>
    <x v="40"/>
    <s v="Liability"/>
    <s v="Accrue payroll liability"/>
    <m/>
    <n v="9514.94"/>
    <n v="-9514.94"/>
    <s v="GL"/>
  </r>
  <r>
    <x v="1"/>
    <s v="JE-1265"/>
    <m/>
    <x v="40"/>
    <x v="40"/>
    <s v="Liability"/>
    <s v="Accrue payroll liability"/>
    <m/>
    <n v="13490.88"/>
    <n v="-13490.88"/>
    <s v="GL"/>
  </r>
  <r>
    <x v="2"/>
    <s v="JE-1266"/>
    <m/>
    <x v="40"/>
    <x v="40"/>
    <s v="Liability"/>
    <s v="Accrue payroll liability"/>
    <m/>
    <n v="13712.27"/>
    <n v="-13712.27"/>
    <s v="GL"/>
  </r>
  <r>
    <x v="3"/>
    <s v="JE-1267"/>
    <m/>
    <x v="40"/>
    <x v="40"/>
    <s v="Liability"/>
    <s v="Accrue payroll liability"/>
    <m/>
    <n v="14084"/>
    <n v="-14084"/>
    <s v="GL"/>
  </r>
  <r>
    <x v="4"/>
    <s v="JE-1268"/>
    <m/>
    <x v="40"/>
    <x v="40"/>
    <s v="Liability"/>
    <s v="Accrue payroll liability"/>
    <m/>
    <n v="14201.2"/>
    <n v="-14201.2"/>
    <s v="GL"/>
  </r>
  <r>
    <x v="5"/>
    <s v="JE-1269"/>
    <m/>
    <x v="40"/>
    <x v="40"/>
    <s v="Liability"/>
    <s v="Accrue payroll liability"/>
    <m/>
    <n v="13719.49"/>
    <n v="-13719.49"/>
    <s v="GL"/>
  </r>
  <r>
    <x v="6"/>
    <s v="JE-1270"/>
    <m/>
    <x v="40"/>
    <x v="40"/>
    <s v="Liability"/>
    <s v="Accrue payroll liability"/>
    <m/>
    <n v="13956.31"/>
    <n v="-13956.31"/>
    <s v="GL"/>
  </r>
  <r>
    <x v="7"/>
    <s v="JE-1271"/>
    <m/>
    <x v="40"/>
    <x v="40"/>
    <s v="Liability"/>
    <s v="Accrue payroll liability"/>
    <m/>
    <n v="13811.24"/>
    <n v="-13811.24"/>
    <s v="GL"/>
  </r>
  <r>
    <x v="8"/>
    <s v="JE-1272"/>
    <m/>
    <x v="40"/>
    <x v="40"/>
    <s v="Liability"/>
    <s v="Accrue payroll liability"/>
    <m/>
    <n v="14162.43"/>
    <n v="-14162.43"/>
    <s v="GL"/>
  </r>
  <r>
    <x v="9"/>
    <s v="JE-1273"/>
    <m/>
    <x v="40"/>
    <x v="40"/>
    <s v="Liability"/>
    <s v="Accrue payroll liability"/>
    <m/>
    <n v="13876.51"/>
    <n v="-13876.51"/>
    <s v="GL"/>
  </r>
  <r>
    <x v="10"/>
    <s v="JE-1274"/>
    <m/>
    <x v="40"/>
    <x v="40"/>
    <s v="Liability"/>
    <s v="Accrue payroll liability"/>
    <m/>
    <n v="13990.04"/>
    <n v="-13990.04"/>
    <s v="GL"/>
  </r>
  <r>
    <x v="11"/>
    <s v="JE-1275"/>
    <m/>
    <x v="40"/>
    <x v="40"/>
    <s v="Liability"/>
    <s v="Accrue payroll liability"/>
    <m/>
    <n v="13075.06"/>
    <n v="-13075.06"/>
    <s v="GL"/>
  </r>
  <r>
    <x v="12"/>
    <s v="JE-1276"/>
    <m/>
    <x v="40"/>
    <x v="40"/>
    <s v="Liability"/>
    <s v="Accrue payroll liability"/>
    <m/>
    <n v="13681.62"/>
    <n v="-13681.62"/>
    <s v="GL"/>
  </r>
  <r>
    <x v="1"/>
    <s v="JE-1277"/>
    <m/>
    <x v="40"/>
    <x v="40"/>
    <s v="Liability"/>
    <s v="Accrue payroll liability"/>
    <m/>
    <n v="3679.33"/>
    <n v="-3679.33"/>
    <s v="GL"/>
  </r>
  <r>
    <x v="2"/>
    <s v="JE-1278"/>
    <m/>
    <x v="40"/>
    <x v="40"/>
    <s v="Liability"/>
    <s v="Accrue payroll liability"/>
    <m/>
    <n v="3739.71"/>
    <n v="-3739.71"/>
    <s v="GL"/>
  </r>
  <r>
    <x v="3"/>
    <s v="JE-1279"/>
    <m/>
    <x v="40"/>
    <x v="40"/>
    <s v="Liability"/>
    <s v="Accrue payroll liability"/>
    <m/>
    <n v="3841.09"/>
    <n v="-3841.09"/>
    <s v="GL"/>
  </r>
  <r>
    <x v="4"/>
    <s v="JE-1280"/>
    <m/>
    <x v="40"/>
    <x v="40"/>
    <s v="Liability"/>
    <s v="Accrue payroll liability"/>
    <m/>
    <n v="3873.05"/>
    <n v="-3873.05"/>
    <s v="GL"/>
  </r>
  <r>
    <x v="5"/>
    <s v="JE-1281"/>
    <m/>
    <x v="40"/>
    <x v="40"/>
    <s v="Liability"/>
    <s v="Accrue payroll liability"/>
    <m/>
    <n v="3741.67"/>
    <n v="-3741.67"/>
    <s v="GL"/>
  </r>
  <r>
    <x v="6"/>
    <s v="JE-1282"/>
    <m/>
    <x v="40"/>
    <x v="40"/>
    <s v="Liability"/>
    <s v="Accrue payroll liability"/>
    <m/>
    <n v="3806.26"/>
    <n v="-3806.26"/>
    <s v="GL"/>
  </r>
  <r>
    <x v="7"/>
    <s v="JE-1283"/>
    <m/>
    <x v="40"/>
    <x v="40"/>
    <s v="Liability"/>
    <s v="Accrue payroll liability"/>
    <m/>
    <n v="3766.7"/>
    <n v="-3766.7"/>
    <s v="GL"/>
  </r>
  <r>
    <x v="8"/>
    <s v="JE-1284"/>
    <m/>
    <x v="40"/>
    <x v="40"/>
    <s v="Liability"/>
    <s v="Accrue payroll liability"/>
    <m/>
    <n v="3862.48"/>
    <n v="-3862.48"/>
    <s v="GL"/>
  </r>
  <r>
    <x v="9"/>
    <s v="JE-1285"/>
    <m/>
    <x v="40"/>
    <x v="40"/>
    <s v="Liability"/>
    <s v="Accrue payroll liability"/>
    <m/>
    <n v="3784.5"/>
    <n v="-3784.5"/>
    <s v="GL"/>
  </r>
  <r>
    <x v="10"/>
    <s v="JE-1286"/>
    <m/>
    <x v="40"/>
    <x v="40"/>
    <s v="Liability"/>
    <s v="Accrue payroll liability"/>
    <m/>
    <n v="3815.46"/>
    <n v="-3815.46"/>
    <s v="GL"/>
  </r>
  <r>
    <x v="11"/>
    <s v="JE-1287"/>
    <m/>
    <x v="40"/>
    <x v="40"/>
    <s v="Liability"/>
    <s v="Accrue payroll liability"/>
    <m/>
    <n v="3565.93"/>
    <n v="-3565.93"/>
    <s v="GL"/>
  </r>
  <r>
    <x v="12"/>
    <s v="JE-1288"/>
    <m/>
    <x v="40"/>
    <x v="40"/>
    <s v="Liability"/>
    <s v="Accrue payroll liability"/>
    <m/>
    <n v="3731.35"/>
    <n v="-3731.35"/>
    <s v="GL"/>
  </r>
  <r>
    <x v="123"/>
    <s v="JE-1401"/>
    <m/>
    <x v="40"/>
    <x v="40"/>
    <s v="Liability"/>
    <s v="Payroll paid - pay out payroll"/>
    <n v="149196.88"/>
    <m/>
    <n v="149196.88"/>
    <s v="GL"/>
  </r>
  <r>
    <x v="123"/>
    <s v="JE-1401"/>
    <m/>
    <x v="38"/>
    <x v="38"/>
    <s v="Asset"/>
    <s v="Payroll paid - pay out payroll"/>
    <m/>
    <n v="149196.88"/>
    <n v="-149196.88"/>
    <s v="GL"/>
  </r>
  <r>
    <x v="118"/>
    <s v="JE-1402"/>
    <m/>
    <x v="40"/>
    <x v="40"/>
    <s v="Liability"/>
    <s v="Payroll paid - pay out payroll"/>
    <n v="151645.28"/>
    <m/>
    <n v="151645.28"/>
    <s v="GL"/>
  </r>
  <r>
    <x v="118"/>
    <s v="JE-1402"/>
    <m/>
    <x v="38"/>
    <x v="38"/>
    <s v="Asset"/>
    <s v="Payroll paid - pay out payroll"/>
    <m/>
    <n v="151645.28"/>
    <n v="-151645.28"/>
    <s v="GL"/>
  </r>
  <r>
    <x v="113"/>
    <s v="JE-1403"/>
    <m/>
    <x v="40"/>
    <x v="40"/>
    <s v="Liability"/>
    <s v="Payroll paid - pay out payroll"/>
    <n v="155756.20000000001"/>
    <m/>
    <n v="155756.20000000001"/>
    <s v="GL"/>
  </r>
  <r>
    <x v="113"/>
    <s v="JE-1403"/>
    <m/>
    <x v="38"/>
    <x v="38"/>
    <s v="Asset"/>
    <s v="Payroll paid - pay out payroll"/>
    <m/>
    <n v="155756.20000000001"/>
    <n v="-155756.20000000001"/>
    <s v="GL"/>
  </r>
  <r>
    <x v="108"/>
    <s v="JE-1404"/>
    <m/>
    <x v="40"/>
    <x v="40"/>
    <s v="Liability"/>
    <s v="Payroll paid - pay out payroll"/>
    <n v="157052.34"/>
    <m/>
    <n v="157052.34"/>
    <s v="GL"/>
  </r>
  <r>
    <x v="108"/>
    <s v="JE-1404"/>
    <m/>
    <x v="38"/>
    <x v="38"/>
    <s v="Asset"/>
    <s v="Payroll paid - pay out payroll"/>
    <m/>
    <n v="157052.34"/>
    <n v="-157052.34"/>
    <s v="GL"/>
  </r>
  <r>
    <x v="103"/>
    <s v="JE-1405"/>
    <m/>
    <x v="40"/>
    <x v="40"/>
    <s v="Liability"/>
    <s v="Payroll paid - pay out payroll"/>
    <n v="151725.04999999999"/>
    <m/>
    <n v="151725.04999999999"/>
    <s v="GL"/>
  </r>
  <r>
    <x v="103"/>
    <s v="JE-1405"/>
    <m/>
    <x v="38"/>
    <x v="38"/>
    <s v="Asset"/>
    <s v="Payroll paid - pay out payroll"/>
    <m/>
    <n v="151725.04999999999"/>
    <n v="-151725.04999999999"/>
    <s v="GL"/>
  </r>
  <r>
    <x v="38"/>
    <s v="JE-1406"/>
    <m/>
    <x v="40"/>
    <x v="40"/>
    <s v="Liability"/>
    <s v="Payroll paid - pay out payroll"/>
    <n v="154344.04999999999"/>
    <m/>
    <n v="154344.04999999999"/>
    <s v="GL"/>
  </r>
  <r>
    <x v="38"/>
    <s v="JE-1406"/>
    <m/>
    <x v="38"/>
    <x v="38"/>
    <s v="Asset"/>
    <s v="Payroll paid - pay out payroll"/>
    <m/>
    <n v="154344.04999999999"/>
    <n v="-154344.04999999999"/>
    <s v="GL"/>
  </r>
  <r>
    <x v="93"/>
    <s v="JE-1407"/>
    <m/>
    <x v="40"/>
    <x v="40"/>
    <s v="Liability"/>
    <s v="Payroll paid - pay out payroll"/>
    <n v="152739.79999999999"/>
    <m/>
    <n v="152739.79999999999"/>
    <s v="GL"/>
  </r>
  <r>
    <x v="93"/>
    <s v="JE-1407"/>
    <m/>
    <x v="38"/>
    <x v="38"/>
    <s v="Asset"/>
    <s v="Payroll paid - pay out payroll"/>
    <m/>
    <n v="152739.79999999999"/>
    <n v="-152739.79999999999"/>
    <s v="GL"/>
  </r>
  <r>
    <x v="87"/>
    <s v="JE-1408"/>
    <m/>
    <x v="40"/>
    <x v="40"/>
    <s v="Liability"/>
    <s v="Payroll paid - pay out payroll"/>
    <n v="156623.63"/>
    <m/>
    <n v="156623.63"/>
    <s v="GL"/>
  </r>
  <r>
    <x v="87"/>
    <s v="JE-1408"/>
    <m/>
    <x v="38"/>
    <x v="38"/>
    <s v="Asset"/>
    <s v="Payroll paid - pay out payroll"/>
    <m/>
    <n v="156623.63"/>
    <n v="-156623.63"/>
    <s v="GL"/>
  </r>
  <r>
    <x v="81"/>
    <s v="JE-1409"/>
    <m/>
    <x v="40"/>
    <x v="40"/>
    <s v="Liability"/>
    <s v="Payroll paid - pay out payroll"/>
    <n v="153461.56"/>
    <m/>
    <n v="153461.56"/>
    <s v="GL"/>
  </r>
  <r>
    <x v="81"/>
    <s v="JE-1409"/>
    <m/>
    <x v="38"/>
    <x v="38"/>
    <s v="Asset"/>
    <s v="Payroll paid - pay out payroll"/>
    <m/>
    <n v="153461.56"/>
    <n v="-153461.56"/>
    <s v="GL"/>
  </r>
  <r>
    <x v="77"/>
    <s v="JE-1410"/>
    <m/>
    <x v="40"/>
    <x v="40"/>
    <s v="Liability"/>
    <s v="Payroll paid - pay out payroll"/>
    <n v="154717.06"/>
    <m/>
    <n v="154717.06"/>
    <s v="GL"/>
  </r>
  <r>
    <x v="77"/>
    <s v="JE-1410"/>
    <m/>
    <x v="38"/>
    <x v="38"/>
    <s v="Asset"/>
    <s v="Payroll paid - pay out payroll"/>
    <m/>
    <n v="154717.06"/>
    <n v="-154717.06"/>
    <s v="GL"/>
  </r>
  <r>
    <x v="75"/>
    <s v="JE-1411"/>
    <m/>
    <x v="40"/>
    <x v="40"/>
    <s v="Liability"/>
    <s v="Payroll paid - pay out payroll"/>
    <n v="144598.24"/>
    <m/>
    <n v="144598.24"/>
    <s v="GL"/>
  </r>
  <r>
    <x v="75"/>
    <s v="JE-1411"/>
    <m/>
    <x v="38"/>
    <x v="38"/>
    <s v="Asset"/>
    <s v="Payroll paid - pay out payroll"/>
    <m/>
    <n v="144598.24"/>
    <n v="-144598.24"/>
    <s v="GL"/>
  </r>
  <r>
    <x v="70"/>
    <s v="JE-1412"/>
    <m/>
    <x v="40"/>
    <x v="40"/>
    <s v="Liability"/>
    <s v="Payroll paid - pay out payroll"/>
    <n v="151306.26"/>
    <m/>
    <n v="151306.26"/>
    <s v="GL"/>
  </r>
  <r>
    <x v="70"/>
    <s v="JE-1412"/>
    <m/>
    <x v="38"/>
    <x v="38"/>
    <s v="Asset"/>
    <s v="Payroll paid - pay out payroll"/>
    <m/>
    <n v="151306.26"/>
    <n v="-151306.26"/>
    <s v="GL"/>
  </r>
  <r>
    <x v="1"/>
    <s v="JE-1501"/>
    <s v="1010"/>
    <x v="9"/>
    <x v="9"/>
    <s v="Expense"/>
    <s v="Accrue PTO/vacation liability"/>
    <n v="424.59"/>
    <m/>
    <n v="424.59"/>
    <s v="GL"/>
  </r>
  <r>
    <x v="1"/>
    <s v="JE-1501"/>
    <s v="1030"/>
    <x v="9"/>
    <x v="9"/>
    <s v="Expense"/>
    <s v="Accrue PTO/vacation liability"/>
    <n v="566.13"/>
    <m/>
    <n v="566.13"/>
    <s v="GL"/>
  </r>
  <r>
    <x v="1"/>
    <s v="JE-1501"/>
    <s v="1040"/>
    <x v="9"/>
    <x v="9"/>
    <s v="Expense"/>
    <s v="Accrue PTO/vacation liability"/>
    <n v="566.13"/>
    <m/>
    <n v="566.13"/>
    <s v="GL"/>
  </r>
  <r>
    <x v="1"/>
    <s v="JE-1501"/>
    <s v="1050"/>
    <x v="9"/>
    <x v="9"/>
    <s v="Expense"/>
    <s v="Accrue PTO/vacation liability"/>
    <n v="566.13"/>
    <m/>
    <n v="566.13"/>
    <s v="GL"/>
  </r>
  <r>
    <x v="1"/>
    <s v="JE-1501"/>
    <s v="2010"/>
    <x v="9"/>
    <x v="9"/>
    <s v="Expense"/>
    <s v="Accrue PTO/vacation liability"/>
    <n v="990.72"/>
    <m/>
    <n v="990.72"/>
    <s v="GL"/>
  </r>
  <r>
    <x v="1"/>
    <s v="JE-1501"/>
    <s v="2020"/>
    <x v="9"/>
    <x v="9"/>
    <s v="Expense"/>
    <s v="Accrue PTO/vacation liability"/>
    <n v="849.19"/>
    <m/>
    <n v="849.19"/>
    <s v="GL"/>
  </r>
  <r>
    <x v="1"/>
    <s v="JE-1501"/>
    <s v="2030"/>
    <x v="9"/>
    <x v="9"/>
    <s v="Expense"/>
    <s v="Accrue PTO/vacation liability"/>
    <n v="849.19"/>
    <m/>
    <n v="849.19"/>
    <s v="GL"/>
  </r>
  <r>
    <x v="1"/>
    <s v="JE-1501"/>
    <s v="2040"/>
    <x v="9"/>
    <x v="9"/>
    <s v="Expense"/>
    <s v="Accrue PTO/vacation liability"/>
    <n v="1132.25"/>
    <m/>
    <n v="1132.25"/>
    <s v="GL"/>
  </r>
  <r>
    <x v="1"/>
    <s v="JE-1501"/>
    <s v="2050"/>
    <x v="9"/>
    <x v="9"/>
    <s v="Expense"/>
    <s v="Accrue PTO/vacation liability"/>
    <n v="1132.25"/>
    <m/>
    <n v="1132.25"/>
    <s v="GL"/>
  </r>
  <r>
    <x v="1"/>
    <s v="JE-1501"/>
    <m/>
    <x v="41"/>
    <x v="41"/>
    <s v="Liability"/>
    <s v="Accrue PTO/vacation liability"/>
    <m/>
    <n v="7076.58"/>
    <n v="-7076.58"/>
    <s v="GL"/>
  </r>
  <r>
    <x v="2"/>
    <s v="JE-1502"/>
    <s v="1010"/>
    <x v="9"/>
    <x v="9"/>
    <s v="Expense"/>
    <s v="Accrue PTO/vacation liability"/>
    <n v="431.56"/>
    <m/>
    <n v="431.56"/>
    <s v="GL"/>
  </r>
  <r>
    <x v="2"/>
    <s v="JE-1502"/>
    <s v="1030"/>
    <x v="9"/>
    <x v="9"/>
    <s v="Expense"/>
    <s v="Accrue PTO/vacation liability"/>
    <n v="575.41999999999996"/>
    <m/>
    <n v="575.41999999999996"/>
    <s v="GL"/>
  </r>
  <r>
    <x v="2"/>
    <s v="JE-1502"/>
    <s v="1040"/>
    <x v="9"/>
    <x v="9"/>
    <s v="Expense"/>
    <s v="Accrue PTO/vacation liability"/>
    <n v="575.41999999999996"/>
    <m/>
    <n v="575.41999999999996"/>
    <s v="GL"/>
  </r>
  <r>
    <x v="2"/>
    <s v="JE-1502"/>
    <s v="1050"/>
    <x v="9"/>
    <x v="9"/>
    <s v="Expense"/>
    <s v="Accrue PTO/vacation liability"/>
    <n v="575.41999999999996"/>
    <m/>
    <n v="575.41999999999996"/>
    <s v="GL"/>
  </r>
  <r>
    <x v="2"/>
    <s v="JE-1502"/>
    <s v="2010"/>
    <x v="9"/>
    <x v="9"/>
    <s v="Expense"/>
    <s v="Accrue PTO/vacation liability"/>
    <n v="1006.98"/>
    <m/>
    <n v="1006.98"/>
    <s v="GL"/>
  </r>
  <r>
    <x v="2"/>
    <s v="JE-1502"/>
    <s v="2020"/>
    <x v="9"/>
    <x v="9"/>
    <s v="Expense"/>
    <s v="Accrue PTO/vacation liability"/>
    <n v="863.13"/>
    <m/>
    <n v="863.13"/>
    <s v="GL"/>
  </r>
  <r>
    <x v="2"/>
    <s v="JE-1502"/>
    <s v="2030"/>
    <x v="9"/>
    <x v="9"/>
    <s v="Expense"/>
    <s v="Accrue PTO/vacation liability"/>
    <n v="863.13"/>
    <m/>
    <n v="863.13"/>
    <s v="GL"/>
  </r>
  <r>
    <x v="2"/>
    <s v="JE-1502"/>
    <s v="2040"/>
    <x v="9"/>
    <x v="9"/>
    <s v="Expense"/>
    <s v="Accrue PTO/vacation liability"/>
    <n v="1150.83"/>
    <m/>
    <n v="1150.83"/>
    <s v="GL"/>
  </r>
  <r>
    <x v="2"/>
    <s v="JE-1502"/>
    <s v="2050"/>
    <x v="9"/>
    <x v="9"/>
    <s v="Expense"/>
    <s v="Accrue PTO/vacation liability"/>
    <n v="1150.83"/>
    <m/>
    <n v="1150.83"/>
    <s v="GL"/>
  </r>
  <r>
    <x v="2"/>
    <s v="JE-1502"/>
    <m/>
    <x v="41"/>
    <x v="41"/>
    <s v="Liability"/>
    <s v="Accrue PTO/vacation liability"/>
    <m/>
    <n v="7192.72"/>
    <n v="-7192.72"/>
    <s v="GL"/>
  </r>
  <r>
    <x v="3"/>
    <s v="JE-1503"/>
    <s v="1010"/>
    <x v="9"/>
    <x v="9"/>
    <s v="Expense"/>
    <s v="Accrue PTO/vacation liability"/>
    <n v="443.26"/>
    <m/>
    <n v="443.26"/>
    <s v="GL"/>
  </r>
  <r>
    <x v="3"/>
    <s v="JE-1503"/>
    <s v="1030"/>
    <x v="9"/>
    <x v="9"/>
    <s v="Expense"/>
    <s v="Accrue PTO/vacation liability"/>
    <n v="591.02"/>
    <m/>
    <n v="591.02"/>
    <s v="GL"/>
  </r>
  <r>
    <x v="3"/>
    <s v="JE-1503"/>
    <s v="1040"/>
    <x v="9"/>
    <x v="9"/>
    <s v="Expense"/>
    <s v="Accrue PTO/vacation liability"/>
    <n v="591.02"/>
    <m/>
    <n v="591.02"/>
    <s v="GL"/>
  </r>
  <r>
    <x v="3"/>
    <s v="JE-1503"/>
    <s v="1050"/>
    <x v="9"/>
    <x v="9"/>
    <s v="Expense"/>
    <s v="Accrue PTO/vacation liability"/>
    <n v="591.02"/>
    <m/>
    <n v="591.02"/>
    <s v="GL"/>
  </r>
  <r>
    <x v="3"/>
    <s v="JE-1503"/>
    <s v="2010"/>
    <x v="9"/>
    <x v="9"/>
    <s v="Expense"/>
    <s v="Accrue PTO/vacation liability"/>
    <n v="1034.28"/>
    <m/>
    <n v="1034.28"/>
    <s v="GL"/>
  </r>
  <r>
    <x v="3"/>
    <s v="JE-1503"/>
    <s v="2020"/>
    <x v="9"/>
    <x v="9"/>
    <s v="Expense"/>
    <s v="Accrue PTO/vacation liability"/>
    <n v="886.52"/>
    <m/>
    <n v="886.52"/>
    <s v="GL"/>
  </r>
  <r>
    <x v="3"/>
    <s v="JE-1503"/>
    <s v="2030"/>
    <x v="9"/>
    <x v="9"/>
    <s v="Expense"/>
    <s v="Accrue PTO/vacation liability"/>
    <n v="886.52"/>
    <m/>
    <n v="886.52"/>
    <s v="GL"/>
  </r>
  <r>
    <x v="3"/>
    <s v="JE-1503"/>
    <s v="2040"/>
    <x v="9"/>
    <x v="9"/>
    <s v="Expense"/>
    <s v="Accrue PTO/vacation liability"/>
    <n v="1182.03"/>
    <m/>
    <n v="1182.03"/>
    <s v="GL"/>
  </r>
  <r>
    <x v="3"/>
    <s v="JE-1503"/>
    <s v="2050"/>
    <x v="9"/>
    <x v="9"/>
    <s v="Expense"/>
    <s v="Accrue PTO/vacation liability"/>
    <n v="1182.03"/>
    <m/>
    <n v="1182.03"/>
    <s v="GL"/>
  </r>
  <r>
    <x v="3"/>
    <s v="JE-1503"/>
    <m/>
    <x v="41"/>
    <x v="41"/>
    <s v="Liability"/>
    <s v="Accrue PTO/vacation liability"/>
    <m/>
    <n v="7387.7"/>
    <n v="-7387.7"/>
    <s v="GL"/>
  </r>
  <r>
    <x v="4"/>
    <s v="JE-1504"/>
    <s v="1010"/>
    <x v="9"/>
    <x v="9"/>
    <s v="Expense"/>
    <s v="Accrue PTO/vacation liability"/>
    <n v="446.95"/>
    <m/>
    <n v="446.95"/>
    <s v="GL"/>
  </r>
  <r>
    <x v="4"/>
    <s v="JE-1504"/>
    <s v="1030"/>
    <x v="9"/>
    <x v="9"/>
    <s v="Expense"/>
    <s v="Accrue PTO/vacation liability"/>
    <n v="595.92999999999995"/>
    <m/>
    <n v="595.92999999999995"/>
    <s v="GL"/>
  </r>
  <r>
    <x v="4"/>
    <s v="JE-1504"/>
    <s v="1040"/>
    <x v="9"/>
    <x v="9"/>
    <s v="Expense"/>
    <s v="Accrue PTO/vacation liability"/>
    <n v="595.92999999999995"/>
    <m/>
    <n v="595.92999999999995"/>
    <s v="GL"/>
  </r>
  <r>
    <x v="4"/>
    <s v="JE-1504"/>
    <s v="1050"/>
    <x v="9"/>
    <x v="9"/>
    <s v="Expense"/>
    <s v="Accrue PTO/vacation liability"/>
    <n v="595.92999999999995"/>
    <m/>
    <n v="595.92999999999995"/>
    <s v="GL"/>
  </r>
  <r>
    <x v="4"/>
    <s v="JE-1504"/>
    <s v="2010"/>
    <x v="9"/>
    <x v="9"/>
    <s v="Expense"/>
    <s v="Accrue PTO/vacation liability"/>
    <n v="744.92"/>
    <m/>
    <n v="744.92"/>
    <s v="GL"/>
  </r>
  <r>
    <x v="4"/>
    <s v="JE-1504"/>
    <s v="2020"/>
    <x v="9"/>
    <x v="9"/>
    <s v="Expense"/>
    <s v="Accrue PTO/vacation liability"/>
    <n v="1191.8699999999999"/>
    <m/>
    <n v="1191.8699999999999"/>
    <s v="GL"/>
  </r>
  <r>
    <x v="4"/>
    <s v="JE-1504"/>
    <s v="2030"/>
    <x v="9"/>
    <x v="9"/>
    <s v="Expense"/>
    <s v="Accrue PTO/vacation liability"/>
    <n v="893.9"/>
    <m/>
    <n v="893.9"/>
    <s v="GL"/>
  </r>
  <r>
    <x v="4"/>
    <s v="JE-1504"/>
    <s v="2040"/>
    <x v="9"/>
    <x v="9"/>
    <s v="Expense"/>
    <s v="Accrue PTO/vacation liability"/>
    <n v="1191.8699999999999"/>
    <m/>
    <n v="1191.8699999999999"/>
    <s v="GL"/>
  </r>
  <r>
    <x v="4"/>
    <s v="JE-1504"/>
    <s v="2050"/>
    <x v="9"/>
    <x v="9"/>
    <s v="Expense"/>
    <s v="Accrue PTO/vacation liability"/>
    <n v="1191.8699999999999"/>
    <m/>
    <n v="1191.8699999999999"/>
    <s v="GL"/>
  </r>
  <r>
    <x v="4"/>
    <s v="JE-1504"/>
    <m/>
    <x v="41"/>
    <x v="41"/>
    <s v="Liability"/>
    <s v="Accrue PTO/vacation liability"/>
    <m/>
    <n v="7449.17"/>
    <n v="-7449.17"/>
    <s v="GL"/>
  </r>
  <r>
    <x v="5"/>
    <s v="JE-1505"/>
    <s v="1010"/>
    <x v="9"/>
    <x v="9"/>
    <s v="Expense"/>
    <s v="Accrue PTO/vacation liability"/>
    <n v="415.18"/>
    <m/>
    <n v="415.18"/>
    <s v="GL"/>
  </r>
  <r>
    <x v="5"/>
    <s v="JE-1505"/>
    <s v="1030"/>
    <x v="9"/>
    <x v="9"/>
    <s v="Expense"/>
    <s v="Accrue PTO/vacation liability"/>
    <n v="553.58000000000004"/>
    <m/>
    <n v="553.58000000000004"/>
    <s v="GL"/>
  </r>
  <r>
    <x v="5"/>
    <s v="JE-1505"/>
    <s v="1040"/>
    <x v="9"/>
    <x v="9"/>
    <s v="Expense"/>
    <s v="Accrue PTO/vacation liability"/>
    <n v="553.58000000000004"/>
    <m/>
    <n v="553.58000000000004"/>
    <s v="GL"/>
  </r>
  <r>
    <x v="5"/>
    <s v="JE-1505"/>
    <s v="1050"/>
    <x v="9"/>
    <x v="9"/>
    <s v="Expense"/>
    <s v="Accrue PTO/vacation liability"/>
    <n v="553.58000000000004"/>
    <m/>
    <n v="553.58000000000004"/>
    <s v="GL"/>
  </r>
  <r>
    <x v="5"/>
    <s v="JE-1505"/>
    <s v="2010"/>
    <x v="9"/>
    <x v="9"/>
    <s v="Expense"/>
    <s v="Accrue PTO/vacation liability"/>
    <n v="968.76"/>
    <m/>
    <n v="968.76"/>
    <s v="GL"/>
  </r>
  <r>
    <x v="5"/>
    <s v="JE-1505"/>
    <s v="2020"/>
    <x v="9"/>
    <x v="9"/>
    <s v="Expense"/>
    <s v="Accrue PTO/vacation liability"/>
    <n v="1107.1500000000001"/>
    <m/>
    <n v="1107.1500000000001"/>
    <s v="GL"/>
  </r>
  <r>
    <x v="5"/>
    <s v="JE-1505"/>
    <s v="2030"/>
    <x v="9"/>
    <x v="9"/>
    <s v="Expense"/>
    <s v="Accrue PTO/vacation liability"/>
    <n v="830.36"/>
    <m/>
    <n v="830.36"/>
    <s v="GL"/>
  </r>
  <r>
    <x v="5"/>
    <s v="JE-1505"/>
    <s v="2040"/>
    <x v="9"/>
    <x v="9"/>
    <s v="Expense"/>
    <s v="Accrue PTO/vacation liability"/>
    <n v="1107.1500000000001"/>
    <m/>
    <n v="1107.1500000000001"/>
    <s v="GL"/>
  </r>
  <r>
    <x v="5"/>
    <s v="JE-1505"/>
    <s v="2050"/>
    <x v="9"/>
    <x v="9"/>
    <s v="Expense"/>
    <s v="Accrue PTO/vacation liability"/>
    <n v="1107.1500000000001"/>
    <m/>
    <n v="1107.1500000000001"/>
    <s v="GL"/>
  </r>
  <r>
    <x v="5"/>
    <s v="JE-1505"/>
    <m/>
    <x v="41"/>
    <x v="41"/>
    <s v="Liability"/>
    <s v="Accrue PTO/vacation liability"/>
    <m/>
    <n v="7196.49"/>
    <n v="-7196.49"/>
    <s v="GL"/>
  </r>
  <r>
    <x v="6"/>
    <s v="JE-1506"/>
    <s v="1010"/>
    <x v="9"/>
    <x v="9"/>
    <s v="Expense"/>
    <s v="Accrue PTO/vacation liability"/>
    <n v="422.35"/>
    <m/>
    <n v="422.35"/>
    <s v="GL"/>
  </r>
  <r>
    <x v="6"/>
    <s v="JE-1506"/>
    <s v="1030"/>
    <x v="9"/>
    <x v="9"/>
    <s v="Expense"/>
    <s v="Accrue PTO/vacation liability"/>
    <n v="563.13"/>
    <m/>
    <n v="563.13"/>
    <s v="GL"/>
  </r>
  <r>
    <x v="6"/>
    <s v="JE-1506"/>
    <s v="1040"/>
    <x v="9"/>
    <x v="9"/>
    <s v="Expense"/>
    <s v="Accrue PTO/vacation liability"/>
    <n v="563.13"/>
    <m/>
    <n v="563.13"/>
    <s v="GL"/>
  </r>
  <r>
    <x v="6"/>
    <s v="JE-1506"/>
    <s v="1050"/>
    <x v="9"/>
    <x v="9"/>
    <s v="Expense"/>
    <s v="Accrue PTO/vacation liability"/>
    <n v="563.13"/>
    <m/>
    <n v="563.13"/>
    <s v="GL"/>
  </r>
  <r>
    <x v="6"/>
    <s v="JE-1506"/>
    <s v="2010"/>
    <x v="9"/>
    <x v="9"/>
    <s v="Expense"/>
    <s v="Accrue PTO/vacation liability"/>
    <n v="985.48"/>
    <m/>
    <n v="985.48"/>
    <s v="GL"/>
  </r>
  <r>
    <x v="6"/>
    <s v="JE-1506"/>
    <s v="2020"/>
    <x v="9"/>
    <x v="9"/>
    <s v="Expense"/>
    <s v="Accrue PTO/vacation liability"/>
    <n v="1126.26"/>
    <m/>
    <n v="1126.26"/>
    <s v="GL"/>
  </r>
  <r>
    <x v="6"/>
    <s v="JE-1506"/>
    <s v="2030"/>
    <x v="9"/>
    <x v="9"/>
    <s v="Expense"/>
    <s v="Accrue PTO/vacation liability"/>
    <n v="844.7"/>
    <m/>
    <n v="844.7"/>
    <s v="GL"/>
  </r>
  <r>
    <x v="6"/>
    <s v="JE-1506"/>
    <s v="2040"/>
    <x v="9"/>
    <x v="9"/>
    <s v="Expense"/>
    <s v="Accrue PTO/vacation liability"/>
    <n v="1126.26"/>
    <m/>
    <n v="1126.26"/>
    <s v="GL"/>
  </r>
  <r>
    <x v="6"/>
    <s v="JE-1506"/>
    <s v="2050"/>
    <x v="9"/>
    <x v="9"/>
    <s v="Expense"/>
    <s v="Accrue PTO/vacation liability"/>
    <n v="1126.26"/>
    <m/>
    <n v="1126.26"/>
    <s v="GL"/>
  </r>
  <r>
    <x v="6"/>
    <s v="JE-1506"/>
    <m/>
    <x v="41"/>
    <x v="41"/>
    <s v="Liability"/>
    <s v="Accrue PTO/vacation liability"/>
    <m/>
    <n v="7320.7"/>
    <n v="-7320.7"/>
    <s v="GL"/>
  </r>
  <r>
    <x v="7"/>
    <s v="JE-1507"/>
    <s v="1010"/>
    <x v="9"/>
    <x v="9"/>
    <s v="Expense"/>
    <s v="Accrue PTO/vacation liability"/>
    <n v="434.68"/>
    <m/>
    <n v="434.68"/>
    <s v="GL"/>
  </r>
  <r>
    <x v="7"/>
    <s v="JE-1507"/>
    <s v="1030"/>
    <x v="9"/>
    <x v="9"/>
    <s v="Expense"/>
    <s v="Accrue PTO/vacation liability"/>
    <n v="579.57000000000005"/>
    <m/>
    <n v="579.57000000000005"/>
    <s v="GL"/>
  </r>
  <r>
    <x v="7"/>
    <s v="JE-1507"/>
    <s v="1040"/>
    <x v="9"/>
    <x v="9"/>
    <s v="Expense"/>
    <s v="Accrue PTO/vacation liability"/>
    <n v="579.57000000000005"/>
    <m/>
    <n v="579.57000000000005"/>
    <s v="GL"/>
  </r>
  <r>
    <x v="7"/>
    <s v="JE-1507"/>
    <s v="1050"/>
    <x v="9"/>
    <x v="9"/>
    <s v="Expense"/>
    <s v="Accrue PTO/vacation liability"/>
    <n v="579.57000000000005"/>
    <m/>
    <n v="579.57000000000005"/>
    <s v="GL"/>
  </r>
  <r>
    <x v="7"/>
    <s v="JE-1507"/>
    <s v="2010"/>
    <x v="9"/>
    <x v="9"/>
    <s v="Expense"/>
    <s v="Accrue PTO/vacation liability"/>
    <n v="1014.25"/>
    <m/>
    <n v="1014.25"/>
    <s v="GL"/>
  </r>
  <r>
    <x v="7"/>
    <s v="JE-1507"/>
    <s v="2020"/>
    <x v="9"/>
    <x v="9"/>
    <s v="Expense"/>
    <s v="Accrue PTO/vacation liability"/>
    <n v="1159.1400000000001"/>
    <m/>
    <n v="1159.1400000000001"/>
    <s v="GL"/>
  </r>
  <r>
    <x v="7"/>
    <s v="JE-1507"/>
    <s v="2030"/>
    <x v="9"/>
    <x v="9"/>
    <s v="Expense"/>
    <s v="Accrue PTO/vacation liability"/>
    <n v="869.35"/>
    <m/>
    <n v="869.35"/>
    <s v="GL"/>
  </r>
  <r>
    <x v="7"/>
    <s v="JE-1507"/>
    <s v="2040"/>
    <x v="9"/>
    <x v="9"/>
    <s v="Expense"/>
    <s v="Accrue PTO/vacation liability"/>
    <n v="869.35"/>
    <m/>
    <n v="869.35"/>
    <s v="GL"/>
  </r>
  <r>
    <x v="7"/>
    <s v="JE-1507"/>
    <s v="2050"/>
    <x v="9"/>
    <x v="9"/>
    <s v="Expense"/>
    <s v="Accrue PTO/vacation liability"/>
    <n v="1159.1400000000001"/>
    <m/>
    <n v="1159.1400000000001"/>
    <s v="GL"/>
  </r>
  <r>
    <x v="7"/>
    <s v="JE-1507"/>
    <m/>
    <x v="41"/>
    <x v="41"/>
    <s v="Liability"/>
    <s v="Accrue PTO/vacation liability"/>
    <m/>
    <n v="7244.62"/>
    <n v="-7244.62"/>
    <s v="GL"/>
  </r>
  <r>
    <x v="8"/>
    <s v="JE-1508"/>
    <s v="1010"/>
    <x v="9"/>
    <x v="9"/>
    <s v="Expense"/>
    <s v="Accrue PTO/vacation liability"/>
    <n v="428.59"/>
    <m/>
    <n v="428.59"/>
    <s v="GL"/>
  </r>
  <r>
    <x v="8"/>
    <s v="JE-1508"/>
    <s v="1030"/>
    <x v="9"/>
    <x v="9"/>
    <s v="Expense"/>
    <s v="Accrue PTO/vacation liability"/>
    <n v="571.45000000000005"/>
    <m/>
    <n v="571.45000000000005"/>
    <s v="GL"/>
  </r>
  <r>
    <x v="8"/>
    <s v="JE-1508"/>
    <s v="1040"/>
    <x v="9"/>
    <x v="9"/>
    <s v="Expense"/>
    <s v="Accrue PTO/vacation liability"/>
    <n v="571.45000000000005"/>
    <m/>
    <n v="571.45000000000005"/>
    <s v="GL"/>
  </r>
  <r>
    <x v="8"/>
    <s v="JE-1508"/>
    <s v="1050"/>
    <x v="9"/>
    <x v="9"/>
    <s v="Expense"/>
    <s v="Accrue PTO/vacation liability"/>
    <n v="571.45000000000005"/>
    <m/>
    <n v="571.45000000000005"/>
    <s v="GL"/>
  </r>
  <r>
    <x v="8"/>
    <s v="JE-1508"/>
    <s v="2010"/>
    <x v="9"/>
    <x v="9"/>
    <s v="Expense"/>
    <s v="Accrue PTO/vacation liability"/>
    <n v="1000.04"/>
    <m/>
    <n v="1000.04"/>
    <s v="GL"/>
  </r>
  <r>
    <x v="8"/>
    <s v="JE-1508"/>
    <s v="2020"/>
    <x v="9"/>
    <x v="9"/>
    <s v="Expense"/>
    <s v="Accrue PTO/vacation liability"/>
    <n v="1142.9000000000001"/>
    <m/>
    <n v="1142.9000000000001"/>
    <s v="GL"/>
  </r>
  <r>
    <x v="8"/>
    <s v="JE-1508"/>
    <s v="2030"/>
    <x v="9"/>
    <x v="9"/>
    <s v="Expense"/>
    <s v="Accrue PTO/vacation liability"/>
    <n v="857.17"/>
    <m/>
    <n v="857.17"/>
    <s v="GL"/>
  </r>
  <r>
    <x v="8"/>
    <s v="JE-1508"/>
    <s v="2040"/>
    <x v="9"/>
    <x v="9"/>
    <s v="Expense"/>
    <s v="Accrue PTO/vacation liability"/>
    <n v="1142.9000000000001"/>
    <m/>
    <n v="1142.9000000000001"/>
    <s v="GL"/>
  </r>
  <r>
    <x v="8"/>
    <s v="JE-1508"/>
    <s v="2050"/>
    <x v="9"/>
    <x v="9"/>
    <s v="Expense"/>
    <s v="Accrue PTO/vacation liability"/>
    <n v="1142.9000000000001"/>
    <m/>
    <n v="1142.9000000000001"/>
    <s v="GL"/>
  </r>
  <r>
    <x v="8"/>
    <s v="JE-1508"/>
    <m/>
    <x v="41"/>
    <x v="41"/>
    <s v="Liability"/>
    <s v="Accrue PTO/vacation liability"/>
    <m/>
    <n v="7428.85"/>
    <n v="-7428.85"/>
    <s v="GL"/>
  </r>
  <r>
    <x v="9"/>
    <s v="JE-1509"/>
    <s v="1010"/>
    <x v="9"/>
    <x v="9"/>
    <s v="Expense"/>
    <s v="Accrue PTO/vacation liability"/>
    <n v="419.93"/>
    <m/>
    <n v="419.93"/>
    <s v="GL"/>
  </r>
  <r>
    <x v="9"/>
    <s v="JE-1509"/>
    <s v="1030"/>
    <x v="9"/>
    <x v="9"/>
    <s v="Expense"/>
    <s v="Accrue PTO/vacation liability"/>
    <n v="559.91"/>
    <m/>
    <n v="559.91"/>
    <s v="GL"/>
  </r>
  <r>
    <x v="9"/>
    <s v="JE-1509"/>
    <s v="1040"/>
    <x v="9"/>
    <x v="9"/>
    <s v="Expense"/>
    <s v="Accrue PTO/vacation liability"/>
    <n v="559.91"/>
    <m/>
    <n v="559.91"/>
    <s v="GL"/>
  </r>
  <r>
    <x v="9"/>
    <s v="JE-1509"/>
    <s v="1050"/>
    <x v="9"/>
    <x v="9"/>
    <s v="Expense"/>
    <s v="Accrue PTO/vacation liability"/>
    <n v="279.95999999999998"/>
    <m/>
    <n v="279.95999999999998"/>
    <s v="GL"/>
  </r>
  <r>
    <x v="9"/>
    <s v="JE-1509"/>
    <s v="2010"/>
    <x v="9"/>
    <x v="9"/>
    <s v="Expense"/>
    <s v="Accrue PTO/vacation liability"/>
    <n v="979.85"/>
    <m/>
    <n v="979.85"/>
    <s v="GL"/>
  </r>
  <r>
    <x v="9"/>
    <s v="JE-1509"/>
    <s v="2020"/>
    <x v="9"/>
    <x v="9"/>
    <s v="Expense"/>
    <s v="Accrue PTO/vacation liability"/>
    <n v="1119.82"/>
    <m/>
    <n v="1119.82"/>
    <s v="GL"/>
  </r>
  <r>
    <x v="9"/>
    <s v="JE-1509"/>
    <s v="2030"/>
    <x v="9"/>
    <x v="9"/>
    <s v="Expense"/>
    <s v="Accrue PTO/vacation liability"/>
    <n v="839.87"/>
    <m/>
    <n v="839.87"/>
    <s v="GL"/>
  </r>
  <r>
    <x v="9"/>
    <s v="JE-1509"/>
    <s v="2040"/>
    <x v="9"/>
    <x v="9"/>
    <s v="Expense"/>
    <s v="Accrue PTO/vacation liability"/>
    <n v="1119.82"/>
    <m/>
    <n v="1119.82"/>
    <s v="GL"/>
  </r>
  <r>
    <x v="9"/>
    <s v="JE-1509"/>
    <s v="2050"/>
    <x v="9"/>
    <x v="9"/>
    <s v="Expense"/>
    <s v="Accrue PTO/vacation liability"/>
    <n v="1399.78"/>
    <m/>
    <n v="1399.78"/>
    <s v="GL"/>
  </r>
  <r>
    <x v="9"/>
    <s v="JE-1509"/>
    <m/>
    <x v="41"/>
    <x v="41"/>
    <s v="Liability"/>
    <s v="Accrue PTO/vacation liability"/>
    <m/>
    <n v="7278.85"/>
    <n v="-7278.85"/>
    <s v="GL"/>
  </r>
  <r>
    <x v="10"/>
    <s v="JE-1510"/>
    <s v="1010"/>
    <x v="9"/>
    <x v="9"/>
    <s v="Expense"/>
    <s v="Accrue PTO/vacation liability"/>
    <n v="423.37"/>
    <m/>
    <n v="423.37"/>
    <s v="GL"/>
  </r>
  <r>
    <x v="10"/>
    <s v="JE-1510"/>
    <s v="1030"/>
    <x v="9"/>
    <x v="9"/>
    <s v="Expense"/>
    <s v="Accrue PTO/vacation liability"/>
    <n v="564.49"/>
    <m/>
    <n v="564.49"/>
    <s v="GL"/>
  </r>
  <r>
    <x v="10"/>
    <s v="JE-1510"/>
    <s v="1040"/>
    <x v="9"/>
    <x v="9"/>
    <s v="Expense"/>
    <s v="Accrue PTO/vacation liability"/>
    <n v="564.49"/>
    <m/>
    <n v="564.49"/>
    <s v="GL"/>
  </r>
  <r>
    <x v="10"/>
    <s v="JE-1510"/>
    <s v="1050"/>
    <x v="9"/>
    <x v="9"/>
    <s v="Expense"/>
    <s v="Accrue PTO/vacation liability"/>
    <n v="282.25"/>
    <m/>
    <n v="282.25"/>
    <s v="GL"/>
  </r>
  <r>
    <x v="10"/>
    <s v="JE-1510"/>
    <s v="2010"/>
    <x v="9"/>
    <x v="9"/>
    <s v="Expense"/>
    <s v="Accrue PTO/vacation liability"/>
    <n v="987.86"/>
    <m/>
    <n v="987.86"/>
    <s v="GL"/>
  </r>
  <r>
    <x v="10"/>
    <s v="JE-1510"/>
    <s v="2020"/>
    <x v="9"/>
    <x v="9"/>
    <s v="Expense"/>
    <s v="Accrue PTO/vacation liability"/>
    <n v="1128.99"/>
    <m/>
    <n v="1128.99"/>
    <s v="GL"/>
  </r>
  <r>
    <x v="10"/>
    <s v="JE-1510"/>
    <s v="2030"/>
    <x v="9"/>
    <x v="9"/>
    <s v="Expense"/>
    <s v="Accrue PTO/vacation liability"/>
    <n v="846.74"/>
    <m/>
    <n v="846.74"/>
    <s v="GL"/>
  </r>
  <r>
    <x v="10"/>
    <s v="JE-1510"/>
    <s v="2040"/>
    <x v="9"/>
    <x v="9"/>
    <s v="Expense"/>
    <s v="Accrue PTO/vacation liability"/>
    <n v="1128.99"/>
    <m/>
    <n v="1128.99"/>
    <s v="GL"/>
  </r>
  <r>
    <x v="10"/>
    <s v="JE-1510"/>
    <s v="2050"/>
    <x v="9"/>
    <x v="9"/>
    <s v="Expense"/>
    <s v="Accrue PTO/vacation liability"/>
    <n v="1411.23"/>
    <m/>
    <n v="1411.23"/>
    <s v="GL"/>
  </r>
  <r>
    <x v="10"/>
    <s v="JE-1510"/>
    <m/>
    <x v="41"/>
    <x v="41"/>
    <s v="Liability"/>
    <s v="Accrue PTO/vacation liability"/>
    <m/>
    <n v="7338.41"/>
    <n v="-7338.41"/>
    <s v="GL"/>
  </r>
  <r>
    <x v="11"/>
    <s v="JE-1511"/>
    <s v="1010"/>
    <x v="9"/>
    <x v="9"/>
    <s v="Expense"/>
    <s v="Accrue PTO/vacation liability"/>
    <n v="395.68"/>
    <m/>
    <n v="395.68"/>
    <s v="GL"/>
  </r>
  <r>
    <x v="11"/>
    <s v="JE-1511"/>
    <s v="1030"/>
    <x v="9"/>
    <x v="9"/>
    <s v="Expense"/>
    <s v="Accrue PTO/vacation liability"/>
    <n v="527.57000000000005"/>
    <m/>
    <n v="527.57000000000005"/>
    <s v="GL"/>
  </r>
  <r>
    <x v="11"/>
    <s v="JE-1511"/>
    <s v="1040"/>
    <x v="9"/>
    <x v="9"/>
    <s v="Expense"/>
    <s v="Accrue PTO/vacation liability"/>
    <n v="791.36"/>
    <m/>
    <n v="791.36"/>
    <s v="GL"/>
  </r>
  <r>
    <x v="11"/>
    <s v="JE-1511"/>
    <s v="1050"/>
    <x v="9"/>
    <x v="9"/>
    <s v="Expense"/>
    <s v="Accrue PTO/vacation liability"/>
    <n v="263.79000000000002"/>
    <m/>
    <n v="263.79000000000002"/>
    <s v="GL"/>
  </r>
  <r>
    <x v="11"/>
    <s v="JE-1511"/>
    <s v="2010"/>
    <x v="9"/>
    <x v="9"/>
    <s v="Expense"/>
    <s v="Accrue PTO/vacation liability"/>
    <n v="923.25"/>
    <m/>
    <n v="923.25"/>
    <s v="GL"/>
  </r>
  <r>
    <x v="11"/>
    <s v="JE-1511"/>
    <s v="2020"/>
    <x v="9"/>
    <x v="9"/>
    <s v="Expense"/>
    <s v="Accrue PTO/vacation liability"/>
    <n v="1055.1500000000001"/>
    <m/>
    <n v="1055.1500000000001"/>
    <s v="GL"/>
  </r>
  <r>
    <x v="11"/>
    <s v="JE-1511"/>
    <s v="2030"/>
    <x v="9"/>
    <x v="9"/>
    <s v="Expense"/>
    <s v="Accrue PTO/vacation liability"/>
    <n v="527.57000000000005"/>
    <m/>
    <n v="527.57000000000005"/>
    <s v="GL"/>
  </r>
  <r>
    <x v="11"/>
    <s v="JE-1511"/>
    <s v="2040"/>
    <x v="9"/>
    <x v="9"/>
    <s v="Expense"/>
    <s v="Accrue PTO/vacation liability"/>
    <n v="1055.1500000000001"/>
    <m/>
    <n v="1055.1500000000001"/>
    <s v="GL"/>
  </r>
  <r>
    <x v="11"/>
    <s v="JE-1511"/>
    <s v="2050"/>
    <x v="9"/>
    <x v="9"/>
    <s v="Expense"/>
    <s v="Accrue PTO/vacation liability"/>
    <n v="1318.93"/>
    <m/>
    <n v="1318.93"/>
    <s v="GL"/>
  </r>
  <r>
    <x v="11"/>
    <s v="JE-1511"/>
    <m/>
    <x v="41"/>
    <x v="41"/>
    <s v="Liability"/>
    <s v="Accrue PTO/vacation liability"/>
    <m/>
    <n v="6858.45"/>
    <n v="-6858.45"/>
    <s v="GL"/>
  </r>
  <r>
    <x v="12"/>
    <s v="JE-1512"/>
    <s v="1010"/>
    <x v="9"/>
    <x v="9"/>
    <s v="Expense"/>
    <s v="Accrue PTO/vacation liability"/>
    <n v="414.04"/>
    <m/>
    <n v="414.04"/>
    <s v="GL"/>
  </r>
  <r>
    <x v="12"/>
    <s v="JE-1512"/>
    <s v="1030"/>
    <x v="9"/>
    <x v="9"/>
    <s v="Expense"/>
    <s v="Accrue PTO/vacation liability"/>
    <n v="552.04999999999995"/>
    <m/>
    <n v="552.04999999999995"/>
    <s v="GL"/>
  </r>
  <r>
    <x v="12"/>
    <s v="JE-1512"/>
    <s v="1040"/>
    <x v="9"/>
    <x v="9"/>
    <s v="Expense"/>
    <s v="Accrue PTO/vacation liability"/>
    <n v="828.07"/>
    <m/>
    <n v="828.07"/>
    <s v="GL"/>
  </r>
  <r>
    <x v="12"/>
    <s v="JE-1512"/>
    <s v="1050"/>
    <x v="9"/>
    <x v="9"/>
    <s v="Expense"/>
    <s v="Accrue PTO/vacation liability"/>
    <n v="276.02"/>
    <m/>
    <n v="276.02"/>
    <s v="GL"/>
  </r>
  <r>
    <x v="12"/>
    <s v="JE-1512"/>
    <s v="2010"/>
    <x v="9"/>
    <x v="9"/>
    <s v="Expense"/>
    <s v="Accrue PTO/vacation liability"/>
    <n v="966.08"/>
    <m/>
    <n v="966.08"/>
    <s v="GL"/>
  </r>
  <r>
    <x v="12"/>
    <s v="JE-1512"/>
    <s v="2020"/>
    <x v="9"/>
    <x v="9"/>
    <s v="Expense"/>
    <s v="Accrue PTO/vacation liability"/>
    <n v="1104.0999999999999"/>
    <m/>
    <n v="1104.0999999999999"/>
    <s v="GL"/>
  </r>
  <r>
    <x v="12"/>
    <s v="JE-1512"/>
    <s v="2030"/>
    <x v="9"/>
    <x v="9"/>
    <s v="Expense"/>
    <s v="Accrue PTO/vacation liability"/>
    <n v="552.04999999999995"/>
    <m/>
    <n v="552.04999999999995"/>
    <s v="GL"/>
  </r>
  <r>
    <x v="12"/>
    <s v="JE-1512"/>
    <s v="2040"/>
    <x v="9"/>
    <x v="9"/>
    <s v="Expense"/>
    <s v="Accrue PTO/vacation liability"/>
    <n v="1104.0999999999999"/>
    <m/>
    <n v="1104.0999999999999"/>
    <s v="GL"/>
  </r>
  <r>
    <x v="12"/>
    <s v="JE-1512"/>
    <s v="2050"/>
    <x v="9"/>
    <x v="9"/>
    <s v="Expense"/>
    <s v="Accrue PTO/vacation liability"/>
    <n v="1380.12"/>
    <m/>
    <n v="1380.12"/>
    <s v="GL"/>
  </r>
  <r>
    <x v="12"/>
    <s v="JE-1512"/>
    <m/>
    <x v="41"/>
    <x v="41"/>
    <s v="Liability"/>
    <s v="Accrue PTO/vacation liability"/>
    <m/>
    <n v="7176.63"/>
    <n v="-7176.63"/>
    <s v="GL"/>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9">
  <r>
    <x v="0"/>
    <x v="0"/>
    <x v="0"/>
    <s v="1010"/>
    <s v="Executive"/>
    <s v="Admin"/>
    <n v="1"/>
  </r>
  <r>
    <x v="0"/>
    <x v="1"/>
    <x v="1"/>
    <s v="1030"/>
    <s v="Human Resources"/>
    <s v="Admin"/>
    <n v="1"/>
  </r>
  <r>
    <x v="0"/>
    <x v="2"/>
    <x v="2"/>
    <s v="1030"/>
    <s v="Human Resources"/>
    <s v="Admin"/>
    <n v="1"/>
  </r>
  <r>
    <x v="0"/>
    <x v="3"/>
    <x v="3"/>
    <s v="1040"/>
    <s v="Finance"/>
    <s v="Admin"/>
    <n v="1"/>
  </r>
  <r>
    <x v="0"/>
    <x v="4"/>
    <x v="4"/>
    <s v="1040"/>
    <s v="Finance"/>
    <s v="Admin"/>
    <n v="1"/>
  </r>
  <r>
    <x v="0"/>
    <x v="5"/>
    <x v="5"/>
    <s v="1050"/>
    <s v="Business Development"/>
    <s v="Admin"/>
    <n v="1"/>
  </r>
  <r>
    <x v="0"/>
    <x v="6"/>
    <x v="6"/>
    <s v="1050"/>
    <s v="Business Development"/>
    <s v="Admin"/>
    <n v="1"/>
  </r>
  <r>
    <x v="0"/>
    <x v="7"/>
    <x v="7"/>
    <s v="2010"/>
    <s v="Latin America"/>
    <s v="Programs"/>
    <n v="1"/>
  </r>
  <r>
    <x v="0"/>
    <x v="8"/>
    <x v="8"/>
    <s v="2010"/>
    <s v="Latin America"/>
    <s v="Programs"/>
    <n v="0.5"/>
  </r>
  <r>
    <x v="0"/>
    <x v="9"/>
    <x v="9"/>
    <s v="2010"/>
    <s v="Latin America"/>
    <s v="Programs"/>
    <n v="1"/>
  </r>
  <r>
    <x v="0"/>
    <x v="10"/>
    <x v="10"/>
    <s v="2010"/>
    <s v="Latin America"/>
    <s v="Programs"/>
    <n v="1"/>
  </r>
  <r>
    <x v="0"/>
    <x v="11"/>
    <x v="11"/>
    <s v="2020"/>
    <s v="MENA"/>
    <s v="Programs"/>
    <n v="1"/>
  </r>
  <r>
    <x v="0"/>
    <x v="12"/>
    <x v="12"/>
    <s v="2020"/>
    <s v="MENA"/>
    <s v="Programs"/>
    <n v="1"/>
  </r>
  <r>
    <x v="0"/>
    <x v="13"/>
    <x v="13"/>
    <s v="2020"/>
    <s v="MENA"/>
    <s v="Programs"/>
    <n v="1"/>
  </r>
  <r>
    <x v="0"/>
    <x v="14"/>
    <x v="14"/>
    <s v="2030"/>
    <s v="Sub-Saharan Africa"/>
    <s v="Programs"/>
    <n v="1"/>
  </r>
  <r>
    <x v="0"/>
    <x v="15"/>
    <x v="15"/>
    <s v="2030"/>
    <s v="Sub-Saharan Africa"/>
    <s v="Programs"/>
    <n v="1"/>
  </r>
  <r>
    <x v="0"/>
    <x v="16"/>
    <x v="16"/>
    <s v="2030"/>
    <s v="Sub-Saharan Africa"/>
    <s v="Programs"/>
    <n v="1"/>
  </r>
  <r>
    <x v="0"/>
    <x v="17"/>
    <x v="17"/>
    <s v="2040"/>
    <s v="Europe"/>
    <s v="Programs"/>
    <n v="1"/>
  </r>
  <r>
    <x v="0"/>
    <x v="18"/>
    <x v="18"/>
    <s v="2040"/>
    <s v="Europe"/>
    <s v="Programs"/>
    <n v="1"/>
  </r>
  <r>
    <x v="0"/>
    <x v="19"/>
    <x v="19"/>
    <s v="2040"/>
    <s v="Europe"/>
    <s v="Programs"/>
    <n v="1"/>
  </r>
  <r>
    <x v="0"/>
    <x v="20"/>
    <x v="20"/>
    <s v="2040"/>
    <s v="Europe"/>
    <s v="Programs"/>
    <n v="1"/>
  </r>
  <r>
    <x v="0"/>
    <x v="21"/>
    <x v="21"/>
    <s v="2050"/>
    <s v="SE Asia"/>
    <s v="Programs"/>
    <n v="1"/>
  </r>
  <r>
    <x v="0"/>
    <x v="22"/>
    <x v="22"/>
    <s v="2050"/>
    <s v="SE Asia"/>
    <s v="Programs"/>
    <n v="1"/>
  </r>
  <r>
    <x v="0"/>
    <x v="23"/>
    <x v="23"/>
    <s v="2050"/>
    <s v="SE Asia"/>
    <s v="Programs"/>
    <n v="1"/>
  </r>
  <r>
    <x v="0"/>
    <x v="24"/>
    <x v="24"/>
    <s v="2050"/>
    <s v="SE Asia"/>
    <s v="Programs"/>
    <n v="1"/>
  </r>
  <r>
    <x v="0"/>
    <x v="8"/>
    <x v="8"/>
    <s v="1010"/>
    <s v="Executive"/>
    <s v="Admin"/>
    <n v="0.5"/>
  </r>
  <r>
    <x v="1"/>
    <x v="0"/>
    <x v="0"/>
    <s v="1010"/>
    <s v="Executive"/>
    <s v="Admin"/>
    <n v="1"/>
  </r>
  <r>
    <x v="1"/>
    <x v="1"/>
    <x v="1"/>
    <s v="1030"/>
    <s v="Human Resources"/>
    <s v="Admin"/>
    <n v="1"/>
  </r>
  <r>
    <x v="1"/>
    <x v="2"/>
    <x v="2"/>
    <s v="1030"/>
    <s v="Human Resources"/>
    <s v="Admin"/>
    <n v="1"/>
  </r>
  <r>
    <x v="1"/>
    <x v="3"/>
    <x v="3"/>
    <s v="1040"/>
    <s v="Finance"/>
    <s v="Admin"/>
    <n v="1"/>
  </r>
  <r>
    <x v="1"/>
    <x v="4"/>
    <x v="4"/>
    <s v="1040"/>
    <s v="Finance"/>
    <s v="Admin"/>
    <n v="1"/>
  </r>
  <r>
    <x v="1"/>
    <x v="5"/>
    <x v="5"/>
    <s v="1050"/>
    <s v="Business Development"/>
    <s v="Admin"/>
    <n v="1"/>
  </r>
  <r>
    <x v="1"/>
    <x v="6"/>
    <x v="6"/>
    <s v="1050"/>
    <s v="Business Development"/>
    <s v="Admin"/>
    <n v="1"/>
  </r>
  <r>
    <x v="1"/>
    <x v="7"/>
    <x v="7"/>
    <s v="2010"/>
    <s v="Latin America"/>
    <s v="Programs"/>
    <n v="1"/>
  </r>
  <r>
    <x v="1"/>
    <x v="8"/>
    <x v="8"/>
    <s v="1010"/>
    <s v="Executive"/>
    <s v="Admin"/>
    <n v="0.5"/>
  </r>
  <r>
    <x v="1"/>
    <x v="8"/>
    <x v="8"/>
    <s v="2010"/>
    <s v="Latin America"/>
    <s v="Programs"/>
    <n v="0.5"/>
  </r>
  <r>
    <x v="1"/>
    <x v="9"/>
    <x v="9"/>
    <s v="2010"/>
    <s v="Latin America"/>
    <s v="Programs"/>
    <n v="1"/>
  </r>
  <r>
    <x v="1"/>
    <x v="10"/>
    <x v="10"/>
    <s v="2010"/>
    <s v="Latin America"/>
    <s v="Programs"/>
    <n v="1"/>
  </r>
  <r>
    <x v="1"/>
    <x v="11"/>
    <x v="11"/>
    <s v="2020"/>
    <s v="MENA"/>
    <s v="Programs"/>
    <n v="1"/>
  </r>
  <r>
    <x v="1"/>
    <x v="12"/>
    <x v="12"/>
    <s v="2020"/>
    <s v="MENA"/>
    <s v="Programs"/>
    <n v="1"/>
  </r>
  <r>
    <x v="1"/>
    <x v="13"/>
    <x v="13"/>
    <s v="2020"/>
    <s v="MENA"/>
    <s v="Programs"/>
    <n v="1"/>
  </r>
  <r>
    <x v="1"/>
    <x v="14"/>
    <x v="14"/>
    <s v="2030"/>
    <s v="Sub-Saharan Africa"/>
    <s v="Programs"/>
    <n v="1"/>
  </r>
  <r>
    <x v="1"/>
    <x v="15"/>
    <x v="15"/>
    <s v="2030"/>
    <s v="Sub-Saharan Africa"/>
    <s v="Programs"/>
    <n v="1"/>
  </r>
  <r>
    <x v="1"/>
    <x v="16"/>
    <x v="16"/>
    <s v="2030"/>
    <s v="Sub-Saharan Africa"/>
    <s v="Programs"/>
    <n v="1"/>
  </r>
  <r>
    <x v="1"/>
    <x v="17"/>
    <x v="17"/>
    <s v="2040"/>
    <s v="Europe"/>
    <s v="Programs"/>
    <n v="1"/>
  </r>
  <r>
    <x v="1"/>
    <x v="18"/>
    <x v="18"/>
    <s v="2040"/>
    <s v="Europe"/>
    <s v="Programs"/>
    <n v="1"/>
  </r>
  <r>
    <x v="1"/>
    <x v="19"/>
    <x v="19"/>
    <s v="2040"/>
    <s v="Europe"/>
    <s v="Programs"/>
    <n v="1"/>
  </r>
  <r>
    <x v="1"/>
    <x v="20"/>
    <x v="20"/>
    <s v="2040"/>
    <s v="Europe"/>
    <s v="Programs"/>
    <n v="1"/>
  </r>
  <r>
    <x v="1"/>
    <x v="21"/>
    <x v="21"/>
    <s v="2050"/>
    <s v="SE Asia"/>
    <s v="Programs"/>
    <n v="1"/>
  </r>
  <r>
    <x v="1"/>
    <x v="22"/>
    <x v="22"/>
    <s v="2050"/>
    <s v="SE Asia"/>
    <s v="Programs"/>
    <n v="1"/>
  </r>
  <r>
    <x v="1"/>
    <x v="23"/>
    <x v="23"/>
    <s v="2050"/>
    <s v="SE Asia"/>
    <s v="Programs"/>
    <n v="1"/>
  </r>
  <r>
    <x v="1"/>
    <x v="24"/>
    <x v="24"/>
    <s v="2050"/>
    <s v="SE Asia"/>
    <s v="Programs"/>
    <n v="1"/>
  </r>
  <r>
    <x v="2"/>
    <x v="8"/>
    <x v="8"/>
    <s v="1010"/>
    <s v="Executive"/>
    <s v="Admin"/>
    <n v="0.5"/>
  </r>
  <r>
    <x v="2"/>
    <x v="0"/>
    <x v="0"/>
    <s v="1010"/>
    <s v="Executive"/>
    <s v="Admin"/>
    <n v="1"/>
  </r>
  <r>
    <x v="2"/>
    <x v="1"/>
    <x v="1"/>
    <s v="1030"/>
    <s v="Human Resources"/>
    <s v="Admin"/>
    <n v="1"/>
  </r>
  <r>
    <x v="2"/>
    <x v="2"/>
    <x v="2"/>
    <s v="1030"/>
    <s v="Human Resources"/>
    <s v="Admin"/>
    <n v="1"/>
  </r>
  <r>
    <x v="2"/>
    <x v="3"/>
    <x v="3"/>
    <s v="1040"/>
    <s v="Finance"/>
    <s v="Admin"/>
    <n v="1"/>
  </r>
  <r>
    <x v="2"/>
    <x v="4"/>
    <x v="4"/>
    <s v="1040"/>
    <s v="Finance"/>
    <s v="Admin"/>
    <n v="1"/>
  </r>
  <r>
    <x v="2"/>
    <x v="5"/>
    <x v="5"/>
    <s v="1050"/>
    <s v="Business Development"/>
    <s v="Admin"/>
    <n v="1"/>
  </r>
  <r>
    <x v="2"/>
    <x v="6"/>
    <x v="6"/>
    <s v="1050"/>
    <s v="Business Development"/>
    <s v="Admin"/>
    <n v="1"/>
  </r>
  <r>
    <x v="2"/>
    <x v="7"/>
    <x v="7"/>
    <s v="2010"/>
    <s v="Latin America"/>
    <s v="Programs"/>
    <n v="1"/>
  </r>
  <r>
    <x v="2"/>
    <x v="8"/>
    <x v="8"/>
    <s v="2010"/>
    <s v="Latin America"/>
    <s v="Programs"/>
    <n v="0.5"/>
  </r>
  <r>
    <x v="2"/>
    <x v="9"/>
    <x v="9"/>
    <s v="2010"/>
    <s v="Latin America"/>
    <s v="Programs"/>
    <n v="1"/>
  </r>
  <r>
    <x v="2"/>
    <x v="10"/>
    <x v="10"/>
    <s v="2010"/>
    <s v="Latin America"/>
    <s v="Programs"/>
    <n v="1"/>
  </r>
  <r>
    <x v="2"/>
    <x v="11"/>
    <x v="11"/>
    <s v="2020"/>
    <s v="MENA"/>
    <s v="Programs"/>
    <n v="1"/>
  </r>
  <r>
    <x v="2"/>
    <x v="12"/>
    <x v="12"/>
    <s v="2020"/>
    <s v="MENA"/>
    <s v="Programs"/>
    <n v="1"/>
  </r>
  <r>
    <x v="2"/>
    <x v="13"/>
    <x v="13"/>
    <s v="2020"/>
    <s v="MENA"/>
    <s v="Programs"/>
    <n v="1"/>
  </r>
  <r>
    <x v="2"/>
    <x v="14"/>
    <x v="14"/>
    <s v="2030"/>
    <s v="Sub-Saharan Africa"/>
    <s v="Programs"/>
    <n v="1"/>
  </r>
  <r>
    <x v="2"/>
    <x v="15"/>
    <x v="15"/>
    <s v="2030"/>
    <s v="Sub-Saharan Africa"/>
    <s v="Programs"/>
    <n v="1"/>
  </r>
  <r>
    <x v="2"/>
    <x v="16"/>
    <x v="16"/>
    <s v="2030"/>
    <s v="Sub-Saharan Africa"/>
    <s v="Programs"/>
    <n v="1"/>
  </r>
  <r>
    <x v="2"/>
    <x v="17"/>
    <x v="17"/>
    <s v="2040"/>
    <s v="Europe"/>
    <s v="Programs"/>
    <n v="1"/>
  </r>
  <r>
    <x v="2"/>
    <x v="18"/>
    <x v="18"/>
    <s v="2040"/>
    <s v="Europe"/>
    <s v="Programs"/>
    <n v="1"/>
  </r>
  <r>
    <x v="2"/>
    <x v="19"/>
    <x v="19"/>
    <s v="2040"/>
    <s v="Europe"/>
    <s v="Programs"/>
    <n v="1"/>
  </r>
  <r>
    <x v="2"/>
    <x v="20"/>
    <x v="20"/>
    <s v="2040"/>
    <s v="Europe"/>
    <s v="Programs"/>
    <n v="1"/>
  </r>
  <r>
    <x v="2"/>
    <x v="21"/>
    <x v="21"/>
    <s v="2050"/>
    <s v="SE Asia"/>
    <s v="Programs"/>
    <n v="1"/>
  </r>
  <r>
    <x v="2"/>
    <x v="22"/>
    <x v="22"/>
    <s v="2050"/>
    <s v="SE Asia"/>
    <s v="Programs"/>
    <n v="1"/>
  </r>
  <r>
    <x v="2"/>
    <x v="23"/>
    <x v="23"/>
    <s v="2050"/>
    <s v="SE Asia"/>
    <s v="Programs"/>
    <n v="1"/>
  </r>
  <r>
    <x v="2"/>
    <x v="24"/>
    <x v="24"/>
    <s v="2050"/>
    <s v="SE Asia"/>
    <s v="Programs"/>
    <n v="1"/>
  </r>
  <r>
    <x v="3"/>
    <x v="8"/>
    <x v="8"/>
    <s v="1010"/>
    <s v="Executive"/>
    <s v="Admin"/>
    <n v="0.5"/>
  </r>
  <r>
    <x v="3"/>
    <x v="0"/>
    <x v="0"/>
    <s v="1010"/>
    <s v="Executive"/>
    <s v="Admin"/>
    <n v="1"/>
  </r>
  <r>
    <x v="3"/>
    <x v="1"/>
    <x v="1"/>
    <s v="1030"/>
    <s v="Human Resources"/>
    <s v="Admin"/>
    <n v="1"/>
  </r>
  <r>
    <x v="3"/>
    <x v="2"/>
    <x v="2"/>
    <s v="1030"/>
    <s v="Human Resources"/>
    <s v="Admin"/>
    <n v="1"/>
  </r>
  <r>
    <x v="3"/>
    <x v="3"/>
    <x v="3"/>
    <s v="1040"/>
    <s v="Finance"/>
    <s v="Admin"/>
    <n v="1"/>
  </r>
  <r>
    <x v="3"/>
    <x v="4"/>
    <x v="4"/>
    <s v="1040"/>
    <s v="Finance"/>
    <s v="Admin"/>
    <n v="1"/>
  </r>
  <r>
    <x v="3"/>
    <x v="5"/>
    <x v="5"/>
    <s v="1050"/>
    <s v="Business Development"/>
    <s v="Admin"/>
    <n v="1"/>
  </r>
  <r>
    <x v="3"/>
    <x v="6"/>
    <x v="6"/>
    <s v="1050"/>
    <s v="Business Development"/>
    <s v="Admin"/>
    <n v="1"/>
  </r>
  <r>
    <x v="3"/>
    <x v="7"/>
    <x v="7"/>
    <s v="2010"/>
    <s v="Latin America"/>
    <s v="Programs"/>
    <n v="1"/>
  </r>
  <r>
    <x v="3"/>
    <x v="8"/>
    <x v="8"/>
    <s v="2010"/>
    <s v="Latin America"/>
    <s v="Programs"/>
    <n v="0.5"/>
  </r>
  <r>
    <x v="3"/>
    <x v="10"/>
    <x v="10"/>
    <s v="2010"/>
    <s v="Latin America"/>
    <s v="Programs"/>
    <n v="1"/>
  </r>
  <r>
    <x v="3"/>
    <x v="11"/>
    <x v="11"/>
    <s v="2020"/>
    <s v="MENA"/>
    <s v="Programs"/>
    <n v="1"/>
  </r>
  <r>
    <x v="3"/>
    <x v="12"/>
    <x v="12"/>
    <s v="2020"/>
    <s v="MENA"/>
    <s v="Programs"/>
    <n v="1"/>
  </r>
  <r>
    <x v="3"/>
    <x v="13"/>
    <x v="13"/>
    <s v="2020"/>
    <s v="MENA"/>
    <s v="Programs"/>
    <n v="1"/>
  </r>
  <r>
    <x v="3"/>
    <x v="25"/>
    <x v="25"/>
    <s v="2020"/>
    <s v="MENA"/>
    <s v="Programs"/>
    <n v="1"/>
  </r>
  <r>
    <x v="3"/>
    <x v="14"/>
    <x v="14"/>
    <s v="2030"/>
    <s v="Sub-Saharan Africa"/>
    <s v="Programs"/>
    <n v="1"/>
  </r>
  <r>
    <x v="3"/>
    <x v="15"/>
    <x v="15"/>
    <s v="2030"/>
    <s v="Sub-Saharan Africa"/>
    <s v="Programs"/>
    <n v="1"/>
  </r>
  <r>
    <x v="3"/>
    <x v="16"/>
    <x v="16"/>
    <s v="2030"/>
    <s v="Sub-Saharan Africa"/>
    <s v="Programs"/>
    <n v="1"/>
  </r>
  <r>
    <x v="3"/>
    <x v="17"/>
    <x v="17"/>
    <s v="2040"/>
    <s v="Europe"/>
    <s v="Programs"/>
    <n v="1"/>
  </r>
  <r>
    <x v="3"/>
    <x v="18"/>
    <x v="18"/>
    <s v="2040"/>
    <s v="Europe"/>
    <s v="Programs"/>
    <n v="1"/>
  </r>
  <r>
    <x v="3"/>
    <x v="19"/>
    <x v="19"/>
    <s v="2040"/>
    <s v="Europe"/>
    <s v="Programs"/>
    <n v="1"/>
  </r>
  <r>
    <x v="3"/>
    <x v="20"/>
    <x v="20"/>
    <s v="2040"/>
    <s v="Europe"/>
    <s v="Programs"/>
    <n v="1"/>
  </r>
  <r>
    <x v="3"/>
    <x v="21"/>
    <x v="21"/>
    <s v="2050"/>
    <s v="SE Asia"/>
    <s v="Programs"/>
    <n v="1"/>
  </r>
  <r>
    <x v="3"/>
    <x v="22"/>
    <x v="22"/>
    <s v="2050"/>
    <s v="SE Asia"/>
    <s v="Programs"/>
    <n v="1"/>
  </r>
  <r>
    <x v="3"/>
    <x v="23"/>
    <x v="23"/>
    <s v="2050"/>
    <s v="SE Asia"/>
    <s v="Programs"/>
    <n v="1"/>
  </r>
  <r>
    <x v="3"/>
    <x v="24"/>
    <x v="24"/>
    <s v="2050"/>
    <s v="SE Asia"/>
    <s v="Programs"/>
    <n v="1"/>
  </r>
  <r>
    <x v="4"/>
    <x v="8"/>
    <x v="8"/>
    <s v="1010"/>
    <s v="Executive"/>
    <s v="Admin"/>
    <n v="0.5"/>
  </r>
  <r>
    <x v="4"/>
    <x v="0"/>
    <x v="0"/>
    <s v="1010"/>
    <s v="Executive"/>
    <s v="Admin"/>
    <n v="1"/>
  </r>
  <r>
    <x v="4"/>
    <x v="1"/>
    <x v="1"/>
    <s v="1030"/>
    <s v="Human Resources"/>
    <s v="Admin"/>
    <n v="1"/>
  </r>
  <r>
    <x v="4"/>
    <x v="2"/>
    <x v="2"/>
    <s v="1030"/>
    <s v="Human Resources"/>
    <s v="Admin"/>
    <n v="1"/>
  </r>
  <r>
    <x v="4"/>
    <x v="3"/>
    <x v="3"/>
    <s v="1040"/>
    <s v="Finance"/>
    <s v="Admin"/>
    <n v="1"/>
  </r>
  <r>
    <x v="4"/>
    <x v="4"/>
    <x v="4"/>
    <s v="1040"/>
    <s v="Finance"/>
    <s v="Admin"/>
    <n v="1"/>
  </r>
  <r>
    <x v="4"/>
    <x v="5"/>
    <x v="5"/>
    <s v="1050"/>
    <s v="Business Development"/>
    <s v="Admin"/>
    <n v="1"/>
  </r>
  <r>
    <x v="4"/>
    <x v="6"/>
    <x v="6"/>
    <s v="1050"/>
    <s v="Business Development"/>
    <s v="Admin"/>
    <n v="1"/>
  </r>
  <r>
    <x v="4"/>
    <x v="7"/>
    <x v="7"/>
    <s v="2010"/>
    <s v="Latin America"/>
    <s v="Programs"/>
    <n v="1"/>
  </r>
  <r>
    <x v="4"/>
    <x v="8"/>
    <x v="8"/>
    <s v="2010"/>
    <s v="Latin America"/>
    <s v="Programs"/>
    <n v="0.5"/>
  </r>
  <r>
    <x v="4"/>
    <x v="10"/>
    <x v="10"/>
    <s v="2010"/>
    <s v="Latin America"/>
    <s v="Programs"/>
    <n v="1"/>
  </r>
  <r>
    <x v="4"/>
    <x v="26"/>
    <x v="26"/>
    <s v="2010"/>
    <s v="Latin America"/>
    <s v="Programs"/>
    <n v="1"/>
  </r>
  <r>
    <x v="4"/>
    <x v="11"/>
    <x v="11"/>
    <s v="2020"/>
    <s v="MENA"/>
    <s v="Programs"/>
    <n v="1"/>
  </r>
  <r>
    <x v="4"/>
    <x v="12"/>
    <x v="12"/>
    <s v="2020"/>
    <s v="MENA"/>
    <s v="Programs"/>
    <n v="1"/>
  </r>
  <r>
    <x v="4"/>
    <x v="13"/>
    <x v="13"/>
    <s v="2020"/>
    <s v="MENA"/>
    <s v="Programs"/>
    <n v="1"/>
  </r>
  <r>
    <x v="4"/>
    <x v="25"/>
    <x v="25"/>
    <s v="2020"/>
    <s v="MENA"/>
    <s v="Programs"/>
    <n v="1"/>
  </r>
  <r>
    <x v="4"/>
    <x v="14"/>
    <x v="14"/>
    <s v="2030"/>
    <s v="Sub-Saharan Africa"/>
    <s v="Programs"/>
    <n v="1"/>
  </r>
  <r>
    <x v="4"/>
    <x v="15"/>
    <x v="15"/>
    <s v="2030"/>
    <s v="Sub-Saharan Africa"/>
    <s v="Programs"/>
    <n v="1"/>
  </r>
  <r>
    <x v="4"/>
    <x v="16"/>
    <x v="16"/>
    <s v="2030"/>
    <s v="Sub-Saharan Africa"/>
    <s v="Programs"/>
    <n v="1"/>
  </r>
  <r>
    <x v="4"/>
    <x v="17"/>
    <x v="17"/>
    <s v="2040"/>
    <s v="Europe"/>
    <s v="Programs"/>
    <n v="1"/>
  </r>
  <r>
    <x v="4"/>
    <x v="18"/>
    <x v="18"/>
    <s v="2040"/>
    <s v="Europe"/>
    <s v="Programs"/>
    <n v="1"/>
  </r>
  <r>
    <x v="4"/>
    <x v="19"/>
    <x v="19"/>
    <s v="2040"/>
    <s v="Europe"/>
    <s v="Programs"/>
    <n v="1"/>
  </r>
  <r>
    <x v="4"/>
    <x v="20"/>
    <x v="20"/>
    <s v="2040"/>
    <s v="Europe"/>
    <s v="Programs"/>
    <n v="1"/>
  </r>
  <r>
    <x v="4"/>
    <x v="21"/>
    <x v="21"/>
    <s v="2050"/>
    <s v="SE Asia"/>
    <s v="Programs"/>
    <n v="1"/>
  </r>
  <r>
    <x v="4"/>
    <x v="22"/>
    <x v="22"/>
    <s v="2050"/>
    <s v="SE Asia"/>
    <s v="Programs"/>
    <n v="1"/>
  </r>
  <r>
    <x v="4"/>
    <x v="23"/>
    <x v="23"/>
    <s v="2050"/>
    <s v="SE Asia"/>
    <s v="Programs"/>
    <n v="1"/>
  </r>
  <r>
    <x v="4"/>
    <x v="24"/>
    <x v="24"/>
    <s v="2050"/>
    <s v="SE Asia"/>
    <s v="Programs"/>
    <n v="1"/>
  </r>
  <r>
    <x v="5"/>
    <x v="8"/>
    <x v="8"/>
    <s v="1010"/>
    <s v="Executive"/>
    <s v="Admin"/>
    <n v="0.5"/>
  </r>
  <r>
    <x v="5"/>
    <x v="0"/>
    <x v="0"/>
    <s v="1010"/>
    <s v="Executive"/>
    <s v="Admin"/>
    <n v="1"/>
  </r>
  <r>
    <x v="5"/>
    <x v="1"/>
    <x v="1"/>
    <s v="1030"/>
    <s v="Human Resources"/>
    <s v="Admin"/>
    <n v="1"/>
  </r>
  <r>
    <x v="5"/>
    <x v="2"/>
    <x v="2"/>
    <s v="1030"/>
    <s v="Human Resources"/>
    <s v="Admin"/>
    <n v="1"/>
  </r>
  <r>
    <x v="5"/>
    <x v="3"/>
    <x v="3"/>
    <s v="1040"/>
    <s v="Finance"/>
    <s v="Admin"/>
    <n v="1"/>
  </r>
  <r>
    <x v="5"/>
    <x v="4"/>
    <x v="4"/>
    <s v="1040"/>
    <s v="Finance"/>
    <s v="Admin"/>
    <n v="1"/>
  </r>
  <r>
    <x v="5"/>
    <x v="5"/>
    <x v="5"/>
    <s v="1050"/>
    <s v="Business Development"/>
    <s v="Admin"/>
    <n v="1"/>
  </r>
  <r>
    <x v="5"/>
    <x v="6"/>
    <x v="6"/>
    <s v="1050"/>
    <s v="Business Development"/>
    <s v="Admin"/>
    <n v="1"/>
  </r>
  <r>
    <x v="5"/>
    <x v="7"/>
    <x v="7"/>
    <s v="2010"/>
    <s v="Latin America"/>
    <s v="Programs"/>
    <n v="1"/>
  </r>
  <r>
    <x v="5"/>
    <x v="8"/>
    <x v="8"/>
    <s v="2010"/>
    <s v="Latin America"/>
    <s v="Programs"/>
    <n v="0.5"/>
  </r>
  <r>
    <x v="5"/>
    <x v="10"/>
    <x v="10"/>
    <s v="2010"/>
    <s v="Latin America"/>
    <s v="Programs"/>
    <n v="1"/>
  </r>
  <r>
    <x v="5"/>
    <x v="26"/>
    <x v="26"/>
    <s v="2010"/>
    <s v="Latin America"/>
    <s v="Programs"/>
    <n v="1"/>
  </r>
  <r>
    <x v="5"/>
    <x v="11"/>
    <x v="11"/>
    <s v="2020"/>
    <s v="MENA"/>
    <s v="Programs"/>
    <n v="1"/>
  </r>
  <r>
    <x v="5"/>
    <x v="12"/>
    <x v="12"/>
    <s v="2020"/>
    <s v="MENA"/>
    <s v="Programs"/>
    <n v="1"/>
  </r>
  <r>
    <x v="5"/>
    <x v="13"/>
    <x v="13"/>
    <s v="2020"/>
    <s v="MENA"/>
    <s v="Programs"/>
    <n v="1"/>
  </r>
  <r>
    <x v="5"/>
    <x v="25"/>
    <x v="25"/>
    <s v="2020"/>
    <s v="MENA"/>
    <s v="Programs"/>
    <n v="1"/>
  </r>
  <r>
    <x v="5"/>
    <x v="14"/>
    <x v="14"/>
    <s v="2030"/>
    <s v="Sub-Saharan Africa"/>
    <s v="Programs"/>
    <n v="1"/>
  </r>
  <r>
    <x v="5"/>
    <x v="15"/>
    <x v="15"/>
    <s v="2030"/>
    <s v="Sub-Saharan Africa"/>
    <s v="Programs"/>
    <n v="1"/>
  </r>
  <r>
    <x v="5"/>
    <x v="16"/>
    <x v="16"/>
    <s v="2030"/>
    <s v="Sub-Saharan Africa"/>
    <s v="Programs"/>
    <n v="1"/>
  </r>
  <r>
    <x v="5"/>
    <x v="17"/>
    <x v="17"/>
    <s v="2040"/>
    <s v="Europe"/>
    <s v="Programs"/>
    <n v="1"/>
  </r>
  <r>
    <x v="5"/>
    <x v="18"/>
    <x v="18"/>
    <s v="2040"/>
    <s v="Europe"/>
    <s v="Programs"/>
    <n v="1"/>
  </r>
  <r>
    <x v="5"/>
    <x v="19"/>
    <x v="19"/>
    <s v="2040"/>
    <s v="Europe"/>
    <s v="Programs"/>
    <n v="1"/>
  </r>
  <r>
    <x v="5"/>
    <x v="20"/>
    <x v="20"/>
    <s v="2040"/>
    <s v="Europe"/>
    <s v="Programs"/>
    <n v="1"/>
  </r>
  <r>
    <x v="5"/>
    <x v="21"/>
    <x v="21"/>
    <s v="2050"/>
    <s v="SE Asia"/>
    <s v="Programs"/>
    <n v="1"/>
  </r>
  <r>
    <x v="5"/>
    <x v="22"/>
    <x v="22"/>
    <s v="2050"/>
    <s v="SE Asia"/>
    <s v="Programs"/>
    <n v="1"/>
  </r>
  <r>
    <x v="5"/>
    <x v="23"/>
    <x v="23"/>
    <s v="2050"/>
    <s v="SE Asia"/>
    <s v="Programs"/>
    <n v="1"/>
  </r>
  <r>
    <x v="5"/>
    <x v="24"/>
    <x v="24"/>
    <s v="2050"/>
    <s v="SE Asia"/>
    <s v="Programs"/>
    <n v="1"/>
  </r>
  <r>
    <x v="6"/>
    <x v="8"/>
    <x v="8"/>
    <s v="1010"/>
    <s v="Executive"/>
    <s v="Admin"/>
    <n v="0.5"/>
  </r>
  <r>
    <x v="6"/>
    <x v="0"/>
    <x v="0"/>
    <s v="1010"/>
    <s v="Executive"/>
    <s v="Admin"/>
    <n v="1"/>
  </r>
  <r>
    <x v="6"/>
    <x v="1"/>
    <x v="1"/>
    <s v="1030"/>
    <s v="Human Resources"/>
    <s v="Admin"/>
    <n v="1"/>
  </r>
  <r>
    <x v="6"/>
    <x v="2"/>
    <x v="2"/>
    <s v="1030"/>
    <s v="Human Resources"/>
    <s v="Admin"/>
    <n v="1"/>
  </r>
  <r>
    <x v="6"/>
    <x v="3"/>
    <x v="3"/>
    <s v="1040"/>
    <s v="Finance"/>
    <s v="Admin"/>
    <n v="1"/>
  </r>
  <r>
    <x v="6"/>
    <x v="4"/>
    <x v="4"/>
    <s v="1040"/>
    <s v="Finance"/>
    <s v="Admin"/>
    <n v="1"/>
  </r>
  <r>
    <x v="6"/>
    <x v="5"/>
    <x v="5"/>
    <s v="1050"/>
    <s v="Business Development"/>
    <s v="Admin"/>
    <n v="1"/>
  </r>
  <r>
    <x v="6"/>
    <x v="6"/>
    <x v="6"/>
    <s v="1050"/>
    <s v="Business Development"/>
    <s v="Admin"/>
    <n v="1"/>
  </r>
  <r>
    <x v="6"/>
    <x v="7"/>
    <x v="7"/>
    <s v="2010"/>
    <s v="Latin America"/>
    <s v="Programs"/>
    <n v="1"/>
  </r>
  <r>
    <x v="6"/>
    <x v="8"/>
    <x v="8"/>
    <s v="2010"/>
    <s v="Latin America"/>
    <s v="Programs"/>
    <n v="0.5"/>
  </r>
  <r>
    <x v="6"/>
    <x v="10"/>
    <x v="10"/>
    <s v="2010"/>
    <s v="Latin America"/>
    <s v="Programs"/>
    <n v="1"/>
  </r>
  <r>
    <x v="6"/>
    <x v="26"/>
    <x v="26"/>
    <s v="2010"/>
    <s v="Latin America"/>
    <s v="Programs"/>
    <n v="1"/>
  </r>
  <r>
    <x v="6"/>
    <x v="11"/>
    <x v="11"/>
    <s v="2020"/>
    <s v="MENA"/>
    <s v="Programs"/>
    <n v="1"/>
  </r>
  <r>
    <x v="6"/>
    <x v="12"/>
    <x v="12"/>
    <s v="2020"/>
    <s v="MENA"/>
    <s v="Programs"/>
    <n v="1"/>
  </r>
  <r>
    <x v="6"/>
    <x v="13"/>
    <x v="13"/>
    <s v="2020"/>
    <s v="MENA"/>
    <s v="Programs"/>
    <n v="1"/>
  </r>
  <r>
    <x v="6"/>
    <x v="25"/>
    <x v="25"/>
    <s v="2020"/>
    <s v="MENA"/>
    <s v="Programs"/>
    <n v="1"/>
  </r>
  <r>
    <x v="6"/>
    <x v="14"/>
    <x v="14"/>
    <s v="2030"/>
    <s v="Sub-Saharan Africa"/>
    <s v="Programs"/>
    <n v="1"/>
  </r>
  <r>
    <x v="6"/>
    <x v="15"/>
    <x v="15"/>
    <s v="2030"/>
    <s v="Sub-Saharan Africa"/>
    <s v="Programs"/>
    <n v="1"/>
  </r>
  <r>
    <x v="6"/>
    <x v="16"/>
    <x v="16"/>
    <s v="2030"/>
    <s v="Sub-Saharan Africa"/>
    <s v="Programs"/>
    <n v="1"/>
  </r>
  <r>
    <x v="6"/>
    <x v="18"/>
    <x v="18"/>
    <s v="2040"/>
    <s v="Europe"/>
    <s v="Programs"/>
    <n v="1"/>
  </r>
  <r>
    <x v="6"/>
    <x v="19"/>
    <x v="19"/>
    <s v="2040"/>
    <s v="Europe"/>
    <s v="Programs"/>
    <n v="1"/>
  </r>
  <r>
    <x v="6"/>
    <x v="20"/>
    <x v="20"/>
    <s v="2040"/>
    <s v="Europe"/>
    <s v="Programs"/>
    <n v="1"/>
  </r>
  <r>
    <x v="6"/>
    <x v="21"/>
    <x v="21"/>
    <s v="2050"/>
    <s v="SE Asia"/>
    <s v="Programs"/>
    <n v="1"/>
  </r>
  <r>
    <x v="6"/>
    <x v="22"/>
    <x v="22"/>
    <s v="2050"/>
    <s v="SE Asia"/>
    <s v="Programs"/>
    <n v="1"/>
  </r>
  <r>
    <x v="6"/>
    <x v="23"/>
    <x v="23"/>
    <s v="2050"/>
    <s v="SE Asia"/>
    <s v="Programs"/>
    <n v="1"/>
  </r>
  <r>
    <x v="6"/>
    <x v="24"/>
    <x v="24"/>
    <s v="2050"/>
    <s v="SE Asia"/>
    <s v="Programs"/>
    <n v="1"/>
  </r>
  <r>
    <x v="7"/>
    <x v="8"/>
    <x v="8"/>
    <s v="1010"/>
    <s v="Executive"/>
    <s v="Admin"/>
    <n v="0.5"/>
  </r>
  <r>
    <x v="7"/>
    <x v="0"/>
    <x v="0"/>
    <s v="1010"/>
    <s v="Executive"/>
    <s v="Admin"/>
    <n v="1"/>
  </r>
  <r>
    <x v="7"/>
    <x v="1"/>
    <x v="1"/>
    <s v="1030"/>
    <s v="Human Resources"/>
    <s v="Admin"/>
    <n v="1"/>
  </r>
  <r>
    <x v="7"/>
    <x v="2"/>
    <x v="2"/>
    <s v="1030"/>
    <s v="Human Resources"/>
    <s v="Admin"/>
    <n v="1"/>
  </r>
  <r>
    <x v="7"/>
    <x v="3"/>
    <x v="3"/>
    <s v="1040"/>
    <s v="Finance"/>
    <s v="Admin"/>
    <n v="1"/>
  </r>
  <r>
    <x v="7"/>
    <x v="4"/>
    <x v="4"/>
    <s v="1040"/>
    <s v="Finance"/>
    <s v="Admin"/>
    <n v="1"/>
  </r>
  <r>
    <x v="7"/>
    <x v="5"/>
    <x v="5"/>
    <s v="1050"/>
    <s v="Business Development"/>
    <s v="Admin"/>
    <n v="1"/>
  </r>
  <r>
    <x v="7"/>
    <x v="6"/>
    <x v="6"/>
    <s v="1050"/>
    <s v="Business Development"/>
    <s v="Admin"/>
    <n v="1"/>
  </r>
  <r>
    <x v="7"/>
    <x v="7"/>
    <x v="7"/>
    <s v="2010"/>
    <s v="Latin America"/>
    <s v="Programs"/>
    <n v="1"/>
  </r>
  <r>
    <x v="7"/>
    <x v="8"/>
    <x v="8"/>
    <s v="2010"/>
    <s v="Latin America"/>
    <s v="Programs"/>
    <n v="0.5"/>
  </r>
  <r>
    <x v="7"/>
    <x v="10"/>
    <x v="10"/>
    <s v="2010"/>
    <s v="Latin America"/>
    <s v="Programs"/>
    <n v="1"/>
  </r>
  <r>
    <x v="7"/>
    <x v="26"/>
    <x v="26"/>
    <s v="2010"/>
    <s v="Latin America"/>
    <s v="Programs"/>
    <n v="1"/>
  </r>
  <r>
    <x v="7"/>
    <x v="11"/>
    <x v="11"/>
    <s v="2020"/>
    <s v="MENA"/>
    <s v="Programs"/>
    <n v="1"/>
  </r>
  <r>
    <x v="7"/>
    <x v="12"/>
    <x v="12"/>
    <s v="2020"/>
    <s v="MENA"/>
    <s v="Programs"/>
    <n v="1"/>
  </r>
  <r>
    <x v="7"/>
    <x v="13"/>
    <x v="13"/>
    <s v="2020"/>
    <s v="MENA"/>
    <s v="Programs"/>
    <n v="1"/>
  </r>
  <r>
    <x v="7"/>
    <x v="25"/>
    <x v="25"/>
    <s v="2020"/>
    <s v="MENA"/>
    <s v="Programs"/>
    <n v="1"/>
  </r>
  <r>
    <x v="7"/>
    <x v="14"/>
    <x v="14"/>
    <s v="2030"/>
    <s v="Sub-Saharan Africa"/>
    <s v="Programs"/>
    <n v="1"/>
  </r>
  <r>
    <x v="7"/>
    <x v="15"/>
    <x v="15"/>
    <s v="2030"/>
    <s v="Sub-Saharan Africa"/>
    <s v="Programs"/>
    <n v="1"/>
  </r>
  <r>
    <x v="7"/>
    <x v="16"/>
    <x v="16"/>
    <s v="2030"/>
    <s v="Sub-Saharan Africa"/>
    <s v="Programs"/>
    <n v="1"/>
  </r>
  <r>
    <x v="7"/>
    <x v="18"/>
    <x v="18"/>
    <s v="2040"/>
    <s v="Europe"/>
    <s v="Programs"/>
    <n v="1"/>
  </r>
  <r>
    <x v="7"/>
    <x v="19"/>
    <x v="19"/>
    <s v="2040"/>
    <s v="Europe"/>
    <s v="Programs"/>
    <n v="1"/>
  </r>
  <r>
    <x v="7"/>
    <x v="20"/>
    <x v="20"/>
    <s v="2040"/>
    <s v="Europe"/>
    <s v="Programs"/>
    <n v="1"/>
  </r>
  <r>
    <x v="7"/>
    <x v="27"/>
    <x v="27"/>
    <s v="2040"/>
    <s v="Europe"/>
    <s v="Programs"/>
    <n v="1"/>
  </r>
  <r>
    <x v="7"/>
    <x v="21"/>
    <x v="21"/>
    <s v="2050"/>
    <s v="SE Asia"/>
    <s v="Programs"/>
    <n v="1"/>
  </r>
  <r>
    <x v="7"/>
    <x v="22"/>
    <x v="22"/>
    <s v="2050"/>
    <s v="SE Asia"/>
    <s v="Programs"/>
    <n v="1"/>
  </r>
  <r>
    <x v="7"/>
    <x v="23"/>
    <x v="23"/>
    <s v="2050"/>
    <s v="SE Asia"/>
    <s v="Programs"/>
    <n v="1"/>
  </r>
  <r>
    <x v="7"/>
    <x v="24"/>
    <x v="24"/>
    <s v="2050"/>
    <s v="SE Asia"/>
    <s v="Programs"/>
    <n v="1"/>
  </r>
  <r>
    <x v="8"/>
    <x v="8"/>
    <x v="8"/>
    <s v="1010"/>
    <s v="Executive"/>
    <s v="Admin"/>
    <n v="0.5"/>
  </r>
  <r>
    <x v="8"/>
    <x v="0"/>
    <x v="0"/>
    <s v="1010"/>
    <s v="Executive"/>
    <s v="Admin"/>
    <n v="1"/>
  </r>
  <r>
    <x v="8"/>
    <x v="1"/>
    <x v="1"/>
    <s v="1030"/>
    <s v="Human Resources"/>
    <s v="Admin"/>
    <n v="1"/>
  </r>
  <r>
    <x v="8"/>
    <x v="2"/>
    <x v="2"/>
    <s v="1030"/>
    <s v="Human Resources"/>
    <s v="Admin"/>
    <n v="1"/>
  </r>
  <r>
    <x v="8"/>
    <x v="3"/>
    <x v="3"/>
    <s v="1040"/>
    <s v="Finance"/>
    <s v="Admin"/>
    <n v="1"/>
  </r>
  <r>
    <x v="8"/>
    <x v="4"/>
    <x v="4"/>
    <s v="1040"/>
    <s v="Finance"/>
    <s v="Admin"/>
    <n v="1"/>
  </r>
  <r>
    <x v="8"/>
    <x v="6"/>
    <x v="6"/>
    <s v="1050"/>
    <s v="Business Development"/>
    <s v="Admin"/>
    <n v="1"/>
  </r>
  <r>
    <x v="8"/>
    <x v="7"/>
    <x v="7"/>
    <s v="2010"/>
    <s v="Latin America"/>
    <s v="Programs"/>
    <n v="1"/>
  </r>
  <r>
    <x v="8"/>
    <x v="8"/>
    <x v="8"/>
    <s v="2010"/>
    <s v="Latin America"/>
    <s v="Programs"/>
    <n v="0.5"/>
  </r>
  <r>
    <x v="8"/>
    <x v="10"/>
    <x v="10"/>
    <s v="2010"/>
    <s v="Latin America"/>
    <s v="Programs"/>
    <n v="1"/>
  </r>
  <r>
    <x v="8"/>
    <x v="26"/>
    <x v="26"/>
    <s v="2010"/>
    <s v="Latin America"/>
    <s v="Programs"/>
    <n v="1"/>
  </r>
  <r>
    <x v="8"/>
    <x v="11"/>
    <x v="11"/>
    <s v="2020"/>
    <s v="MENA"/>
    <s v="Programs"/>
    <n v="1"/>
  </r>
  <r>
    <x v="8"/>
    <x v="12"/>
    <x v="12"/>
    <s v="2020"/>
    <s v="MENA"/>
    <s v="Programs"/>
    <n v="1"/>
  </r>
  <r>
    <x v="8"/>
    <x v="13"/>
    <x v="13"/>
    <s v="2020"/>
    <s v="MENA"/>
    <s v="Programs"/>
    <n v="1"/>
  </r>
  <r>
    <x v="8"/>
    <x v="25"/>
    <x v="25"/>
    <s v="2020"/>
    <s v="MENA"/>
    <s v="Programs"/>
    <n v="1"/>
  </r>
  <r>
    <x v="8"/>
    <x v="14"/>
    <x v="14"/>
    <s v="2030"/>
    <s v="Sub-Saharan Africa"/>
    <s v="Programs"/>
    <n v="1"/>
  </r>
  <r>
    <x v="8"/>
    <x v="15"/>
    <x v="15"/>
    <s v="2030"/>
    <s v="Sub-Saharan Africa"/>
    <s v="Programs"/>
    <n v="1"/>
  </r>
  <r>
    <x v="8"/>
    <x v="16"/>
    <x v="16"/>
    <s v="2030"/>
    <s v="Sub-Saharan Africa"/>
    <s v="Programs"/>
    <n v="1"/>
  </r>
  <r>
    <x v="8"/>
    <x v="18"/>
    <x v="18"/>
    <s v="2040"/>
    <s v="Europe"/>
    <s v="Programs"/>
    <n v="1"/>
  </r>
  <r>
    <x v="8"/>
    <x v="19"/>
    <x v="19"/>
    <s v="2040"/>
    <s v="Europe"/>
    <s v="Programs"/>
    <n v="1"/>
  </r>
  <r>
    <x v="8"/>
    <x v="20"/>
    <x v="20"/>
    <s v="2040"/>
    <s v="Europe"/>
    <s v="Programs"/>
    <n v="1"/>
  </r>
  <r>
    <x v="8"/>
    <x v="27"/>
    <x v="27"/>
    <s v="2040"/>
    <s v="Europe"/>
    <s v="Programs"/>
    <n v="1"/>
  </r>
  <r>
    <x v="8"/>
    <x v="21"/>
    <x v="21"/>
    <s v="2050"/>
    <s v="SE Asia"/>
    <s v="Programs"/>
    <n v="1"/>
  </r>
  <r>
    <x v="8"/>
    <x v="22"/>
    <x v="22"/>
    <s v="2050"/>
    <s v="SE Asia"/>
    <s v="Programs"/>
    <n v="1"/>
  </r>
  <r>
    <x v="8"/>
    <x v="23"/>
    <x v="23"/>
    <s v="2050"/>
    <s v="SE Asia"/>
    <s v="Programs"/>
    <n v="1"/>
  </r>
  <r>
    <x v="8"/>
    <x v="24"/>
    <x v="24"/>
    <s v="2050"/>
    <s v="SE Asia"/>
    <s v="Programs"/>
    <n v="1"/>
  </r>
  <r>
    <x v="8"/>
    <x v="28"/>
    <x v="28"/>
    <s v="2050"/>
    <s v="SE Asia"/>
    <s v="Programs"/>
    <n v="1"/>
  </r>
  <r>
    <x v="9"/>
    <x v="8"/>
    <x v="8"/>
    <s v="1010"/>
    <s v="Executive"/>
    <s v="Admin"/>
    <n v="0.5"/>
  </r>
  <r>
    <x v="9"/>
    <x v="0"/>
    <x v="0"/>
    <s v="1010"/>
    <s v="Executive"/>
    <s v="Admin"/>
    <n v="1"/>
  </r>
  <r>
    <x v="9"/>
    <x v="1"/>
    <x v="1"/>
    <s v="1030"/>
    <s v="Human Resources"/>
    <s v="Admin"/>
    <n v="1"/>
  </r>
  <r>
    <x v="9"/>
    <x v="2"/>
    <x v="2"/>
    <s v="1030"/>
    <s v="Human Resources"/>
    <s v="Admin"/>
    <n v="1"/>
  </r>
  <r>
    <x v="9"/>
    <x v="3"/>
    <x v="3"/>
    <s v="1040"/>
    <s v="Finance"/>
    <s v="Admin"/>
    <n v="1"/>
  </r>
  <r>
    <x v="9"/>
    <x v="4"/>
    <x v="4"/>
    <s v="1040"/>
    <s v="Finance"/>
    <s v="Admin"/>
    <n v="1"/>
  </r>
  <r>
    <x v="9"/>
    <x v="6"/>
    <x v="6"/>
    <s v="1050"/>
    <s v="Business Development"/>
    <s v="Admin"/>
    <n v="1"/>
  </r>
  <r>
    <x v="9"/>
    <x v="7"/>
    <x v="7"/>
    <s v="2010"/>
    <s v="Latin America"/>
    <s v="Programs"/>
    <n v="1"/>
  </r>
  <r>
    <x v="9"/>
    <x v="8"/>
    <x v="8"/>
    <s v="2010"/>
    <s v="Latin America"/>
    <s v="Programs"/>
    <n v="0.5"/>
  </r>
  <r>
    <x v="9"/>
    <x v="10"/>
    <x v="10"/>
    <s v="2010"/>
    <s v="Latin America"/>
    <s v="Programs"/>
    <n v="1"/>
  </r>
  <r>
    <x v="9"/>
    <x v="26"/>
    <x v="26"/>
    <s v="2010"/>
    <s v="Latin America"/>
    <s v="Programs"/>
    <n v="1"/>
  </r>
  <r>
    <x v="9"/>
    <x v="11"/>
    <x v="11"/>
    <s v="2020"/>
    <s v="MENA"/>
    <s v="Programs"/>
    <n v="1"/>
  </r>
  <r>
    <x v="9"/>
    <x v="12"/>
    <x v="12"/>
    <s v="2020"/>
    <s v="MENA"/>
    <s v="Programs"/>
    <n v="1"/>
  </r>
  <r>
    <x v="9"/>
    <x v="13"/>
    <x v="13"/>
    <s v="2020"/>
    <s v="MENA"/>
    <s v="Programs"/>
    <n v="1"/>
  </r>
  <r>
    <x v="9"/>
    <x v="25"/>
    <x v="25"/>
    <s v="2020"/>
    <s v="MENA"/>
    <s v="Programs"/>
    <n v="1"/>
  </r>
  <r>
    <x v="9"/>
    <x v="14"/>
    <x v="14"/>
    <s v="2030"/>
    <s v="Sub-Saharan Africa"/>
    <s v="Programs"/>
    <n v="1"/>
  </r>
  <r>
    <x v="9"/>
    <x v="15"/>
    <x v="15"/>
    <s v="2030"/>
    <s v="Sub-Saharan Africa"/>
    <s v="Programs"/>
    <n v="1"/>
  </r>
  <r>
    <x v="9"/>
    <x v="16"/>
    <x v="16"/>
    <s v="2030"/>
    <s v="Sub-Saharan Africa"/>
    <s v="Programs"/>
    <n v="1"/>
  </r>
  <r>
    <x v="9"/>
    <x v="18"/>
    <x v="18"/>
    <s v="2040"/>
    <s v="Europe"/>
    <s v="Programs"/>
    <n v="1"/>
  </r>
  <r>
    <x v="9"/>
    <x v="19"/>
    <x v="19"/>
    <s v="2040"/>
    <s v="Europe"/>
    <s v="Programs"/>
    <n v="1"/>
  </r>
  <r>
    <x v="9"/>
    <x v="20"/>
    <x v="20"/>
    <s v="2040"/>
    <s v="Europe"/>
    <s v="Programs"/>
    <n v="1"/>
  </r>
  <r>
    <x v="9"/>
    <x v="27"/>
    <x v="27"/>
    <s v="2040"/>
    <s v="Europe"/>
    <s v="Programs"/>
    <n v="1"/>
  </r>
  <r>
    <x v="9"/>
    <x v="21"/>
    <x v="21"/>
    <s v="2050"/>
    <s v="SE Asia"/>
    <s v="Programs"/>
    <n v="1"/>
  </r>
  <r>
    <x v="9"/>
    <x v="22"/>
    <x v="22"/>
    <s v="2050"/>
    <s v="SE Asia"/>
    <s v="Programs"/>
    <n v="1"/>
  </r>
  <r>
    <x v="9"/>
    <x v="23"/>
    <x v="23"/>
    <s v="2050"/>
    <s v="SE Asia"/>
    <s v="Programs"/>
    <n v="1"/>
  </r>
  <r>
    <x v="9"/>
    <x v="24"/>
    <x v="24"/>
    <s v="2050"/>
    <s v="SE Asia"/>
    <s v="Programs"/>
    <n v="1"/>
  </r>
  <r>
    <x v="9"/>
    <x v="28"/>
    <x v="28"/>
    <s v="2050"/>
    <s v="SE Asia"/>
    <s v="Programs"/>
    <n v="1"/>
  </r>
  <r>
    <x v="10"/>
    <x v="8"/>
    <x v="8"/>
    <s v="1010"/>
    <s v="Executive"/>
    <s v="Admin"/>
    <n v="0.5"/>
  </r>
  <r>
    <x v="10"/>
    <x v="0"/>
    <x v="0"/>
    <s v="1010"/>
    <s v="Executive"/>
    <s v="Admin"/>
    <n v="1"/>
  </r>
  <r>
    <x v="10"/>
    <x v="1"/>
    <x v="1"/>
    <s v="1030"/>
    <s v="Human Resources"/>
    <s v="Admin"/>
    <n v="1"/>
  </r>
  <r>
    <x v="10"/>
    <x v="2"/>
    <x v="2"/>
    <s v="1030"/>
    <s v="Human Resources"/>
    <s v="Admin"/>
    <n v="1"/>
  </r>
  <r>
    <x v="10"/>
    <x v="3"/>
    <x v="3"/>
    <s v="1040"/>
    <s v="Finance"/>
    <s v="Admin"/>
    <n v="1"/>
  </r>
  <r>
    <x v="10"/>
    <x v="4"/>
    <x v="4"/>
    <s v="1040"/>
    <s v="Finance"/>
    <s v="Admin"/>
    <n v="1"/>
  </r>
  <r>
    <x v="10"/>
    <x v="29"/>
    <x v="29"/>
    <s v="1040"/>
    <s v="Finance"/>
    <s v="Admin"/>
    <n v="1"/>
  </r>
  <r>
    <x v="10"/>
    <x v="6"/>
    <x v="6"/>
    <s v="1050"/>
    <s v="Business Development"/>
    <s v="Admin"/>
    <n v="1"/>
  </r>
  <r>
    <x v="10"/>
    <x v="7"/>
    <x v="7"/>
    <s v="2010"/>
    <s v="Latin America"/>
    <s v="Programs"/>
    <n v="1"/>
  </r>
  <r>
    <x v="10"/>
    <x v="8"/>
    <x v="8"/>
    <s v="2010"/>
    <s v="Latin America"/>
    <s v="Programs"/>
    <n v="0.5"/>
  </r>
  <r>
    <x v="10"/>
    <x v="10"/>
    <x v="10"/>
    <s v="2010"/>
    <s v="Latin America"/>
    <s v="Programs"/>
    <n v="1"/>
  </r>
  <r>
    <x v="10"/>
    <x v="26"/>
    <x v="26"/>
    <s v="2010"/>
    <s v="Latin America"/>
    <s v="Programs"/>
    <n v="1"/>
  </r>
  <r>
    <x v="10"/>
    <x v="11"/>
    <x v="11"/>
    <s v="2020"/>
    <s v="MENA"/>
    <s v="Programs"/>
    <n v="1"/>
  </r>
  <r>
    <x v="10"/>
    <x v="12"/>
    <x v="12"/>
    <s v="2020"/>
    <s v="MENA"/>
    <s v="Programs"/>
    <n v="1"/>
  </r>
  <r>
    <x v="10"/>
    <x v="13"/>
    <x v="13"/>
    <s v="2020"/>
    <s v="MENA"/>
    <s v="Programs"/>
    <n v="1"/>
  </r>
  <r>
    <x v="10"/>
    <x v="25"/>
    <x v="25"/>
    <s v="2020"/>
    <s v="MENA"/>
    <s v="Programs"/>
    <n v="1"/>
  </r>
  <r>
    <x v="10"/>
    <x v="14"/>
    <x v="14"/>
    <s v="2030"/>
    <s v="Sub-Saharan Africa"/>
    <s v="Programs"/>
    <n v="1"/>
  </r>
  <r>
    <x v="10"/>
    <x v="15"/>
    <x v="15"/>
    <s v="2030"/>
    <s v="Sub-Saharan Africa"/>
    <s v="Programs"/>
    <n v="1"/>
  </r>
  <r>
    <x v="10"/>
    <x v="18"/>
    <x v="18"/>
    <s v="2040"/>
    <s v="Europe"/>
    <s v="Programs"/>
    <n v="1"/>
  </r>
  <r>
    <x v="10"/>
    <x v="19"/>
    <x v="19"/>
    <s v="2040"/>
    <s v="Europe"/>
    <s v="Programs"/>
    <n v="1"/>
  </r>
  <r>
    <x v="10"/>
    <x v="20"/>
    <x v="20"/>
    <s v="2040"/>
    <s v="Europe"/>
    <s v="Programs"/>
    <n v="1"/>
  </r>
  <r>
    <x v="10"/>
    <x v="27"/>
    <x v="27"/>
    <s v="2040"/>
    <s v="Europe"/>
    <s v="Programs"/>
    <n v="1"/>
  </r>
  <r>
    <x v="10"/>
    <x v="21"/>
    <x v="21"/>
    <s v="2050"/>
    <s v="SE Asia"/>
    <s v="Programs"/>
    <n v="1"/>
  </r>
  <r>
    <x v="10"/>
    <x v="22"/>
    <x v="22"/>
    <s v="2050"/>
    <s v="SE Asia"/>
    <s v="Programs"/>
    <n v="1"/>
  </r>
  <r>
    <x v="10"/>
    <x v="23"/>
    <x v="23"/>
    <s v="2050"/>
    <s v="SE Asia"/>
    <s v="Programs"/>
    <n v="1"/>
  </r>
  <r>
    <x v="10"/>
    <x v="24"/>
    <x v="24"/>
    <s v="2050"/>
    <s v="SE Asia"/>
    <s v="Programs"/>
    <n v="1"/>
  </r>
  <r>
    <x v="10"/>
    <x v="28"/>
    <x v="28"/>
    <s v="2050"/>
    <s v="SE Asia"/>
    <s v="Programs"/>
    <n v="1"/>
  </r>
  <r>
    <x v="11"/>
    <x v="8"/>
    <x v="8"/>
    <s v="1010"/>
    <s v="Executive"/>
    <s v="Admin"/>
    <n v="0.5"/>
  </r>
  <r>
    <x v="11"/>
    <x v="0"/>
    <x v="0"/>
    <s v="1010"/>
    <s v="Executive"/>
    <s v="Admin"/>
    <n v="1"/>
  </r>
  <r>
    <x v="11"/>
    <x v="1"/>
    <x v="1"/>
    <s v="1030"/>
    <s v="Human Resources"/>
    <s v="Admin"/>
    <n v="1"/>
  </r>
  <r>
    <x v="11"/>
    <x v="2"/>
    <x v="2"/>
    <s v="1030"/>
    <s v="Human Resources"/>
    <s v="Admin"/>
    <n v="1"/>
  </r>
  <r>
    <x v="11"/>
    <x v="3"/>
    <x v="3"/>
    <s v="1040"/>
    <s v="Finance"/>
    <s v="Admin"/>
    <n v="1"/>
  </r>
  <r>
    <x v="11"/>
    <x v="4"/>
    <x v="4"/>
    <s v="1040"/>
    <s v="Finance"/>
    <s v="Admin"/>
    <n v="1"/>
  </r>
  <r>
    <x v="11"/>
    <x v="29"/>
    <x v="29"/>
    <s v="1040"/>
    <s v="Finance"/>
    <s v="Admin"/>
    <n v="1"/>
  </r>
  <r>
    <x v="11"/>
    <x v="6"/>
    <x v="6"/>
    <s v="1050"/>
    <s v="Business Development"/>
    <s v="Admin"/>
    <n v="1"/>
  </r>
  <r>
    <x v="11"/>
    <x v="7"/>
    <x v="7"/>
    <s v="2010"/>
    <s v="Latin America"/>
    <s v="Programs"/>
    <n v="1"/>
  </r>
  <r>
    <x v="11"/>
    <x v="8"/>
    <x v="8"/>
    <s v="2010"/>
    <s v="Latin America"/>
    <s v="Programs"/>
    <n v="0.5"/>
  </r>
  <r>
    <x v="11"/>
    <x v="10"/>
    <x v="10"/>
    <s v="2010"/>
    <s v="Latin America"/>
    <s v="Programs"/>
    <n v="1"/>
  </r>
  <r>
    <x v="11"/>
    <x v="26"/>
    <x v="26"/>
    <s v="2010"/>
    <s v="Latin America"/>
    <s v="Programs"/>
    <n v="1"/>
  </r>
  <r>
    <x v="11"/>
    <x v="11"/>
    <x v="11"/>
    <s v="2020"/>
    <s v="MENA"/>
    <s v="Programs"/>
    <n v="1"/>
  </r>
  <r>
    <x v="11"/>
    <x v="12"/>
    <x v="12"/>
    <s v="2020"/>
    <s v="MENA"/>
    <s v="Programs"/>
    <n v="1"/>
  </r>
  <r>
    <x v="11"/>
    <x v="13"/>
    <x v="13"/>
    <s v="2020"/>
    <s v="MENA"/>
    <s v="Programs"/>
    <n v="1"/>
  </r>
  <r>
    <x v="11"/>
    <x v="25"/>
    <x v="25"/>
    <s v="2020"/>
    <s v="MENA"/>
    <s v="Programs"/>
    <n v="1"/>
  </r>
  <r>
    <x v="11"/>
    <x v="14"/>
    <x v="14"/>
    <s v="2030"/>
    <s v="Sub-Saharan Africa"/>
    <s v="Programs"/>
    <n v="1"/>
  </r>
  <r>
    <x v="11"/>
    <x v="15"/>
    <x v="15"/>
    <s v="2030"/>
    <s v="Sub-Saharan Africa"/>
    <s v="Programs"/>
    <n v="1"/>
  </r>
  <r>
    <x v="11"/>
    <x v="18"/>
    <x v="18"/>
    <s v="2040"/>
    <s v="Europe"/>
    <s v="Programs"/>
    <n v="1"/>
  </r>
  <r>
    <x v="11"/>
    <x v="19"/>
    <x v="19"/>
    <s v="2040"/>
    <s v="Europe"/>
    <s v="Programs"/>
    <n v="1"/>
  </r>
  <r>
    <x v="11"/>
    <x v="20"/>
    <x v="20"/>
    <s v="2040"/>
    <s v="Europe"/>
    <s v="Programs"/>
    <n v="1"/>
  </r>
  <r>
    <x v="11"/>
    <x v="27"/>
    <x v="27"/>
    <s v="2040"/>
    <s v="Europe"/>
    <s v="Programs"/>
    <n v="1"/>
  </r>
  <r>
    <x v="11"/>
    <x v="21"/>
    <x v="21"/>
    <s v="2050"/>
    <s v="SE Asia"/>
    <s v="Programs"/>
    <n v="1"/>
  </r>
  <r>
    <x v="11"/>
    <x v="22"/>
    <x v="22"/>
    <s v="2050"/>
    <s v="SE Asia"/>
    <s v="Programs"/>
    <n v="1"/>
  </r>
  <r>
    <x v="11"/>
    <x v="23"/>
    <x v="23"/>
    <s v="2050"/>
    <s v="SE Asia"/>
    <s v="Programs"/>
    <n v="1"/>
  </r>
  <r>
    <x v="11"/>
    <x v="24"/>
    <x v="24"/>
    <s v="2050"/>
    <s v="SE Asia"/>
    <s v="Programs"/>
    <n v="1"/>
  </r>
  <r>
    <x v="11"/>
    <x v="28"/>
    <x v="28"/>
    <s v="2050"/>
    <s v="SE Asia"/>
    <s v="Programs"/>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700-000002000000}" name="PivotTable2" cacheId="92" applyNumberFormats="0" applyBorderFormats="0" applyFontFormats="0" applyPatternFormats="0" applyAlignmentFormats="0" applyWidthHeightFormats="0" dataCaption="Values" updatedVersion="8" colGrandTotals="0" itemPrintTitles="1" indent="0" compact="0" compactData="0" multipleFieldFilters="0">
  <location ref="A15:N21" firstHeaderRow="1" firstDataRow="2" firstDataCol="2"/>
  <pivotFields count="11">
    <pivotField axis="axisCol" compact="0" outline="0" showAll="0">
      <items count="131">
        <item x="13"/>
        <item x="1"/>
        <item x="128"/>
        <item x="129"/>
        <item x="14"/>
        <item x="124"/>
        <item x="15"/>
        <item x="126"/>
        <item x="127"/>
        <item x="125"/>
        <item x="17"/>
        <item x="16"/>
        <item x="123"/>
        <item x="2"/>
        <item x="122"/>
        <item x="18"/>
        <item x="120"/>
        <item x="121"/>
        <item x="20"/>
        <item x="119"/>
        <item x="21"/>
        <item x="22"/>
        <item x="117"/>
        <item x="19"/>
        <item x="118"/>
        <item x="3"/>
        <item x="116"/>
        <item x="23"/>
        <item x="24"/>
        <item x="115"/>
        <item x="68"/>
        <item x="114"/>
        <item x="25"/>
        <item x="26"/>
        <item x="113"/>
        <item x="4"/>
        <item x="112"/>
        <item x="27"/>
        <item x="109"/>
        <item x="28"/>
        <item x="110"/>
        <item x="29"/>
        <item x="30"/>
        <item x="111"/>
        <item x="108"/>
        <item x="5"/>
        <item x="107"/>
        <item x="31"/>
        <item x="34"/>
        <item x="32"/>
        <item x="105"/>
        <item x="33"/>
        <item x="104"/>
        <item x="35"/>
        <item x="106"/>
        <item x="103"/>
        <item x="6"/>
        <item x="102"/>
        <item x="36"/>
        <item x="37"/>
        <item x="99"/>
        <item x="98"/>
        <item x="39"/>
        <item x="100"/>
        <item x="101"/>
        <item x="38"/>
        <item x="7"/>
        <item x="96"/>
        <item x="97"/>
        <item x="40"/>
        <item x="43"/>
        <item x="44"/>
        <item x="41"/>
        <item x="94"/>
        <item x="92"/>
        <item x="42"/>
        <item x="45"/>
        <item x="95"/>
        <item x="93"/>
        <item x="8"/>
        <item x="91"/>
        <item x="46"/>
        <item x="90"/>
        <item x="67"/>
        <item x="89"/>
        <item x="88"/>
        <item x="48"/>
        <item x="47"/>
        <item x="87"/>
        <item x="9"/>
        <item x="86"/>
        <item x="49"/>
        <item x="50"/>
        <item x="83"/>
        <item x="51"/>
        <item x="85"/>
        <item x="82"/>
        <item x="52"/>
        <item x="84"/>
        <item x="53"/>
        <item x="81"/>
        <item x="10"/>
        <item x="80"/>
        <item x="54"/>
        <item x="56"/>
        <item x="55"/>
        <item x="79"/>
        <item x="78"/>
        <item x="57"/>
        <item x="58"/>
        <item x="77"/>
        <item x="11"/>
        <item x="76"/>
        <item x="59"/>
        <item x="74"/>
        <item x="60"/>
        <item x="62"/>
        <item x="61"/>
        <item x="0"/>
        <item x="75"/>
        <item x="12"/>
        <item x="73"/>
        <item x="63"/>
        <item x="69"/>
        <item x="72"/>
        <item x="64"/>
        <item x="71"/>
        <item x="65"/>
        <item x="66"/>
        <item x="70"/>
        <item t="default"/>
      </items>
    </pivotField>
    <pivotField compact="0" outline="0" showAll="0"/>
    <pivotField compact="0" outline="0" showAll="0"/>
    <pivotField axis="axisRow" compact="0" outline="0" showAll="0" defaultSubtotal="0">
      <items count="44">
        <item x="6"/>
        <item x="4"/>
        <item x="7"/>
        <item x="5"/>
        <item h="1" x="24"/>
        <item h="1" x="30"/>
        <item h="1" x="11"/>
        <item h="1" x="10"/>
        <item h="1" x="9"/>
        <item h="1" x="8"/>
        <item h="1" x="34"/>
        <item h="1" x="37"/>
        <item h="1" x="29"/>
        <item h="1" x="22"/>
        <item h="1" x="28"/>
        <item h="1" x="32"/>
        <item h="1" x="27"/>
        <item h="1" x="31"/>
        <item h="1" x="21"/>
        <item h="1" x="14"/>
        <item h="1" x="36"/>
        <item h="1" x="26"/>
        <item h="1" x="35"/>
        <item h="1" x="19"/>
        <item h="1" x="0"/>
        <item h="1" x="1"/>
        <item h="1" x="2"/>
        <item h="1" x="3"/>
        <item h="1" x="15"/>
        <item h="1" x="16"/>
        <item h="1" x="17"/>
        <item h="1" x="18"/>
        <item h="1" x="20"/>
        <item h="1" x="13"/>
        <item h="1" x="12"/>
        <item h="1" x="23"/>
        <item h="1" x="25"/>
        <item h="1" x="38"/>
        <item h="1" x="41"/>
        <item h="1" x="33"/>
        <item h="1" x="39"/>
        <item h="1" x="40"/>
        <item h="1" x="42"/>
        <item m="1" x="43"/>
      </items>
    </pivotField>
    <pivotField axis="axisRow" compact="0" outline="0" showAll="0">
      <items count="45">
        <item m="1" x="4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compact="0" outline="0" showAll="0"/>
    <pivotField compact="0" outline="0" showAll="0"/>
    <pivotField compact="0" outline="0" showAll="0"/>
    <pivotField compact="0" outline="0" showAll="0"/>
    <pivotField dataField="1" compact="0" outline="0" showAll="0"/>
    <pivotField compact="0" outline="0" showAll="0"/>
  </pivotFields>
  <rowFields count="2">
    <field x="3"/>
    <field x="4"/>
  </rowFields>
  <rowItems count="5">
    <i>
      <x/>
      <x v="7"/>
    </i>
    <i>
      <x v="1"/>
      <x v="5"/>
    </i>
    <i>
      <x v="2"/>
      <x v="8"/>
    </i>
    <i>
      <x v="3"/>
      <x v="6"/>
    </i>
    <i t="grand">
      <x/>
    </i>
  </rowItems>
  <colFields count="1">
    <field x="0"/>
  </colFields>
  <colItems count="12">
    <i>
      <x v="1"/>
    </i>
    <i>
      <x v="13"/>
    </i>
    <i>
      <x v="25"/>
    </i>
    <i>
      <x v="35"/>
    </i>
    <i>
      <x v="45"/>
    </i>
    <i>
      <x v="56"/>
    </i>
    <i>
      <x v="66"/>
    </i>
    <i>
      <x v="79"/>
    </i>
    <i>
      <x v="89"/>
    </i>
    <i>
      <x v="101"/>
    </i>
    <i>
      <x v="111"/>
    </i>
    <i>
      <x v="120"/>
    </i>
  </colItems>
  <dataFields count="1">
    <dataField name="Sum of Total" fld="9" baseField="0" baseItem="0" numFmtId="43"/>
  </dataFields>
  <formats count="16">
    <format dxfId="126">
      <pivotArea outline="0" fieldPosition="0"/>
    </format>
    <format dxfId="125">
      <pivotArea dataOnly="0" labelOnly="1" outline="0" fieldPosition="0">
        <references count="1">
          <reference field="0" count="12">
            <x v="1"/>
            <x v="13"/>
            <x v="25"/>
            <x v="35"/>
            <x v="45"/>
            <x v="56"/>
            <x v="66"/>
            <x v="79"/>
            <x v="89"/>
            <x v="101"/>
            <x v="111"/>
            <x v="120"/>
          </reference>
        </references>
      </pivotArea>
    </format>
    <format dxfId="113">
      <pivotArea type="all" dataOnly="0" outline="0" fieldPosition="0"/>
    </format>
    <format dxfId="112">
      <pivotArea outline="0" fieldPosition="0"/>
    </format>
    <format dxfId="111">
      <pivotArea type="origin" dataOnly="0" labelOnly="1" outline="0" fieldPosition="0"/>
    </format>
    <format dxfId="110">
      <pivotArea field="0" type="button" dataOnly="0" labelOnly="1" outline="0" axis="axisCol" fieldPosition="0"/>
    </format>
    <format dxfId="109">
      <pivotArea type="topRight" dataOnly="0" labelOnly="1" outline="0" fieldPosition="0"/>
    </format>
    <format dxfId="108">
      <pivotArea field="3" type="button" dataOnly="0" labelOnly="1" outline="0" axis="axisRow" fieldPosition="0"/>
    </format>
    <format dxfId="107">
      <pivotArea field="4" type="button" dataOnly="0" labelOnly="1" outline="0" axis="axisRow" fieldPosition="1"/>
    </format>
    <format dxfId="106">
      <pivotArea dataOnly="0" labelOnly="1" outline="0" fieldPosition="0">
        <references count="1">
          <reference field="3" count="0"/>
        </references>
      </pivotArea>
    </format>
    <format dxfId="105">
      <pivotArea dataOnly="0" labelOnly="1" grandRow="1" outline="0" fieldPosition="0"/>
    </format>
    <format dxfId="104">
      <pivotArea dataOnly="0" labelOnly="1" outline="0" fieldPosition="0">
        <references count="2">
          <reference field="3" count="1" selected="0">
            <x v="0"/>
          </reference>
          <reference field="4" count="1">
            <x v="7"/>
          </reference>
        </references>
      </pivotArea>
    </format>
    <format dxfId="103">
      <pivotArea dataOnly="0" labelOnly="1" outline="0" fieldPosition="0">
        <references count="2">
          <reference field="3" count="1" selected="0">
            <x v="1"/>
          </reference>
          <reference field="4" count="1">
            <x v="5"/>
          </reference>
        </references>
      </pivotArea>
    </format>
    <format dxfId="102">
      <pivotArea dataOnly="0" labelOnly="1" outline="0" fieldPosition="0">
        <references count="2">
          <reference field="3" count="1" selected="0">
            <x v="2"/>
          </reference>
          <reference field="4" count="1">
            <x v="8"/>
          </reference>
        </references>
      </pivotArea>
    </format>
    <format dxfId="101">
      <pivotArea dataOnly="0" labelOnly="1" outline="0" fieldPosition="0">
        <references count="2">
          <reference field="3" count="1" selected="0">
            <x v="3"/>
          </reference>
          <reference field="4" count="1">
            <x v="6"/>
          </reference>
        </references>
      </pivotArea>
    </format>
    <format dxfId="100">
      <pivotArea dataOnly="0" labelOnly="1" outline="0" fieldPosition="0">
        <references count="1">
          <reference field="0" count="12">
            <x v="1"/>
            <x v="13"/>
            <x v="25"/>
            <x v="35"/>
            <x v="45"/>
            <x v="56"/>
            <x v="66"/>
            <x v="79"/>
            <x v="89"/>
            <x v="101"/>
            <x v="111"/>
            <x v="120"/>
          </reference>
        </references>
      </pivotArea>
    </format>
  </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800-000001000000}" name="DataPilot1" cacheId="92" applyNumberFormats="0" applyBorderFormats="0" applyFontFormats="0" applyPatternFormats="0" applyAlignmentFormats="0" applyWidthHeightFormats="0" dataCaption="Values" updatedVersion="8" colGrandTotals="0" itemPrintTitles="1" indent="0" compact="0" compactData="0" multipleFieldFilters="0">
  <location ref="B22:O28" firstHeaderRow="1" firstDataRow="2" firstDataCol="2"/>
  <pivotFields count="11">
    <pivotField axis="axisCol" compact="0" numFmtId="165" outline="0" showAll="0">
      <items count="131">
        <item x="13"/>
        <item x="1"/>
        <item x="128"/>
        <item x="129"/>
        <item x="14"/>
        <item x="124"/>
        <item x="15"/>
        <item x="126"/>
        <item x="127"/>
        <item x="125"/>
        <item x="17"/>
        <item x="16"/>
        <item x="123"/>
        <item x="2"/>
        <item x="122"/>
        <item x="18"/>
        <item x="120"/>
        <item x="121"/>
        <item x="20"/>
        <item x="119"/>
        <item x="21"/>
        <item x="22"/>
        <item x="117"/>
        <item x="19"/>
        <item x="118"/>
        <item x="3"/>
        <item x="116"/>
        <item x="23"/>
        <item x="24"/>
        <item x="115"/>
        <item x="68"/>
        <item x="114"/>
        <item x="25"/>
        <item x="26"/>
        <item x="113"/>
        <item x="4"/>
        <item x="112"/>
        <item x="27"/>
        <item x="109"/>
        <item x="28"/>
        <item x="110"/>
        <item x="29"/>
        <item x="30"/>
        <item x="111"/>
        <item x="108"/>
        <item x="5"/>
        <item x="107"/>
        <item x="31"/>
        <item x="34"/>
        <item x="32"/>
        <item x="105"/>
        <item x="33"/>
        <item x="104"/>
        <item x="35"/>
        <item x="106"/>
        <item x="103"/>
        <item x="6"/>
        <item x="102"/>
        <item x="36"/>
        <item x="37"/>
        <item x="99"/>
        <item x="98"/>
        <item x="39"/>
        <item x="100"/>
        <item x="101"/>
        <item x="38"/>
        <item x="7"/>
        <item x="96"/>
        <item x="97"/>
        <item x="40"/>
        <item x="43"/>
        <item x="44"/>
        <item x="41"/>
        <item x="94"/>
        <item x="92"/>
        <item x="42"/>
        <item x="45"/>
        <item x="95"/>
        <item x="93"/>
        <item x="8"/>
        <item x="91"/>
        <item x="46"/>
        <item x="90"/>
        <item x="67"/>
        <item x="89"/>
        <item x="88"/>
        <item x="48"/>
        <item x="47"/>
        <item x="87"/>
        <item x="9"/>
        <item x="86"/>
        <item x="49"/>
        <item x="50"/>
        <item x="83"/>
        <item x="51"/>
        <item x="85"/>
        <item x="82"/>
        <item x="52"/>
        <item x="84"/>
        <item x="53"/>
        <item x="81"/>
        <item x="10"/>
        <item x="80"/>
        <item x="54"/>
        <item x="56"/>
        <item x="55"/>
        <item x="79"/>
        <item x="78"/>
        <item x="57"/>
        <item x="58"/>
        <item x="77"/>
        <item x="11"/>
        <item x="76"/>
        <item x="59"/>
        <item x="74"/>
        <item x="60"/>
        <item x="62"/>
        <item x="61"/>
        <item x="0"/>
        <item x="75"/>
        <item x="12"/>
        <item x="73"/>
        <item x="63"/>
        <item x="69"/>
        <item x="72"/>
        <item x="64"/>
        <item x="71"/>
        <item x="65"/>
        <item x="66"/>
        <item x="70"/>
        <item t="default"/>
      </items>
    </pivotField>
    <pivotField compact="0" outline="0" showAll="0"/>
    <pivotField compact="0" outline="0" showAll="0"/>
    <pivotField axis="axisRow" compact="0" outline="0" showAll="0" defaultSubtotal="0">
      <items count="44">
        <item h="1" x="6"/>
        <item h="1" x="4"/>
        <item h="1" x="7"/>
        <item h="1" x="5"/>
        <item h="1" x="24"/>
        <item h="1" x="30"/>
        <item x="11"/>
        <item x="10"/>
        <item x="9"/>
        <item x="8"/>
        <item h="1" x="34"/>
        <item h="1" x="37"/>
        <item h="1" x="29"/>
        <item h="1" x="22"/>
        <item h="1" x="28"/>
        <item h="1" x="32"/>
        <item h="1" x="27"/>
        <item h="1" x="31"/>
        <item h="1" x="21"/>
        <item h="1" x="14"/>
        <item h="1" x="36"/>
        <item h="1" x="26"/>
        <item h="1" x="35"/>
        <item h="1" x="19"/>
        <item h="1" x="0"/>
        <item h="1" x="1"/>
        <item h="1" x="2"/>
        <item h="1" x="3"/>
        <item h="1" x="15"/>
        <item h="1" x="16"/>
        <item h="1" x="17"/>
        <item h="1" x="18"/>
        <item h="1" x="20"/>
        <item h="1" x="13"/>
        <item h="1" x="12"/>
        <item h="1" x="23"/>
        <item h="1" x="25"/>
        <item h="1" x="38"/>
        <item h="1" x="41"/>
        <item h="1" x="33"/>
        <item h="1" x="39"/>
        <item h="1" x="40"/>
        <item h="1" x="42"/>
        <item m="1" x="43"/>
      </items>
    </pivotField>
    <pivotField axis="axisRow" compact="0" outline="0" showAll="0">
      <items count="45">
        <item m="1" x="4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compact="0" outline="0" showAll="0"/>
    <pivotField compact="0" outline="0" showAll="0"/>
    <pivotField compact="0" outline="0" showAll="0"/>
    <pivotField compact="0" outline="0" showAll="0"/>
    <pivotField dataField="1" compact="0" outline="0" showAll="0"/>
    <pivotField compact="0" outline="0" showAll="0"/>
  </pivotFields>
  <rowFields count="2">
    <field x="3"/>
    <field x="4"/>
  </rowFields>
  <rowItems count="5">
    <i>
      <x v="6"/>
      <x v="12"/>
    </i>
    <i>
      <x v="7"/>
      <x v="11"/>
    </i>
    <i>
      <x v="8"/>
      <x v="10"/>
    </i>
    <i>
      <x v="9"/>
      <x v="9"/>
    </i>
    <i t="grand">
      <x/>
    </i>
  </rowItems>
  <colFields count="1">
    <field x="0"/>
  </colFields>
  <colItems count="12">
    <i>
      <x v="1"/>
    </i>
    <i>
      <x v="13"/>
    </i>
    <i>
      <x v="25"/>
    </i>
    <i>
      <x v="35"/>
    </i>
    <i>
      <x v="45"/>
    </i>
    <i>
      <x v="56"/>
    </i>
    <i>
      <x v="66"/>
    </i>
    <i>
      <x v="79"/>
    </i>
    <i>
      <x v="89"/>
    </i>
    <i>
      <x v="101"/>
    </i>
    <i>
      <x v="111"/>
    </i>
    <i>
      <x v="120"/>
    </i>
  </colItems>
  <dataFields count="1">
    <dataField name="Sum of Total" fld="9" baseField="0" baseItem="0" numFmtId="43"/>
  </dataFields>
  <formats count="17">
    <format dxfId="124">
      <pivotArea dataOnly="0" labelOnly="1" outline="0" fieldPosition="0">
        <references count="1">
          <reference field="0" count="12">
            <x v="1"/>
            <x v="13"/>
            <x v="25"/>
            <x v="35"/>
            <x v="45"/>
            <x v="56"/>
            <x v="66"/>
            <x v="79"/>
            <x v="89"/>
            <x v="101"/>
            <x v="111"/>
            <x v="120"/>
          </reference>
        </references>
      </pivotArea>
    </format>
    <format dxfId="99">
      <pivotArea type="all" dataOnly="0" outline="0" fieldPosition="0"/>
    </format>
    <format dxfId="98">
      <pivotArea outline="0" fieldPosition="0"/>
    </format>
    <format dxfId="97">
      <pivotArea type="origin" dataOnly="0" labelOnly="1" outline="0" fieldPosition="0"/>
    </format>
    <format dxfId="96">
      <pivotArea field="0" type="button" dataOnly="0" labelOnly="1" outline="0" axis="axisCol" fieldPosition="0"/>
    </format>
    <format dxfId="95">
      <pivotArea type="topRight" dataOnly="0" labelOnly="1" outline="0" fieldPosition="0"/>
    </format>
    <format dxfId="94">
      <pivotArea field="3" type="button" dataOnly="0" labelOnly="1" outline="0" axis="axisRow" fieldPosition="0"/>
    </format>
    <format dxfId="93">
      <pivotArea field="4" type="button" dataOnly="0" labelOnly="1" outline="0" axis="axisRow" fieldPosition="1"/>
    </format>
    <format dxfId="92">
      <pivotArea dataOnly="0" labelOnly="1" outline="0" fieldPosition="0">
        <references count="1">
          <reference field="3" count="0"/>
        </references>
      </pivotArea>
    </format>
    <format dxfId="91">
      <pivotArea dataOnly="0" labelOnly="1" grandRow="1" outline="0" fieldPosition="0"/>
    </format>
    <format dxfId="90">
      <pivotArea dataOnly="0" labelOnly="1" outline="0" fieldPosition="0">
        <references count="2">
          <reference field="3" count="1" selected="0">
            <x v="6"/>
          </reference>
          <reference field="4" count="1">
            <x v="12"/>
          </reference>
        </references>
      </pivotArea>
    </format>
    <format dxfId="89">
      <pivotArea dataOnly="0" labelOnly="1" outline="0" fieldPosition="0">
        <references count="2">
          <reference field="3" count="1" selected="0">
            <x v="7"/>
          </reference>
          <reference field="4" count="1">
            <x v="11"/>
          </reference>
        </references>
      </pivotArea>
    </format>
    <format dxfId="88">
      <pivotArea dataOnly="0" labelOnly="1" outline="0" fieldPosition="0">
        <references count="2">
          <reference field="3" count="1" selected="0">
            <x v="8"/>
          </reference>
          <reference field="4" count="1">
            <x v="10"/>
          </reference>
        </references>
      </pivotArea>
    </format>
    <format dxfId="87">
      <pivotArea dataOnly="0" labelOnly="1" outline="0" fieldPosition="0">
        <references count="2">
          <reference field="3" count="1" selected="0">
            <x v="9"/>
          </reference>
          <reference field="4" count="1">
            <x v="9"/>
          </reference>
        </references>
      </pivotArea>
    </format>
    <format dxfId="86">
      <pivotArea dataOnly="0" labelOnly="1" outline="0" fieldPosition="0">
        <references count="1">
          <reference field="0" count="12">
            <x v="1"/>
            <x v="13"/>
            <x v="25"/>
            <x v="35"/>
            <x v="45"/>
            <x v="56"/>
            <x v="66"/>
            <x v="79"/>
            <x v="89"/>
            <x v="101"/>
            <x v="111"/>
            <x v="120"/>
          </reference>
        </references>
      </pivotArea>
    </format>
    <format dxfId="11">
      <pivotArea dataOnly="0" labelOnly="1" outline="0" fieldPosition="0">
        <references count="1">
          <reference field="0" count="12">
            <x v="1"/>
            <x v="13"/>
            <x v="25"/>
            <x v="35"/>
            <x v="45"/>
            <x v="56"/>
            <x v="66"/>
            <x v="79"/>
            <x v="89"/>
            <x v="101"/>
            <x v="111"/>
            <x v="120"/>
          </reference>
        </references>
      </pivotArea>
    </format>
    <format dxfId="10">
      <pivotArea dataOnly="0" labelOnly="1" outline="0" fieldPosition="0">
        <references count="1">
          <reference field="0" count="0"/>
        </references>
      </pivotArea>
    </format>
  </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6" cacheId="92" applyNumberFormats="0" applyBorderFormats="0" applyFontFormats="0" applyPatternFormats="0" applyAlignmentFormats="0" applyWidthHeightFormats="0" dataCaption="Values" updatedVersion="8" colGrandTotals="0" itemPrintTitles="1" indent="0" compact="0" compactData="0" multipleFieldFilters="0">
  <location ref="B33:O37" firstHeaderRow="1" firstDataRow="2" firstDataCol="2"/>
  <pivotFields count="11">
    <pivotField axis="axisCol" compact="0" outline="0" showAll="0">
      <items count="131">
        <item x="1"/>
        <item x="128"/>
        <item x="129"/>
        <item x="14"/>
        <item x="124"/>
        <item x="15"/>
        <item x="126"/>
        <item x="127"/>
        <item x="16"/>
        <item x="123"/>
        <item x="2"/>
        <item x="122"/>
        <item x="18"/>
        <item x="120"/>
        <item x="121"/>
        <item x="20"/>
        <item x="22"/>
        <item x="117"/>
        <item x="19"/>
        <item x="118"/>
        <item x="3"/>
        <item x="116"/>
        <item x="23"/>
        <item x="24"/>
        <item x="115"/>
        <item x="68"/>
        <item x="26"/>
        <item x="113"/>
        <item x="4"/>
        <item x="112"/>
        <item x="27"/>
        <item x="109"/>
        <item x="28"/>
        <item x="110"/>
        <item x="29"/>
        <item x="111"/>
        <item x="108"/>
        <item x="5"/>
        <item x="107"/>
        <item x="31"/>
        <item x="34"/>
        <item x="32"/>
        <item x="105"/>
        <item x="33"/>
        <item x="106"/>
        <item x="103"/>
        <item x="6"/>
        <item x="102"/>
        <item x="36"/>
        <item x="37"/>
        <item x="99"/>
        <item x="100"/>
        <item x="101"/>
        <item x="38"/>
        <item x="7"/>
        <item x="96"/>
        <item x="97"/>
        <item x="40"/>
        <item x="43"/>
        <item x="44"/>
        <item x="41"/>
        <item x="94"/>
        <item x="92"/>
        <item x="42"/>
        <item x="95"/>
        <item x="93"/>
        <item x="8"/>
        <item x="91"/>
        <item x="46"/>
        <item x="90"/>
        <item x="89"/>
        <item x="47"/>
        <item x="87"/>
        <item x="9"/>
        <item x="86"/>
        <item x="49"/>
        <item x="50"/>
        <item x="83"/>
        <item x="51"/>
        <item x="85"/>
        <item x="84"/>
        <item x="53"/>
        <item x="81"/>
        <item x="10"/>
        <item x="80"/>
        <item x="54"/>
        <item x="56"/>
        <item x="55"/>
        <item x="79"/>
        <item x="57"/>
        <item x="58"/>
        <item x="77"/>
        <item x="11"/>
        <item x="76"/>
        <item x="59"/>
        <item x="74"/>
        <item x="60"/>
        <item x="62"/>
        <item x="75"/>
        <item x="12"/>
        <item x="73"/>
        <item x="63"/>
        <item x="69"/>
        <item x="72"/>
        <item x="64"/>
        <item x="66"/>
        <item x="70"/>
        <item x="0"/>
        <item x="67"/>
        <item x="71"/>
        <item x="65"/>
        <item x="61"/>
        <item x="78"/>
        <item x="82"/>
        <item x="52"/>
        <item x="88"/>
        <item x="48"/>
        <item x="45"/>
        <item x="98"/>
        <item x="39"/>
        <item x="104"/>
        <item x="35"/>
        <item x="30"/>
        <item x="114"/>
        <item x="25"/>
        <item x="119"/>
        <item x="21"/>
        <item x="125"/>
        <item x="17"/>
        <item x="13"/>
        <item t="default"/>
      </items>
    </pivotField>
    <pivotField compact="0" outline="0" showAll="0"/>
    <pivotField compact="0" outline="0" showAll="0"/>
    <pivotField axis="axisRow" compact="0" outline="0" showAll="0" defaultSubtotal="0">
      <items count="44">
        <item h="1" x="6"/>
        <item h="1" x="4"/>
        <item h="1" x="7"/>
        <item h="1" x="5"/>
        <item h="1" x="24"/>
        <item h="1" x="30"/>
        <item h="1" x="11"/>
        <item h="1" x="10"/>
        <item h="1" x="9"/>
        <item h="1" x="8"/>
        <item h="1" x="34"/>
        <item x="37"/>
        <item x="29"/>
        <item h="1" x="22"/>
        <item h="1" x="28"/>
        <item h="1" x="32"/>
        <item h="1" x="27"/>
        <item h="1" x="31"/>
        <item h="1" x="21"/>
        <item h="1" x="14"/>
        <item h="1" x="36"/>
        <item h="1" x="26"/>
        <item h="1" x="35"/>
        <item h="1" x="19"/>
        <item h="1" x="0"/>
        <item h="1" x="1"/>
        <item h="1" x="2"/>
        <item h="1" x="3"/>
        <item h="1" x="15"/>
        <item h="1" x="16"/>
        <item h="1" x="17"/>
        <item h="1" x="18"/>
        <item h="1" x="20"/>
        <item h="1" x="13"/>
        <item h="1" x="12"/>
        <item h="1" x="23"/>
        <item h="1" x="25"/>
        <item h="1" x="38"/>
        <item h="1" x="41"/>
        <item h="1" x="33"/>
        <item h="1" x="39"/>
        <item h="1" x="40"/>
        <item h="1" x="42"/>
        <item m="1" x="43"/>
      </items>
    </pivotField>
    <pivotField axis="axisRow" compact="0" outline="0" showAll="0">
      <items count="45">
        <item m="1" x="4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compact="0" outline="0" showAll="0"/>
    <pivotField compact="0" outline="0" showAll="0"/>
    <pivotField compact="0" outline="0" showAll="0"/>
    <pivotField compact="0" outline="0" showAll="0"/>
    <pivotField dataField="1" compact="0" outline="0" showAll="0"/>
    <pivotField compact="0" outline="0" showAll="0"/>
  </pivotFields>
  <rowFields count="2">
    <field x="3"/>
    <field x="4"/>
  </rowFields>
  <rowItems count="3">
    <i>
      <x v="11"/>
      <x v="38"/>
    </i>
    <i>
      <x v="12"/>
      <x v="30"/>
    </i>
    <i t="grand">
      <x/>
    </i>
  </rowItems>
  <colFields count="1">
    <field x="0"/>
  </colFields>
  <colItems count="12">
    <i>
      <x/>
    </i>
    <i>
      <x v="10"/>
    </i>
    <i>
      <x v="20"/>
    </i>
    <i>
      <x v="28"/>
    </i>
    <i>
      <x v="37"/>
    </i>
    <i>
      <x v="46"/>
    </i>
    <i>
      <x v="54"/>
    </i>
    <i>
      <x v="66"/>
    </i>
    <i>
      <x v="73"/>
    </i>
    <i>
      <x v="83"/>
    </i>
    <i>
      <x v="92"/>
    </i>
    <i>
      <x v="99"/>
    </i>
  </colItems>
  <dataFields count="1">
    <dataField name="Sum of Total" fld="9" baseField="0" baseItem="0" numFmtId="43"/>
  </dataFields>
  <formats count="13">
    <format dxfId="123">
      <pivotArea dataOnly="0" labelOnly="1" outline="0" fieldPosition="0">
        <references count="1">
          <reference field="0" count="12">
            <x v="0"/>
            <x v="10"/>
            <x v="20"/>
            <x v="28"/>
            <x v="37"/>
            <x v="46"/>
            <x v="54"/>
            <x v="66"/>
            <x v="73"/>
            <x v="83"/>
            <x v="92"/>
            <x v="99"/>
          </reference>
        </references>
      </pivotArea>
    </format>
    <format dxfId="85">
      <pivotArea type="all" dataOnly="0" outline="0" fieldPosition="0"/>
    </format>
    <format dxfId="84">
      <pivotArea outline="0" fieldPosition="0"/>
    </format>
    <format dxfId="83">
      <pivotArea type="origin" dataOnly="0" labelOnly="1" outline="0" fieldPosition="0"/>
    </format>
    <format dxfId="82">
      <pivotArea field="0" type="button" dataOnly="0" labelOnly="1" outline="0" axis="axisCol" fieldPosition="0"/>
    </format>
    <format dxfId="81">
      <pivotArea type="topRight" dataOnly="0" labelOnly="1" outline="0" fieldPosition="0"/>
    </format>
    <format dxfId="80">
      <pivotArea field="3" type="button" dataOnly="0" labelOnly="1" outline="0" axis="axisRow" fieldPosition="0"/>
    </format>
    <format dxfId="79">
      <pivotArea field="4" type="button" dataOnly="0" labelOnly="1" outline="0" axis="axisRow" fieldPosition="1"/>
    </format>
    <format dxfId="78">
      <pivotArea dataOnly="0" labelOnly="1" outline="0" fieldPosition="0">
        <references count="1">
          <reference field="3" count="0"/>
        </references>
      </pivotArea>
    </format>
    <format dxfId="77">
      <pivotArea dataOnly="0" labelOnly="1" grandRow="1" outline="0" fieldPosition="0"/>
    </format>
    <format dxfId="76">
      <pivotArea dataOnly="0" labelOnly="1" outline="0" fieldPosition="0">
        <references count="2">
          <reference field="3" count="1" selected="0">
            <x v="11"/>
          </reference>
          <reference field="4" count="1">
            <x v="38"/>
          </reference>
        </references>
      </pivotArea>
    </format>
    <format dxfId="75">
      <pivotArea dataOnly="0" labelOnly="1" outline="0" fieldPosition="0">
        <references count="2">
          <reference field="3" count="1" selected="0">
            <x v="12"/>
          </reference>
          <reference field="4" count="1">
            <x v="30"/>
          </reference>
        </references>
      </pivotArea>
    </format>
    <format dxfId="74">
      <pivotArea dataOnly="0" labelOnly="1" outline="0" fieldPosition="0">
        <references count="1">
          <reference field="0" count="12">
            <x v="0"/>
            <x v="10"/>
            <x v="20"/>
            <x v="28"/>
            <x v="37"/>
            <x v="46"/>
            <x v="54"/>
            <x v="66"/>
            <x v="73"/>
            <x v="83"/>
            <x v="92"/>
            <x v="99"/>
          </reference>
        </references>
      </pivotArea>
    </format>
  </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994E324-B531-534C-ACE3-2CDB9A6C9009}" name="PivotTable8" cacheId="92" applyNumberFormats="0" applyBorderFormats="0" applyFontFormats="0" applyPatternFormats="0" applyAlignmentFormats="0" applyWidthHeightFormats="0" dataCaption="Values" updatedVersion="8" rowGrandTotals="0" colGrandTotals="0" itemPrintTitles="1" indent="0" compact="0" compactData="0" multipleFieldFilters="0">
  <location ref="B7:O9" firstHeaderRow="1" firstDataRow="2" firstDataCol="2"/>
  <pivotFields count="11">
    <pivotField axis="axisCol" compact="0" outline="0" showAll="0">
      <items count="131">
        <item x="13"/>
        <item x="1"/>
        <item x="128"/>
        <item x="129"/>
        <item x="14"/>
        <item x="124"/>
        <item x="15"/>
        <item x="126"/>
        <item x="127"/>
        <item x="125"/>
        <item x="17"/>
        <item x="16"/>
        <item x="123"/>
        <item x="2"/>
        <item x="122"/>
        <item x="18"/>
        <item x="120"/>
        <item x="121"/>
        <item x="20"/>
        <item x="119"/>
        <item x="21"/>
        <item x="22"/>
        <item x="117"/>
        <item x="19"/>
        <item x="118"/>
        <item x="3"/>
        <item x="116"/>
        <item x="23"/>
        <item x="24"/>
        <item x="115"/>
        <item x="68"/>
        <item x="114"/>
        <item x="25"/>
        <item x="26"/>
        <item x="113"/>
        <item x="4"/>
        <item x="112"/>
        <item x="27"/>
        <item x="109"/>
        <item x="28"/>
        <item x="110"/>
        <item x="29"/>
        <item x="30"/>
        <item x="111"/>
        <item x="108"/>
        <item x="5"/>
        <item x="107"/>
        <item x="31"/>
        <item x="34"/>
        <item x="32"/>
        <item x="105"/>
        <item x="33"/>
        <item x="104"/>
        <item x="35"/>
        <item x="106"/>
        <item x="103"/>
        <item x="6"/>
        <item x="102"/>
        <item x="36"/>
        <item x="37"/>
        <item x="99"/>
        <item x="98"/>
        <item x="39"/>
        <item x="100"/>
        <item x="101"/>
        <item x="38"/>
        <item x="7"/>
        <item x="96"/>
        <item x="97"/>
        <item x="40"/>
        <item x="43"/>
        <item x="44"/>
        <item x="41"/>
        <item x="94"/>
        <item x="92"/>
        <item x="42"/>
        <item x="45"/>
        <item x="95"/>
        <item x="93"/>
        <item x="8"/>
        <item x="91"/>
        <item x="46"/>
        <item x="90"/>
        <item x="67"/>
        <item x="89"/>
        <item x="88"/>
        <item x="48"/>
        <item x="47"/>
        <item x="87"/>
        <item x="9"/>
        <item x="86"/>
        <item x="49"/>
        <item x="50"/>
        <item x="83"/>
        <item x="51"/>
        <item x="85"/>
        <item x="82"/>
        <item x="52"/>
        <item x="84"/>
        <item x="53"/>
        <item x="81"/>
        <item x="10"/>
        <item x="80"/>
        <item x="54"/>
        <item x="56"/>
        <item x="55"/>
        <item x="79"/>
        <item x="78"/>
        <item x="57"/>
        <item x="58"/>
        <item x="77"/>
        <item x="11"/>
        <item x="76"/>
        <item x="59"/>
        <item x="74"/>
        <item x="60"/>
        <item x="62"/>
        <item x="61"/>
        <item x="0"/>
        <item x="75"/>
        <item x="12"/>
        <item x="73"/>
        <item x="63"/>
        <item x="69"/>
        <item x="72"/>
        <item x="64"/>
        <item x="71"/>
        <item x="65"/>
        <item x="66"/>
        <item x="70"/>
        <item t="default"/>
      </items>
    </pivotField>
    <pivotField compact="0" outline="0" showAll="0"/>
    <pivotField compact="0" outline="0" showAll="0"/>
    <pivotField axis="axisRow" compact="0" outline="0" showAll="0" defaultSubtotal="0">
      <items count="44">
        <item h="1" x="6"/>
        <item h="1" x="4"/>
        <item h="1" x="7"/>
        <item h="1" x="5"/>
        <item h="1" x="24"/>
        <item h="1" x="30"/>
        <item x="11"/>
        <item h="1" x="10"/>
        <item h="1" x="9"/>
        <item h="1" x="8"/>
        <item h="1" x="34"/>
        <item h="1" x="37"/>
        <item h="1" x="29"/>
        <item h="1" x="22"/>
        <item h="1" x="28"/>
        <item h="1" x="32"/>
        <item h="1" x="27"/>
        <item h="1" x="31"/>
        <item h="1" x="21"/>
        <item h="1" x="14"/>
        <item h="1" x="36"/>
        <item h="1" x="26"/>
        <item h="1" x="35"/>
        <item h="1" x="19"/>
        <item h="1" x="0"/>
        <item h="1" x="1"/>
        <item h="1" x="2"/>
        <item h="1" x="3"/>
        <item h="1" x="15"/>
        <item h="1" x="16"/>
        <item h="1" x="17"/>
        <item h="1" x="18"/>
        <item h="1" x="20"/>
        <item h="1" x="13"/>
        <item h="1" x="12"/>
        <item h="1" x="23"/>
        <item h="1" x="25"/>
        <item h="1" x="38"/>
        <item h="1" x="41"/>
        <item h="1" x="33"/>
        <item h="1" x="39"/>
        <item h="1" x="40"/>
        <item h="1" x="42"/>
        <item m="1" x="43"/>
      </items>
    </pivotField>
    <pivotField axis="axisRow" compact="0" outline="0" showAll="0">
      <items count="45">
        <item m="1" x="4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compact="0" outline="0" showAll="0"/>
    <pivotField compact="0" outline="0" showAll="0"/>
    <pivotField compact="0" outline="0" showAll="0"/>
    <pivotField compact="0" outline="0" showAll="0"/>
    <pivotField dataField="1" compact="0" outline="0" showAll="0"/>
    <pivotField compact="0" outline="0" showAll="0"/>
  </pivotFields>
  <rowFields count="2">
    <field x="3"/>
    <field x="4"/>
  </rowFields>
  <rowItems count="1">
    <i>
      <x v="6"/>
      <x v="12"/>
    </i>
  </rowItems>
  <colFields count="1">
    <field x="0"/>
  </colFields>
  <colItems count="12">
    <i>
      <x v="1"/>
    </i>
    <i>
      <x v="13"/>
    </i>
    <i>
      <x v="25"/>
    </i>
    <i>
      <x v="35"/>
    </i>
    <i>
      <x v="45"/>
    </i>
    <i>
      <x v="56"/>
    </i>
    <i>
      <x v="66"/>
    </i>
    <i>
      <x v="79"/>
    </i>
    <i>
      <x v="89"/>
    </i>
    <i>
      <x v="101"/>
    </i>
    <i>
      <x v="111"/>
    </i>
    <i>
      <x v="120"/>
    </i>
  </colItems>
  <dataFields count="1">
    <dataField name="Sum of Total" fld="9" baseField="0" baseItem="0" numFmtId="180"/>
  </dataFields>
  <formats count="20">
    <format dxfId="122">
      <pivotArea dataOnly="0" labelOnly="1" outline="0" fieldPosition="0">
        <references count="1">
          <reference field="0" count="12">
            <x v="1"/>
            <x v="13"/>
            <x v="25"/>
            <x v="35"/>
            <x v="45"/>
            <x v="56"/>
            <x v="66"/>
            <x v="79"/>
            <x v="89"/>
            <x v="101"/>
            <x v="111"/>
            <x v="120"/>
          </reference>
        </references>
      </pivotArea>
    </format>
    <format dxfId="119">
      <pivotArea field="3" type="button" dataOnly="0" labelOnly="1" outline="0" axis="axisRow" fieldPosition="0"/>
    </format>
    <format dxfId="118">
      <pivotArea field="4" type="button" dataOnly="0" labelOnly="1" outline="0" axis="axisRow" fieldPosition="1"/>
    </format>
    <format dxfId="117">
      <pivotArea field="3" type="button" dataOnly="0" labelOnly="1" outline="0" axis="axisRow" fieldPosition="0"/>
    </format>
    <format dxfId="116">
      <pivotArea field="4" type="button" dataOnly="0" labelOnly="1" outline="0" axis="axisRow" fieldPosition="1"/>
    </format>
    <format dxfId="115">
      <pivotArea outline="0" fieldPosition="0"/>
    </format>
    <format dxfId="114">
      <pivotArea outline="0" fieldPosition="0"/>
    </format>
    <format dxfId="64">
      <pivotArea type="all" dataOnly="0" outline="0" fieldPosition="0"/>
    </format>
    <format dxfId="63">
      <pivotArea outline="0" fieldPosition="0"/>
    </format>
    <format dxfId="62">
      <pivotArea type="origin" dataOnly="0" labelOnly="1" outline="0" fieldPosition="0"/>
    </format>
    <format dxfId="61">
      <pivotArea field="0" type="button" dataOnly="0" labelOnly="1" outline="0" axis="axisCol" fieldPosition="0"/>
    </format>
    <format dxfId="60">
      <pivotArea type="topRight" dataOnly="0" labelOnly="1" outline="0" fieldPosition="0"/>
    </format>
    <format dxfId="59">
      <pivotArea field="3" type="button" dataOnly="0" labelOnly="1" outline="0" axis="axisRow" fieldPosition="0"/>
    </format>
    <format dxfId="58">
      <pivotArea field="4" type="button" dataOnly="0" labelOnly="1" outline="0" axis="axisRow" fieldPosition="1"/>
    </format>
    <format dxfId="57">
      <pivotArea dataOnly="0" labelOnly="1" outline="0" fieldPosition="0">
        <references count="1">
          <reference field="3" count="0"/>
        </references>
      </pivotArea>
    </format>
    <format dxfId="56">
      <pivotArea dataOnly="0" labelOnly="1" outline="0" fieldPosition="0">
        <references count="2">
          <reference field="3" count="0" selected="0"/>
          <reference field="4" count="1">
            <x v="12"/>
          </reference>
        </references>
      </pivotArea>
    </format>
    <format dxfId="55">
      <pivotArea dataOnly="0" labelOnly="1" outline="0" fieldPosition="0">
        <references count="1">
          <reference field="0" count="12">
            <x v="1"/>
            <x v="13"/>
            <x v="25"/>
            <x v="35"/>
            <x v="45"/>
            <x v="56"/>
            <x v="66"/>
            <x v="79"/>
            <x v="89"/>
            <x v="101"/>
            <x v="111"/>
            <x v="120"/>
          </reference>
        </references>
      </pivotArea>
    </format>
    <format dxfId="9">
      <pivotArea dataOnly="0" labelOnly="1" outline="0" fieldPosition="0">
        <references count="1">
          <reference field="0" count="12">
            <x v="1"/>
            <x v="13"/>
            <x v="25"/>
            <x v="35"/>
            <x v="45"/>
            <x v="56"/>
            <x v="66"/>
            <x v="79"/>
            <x v="89"/>
            <x v="101"/>
            <x v="111"/>
            <x v="120"/>
          </reference>
        </references>
      </pivotArea>
    </format>
    <format dxfId="8">
      <pivotArea field="3" type="button" dataOnly="0" labelOnly="1" outline="0" axis="axisRow" fieldPosition="0"/>
    </format>
    <format dxfId="7">
      <pivotArea field="4" type="button" dataOnly="0" labelOnly="1" outline="0" axis="axisRow" fieldPosition="1"/>
    </format>
  </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49D64B7-2EB8-F446-8B22-BDAF87693FAC}" name="PivotTable9" cacheId="98"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gridDropZones="1" multipleFieldFilters="0">
  <location ref="B16:O49" firstHeaderRow="1" firstDataRow="3" firstDataCol="2"/>
  <pivotFields count="10">
    <pivotField axis="axisCol" compact="0" numFmtId="164" outline="0" showAll="0">
      <items count="13">
        <item x="0"/>
        <item x="1"/>
        <item x="2"/>
        <item x="3"/>
        <item x="4"/>
        <item x="5"/>
        <item x="6"/>
        <item x="7"/>
        <item x="8"/>
        <item x="9"/>
        <item x="10"/>
        <item x="11"/>
        <item t="default"/>
      </items>
    </pivotField>
    <pivotField axis="axisRow" compact="0" outline="0" showAll="0" defaultSubtotal="0">
      <items count="30">
        <item x="0"/>
        <item x="1"/>
        <item x="2"/>
        <item x="3"/>
        <item x="4"/>
        <item x="5"/>
        <item x="6"/>
        <item x="7"/>
        <item x="8"/>
        <item x="9"/>
        <item x="10"/>
        <item x="11"/>
        <item x="12"/>
        <item x="13"/>
        <item x="14"/>
        <item x="15"/>
        <item x="16"/>
        <item x="17"/>
        <item x="18"/>
        <item x="19"/>
        <item x="20"/>
        <item x="21"/>
        <item x="22"/>
        <item x="23"/>
        <item x="24"/>
        <item x="26"/>
        <item x="27"/>
        <item x="25"/>
        <item x="28"/>
        <item x="29"/>
      </items>
    </pivotField>
    <pivotField axis="axisRow" compact="0" outline="0" showAll="0">
      <items count="31">
        <item x="19"/>
        <item x="14"/>
        <item x="0"/>
        <item x="3"/>
        <item x="17"/>
        <item x="10"/>
        <item x="8"/>
        <item x="24"/>
        <item x="26"/>
        <item x="13"/>
        <item x="6"/>
        <item x="12"/>
        <item x="5"/>
        <item x="15"/>
        <item x="25"/>
        <item x="7"/>
        <item x="16"/>
        <item x="23"/>
        <item x="29"/>
        <item x="11"/>
        <item x="28"/>
        <item x="27"/>
        <item x="20"/>
        <item x="1"/>
        <item x="9"/>
        <item x="21"/>
        <item x="18"/>
        <item x="4"/>
        <item x="2"/>
        <item x="22"/>
        <item t="default"/>
      </items>
    </pivotField>
    <pivotField compact="0" outline="0" showAll="0"/>
    <pivotField compact="0" outline="0" showAll="0"/>
    <pivotField compact="0" outline="0" showAll="0"/>
    <pivotField dataField="1" compact="0" numFmtId="2" outline="0" showAll="0"/>
    <pivotField compact="0" outline="0" showAll="0" defaultSubtotal="0">
      <items count="14">
        <item sd="0" x="0"/>
        <item sd="0" x="1"/>
        <item sd="0" x="2"/>
        <item sd="0" x="3"/>
        <item sd="0" x="4"/>
        <item sd="0" x="5"/>
        <item sd="0" x="6"/>
        <item sd="0" x="7"/>
        <item sd="0" x="8"/>
        <item sd="0" x="9"/>
        <item sd="0" x="10"/>
        <item sd="0" x="11"/>
        <item sd="0" x="12"/>
        <item sd="0" x="13"/>
      </items>
    </pivotField>
    <pivotField compact="0" outline="0" showAll="0">
      <items count="7">
        <item sd="0" x="0"/>
        <item sd="0" x="1"/>
        <item sd="0" x="2"/>
        <item sd="0" x="3"/>
        <item sd="0" x="4"/>
        <item sd="0" x="5"/>
        <item t="default"/>
      </items>
    </pivotField>
    <pivotField axis="axisCol" compact="0" outline="0" showAll="0" defaultSubtotal="0">
      <items count="4">
        <item sd="0" x="0"/>
        <item x="1"/>
        <item x="2"/>
        <item sd="0" x="3"/>
      </items>
    </pivotField>
  </pivotFields>
  <rowFields count="2">
    <field x="1"/>
    <field x="2"/>
  </rowFields>
  <rowItems count="31">
    <i>
      <x/>
      <x v="2"/>
    </i>
    <i>
      <x v="1"/>
      <x v="23"/>
    </i>
    <i>
      <x v="2"/>
      <x v="28"/>
    </i>
    <i>
      <x v="3"/>
      <x v="3"/>
    </i>
    <i>
      <x v="4"/>
      <x v="27"/>
    </i>
    <i>
      <x v="5"/>
      <x v="12"/>
    </i>
    <i>
      <x v="6"/>
      <x v="10"/>
    </i>
    <i>
      <x v="7"/>
      <x v="15"/>
    </i>
    <i>
      <x v="8"/>
      <x v="6"/>
    </i>
    <i>
      <x v="9"/>
      <x v="24"/>
    </i>
    <i>
      <x v="10"/>
      <x v="5"/>
    </i>
    <i>
      <x v="11"/>
      <x v="19"/>
    </i>
    <i>
      <x v="12"/>
      <x v="11"/>
    </i>
    <i>
      <x v="13"/>
      <x v="9"/>
    </i>
    <i>
      <x v="14"/>
      <x v="1"/>
    </i>
    <i>
      <x v="15"/>
      <x v="13"/>
    </i>
    <i>
      <x v="16"/>
      <x v="16"/>
    </i>
    <i>
      <x v="17"/>
      <x v="4"/>
    </i>
    <i>
      <x v="18"/>
      <x v="26"/>
    </i>
    <i>
      <x v="19"/>
      <x/>
    </i>
    <i>
      <x v="20"/>
      <x v="22"/>
    </i>
    <i>
      <x v="21"/>
      <x v="25"/>
    </i>
    <i>
      <x v="22"/>
      <x v="29"/>
    </i>
    <i>
      <x v="23"/>
      <x v="17"/>
    </i>
    <i>
      <x v="24"/>
      <x v="7"/>
    </i>
    <i>
      <x v="25"/>
      <x v="8"/>
    </i>
    <i>
      <x v="26"/>
      <x v="21"/>
    </i>
    <i>
      <x v="27"/>
      <x v="14"/>
    </i>
    <i>
      <x v="28"/>
      <x v="20"/>
    </i>
    <i>
      <x v="29"/>
      <x v="18"/>
    </i>
    <i t="grand">
      <x/>
    </i>
  </rowItems>
  <colFields count="2">
    <field x="9"/>
    <field x="0"/>
  </colFields>
  <colItems count="12">
    <i>
      <x v="1"/>
      <x/>
    </i>
    <i r="1">
      <x v="1"/>
    </i>
    <i r="1">
      <x v="2"/>
    </i>
    <i r="1">
      <x v="3"/>
    </i>
    <i r="1">
      <x v="4"/>
    </i>
    <i r="1">
      <x v="5"/>
    </i>
    <i>
      <x v="2"/>
      <x v="6"/>
    </i>
    <i r="1">
      <x v="7"/>
    </i>
    <i r="1">
      <x v="8"/>
    </i>
    <i r="1">
      <x v="9"/>
    </i>
    <i r="1">
      <x v="10"/>
    </i>
    <i r="1">
      <x v="11"/>
    </i>
  </colItems>
  <dataFields count="1">
    <dataField name="Sum of FTE" fld="6" baseField="0" baseItem="0" numFmtId="2"/>
  </dataFields>
  <formats count="45">
    <format dxfId="121">
      <pivotArea dataOnly="0" labelOnly="1" outline="0" fieldPosition="0">
        <references count="2">
          <reference field="0" count="6">
            <x v="0"/>
            <x v="1"/>
            <x v="2"/>
            <x v="3"/>
            <x v="4"/>
            <x v="5"/>
          </reference>
          <reference field="9" count="1" selected="0">
            <x v="1"/>
          </reference>
        </references>
      </pivotArea>
    </format>
    <format dxfId="120">
      <pivotArea dataOnly="0" labelOnly="1" outline="0" fieldPosition="0">
        <references count="2">
          <reference field="0" count="6">
            <x v="6"/>
            <x v="7"/>
            <x v="8"/>
            <x v="9"/>
            <x v="10"/>
            <x v="11"/>
          </reference>
          <reference field="9" count="1" selected="0">
            <x v="2"/>
          </reference>
        </references>
      </pivotArea>
    </format>
    <format dxfId="54">
      <pivotArea type="all" dataOnly="0" outline="0" fieldPosition="0"/>
    </format>
    <format dxfId="53">
      <pivotArea outline="0" collapsedLevelsAreSubtotals="1" fieldPosition="0"/>
    </format>
    <format dxfId="52">
      <pivotArea type="origin" dataOnly="0" labelOnly="1" outline="0" fieldPosition="0"/>
    </format>
    <format dxfId="51">
      <pivotArea field="9" type="button" dataOnly="0" labelOnly="1" outline="0" axis="axisCol" fieldPosition="0"/>
    </format>
    <format dxfId="50">
      <pivotArea field="0" type="button" dataOnly="0" labelOnly="1" outline="0" axis="axisCol" fieldPosition="1"/>
    </format>
    <format dxfId="49">
      <pivotArea type="topRight" dataOnly="0" labelOnly="1" outline="0" fieldPosition="0"/>
    </format>
    <format dxfId="48">
      <pivotArea field="1" type="button" dataOnly="0" labelOnly="1" outline="0" axis="axisRow" fieldPosition="0"/>
    </format>
    <format dxfId="47">
      <pivotArea field="2" type="button" dataOnly="0" labelOnly="1" outline="0" axis="axisRow" fieldPosition="1"/>
    </format>
    <format dxfId="46">
      <pivotArea dataOnly="0" labelOnly="1" outline="0" fieldPosition="0">
        <references count="1">
          <reference field="1" count="0"/>
        </references>
      </pivotArea>
    </format>
    <format dxfId="45">
      <pivotArea dataOnly="0" labelOnly="1" grandRow="1" outline="0" fieldPosition="0"/>
    </format>
    <format dxfId="44">
      <pivotArea dataOnly="0" labelOnly="1" outline="0" fieldPosition="0">
        <references count="2">
          <reference field="1" count="1" selected="0">
            <x v="0"/>
          </reference>
          <reference field="2" count="1">
            <x v="2"/>
          </reference>
        </references>
      </pivotArea>
    </format>
    <format dxfId="43">
      <pivotArea dataOnly="0" labelOnly="1" outline="0" fieldPosition="0">
        <references count="2">
          <reference field="1" count="1" selected="0">
            <x v="1"/>
          </reference>
          <reference field="2" count="1">
            <x v="23"/>
          </reference>
        </references>
      </pivotArea>
    </format>
    <format dxfId="42">
      <pivotArea dataOnly="0" labelOnly="1" outline="0" fieldPosition="0">
        <references count="2">
          <reference field="1" count="1" selected="0">
            <x v="2"/>
          </reference>
          <reference field="2" count="1">
            <x v="28"/>
          </reference>
        </references>
      </pivotArea>
    </format>
    <format dxfId="41">
      <pivotArea dataOnly="0" labelOnly="1" outline="0" fieldPosition="0">
        <references count="2">
          <reference field="1" count="1" selected="0">
            <x v="3"/>
          </reference>
          <reference field="2" count="1">
            <x v="3"/>
          </reference>
        </references>
      </pivotArea>
    </format>
    <format dxfId="40">
      <pivotArea dataOnly="0" labelOnly="1" outline="0" fieldPosition="0">
        <references count="2">
          <reference field="1" count="1" selected="0">
            <x v="4"/>
          </reference>
          <reference field="2" count="1">
            <x v="27"/>
          </reference>
        </references>
      </pivotArea>
    </format>
    <format dxfId="39">
      <pivotArea dataOnly="0" labelOnly="1" outline="0" fieldPosition="0">
        <references count="2">
          <reference field="1" count="1" selected="0">
            <x v="5"/>
          </reference>
          <reference field="2" count="1">
            <x v="12"/>
          </reference>
        </references>
      </pivotArea>
    </format>
    <format dxfId="38">
      <pivotArea dataOnly="0" labelOnly="1" outline="0" fieldPosition="0">
        <references count="2">
          <reference field="1" count="1" selected="0">
            <x v="6"/>
          </reference>
          <reference field="2" count="1">
            <x v="10"/>
          </reference>
        </references>
      </pivotArea>
    </format>
    <format dxfId="37">
      <pivotArea dataOnly="0" labelOnly="1" outline="0" fieldPosition="0">
        <references count="2">
          <reference field="1" count="1" selected="0">
            <x v="7"/>
          </reference>
          <reference field="2" count="1">
            <x v="15"/>
          </reference>
        </references>
      </pivotArea>
    </format>
    <format dxfId="36">
      <pivotArea dataOnly="0" labelOnly="1" outline="0" fieldPosition="0">
        <references count="2">
          <reference field="1" count="1" selected="0">
            <x v="8"/>
          </reference>
          <reference field="2" count="1">
            <x v="6"/>
          </reference>
        </references>
      </pivotArea>
    </format>
    <format dxfId="35">
      <pivotArea dataOnly="0" labelOnly="1" outline="0" fieldPosition="0">
        <references count="2">
          <reference field="1" count="1" selected="0">
            <x v="9"/>
          </reference>
          <reference field="2" count="1">
            <x v="24"/>
          </reference>
        </references>
      </pivotArea>
    </format>
    <format dxfId="34">
      <pivotArea dataOnly="0" labelOnly="1" outline="0" fieldPosition="0">
        <references count="2">
          <reference field="1" count="1" selected="0">
            <x v="10"/>
          </reference>
          <reference field="2" count="1">
            <x v="5"/>
          </reference>
        </references>
      </pivotArea>
    </format>
    <format dxfId="33">
      <pivotArea dataOnly="0" labelOnly="1" outline="0" fieldPosition="0">
        <references count="2">
          <reference field="1" count="1" selected="0">
            <x v="11"/>
          </reference>
          <reference field="2" count="1">
            <x v="19"/>
          </reference>
        </references>
      </pivotArea>
    </format>
    <format dxfId="32">
      <pivotArea dataOnly="0" labelOnly="1" outline="0" fieldPosition="0">
        <references count="2">
          <reference field="1" count="1" selected="0">
            <x v="12"/>
          </reference>
          <reference field="2" count="1">
            <x v="11"/>
          </reference>
        </references>
      </pivotArea>
    </format>
    <format dxfId="31">
      <pivotArea dataOnly="0" labelOnly="1" outline="0" fieldPosition="0">
        <references count="2">
          <reference field="1" count="1" selected="0">
            <x v="13"/>
          </reference>
          <reference field="2" count="1">
            <x v="9"/>
          </reference>
        </references>
      </pivotArea>
    </format>
    <format dxfId="30">
      <pivotArea dataOnly="0" labelOnly="1" outline="0" fieldPosition="0">
        <references count="2">
          <reference field="1" count="1" selected="0">
            <x v="14"/>
          </reference>
          <reference field="2" count="1">
            <x v="1"/>
          </reference>
        </references>
      </pivotArea>
    </format>
    <format dxfId="29">
      <pivotArea dataOnly="0" labelOnly="1" outline="0" fieldPosition="0">
        <references count="2">
          <reference field="1" count="1" selected="0">
            <x v="15"/>
          </reference>
          <reference field="2" count="1">
            <x v="13"/>
          </reference>
        </references>
      </pivotArea>
    </format>
    <format dxfId="28">
      <pivotArea dataOnly="0" labelOnly="1" outline="0" fieldPosition="0">
        <references count="2">
          <reference field="1" count="1" selected="0">
            <x v="16"/>
          </reference>
          <reference field="2" count="1">
            <x v="16"/>
          </reference>
        </references>
      </pivotArea>
    </format>
    <format dxfId="27">
      <pivotArea dataOnly="0" labelOnly="1" outline="0" fieldPosition="0">
        <references count="2">
          <reference field="1" count="1" selected="0">
            <x v="17"/>
          </reference>
          <reference field="2" count="1">
            <x v="4"/>
          </reference>
        </references>
      </pivotArea>
    </format>
    <format dxfId="26">
      <pivotArea dataOnly="0" labelOnly="1" outline="0" fieldPosition="0">
        <references count="2">
          <reference field="1" count="1" selected="0">
            <x v="18"/>
          </reference>
          <reference field="2" count="1">
            <x v="26"/>
          </reference>
        </references>
      </pivotArea>
    </format>
    <format dxfId="25">
      <pivotArea dataOnly="0" labelOnly="1" outline="0" fieldPosition="0">
        <references count="2">
          <reference field="1" count="1" selected="0">
            <x v="19"/>
          </reference>
          <reference field="2" count="1">
            <x v="0"/>
          </reference>
        </references>
      </pivotArea>
    </format>
    <format dxfId="24">
      <pivotArea dataOnly="0" labelOnly="1" outline="0" fieldPosition="0">
        <references count="2">
          <reference field="1" count="1" selected="0">
            <x v="20"/>
          </reference>
          <reference field="2" count="1">
            <x v="22"/>
          </reference>
        </references>
      </pivotArea>
    </format>
    <format dxfId="23">
      <pivotArea dataOnly="0" labelOnly="1" outline="0" fieldPosition="0">
        <references count="2">
          <reference field="1" count="1" selected="0">
            <x v="21"/>
          </reference>
          <reference field="2" count="1">
            <x v="25"/>
          </reference>
        </references>
      </pivotArea>
    </format>
    <format dxfId="22">
      <pivotArea dataOnly="0" labelOnly="1" outline="0" fieldPosition="0">
        <references count="2">
          <reference field="1" count="1" selected="0">
            <x v="22"/>
          </reference>
          <reference field="2" count="1">
            <x v="29"/>
          </reference>
        </references>
      </pivotArea>
    </format>
    <format dxfId="21">
      <pivotArea dataOnly="0" labelOnly="1" outline="0" fieldPosition="0">
        <references count="2">
          <reference field="1" count="1" selected="0">
            <x v="23"/>
          </reference>
          <reference field="2" count="1">
            <x v="17"/>
          </reference>
        </references>
      </pivotArea>
    </format>
    <format dxfId="20">
      <pivotArea dataOnly="0" labelOnly="1" outline="0" fieldPosition="0">
        <references count="2">
          <reference field="1" count="1" selected="0">
            <x v="24"/>
          </reference>
          <reference field="2" count="1">
            <x v="7"/>
          </reference>
        </references>
      </pivotArea>
    </format>
    <format dxfId="19">
      <pivotArea dataOnly="0" labelOnly="1" outline="0" fieldPosition="0">
        <references count="2">
          <reference field="1" count="1" selected="0">
            <x v="25"/>
          </reference>
          <reference field="2" count="1">
            <x v="8"/>
          </reference>
        </references>
      </pivotArea>
    </format>
    <format dxfId="18">
      <pivotArea dataOnly="0" labelOnly="1" outline="0" fieldPosition="0">
        <references count="2">
          <reference field="1" count="1" selected="0">
            <x v="26"/>
          </reference>
          <reference field="2" count="1">
            <x v="21"/>
          </reference>
        </references>
      </pivotArea>
    </format>
    <format dxfId="17">
      <pivotArea dataOnly="0" labelOnly="1" outline="0" fieldPosition="0">
        <references count="2">
          <reference field="1" count="1" selected="0">
            <x v="27"/>
          </reference>
          <reference field="2" count="1">
            <x v="14"/>
          </reference>
        </references>
      </pivotArea>
    </format>
    <format dxfId="16">
      <pivotArea dataOnly="0" labelOnly="1" outline="0" fieldPosition="0">
        <references count="2">
          <reference field="1" count="1" selected="0">
            <x v="28"/>
          </reference>
          <reference field="2" count="1">
            <x v="20"/>
          </reference>
        </references>
      </pivotArea>
    </format>
    <format dxfId="15">
      <pivotArea dataOnly="0" labelOnly="1" outline="0" fieldPosition="0">
        <references count="2">
          <reference field="1" count="1" selected="0">
            <x v="29"/>
          </reference>
          <reference field="2" count="1">
            <x v="18"/>
          </reference>
        </references>
      </pivotArea>
    </format>
    <format dxfId="14">
      <pivotArea dataOnly="0" labelOnly="1" outline="0" fieldPosition="0">
        <references count="1">
          <reference field="9" count="2">
            <x v="1"/>
            <x v="2"/>
          </reference>
        </references>
      </pivotArea>
    </format>
    <format dxfId="13">
      <pivotArea dataOnly="0" labelOnly="1" outline="0" fieldPosition="0">
        <references count="2">
          <reference field="0" count="6">
            <x v="0"/>
            <x v="1"/>
            <x v="2"/>
            <x v="3"/>
            <x v="4"/>
            <x v="5"/>
          </reference>
          <reference field="9" count="1" selected="0">
            <x v="1"/>
          </reference>
        </references>
      </pivotArea>
    </format>
    <format dxfId="12">
      <pivotArea dataOnly="0" labelOnly="1" outline="0" fieldPosition="0">
        <references count="2">
          <reference field="0" count="6">
            <x v="6"/>
            <x v="7"/>
            <x v="8"/>
            <x v="9"/>
            <x v="10"/>
            <x v="11"/>
          </reference>
          <reference field="9" count="1" selected="0">
            <x v="2"/>
          </reference>
        </references>
      </pivotArea>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eadcount" displayName="Headcount" ref="A1:G320" totalsRowShown="0" headerRowDxfId="66" dataDxfId="65">
  <autoFilter ref="A1:G320" xr:uid="{00000000-0009-0000-0100-000001000000}"/>
  <tableColumns count="7">
    <tableColumn id="1" xr3:uid="{00000000-0010-0000-0000-000001000000}" name="Month" dataDxfId="73"/>
    <tableColumn id="2" xr3:uid="{00000000-0010-0000-0000-000002000000}" name="Employee ID" dataDxfId="72"/>
    <tableColumn id="3" xr3:uid="{00000000-0010-0000-0000-000003000000}" name="Employee Name" dataDxfId="71"/>
    <tableColumn id="4" xr3:uid="{00000000-0010-0000-0000-000004000000}" name="Cost Center" dataDxfId="70"/>
    <tableColumn id="5" xr3:uid="{00000000-0010-0000-0000-000005000000}" name="CC Name" dataDxfId="69"/>
    <tableColumn id="6" xr3:uid="{00000000-0010-0000-0000-000006000000}" name="CC Type" dataDxfId="68"/>
    <tableColumn id="7" xr3:uid="{00000000-0010-0000-0000-000007000000}" name="FTE" dataDxfId="67"/>
  </tableColumns>
  <tableStyleInfo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Mesh">
  <a:themeElements>
    <a:clrScheme name="Mesh">
      <a:dk1>
        <a:sysClr val="windowText" lastClr="000000"/>
      </a:dk1>
      <a:lt1>
        <a:sysClr val="window" lastClr="FFFFFF"/>
      </a:lt1>
      <a:dk2>
        <a:srgbClr val="363D46"/>
      </a:dk2>
      <a:lt2>
        <a:srgbClr val="EBEBEB"/>
      </a:lt2>
      <a:accent1>
        <a:srgbClr val="6F6F6F"/>
      </a:accent1>
      <a:accent2>
        <a:srgbClr val="BFBFA5"/>
      </a:accent2>
      <a:accent3>
        <a:srgbClr val="DCD084"/>
      </a:accent3>
      <a:accent4>
        <a:srgbClr val="E7BF5F"/>
      </a:accent4>
      <a:accent5>
        <a:srgbClr val="E9A039"/>
      </a:accent5>
      <a:accent6>
        <a:srgbClr val="CF7133"/>
      </a:accent6>
      <a:hlink>
        <a:srgbClr val="F28943"/>
      </a:hlink>
      <a:folHlink>
        <a:srgbClr val="F1B76C"/>
      </a:folHlink>
    </a:clrScheme>
    <a:fontScheme name="Mesh">
      <a:majorFont>
        <a:latin typeface="Century Gothic" panose="020B0502020202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Mesh">
      <a:fillStyleLst>
        <a:solidFill>
          <a:schemeClr val="phClr"/>
        </a:solidFill>
        <a:gradFill rotWithShape="1">
          <a:gsLst>
            <a:gs pos="0">
              <a:schemeClr val="phClr">
                <a:tint val="60000"/>
                <a:lumMod val="110000"/>
              </a:schemeClr>
            </a:gs>
            <a:gs pos="100000">
              <a:schemeClr val="phClr">
                <a:tint val="82000"/>
              </a:schemeClr>
            </a:gs>
          </a:gsLst>
          <a:lin ang="5400000" scaled="0"/>
        </a:gradFill>
        <a:gradFill rotWithShape="1">
          <a:gsLst>
            <a:gs pos="0">
              <a:schemeClr val="phClr">
                <a:tint val="96000"/>
                <a:lumMod val="104000"/>
              </a:schemeClr>
            </a:gs>
            <a:gs pos="100000">
              <a:schemeClr val="phClr">
                <a:shade val="84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innerShdw blurRad="50800" dist="25400" dir="13500000">
              <a:srgbClr val="000000">
                <a:alpha val="55000"/>
              </a:srgbClr>
            </a:innerShdw>
          </a:effectLst>
        </a:effectStyle>
        <a:effectStyle>
          <a:effectLst>
            <a:outerShdw blurRad="50800" dist="38100" dir="5400000" rotWithShape="0">
              <a:srgbClr val="000000">
                <a:alpha val="60000"/>
              </a:srgbClr>
            </a:outerShdw>
          </a:effectLst>
          <a:scene3d>
            <a:camera prst="orthographicFront">
              <a:rot lat="0" lon="0" rev="0"/>
            </a:camera>
            <a:lightRig rig="threePt" dir="tl"/>
          </a:scene3d>
          <a:sp3d>
            <a:bevelT w="25400" h="25400" prst="slope"/>
          </a:sp3d>
        </a:effectStyle>
      </a:effectStyleLst>
      <a:bgFillStyleLst>
        <a:solidFill>
          <a:schemeClr val="phClr"/>
        </a:solidFill>
        <a:gradFill rotWithShape="1">
          <a:gsLst>
            <a:gs pos="0">
              <a:schemeClr val="phClr">
                <a:tint val="90000"/>
                <a:lumMod val="110000"/>
              </a:schemeClr>
            </a:gs>
            <a:gs pos="100000">
              <a:schemeClr val="phClr">
                <a:shade val="64000"/>
                <a:lumMod val="98000"/>
              </a:schemeClr>
            </a:gs>
          </a:gsLst>
          <a:lin ang="5400000" scaled="0"/>
        </a:gradFill>
        <a:blipFill rotWithShape="1">
          <a:blip xmlns:r="http://schemas.openxmlformats.org/officeDocument/2006/relationships" r:embed="rId1">
            <a:duotone>
              <a:schemeClr val="phClr">
                <a:shade val="28000"/>
                <a:satMod val="94000"/>
                <a:lumMod val="20000"/>
              </a:schemeClr>
              <a:schemeClr val="phClr">
                <a:tint val="94000"/>
                <a:shade val="84000"/>
                <a:satMod val="148000"/>
                <a:lumMod val="114000"/>
              </a:schemeClr>
            </a:duotone>
          </a:blip>
          <a:stretch/>
        </a:blipFill>
      </a:bgFillStyleLst>
    </a:fmtScheme>
  </a:themeElements>
  <a:objectDefaults/>
  <a:extraClrSchemeLst/>
  <a:extLst>
    <a:ext uri="{05A4C25C-085E-4340-85A3-A5531E510DB2}">
      <thm15:themeFamily xmlns:thm15="http://schemas.microsoft.com/office/thememl/2012/main" name="Mesh" id="{789EC3FE-34FD-429C-9918-760025E6C145}" vid="{B8BE45C0-8141-4D58-8C71-A009BC26FBBB}"/>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ivotTable" Target="../pivotTables/pivotTable5.xml"/><Relationship Id="rId1" Type="http://schemas.openxmlformats.org/officeDocument/2006/relationships/pivotTable" Target="../pivotTables/pivotTable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79646"/>
  </sheetPr>
  <dimension ref="B2:D24"/>
  <sheetViews>
    <sheetView showGridLines="0" zoomScale="110" zoomScaleNormal="110" workbookViewId="0">
      <pane ySplit="3" topLeftCell="A4" activePane="bottomLeft" state="frozen"/>
      <selection pane="bottomLeft" activeCell="F9" sqref="F9"/>
    </sheetView>
  </sheetViews>
  <sheetFormatPr baseColWidth="10" defaultColWidth="10.6640625" defaultRowHeight="15"/>
  <cols>
    <col min="1" max="1" width="3.5" customWidth="1"/>
    <col min="2" max="2" width="26.1640625" customWidth="1"/>
    <col min="3" max="3" width="67.5" customWidth="1"/>
  </cols>
  <sheetData>
    <row r="2" spans="2:4" ht="28">
      <c r="B2" s="148" t="s">
        <v>786</v>
      </c>
      <c r="C2" s="149"/>
    </row>
    <row r="3" spans="2:4" ht="17">
      <c r="B3" s="167" t="s">
        <v>808</v>
      </c>
      <c r="C3" s="130"/>
    </row>
    <row r="5" spans="2:4" ht="76" customHeight="1">
      <c r="B5" s="170" t="s">
        <v>809</v>
      </c>
      <c r="C5" s="171"/>
    </row>
    <row r="7" spans="2:4" ht="15" customHeight="1">
      <c r="B7" s="142" t="s">
        <v>787</v>
      </c>
      <c r="C7" s="142"/>
    </row>
    <row r="8" spans="2:4" ht="96">
      <c r="B8" s="159" t="s">
        <v>811</v>
      </c>
      <c r="C8" s="150" t="s">
        <v>812</v>
      </c>
    </row>
    <row r="9" spans="2:4" ht="48">
      <c r="B9" s="159" t="s">
        <v>788</v>
      </c>
      <c r="C9" s="150" t="s">
        <v>791</v>
      </c>
      <c r="D9" s="151"/>
    </row>
    <row r="10" spans="2:4" ht="32">
      <c r="B10" s="159" t="s">
        <v>789</v>
      </c>
      <c r="C10" s="150" t="s">
        <v>810</v>
      </c>
    </row>
    <row r="11" spans="2:4" ht="176">
      <c r="B11" s="159" t="s">
        <v>790</v>
      </c>
      <c r="C11" s="150" t="s">
        <v>813</v>
      </c>
    </row>
    <row r="14" spans="2:4">
      <c r="B14" s="142" t="s">
        <v>793</v>
      </c>
      <c r="C14" s="142"/>
    </row>
    <row r="15" spans="2:4" ht="96">
      <c r="B15" s="169" t="s">
        <v>34</v>
      </c>
      <c r="C15" s="150" t="s">
        <v>743</v>
      </c>
    </row>
    <row r="16" spans="2:4" ht="48">
      <c r="B16" s="169" t="s">
        <v>35</v>
      </c>
      <c r="C16" s="150" t="s">
        <v>36</v>
      </c>
    </row>
    <row r="17" spans="2:3" ht="64">
      <c r="B17" s="169" t="s">
        <v>794</v>
      </c>
      <c r="C17" s="150" t="s">
        <v>795</v>
      </c>
    </row>
    <row r="18" spans="2:3" ht="80">
      <c r="B18" s="169" t="s">
        <v>658</v>
      </c>
      <c r="C18" s="150" t="s">
        <v>797</v>
      </c>
    </row>
    <row r="19" spans="2:3" ht="80">
      <c r="B19" s="169" t="s">
        <v>796</v>
      </c>
      <c r="C19" s="150" t="s">
        <v>800</v>
      </c>
    </row>
    <row r="20" spans="2:3" ht="80">
      <c r="B20" s="169" t="s">
        <v>798</v>
      </c>
      <c r="C20" s="150" t="s">
        <v>799</v>
      </c>
    </row>
    <row r="21" spans="2:3" ht="160">
      <c r="B21" s="169" t="s">
        <v>801</v>
      </c>
      <c r="C21" s="150" t="s">
        <v>802</v>
      </c>
    </row>
    <row r="22" spans="2:3" ht="48">
      <c r="B22" s="169" t="s">
        <v>702</v>
      </c>
      <c r="C22" s="150" t="s">
        <v>803</v>
      </c>
    </row>
    <row r="23" spans="2:3" ht="144">
      <c r="B23" s="169" t="s">
        <v>804</v>
      </c>
      <c r="C23" s="150" t="s">
        <v>805</v>
      </c>
    </row>
    <row r="24" spans="2:3" ht="144">
      <c r="B24" s="169" t="s">
        <v>806</v>
      </c>
      <c r="C24" s="150" t="s">
        <v>807</v>
      </c>
    </row>
  </sheetData>
  <mergeCells count="2">
    <mergeCell ref="B5:C5"/>
    <mergeCell ref="B2:C2"/>
  </mergeCells>
  <hyperlinks>
    <hyperlink ref="B16" location="'Variance by Program'!C1" display="Variance Analysis: Program" xr:uid="{00000000-0004-0000-0000-000001000000}"/>
    <hyperlink ref="B17" location="'Cash Flow Forecast'!A1" display="Cash Flow Forecast" xr:uid="{00000000-0004-0000-0000-000002000000}"/>
    <hyperlink ref="B18" location="'Trial Balance'!A1" display="Trial Balance" xr:uid="{00000000-0004-0000-0000-000003000000}"/>
    <hyperlink ref="B15" location="'Variance by Department'!C1" display="Variance Analysis: Department" xr:uid="{00000000-0004-0000-0000-000000000000}"/>
    <hyperlink ref="B19" location="'Insurance Amortization'!A1" display="Insurance Amortization" xr:uid="{48B5BAFB-00FF-1C4E-8EF8-B2B728FA53C1}"/>
    <hyperlink ref="B20" location="'Indirect Pool'!A1" display="Indirect Pool" xr:uid="{BD9C1751-146D-C74B-A52E-9E54FD76F99C}"/>
    <hyperlink ref="B21" location="'Personnel &amp; Rent Allocation'!A1" display="Personnel &amp; Rent Allocation" xr:uid="{1D1C6D02-CFAE-E049-AB2C-7D3D8C3A1E82}"/>
    <hyperlink ref="B22" location="'Salary Information'!A1" display="Salary Information" xr:uid="{3B2D879F-7847-2B4D-BFF1-899391B71D06}"/>
    <hyperlink ref="B23" location="'PTO Accrual'!A1" display="PTO Accrual" xr:uid="{077E7F99-EF19-B547-B4A0-BAD4AAF6C1E7}"/>
    <hyperlink ref="B24" location="'Fixed Asset List'!A1" display="Fixed Asset List and Depreciation Schedule" xr:uid="{A692DAF9-F97B-E048-AB55-A81EDFF6E470}"/>
  </hyperlinks>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4"/>
  <sheetViews>
    <sheetView showGridLines="0" zoomScaleNormal="100" workbookViewId="0">
      <pane ySplit="1" topLeftCell="A2" activePane="bottomLeft" state="frozen"/>
      <selection activeCell="C19" sqref="C19"/>
      <selection pane="bottomLeft" activeCell="C19" sqref="C19"/>
    </sheetView>
  </sheetViews>
  <sheetFormatPr baseColWidth="10" defaultColWidth="8.6640625" defaultRowHeight="15"/>
  <cols>
    <col min="1" max="1" width="16" customWidth="1"/>
    <col min="2" max="2" width="38" customWidth="1"/>
    <col min="3" max="3" width="14" customWidth="1"/>
    <col min="4" max="4" width="18" customWidth="1"/>
    <col min="5" max="5" width="14" customWidth="1"/>
  </cols>
  <sheetData>
    <row r="1" spans="1:5" ht="15" customHeight="1">
      <c r="A1" s="43" t="s">
        <v>26</v>
      </c>
      <c r="B1" s="43" t="s">
        <v>27</v>
      </c>
      <c r="C1" s="43" t="s">
        <v>37</v>
      </c>
      <c r="D1" s="43" t="s">
        <v>38</v>
      </c>
      <c r="E1" s="43" t="s">
        <v>39</v>
      </c>
    </row>
    <row r="2" spans="1:5" ht="15" customHeight="1">
      <c r="A2" s="1" t="s">
        <v>40</v>
      </c>
      <c r="B2" s="2" t="s">
        <v>41</v>
      </c>
      <c r="C2" s="2" t="s">
        <v>42</v>
      </c>
      <c r="D2" s="2" t="s">
        <v>43</v>
      </c>
      <c r="E2" s="2" t="s">
        <v>44</v>
      </c>
    </row>
    <row r="3" spans="1:5" ht="15" customHeight="1">
      <c r="A3" s="1" t="s">
        <v>4</v>
      </c>
      <c r="B3" s="2" t="s">
        <v>45</v>
      </c>
      <c r="C3" s="2" t="s">
        <v>42</v>
      </c>
      <c r="D3" s="2" t="s">
        <v>43</v>
      </c>
      <c r="E3" s="2" t="s">
        <v>44</v>
      </c>
    </row>
    <row r="4" spans="1:5" ht="15" customHeight="1">
      <c r="A4" s="1" t="s">
        <v>46</v>
      </c>
      <c r="B4" s="2" t="s">
        <v>47</v>
      </c>
      <c r="C4" s="2" t="s">
        <v>42</v>
      </c>
      <c r="D4" s="2" t="s">
        <v>43</v>
      </c>
      <c r="E4" s="2" t="s">
        <v>44</v>
      </c>
    </row>
    <row r="5" spans="1:5" ht="15" customHeight="1">
      <c r="A5" s="1" t="s">
        <v>48</v>
      </c>
      <c r="B5" s="2" t="s">
        <v>49</v>
      </c>
      <c r="C5" s="2" t="s">
        <v>42</v>
      </c>
      <c r="D5" s="2" t="s">
        <v>50</v>
      </c>
      <c r="E5" s="2" t="s">
        <v>44</v>
      </c>
    </row>
    <row r="6" spans="1:5" ht="15" customHeight="1">
      <c r="A6" s="1" t="s">
        <v>51</v>
      </c>
      <c r="B6" s="2" t="s">
        <v>52</v>
      </c>
      <c r="C6" s="2" t="s">
        <v>42</v>
      </c>
      <c r="D6" s="2" t="s">
        <v>50</v>
      </c>
      <c r="E6" s="2" t="s">
        <v>44</v>
      </c>
    </row>
    <row r="7" spans="1:5" ht="15" customHeight="1">
      <c r="A7" s="1" t="s">
        <v>53</v>
      </c>
      <c r="B7" s="2" t="s">
        <v>54</v>
      </c>
      <c r="C7" s="2" t="s">
        <v>42</v>
      </c>
      <c r="D7" s="2" t="s">
        <v>50</v>
      </c>
      <c r="E7" s="2" t="s">
        <v>44</v>
      </c>
    </row>
    <row r="8" spans="1:5" ht="15" customHeight="1">
      <c r="A8" s="1" t="s">
        <v>55</v>
      </c>
      <c r="B8" s="2" t="s">
        <v>56</v>
      </c>
      <c r="C8" s="2" t="s">
        <v>42</v>
      </c>
      <c r="D8" s="2" t="s">
        <v>57</v>
      </c>
      <c r="E8" s="2" t="s">
        <v>44</v>
      </c>
    </row>
    <row r="9" spans="1:5" ht="15" customHeight="1">
      <c r="A9" s="1" t="s">
        <v>58</v>
      </c>
      <c r="B9" s="2" t="s">
        <v>59</v>
      </c>
      <c r="C9" s="2" t="s">
        <v>42</v>
      </c>
      <c r="D9" s="2" t="s">
        <v>50</v>
      </c>
      <c r="E9" s="2" t="s">
        <v>60</v>
      </c>
    </row>
    <row r="10" spans="1:5" ht="15" customHeight="1">
      <c r="A10" s="1" t="s">
        <v>61</v>
      </c>
      <c r="B10" s="2" t="s">
        <v>62</v>
      </c>
      <c r="C10" s="2" t="s">
        <v>42</v>
      </c>
      <c r="D10" s="2" t="s">
        <v>57</v>
      </c>
      <c r="E10" s="2" t="s">
        <v>44</v>
      </c>
    </row>
    <row r="11" spans="1:5" ht="15" customHeight="1">
      <c r="A11" s="1" t="s">
        <v>63</v>
      </c>
      <c r="B11" s="2" t="s">
        <v>64</v>
      </c>
      <c r="C11" s="2" t="s">
        <v>65</v>
      </c>
      <c r="D11" s="2" t="s">
        <v>50</v>
      </c>
      <c r="E11" s="2" t="s">
        <v>60</v>
      </c>
    </row>
    <row r="12" spans="1:5" ht="15" customHeight="1">
      <c r="A12" s="1" t="s">
        <v>12</v>
      </c>
      <c r="B12" s="2" t="s">
        <v>66</v>
      </c>
      <c r="C12" s="2" t="s">
        <v>65</v>
      </c>
      <c r="D12" s="2" t="s">
        <v>50</v>
      </c>
      <c r="E12" s="2" t="s">
        <v>60</v>
      </c>
    </row>
    <row r="13" spans="1:5" ht="15" customHeight="1">
      <c r="A13" s="1" t="s">
        <v>14</v>
      </c>
      <c r="B13" s="2" t="s">
        <v>67</v>
      </c>
      <c r="C13" s="2" t="s">
        <v>65</v>
      </c>
      <c r="D13" s="2" t="s">
        <v>50</v>
      </c>
      <c r="E13" s="2" t="s">
        <v>60</v>
      </c>
    </row>
    <row r="14" spans="1:5" ht="15" customHeight="1">
      <c r="A14" s="1" t="s">
        <v>68</v>
      </c>
      <c r="B14" s="2" t="s">
        <v>69</v>
      </c>
      <c r="C14" s="2" t="s">
        <v>65</v>
      </c>
      <c r="D14" s="2" t="s">
        <v>50</v>
      </c>
      <c r="E14" s="2" t="s">
        <v>60</v>
      </c>
    </row>
    <row r="15" spans="1:5" ht="15" customHeight="1">
      <c r="A15" s="1" t="s">
        <v>70</v>
      </c>
      <c r="B15" s="2" t="s">
        <v>71</v>
      </c>
      <c r="C15" s="2" t="s">
        <v>65</v>
      </c>
      <c r="D15" s="2" t="s">
        <v>50</v>
      </c>
      <c r="E15" s="2" t="s">
        <v>60</v>
      </c>
    </row>
    <row r="16" spans="1:5" ht="15" customHeight="1">
      <c r="A16" s="1" t="s">
        <v>72</v>
      </c>
      <c r="B16" s="2" t="s">
        <v>73</v>
      </c>
      <c r="C16" s="2" t="s">
        <v>65</v>
      </c>
      <c r="D16" s="2" t="s">
        <v>74</v>
      </c>
      <c r="E16" s="2" t="s">
        <v>60</v>
      </c>
    </row>
    <row r="17" spans="1:5" ht="15" customHeight="1">
      <c r="A17" s="1" t="s">
        <v>75</v>
      </c>
      <c r="B17" s="2" t="s">
        <v>76</v>
      </c>
      <c r="C17" s="2" t="s">
        <v>65</v>
      </c>
      <c r="D17" s="2" t="s">
        <v>74</v>
      </c>
      <c r="E17" s="2" t="s">
        <v>60</v>
      </c>
    </row>
    <row r="18" spans="1:5" ht="15" customHeight="1">
      <c r="A18" s="1" t="s">
        <v>77</v>
      </c>
      <c r="B18" s="2" t="s">
        <v>78</v>
      </c>
      <c r="C18" s="2" t="s">
        <v>79</v>
      </c>
      <c r="D18" s="2" t="s">
        <v>80</v>
      </c>
      <c r="E18" s="2" t="s">
        <v>60</v>
      </c>
    </row>
    <row r="19" spans="1:5" ht="15" customHeight="1">
      <c r="A19" s="1" t="s">
        <v>81</v>
      </c>
      <c r="B19" s="2" t="s">
        <v>82</v>
      </c>
      <c r="C19" s="2" t="s">
        <v>79</v>
      </c>
      <c r="D19" s="2" t="s">
        <v>80</v>
      </c>
      <c r="E19" s="2" t="s">
        <v>60</v>
      </c>
    </row>
    <row r="20" spans="1:5" ht="15" customHeight="1">
      <c r="A20" s="1" t="s">
        <v>83</v>
      </c>
      <c r="B20" s="2" t="s">
        <v>84</v>
      </c>
      <c r="C20" s="2" t="s">
        <v>85</v>
      </c>
      <c r="D20" s="2" t="s">
        <v>80</v>
      </c>
      <c r="E20" s="2" t="s">
        <v>60</v>
      </c>
    </row>
    <row r="21" spans="1:5" ht="15" customHeight="1">
      <c r="A21" s="1" t="s">
        <v>86</v>
      </c>
      <c r="B21" s="2" t="s">
        <v>87</v>
      </c>
      <c r="C21" s="2" t="s">
        <v>85</v>
      </c>
      <c r="D21" s="2" t="s">
        <v>80</v>
      </c>
      <c r="E21" s="2" t="s">
        <v>60</v>
      </c>
    </row>
    <row r="22" spans="1:5" ht="15" customHeight="1">
      <c r="A22" s="1" t="s">
        <v>88</v>
      </c>
      <c r="B22" s="2" t="s">
        <v>89</v>
      </c>
      <c r="C22" s="2" t="s">
        <v>85</v>
      </c>
      <c r="D22" s="2" t="s">
        <v>80</v>
      </c>
      <c r="E22" s="2" t="s">
        <v>60</v>
      </c>
    </row>
    <row r="23" spans="1:5" ht="15" customHeight="1">
      <c r="A23" s="1" t="s">
        <v>90</v>
      </c>
      <c r="B23" s="2" t="s">
        <v>91</v>
      </c>
      <c r="C23" s="2" t="s">
        <v>85</v>
      </c>
      <c r="D23" s="2" t="s">
        <v>80</v>
      </c>
      <c r="E23" s="2" t="s">
        <v>60</v>
      </c>
    </row>
    <row r="24" spans="1:5" ht="15" customHeight="1">
      <c r="A24" s="1" t="s">
        <v>92</v>
      </c>
      <c r="B24" s="2" t="s">
        <v>93</v>
      </c>
      <c r="C24" s="2" t="s">
        <v>85</v>
      </c>
      <c r="D24" s="2" t="s">
        <v>80</v>
      </c>
      <c r="E24" s="2" t="s">
        <v>60</v>
      </c>
    </row>
    <row r="25" spans="1:5" ht="15" customHeight="1">
      <c r="A25" s="1" t="s">
        <v>94</v>
      </c>
      <c r="B25" s="2" t="s">
        <v>95</v>
      </c>
      <c r="C25" s="2" t="s">
        <v>85</v>
      </c>
      <c r="D25" s="2" t="s">
        <v>80</v>
      </c>
      <c r="E25" s="2" t="s">
        <v>60</v>
      </c>
    </row>
    <row r="26" spans="1:5" ht="15" customHeight="1">
      <c r="A26" s="1" t="s">
        <v>28</v>
      </c>
      <c r="B26" s="2" t="s">
        <v>96</v>
      </c>
      <c r="C26" s="2" t="s">
        <v>97</v>
      </c>
      <c r="D26" s="2" t="s">
        <v>80</v>
      </c>
      <c r="E26" s="2" t="s">
        <v>44</v>
      </c>
    </row>
    <row r="27" spans="1:5" ht="15" customHeight="1">
      <c r="A27" s="1" t="s">
        <v>29</v>
      </c>
      <c r="B27" s="2" t="s">
        <v>98</v>
      </c>
      <c r="C27" s="2" t="s">
        <v>97</v>
      </c>
      <c r="D27" s="2" t="s">
        <v>80</v>
      </c>
      <c r="E27" s="2" t="s">
        <v>44</v>
      </c>
    </row>
    <row r="28" spans="1:5" ht="15" customHeight="1">
      <c r="A28" s="1" t="s">
        <v>30</v>
      </c>
      <c r="B28" s="2" t="s">
        <v>99</v>
      </c>
      <c r="C28" s="2" t="s">
        <v>97</v>
      </c>
      <c r="D28" s="2" t="s">
        <v>80</v>
      </c>
      <c r="E28" s="2" t="s">
        <v>44</v>
      </c>
    </row>
    <row r="29" spans="1:5" ht="15" customHeight="1">
      <c r="A29" s="1" t="s">
        <v>31</v>
      </c>
      <c r="B29" s="2" t="s">
        <v>100</v>
      </c>
      <c r="C29" s="2" t="s">
        <v>97</v>
      </c>
      <c r="D29" s="2" t="s">
        <v>80</v>
      </c>
      <c r="E29" s="2" t="s">
        <v>44</v>
      </c>
    </row>
    <row r="30" spans="1:5" ht="15" customHeight="1">
      <c r="A30" s="1" t="s">
        <v>101</v>
      </c>
      <c r="B30" s="2" t="s">
        <v>102</v>
      </c>
      <c r="C30" s="2" t="s">
        <v>97</v>
      </c>
      <c r="D30" s="2" t="s">
        <v>80</v>
      </c>
      <c r="E30" s="2" t="s">
        <v>44</v>
      </c>
    </row>
    <row r="31" spans="1:5" ht="15" customHeight="1">
      <c r="A31" s="1" t="s">
        <v>32</v>
      </c>
      <c r="B31" s="2" t="s">
        <v>103</v>
      </c>
      <c r="C31" s="2" t="s">
        <v>97</v>
      </c>
      <c r="D31" s="2" t="s">
        <v>80</v>
      </c>
      <c r="E31" s="2" t="s">
        <v>44</v>
      </c>
    </row>
    <row r="32" spans="1:5" ht="15" customHeight="1">
      <c r="A32" s="1" t="s">
        <v>33</v>
      </c>
      <c r="B32" s="2" t="s">
        <v>104</v>
      </c>
      <c r="C32" s="2" t="s">
        <v>97</v>
      </c>
      <c r="D32" s="2" t="s">
        <v>80</v>
      </c>
      <c r="E32" s="2" t="s">
        <v>44</v>
      </c>
    </row>
    <row r="33" spans="1:5" ht="15" customHeight="1">
      <c r="A33" s="1" t="s">
        <v>105</v>
      </c>
      <c r="B33" s="2" t="s">
        <v>106</v>
      </c>
      <c r="C33" s="2" t="s">
        <v>97</v>
      </c>
      <c r="D33" s="2" t="s">
        <v>80</v>
      </c>
      <c r="E33" s="2" t="s">
        <v>44</v>
      </c>
    </row>
    <row r="34" spans="1:5" ht="15" customHeight="1">
      <c r="A34" s="1" t="s">
        <v>107</v>
      </c>
      <c r="B34" s="2" t="s">
        <v>108</v>
      </c>
      <c r="C34" s="2" t="s">
        <v>97</v>
      </c>
      <c r="D34" s="2" t="s">
        <v>80</v>
      </c>
      <c r="E34" s="2" t="s">
        <v>44</v>
      </c>
    </row>
    <row r="35" spans="1:5" ht="15" customHeight="1">
      <c r="A35" s="1" t="s">
        <v>109</v>
      </c>
      <c r="B35" s="2" t="s">
        <v>110</v>
      </c>
      <c r="C35" s="2" t="s">
        <v>97</v>
      </c>
      <c r="D35" s="2" t="s">
        <v>80</v>
      </c>
      <c r="E35" s="2" t="s">
        <v>44</v>
      </c>
    </row>
    <row r="36" spans="1:5" ht="15" customHeight="1">
      <c r="A36" s="1" t="s">
        <v>111</v>
      </c>
      <c r="B36" s="2" t="s">
        <v>112</v>
      </c>
      <c r="C36" s="2" t="s">
        <v>97</v>
      </c>
      <c r="D36" s="2" t="s">
        <v>80</v>
      </c>
      <c r="E36" s="2" t="s">
        <v>44</v>
      </c>
    </row>
    <row r="37" spans="1:5" ht="15" customHeight="1">
      <c r="A37" s="1" t="s">
        <v>113</v>
      </c>
      <c r="B37" s="2" t="s">
        <v>114</v>
      </c>
      <c r="C37" s="2" t="s">
        <v>97</v>
      </c>
      <c r="D37" s="2" t="s">
        <v>80</v>
      </c>
      <c r="E37" s="2" t="s">
        <v>44</v>
      </c>
    </row>
    <row r="38" spans="1:5" ht="15" customHeight="1">
      <c r="A38" s="1" t="s">
        <v>115</v>
      </c>
      <c r="B38" s="2" t="s">
        <v>116</v>
      </c>
      <c r="C38" s="2" t="s">
        <v>97</v>
      </c>
      <c r="D38" s="2" t="s">
        <v>80</v>
      </c>
      <c r="E38" s="2" t="s">
        <v>44</v>
      </c>
    </row>
    <row r="39" spans="1:5" ht="15" customHeight="1">
      <c r="A39" s="1" t="s">
        <v>117</v>
      </c>
      <c r="B39" s="2" t="s">
        <v>118</v>
      </c>
      <c r="C39" s="2" t="s">
        <v>97</v>
      </c>
      <c r="D39" s="2" t="s">
        <v>80</v>
      </c>
      <c r="E39" s="2" t="s">
        <v>44</v>
      </c>
    </row>
    <row r="40" spans="1:5" ht="15" customHeight="1">
      <c r="A40" s="1" t="s">
        <v>119</v>
      </c>
      <c r="B40" s="2" t="s">
        <v>120</v>
      </c>
      <c r="C40" s="2" t="s">
        <v>97</v>
      </c>
      <c r="D40" s="2" t="s">
        <v>80</v>
      </c>
      <c r="E40" s="2" t="s">
        <v>44</v>
      </c>
    </row>
    <row r="41" spans="1:5" ht="15" customHeight="1">
      <c r="A41" s="1" t="s">
        <v>121</v>
      </c>
      <c r="B41" s="2" t="s">
        <v>122</v>
      </c>
      <c r="C41" s="2" t="s">
        <v>97</v>
      </c>
      <c r="D41" s="2" t="s">
        <v>80</v>
      </c>
      <c r="E41" s="2" t="s">
        <v>44</v>
      </c>
    </row>
    <row r="42" spans="1:5" ht="15" customHeight="1">
      <c r="A42" s="1" t="s">
        <v>123</v>
      </c>
      <c r="B42" s="2" t="s">
        <v>124</v>
      </c>
      <c r="C42" s="2" t="s">
        <v>97</v>
      </c>
      <c r="D42" s="2" t="s">
        <v>80</v>
      </c>
      <c r="E42" s="2" t="s">
        <v>44</v>
      </c>
    </row>
    <row r="43" spans="1:5" ht="15" customHeight="1">
      <c r="A43" s="1" t="s">
        <v>125</v>
      </c>
      <c r="B43" s="2" t="s">
        <v>126</v>
      </c>
      <c r="C43" s="2" t="s">
        <v>97</v>
      </c>
      <c r="D43" s="2" t="s">
        <v>80</v>
      </c>
      <c r="E43" s="2" t="s">
        <v>44</v>
      </c>
    </row>
    <row r="44" spans="1:5" ht="15" customHeight="1">
      <c r="A44" s="3" t="s">
        <v>127</v>
      </c>
      <c r="B44" s="2" t="s">
        <v>128</v>
      </c>
      <c r="C44" s="2" t="s">
        <v>129</v>
      </c>
      <c r="D44" s="2" t="s">
        <v>80</v>
      </c>
      <c r="E44" s="2" t="s">
        <v>44</v>
      </c>
    </row>
  </sheetData>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showGridLines="0" zoomScaleNormal="100" workbookViewId="0">
      <selection activeCell="A12" sqref="A12:A18"/>
    </sheetView>
  </sheetViews>
  <sheetFormatPr baseColWidth="10" defaultColWidth="10.6640625" defaultRowHeight="15"/>
  <cols>
    <col min="2" max="2" width="18.5" customWidth="1"/>
    <col min="3" max="3" width="25.5" customWidth="1"/>
  </cols>
  <sheetData>
    <row r="1" spans="1:3" ht="15" customHeight="1">
      <c r="A1" s="43" t="s">
        <v>2</v>
      </c>
      <c r="B1" s="43" t="s">
        <v>3</v>
      </c>
      <c r="C1" s="43" t="s">
        <v>130</v>
      </c>
    </row>
    <row r="2" spans="1:3" ht="15" customHeight="1">
      <c r="A2" s="3" t="s">
        <v>4</v>
      </c>
      <c r="B2" s="2" t="s">
        <v>5</v>
      </c>
      <c r="C2" s="2" t="s">
        <v>131</v>
      </c>
    </row>
    <row r="3" spans="1:3" ht="15" customHeight="1">
      <c r="A3" s="3" t="s">
        <v>46</v>
      </c>
      <c r="B3" s="2" t="s">
        <v>132</v>
      </c>
      <c r="C3" s="2" t="s">
        <v>131</v>
      </c>
    </row>
    <row r="4" spans="1:3" ht="15" customHeight="1">
      <c r="A4" s="3" t="s">
        <v>6</v>
      </c>
      <c r="B4" s="2" t="s">
        <v>7</v>
      </c>
      <c r="C4" s="2" t="s">
        <v>131</v>
      </c>
    </row>
    <row r="5" spans="1:3" ht="15" customHeight="1">
      <c r="A5" s="3" t="s">
        <v>8</v>
      </c>
      <c r="B5" s="2" t="s">
        <v>9</v>
      </c>
      <c r="C5" s="2" t="s">
        <v>131</v>
      </c>
    </row>
    <row r="6" spans="1:3" ht="15" customHeight="1">
      <c r="A6" s="3" t="s">
        <v>10</v>
      </c>
      <c r="B6" s="2" t="s">
        <v>11</v>
      </c>
      <c r="C6" s="2" t="s">
        <v>131</v>
      </c>
    </row>
    <row r="7" spans="1:3" ht="15" customHeight="1">
      <c r="A7" s="3" t="s">
        <v>12</v>
      </c>
      <c r="B7" s="2" t="s">
        <v>13</v>
      </c>
      <c r="C7" s="2" t="s">
        <v>133</v>
      </c>
    </row>
    <row r="8" spans="1:3" ht="15" customHeight="1">
      <c r="A8" s="3" t="s">
        <v>14</v>
      </c>
      <c r="B8" s="2" t="s">
        <v>15</v>
      </c>
      <c r="C8" s="2" t="s">
        <v>133</v>
      </c>
    </row>
    <row r="9" spans="1:3" ht="15" customHeight="1">
      <c r="A9" s="3" t="s">
        <v>16</v>
      </c>
      <c r="B9" s="2" t="s">
        <v>17</v>
      </c>
      <c r="C9" s="2" t="s">
        <v>133</v>
      </c>
    </row>
    <row r="10" spans="1:3" ht="15" customHeight="1">
      <c r="A10" s="3" t="s">
        <v>18</v>
      </c>
      <c r="B10" s="2" t="s">
        <v>19</v>
      </c>
      <c r="C10" s="2" t="s">
        <v>133</v>
      </c>
    </row>
    <row r="11" spans="1:3" ht="15" customHeight="1">
      <c r="A11" s="3" t="s">
        <v>20</v>
      </c>
      <c r="B11" s="2" t="s">
        <v>21</v>
      </c>
      <c r="C11" s="2" t="s">
        <v>133</v>
      </c>
    </row>
  </sheetData>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E55"/>
  <sheetViews>
    <sheetView showGridLines="0" zoomScaleNormal="100" workbookViewId="0">
      <pane xSplit="3" ySplit="19" topLeftCell="D20" activePane="bottomRight" state="frozen"/>
      <selection pane="topRight" activeCell="C1" sqref="C1"/>
      <selection pane="bottomLeft" activeCell="A19" sqref="A19"/>
      <selection pane="bottomRight" activeCell="E14" sqref="E14"/>
    </sheetView>
  </sheetViews>
  <sheetFormatPr baseColWidth="10" defaultColWidth="10.6640625" defaultRowHeight="15"/>
  <cols>
    <col min="1" max="1" width="3.6640625" style="12" customWidth="1"/>
    <col min="2" max="2" width="14.6640625" style="12" bestFit="1" customWidth="1"/>
    <col min="3" max="3" width="34.5" style="12" customWidth="1"/>
    <col min="4" max="4" width="11.6640625" style="12" customWidth="1"/>
    <col min="5" max="5" width="11" style="12" customWidth="1"/>
    <col min="6" max="6" width="11.6640625" style="12" customWidth="1"/>
    <col min="7" max="7" width="11" style="12" customWidth="1"/>
    <col min="8" max="8" width="11.6640625" style="12" customWidth="1"/>
    <col min="9" max="9" width="11" style="12" customWidth="1"/>
    <col min="10" max="10" width="11.6640625" style="12" customWidth="1"/>
    <col min="11" max="11" width="11" style="12" customWidth="1"/>
    <col min="12" max="12" width="11.6640625" style="12" customWidth="1"/>
    <col min="13" max="13" width="11" style="12" customWidth="1"/>
    <col min="14" max="14" width="11.6640625" style="12" customWidth="1"/>
    <col min="15" max="15" width="11" style="12" customWidth="1"/>
    <col min="16" max="16" width="11.6640625" style="12" customWidth="1"/>
    <col min="17" max="17" width="11" style="12" customWidth="1"/>
    <col min="18" max="18" width="11.6640625" style="12" customWidth="1"/>
    <col min="19" max="19" width="11" style="12" customWidth="1"/>
    <col min="20" max="20" width="11.6640625" style="12" customWidth="1"/>
    <col min="21" max="21" width="11" style="12" customWidth="1"/>
    <col min="22" max="22" width="11.6640625" style="12" customWidth="1"/>
    <col min="23" max="23" width="11" style="12" customWidth="1"/>
    <col min="24" max="24" width="11.6640625" style="12" customWidth="1"/>
    <col min="25" max="25" width="11" style="12" customWidth="1"/>
    <col min="26" max="26" width="11.6640625" style="12" customWidth="1"/>
    <col min="27" max="27" width="11" style="12" customWidth="1"/>
    <col min="28" max="28" width="3.33203125" style="12" customWidth="1"/>
    <col min="29" max="29" width="14" style="12" bestFit="1" customWidth="1"/>
    <col min="30" max="30" width="13" style="12" customWidth="1"/>
    <col min="31" max="16384" width="10.6640625" style="12"/>
  </cols>
  <sheetData>
    <row r="1" spans="2:30" ht="15" customHeight="1">
      <c r="B1" s="80" t="s">
        <v>635</v>
      </c>
      <c r="C1" s="80" t="s">
        <v>744</v>
      </c>
    </row>
    <row r="2" spans="2:30" ht="14" hidden="1" customHeight="1">
      <c r="B2" s="168" t="str" cm="1">
        <f t="array" ref="B2:B11">_xlfn._xlws.FILTER('Cost Centers'!A2:A11,('Cost Centers'!C2:C11='Variance by Department'!$C1)+('Variance by Department'!$C1="All"))</f>
        <v>1010</v>
      </c>
    </row>
    <row r="3" spans="2:30" ht="14" hidden="1" customHeight="1">
      <c r="B3" s="104" t="str">
        <v>1020</v>
      </c>
    </row>
    <row r="4" spans="2:30" ht="14" hidden="1" customHeight="1">
      <c r="B4" s="104" t="str">
        <v>1030</v>
      </c>
    </row>
    <row r="5" spans="2:30" ht="14" hidden="1" customHeight="1">
      <c r="B5" s="104" t="str">
        <v>1040</v>
      </c>
    </row>
    <row r="6" spans="2:30" ht="14" hidden="1" customHeight="1">
      <c r="B6" s="104" t="str">
        <v>1050</v>
      </c>
      <c r="H6" s="12" t="s">
        <v>745</v>
      </c>
    </row>
    <row r="7" spans="2:30" ht="14" hidden="1" customHeight="1">
      <c r="B7" s="12" t="str">
        <v>2010</v>
      </c>
    </row>
    <row r="8" spans="2:30" ht="14" hidden="1" customHeight="1">
      <c r="B8" s="12" t="str">
        <v>2020</v>
      </c>
    </row>
    <row r="9" spans="2:30" ht="14" hidden="1" customHeight="1">
      <c r="B9" s="12" t="str">
        <v>2030</v>
      </c>
    </row>
    <row r="10" spans="2:30" ht="14" hidden="1" customHeight="1">
      <c r="B10" s="12" t="str">
        <v>2040</v>
      </c>
    </row>
    <row r="11" spans="2:30" ht="14" hidden="1" customHeight="1">
      <c r="B11" s="12" t="str">
        <v>2050</v>
      </c>
    </row>
    <row r="12" spans="2:30" ht="14" customHeight="1"/>
    <row r="13" spans="2:30" ht="18">
      <c r="C13" s="164" t="s">
        <v>786</v>
      </c>
    </row>
    <row r="14" spans="2:30" ht="15" customHeight="1">
      <c r="C14" s="165" t="s">
        <v>792</v>
      </c>
      <c r="D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row>
    <row r="15" spans="2:30" ht="15" customHeight="1">
      <c r="C15" s="53" t="s">
        <v>207</v>
      </c>
      <c r="D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row>
    <row r="16" spans="2:30" ht="15" customHeight="1">
      <c r="C16" s="104" t="str">
        <f>C1&amp;" Department(s)"</f>
        <v>All Department(s)</v>
      </c>
      <c r="D16" s="27"/>
      <c r="E16" s="42"/>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8" spans="2:30" ht="15.75" customHeight="1">
      <c r="D18" s="81" t="s">
        <v>636</v>
      </c>
      <c r="E18" s="82" t="s">
        <v>637</v>
      </c>
      <c r="F18" s="81" t="s">
        <v>636</v>
      </c>
      <c r="G18" s="82" t="s">
        <v>637</v>
      </c>
      <c r="H18" s="81" t="s">
        <v>636</v>
      </c>
      <c r="I18" s="82" t="s">
        <v>637</v>
      </c>
      <c r="J18" s="81" t="s">
        <v>636</v>
      </c>
      <c r="K18" s="82" t="s">
        <v>637</v>
      </c>
      <c r="L18" s="81" t="s">
        <v>636</v>
      </c>
      <c r="M18" s="82" t="s">
        <v>637</v>
      </c>
      <c r="N18" s="81" t="s">
        <v>636</v>
      </c>
      <c r="O18" s="82" t="s">
        <v>637</v>
      </c>
      <c r="P18" s="81" t="s">
        <v>636</v>
      </c>
      <c r="Q18" s="82" t="s">
        <v>637</v>
      </c>
      <c r="R18" s="81" t="s">
        <v>636</v>
      </c>
      <c r="S18" s="82" t="s">
        <v>637</v>
      </c>
      <c r="T18" s="81" t="s">
        <v>636</v>
      </c>
      <c r="U18" s="82" t="s">
        <v>637</v>
      </c>
      <c r="V18" s="81" t="s">
        <v>636</v>
      </c>
      <c r="W18" s="82" t="s">
        <v>637</v>
      </c>
      <c r="X18" s="81" t="s">
        <v>636</v>
      </c>
      <c r="Y18" s="82" t="s">
        <v>637</v>
      </c>
      <c r="Z18" s="81" t="s">
        <v>636</v>
      </c>
      <c r="AA18" s="82" t="s">
        <v>637</v>
      </c>
      <c r="AC18" s="81" t="s">
        <v>636</v>
      </c>
      <c r="AD18" s="82" t="s">
        <v>637</v>
      </c>
    </row>
    <row r="19" spans="2:30" ht="15" customHeight="1">
      <c r="B19" s="142" t="s">
        <v>26</v>
      </c>
      <c r="C19" s="142" t="s">
        <v>221</v>
      </c>
      <c r="D19" s="142">
        <v>45839</v>
      </c>
      <c r="E19" s="139">
        <f>D19</f>
        <v>45839</v>
      </c>
      <c r="F19" s="139">
        <v>45870</v>
      </c>
      <c r="G19" s="139">
        <f>F19</f>
        <v>45870</v>
      </c>
      <c r="H19" s="139">
        <v>45901</v>
      </c>
      <c r="I19" s="139">
        <f>H19</f>
        <v>45901</v>
      </c>
      <c r="J19" s="139">
        <v>45931</v>
      </c>
      <c r="K19" s="139">
        <f>J19</f>
        <v>45931</v>
      </c>
      <c r="L19" s="139">
        <v>45962</v>
      </c>
      <c r="M19" s="139">
        <f>L19</f>
        <v>45962</v>
      </c>
      <c r="N19" s="139">
        <v>45992</v>
      </c>
      <c r="O19" s="139">
        <f>N19</f>
        <v>45992</v>
      </c>
      <c r="P19" s="139">
        <v>46023</v>
      </c>
      <c r="Q19" s="139">
        <f>P19</f>
        <v>46023</v>
      </c>
      <c r="R19" s="139">
        <v>46054</v>
      </c>
      <c r="S19" s="139">
        <f>R19</f>
        <v>46054</v>
      </c>
      <c r="T19" s="139">
        <v>46082</v>
      </c>
      <c r="U19" s="139">
        <f>T19</f>
        <v>46082</v>
      </c>
      <c r="V19" s="139">
        <v>46113</v>
      </c>
      <c r="W19" s="139">
        <f>V19</f>
        <v>46113</v>
      </c>
      <c r="X19" s="139">
        <v>46143</v>
      </c>
      <c r="Y19" s="139">
        <f>X19</f>
        <v>46143</v>
      </c>
      <c r="Z19" s="139">
        <v>46174</v>
      </c>
      <c r="AA19" s="139">
        <f>Z19</f>
        <v>46174</v>
      </c>
      <c r="AC19" s="142" t="s">
        <v>22</v>
      </c>
      <c r="AD19" s="142" t="s">
        <v>22</v>
      </c>
    </row>
    <row r="20" spans="2:30" ht="15" customHeight="1">
      <c r="D20" s="83"/>
      <c r="E20" s="84"/>
      <c r="F20" s="83"/>
      <c r="G20" s="84"/>
      <c r="H20" s="83"/>
      <c r="I20" s="84"/>
      <c r="J20" s="83"/>
      <c r="K20" s="84"/>
      <c r="L20" s="83"/>
      <c r="M20" s="84"/>
      <c r="N20" s="83"/>
      <c r="O20" s="84"/>
      <c r="P20" s="83"/>
      <c r="Q20" s="84"/>
      <c r="R20" s="83"/>
      <c r="S20" s="84"/>
      <c r="T20" s="83"/>
      <c r="U20" s="84"/>
      <c r="V20" s="83"/>
      <c r="W20" s="84"/>
      <c r="X20" s="83"/>
      <c r="Y20" s="84"/>
      <c r="Z20" s="83"/>
      <c r="AA20" s="84"/>
      <c r="AC20" s="85"/>
      <c r="AD20" s="84"/>
    </row>
    <row r="21" spans="2:30" ht="15" customHeight="1">
      <c r="B21" s="12" t="str">
        <f t="array" ref="B21:B26">_xlfn._xlws.SORT(_xlfn.UNIQUE(_xlfn._xlws.FILTER('Allocated Transactions'!D:D,'Allocated Transactions'!F:F="Revenue")))</f>
        <v>4000</v>
      </c>
      <c r="C21" s="160" t="str">
        <f>_xlfn.XLOOKUP(B21,'Allocated Transactions'!D:D,'Allocated Transactions'!E:E,"")</f>
        <v>Contract Revenue</v>
      </c>
      <c r="D21" s="83">
        <f>-SUMPRODUCT(SUMIFS('Allocated Transactions'!$J:$J,'Allocated Transactions'!$D:$D,$B21,'Allocated Transactions'!$C:$C,$B$7,'Allocated Transactions'!$A:$A,"&gt;="&amp;D$19,'Allocated Transactions'!$A:$A,"&lt;="&amp;EOMONTH(D$19,0))+SUMIFS('Allocated Transactions'!$J:$J,'Allocated Transactions'!$D:$D,$B21,'Allocated Transactions'!$C:$C,$B$9,'Allocated Transactions'!$A:$A,"&gt;="&amp;D$19,'Allocated Transactions'!$A:$A,"&lt;="&amp;EOMONTH(D$19,0))+SUMIFS('Allocated Transactions'!$J:$J,'Allocated Transactions'!$D:$D,$B21,'Allocated Transactions'!$C:$C,$B$8,'Allocated Transactions'!$A:$A,"&gt;="&amp;D$19,'Allocated Transactions'!$A:$A,"&lt;="&amp;EOMONTH(D$19,0))+SUMIFS('Allocated Transactions'!$J:$J,'Allocated Transactions'!$D:$D,$B21,'Allocated Transactions'!$C:$C,$B$10,'Allocated Transactions'!$A:$A,"&gt;="&amp;D$19,'Allocated Transactions'!$A:$A,"&lt;="&amp;EOMONTH(D$19,0))+SUMIFS('Allocated Transactions'!$J:$J,'Allocated Transactions'!$D:$D,$B21,'Allocated Transactions'!$C:$C,$B$11,'Allocated Transactions'!$A:$A,"&gt;="&amp;D$19,'Allocated Transactions'!$A:$A,"&lt;="&amp;EOMONTH(D$19,0))+SUMIFS('Allocated Transactions'!$J:$J,'Allocated Transactions'!$D:$D,$B21,'Allocated Transactions'!$C:$C,$B$2,'Allocated Transactions'!$A:$A,"&gt;="&amp;D$19,'Allocated Transactions'!$A:$A,"&lt;="&amp;EOMONTH(D$19,0))+SUMIFS('Allocated Transactions'!$J:$J,'Allocated Transactions'!$D:$D,$B21,'Allocated Transactions'!$C:$C,$B$4,'Allocated Transactions'!$A:$A,"&gt;="&amp;D$19,'Allocated Transactions'!$A:$A,"&lt;="&amp;EOMONTH(D$19,0))+SUMIFS('Allocated Transactions'!$J:$J,'Allocated Transactions'!$D:$D,$B21,'Allocated Transactions'!$C:$C,$B$3,'Allocated Transactions'!$A:$A,"&gt;="&amp;D$19,'Allocated Transactions'!$A:$A,"&lt;="&amp;EOMONTH(D$19,0))+SUMIFS('Allocated Transactions'!$J:$J,'Allocated Transactions'!$D:$D,$B21,'Allocated Transactions'!$C:$C,$B$5,'Allocated Transactions'!$A:$A,"&gt;="&amp;D$19,'Allocated Transactions'!$A:$A,"&lt;="&amp;EOMONTH(D$19,0))+SUMIFS('Allocated Transactions'!$J:$J,'Allocated Transactions'!$D:$D,$B21,'Allocated Transactions'!$C:$C,$B$6,'Allocated Transactions'!$A:$A,"&gt;="&amp;D$19,'Allocated Transactions'!$A:$A,"&lt;="&amp;EOMONTH(D$19,0)))</f>
        <v>132364.9200000001</v>
      </c>
      <c r="E21" s="84">
        <f>SUMPRODUCT(SUMIFS('Budget Data'!$J:$J,'Budget Data'!$E:$E,$B21,'Budget Data'!$C:$C,$B$7,'Budget Data'!$A:$A,"&gt;="&amp;E$19,'Budget Data'!$A:$A,"&lt;="&amp;EOMONTH(E$19,0))+SUMIFS('Budget Data'!$J:$J,'Budget Data'!$E:$E,$B21,'Budget Data'!$C:$C,$B$9,'Budget Data'!$A:$A,"&gt;="&amp;E$19,'Budget Data'!$A:$A,"&lt;="&amp;EOMONTH(E$19,0))+SUMIFS('Budget Data'!$J:$J,'Budget Data'!$E:$E,$B21,'Budget Data'!$C:$C,$B$8,'Budget Data'!$A:$A,"&gt;="&amp;E$19,'Budget Data'!$A:$A,"&lt;="&amp;EOMONTH(E$19,0))+SUMIFS('Budget Data'!$J:$J,'Budget Data'!$E:$E,$B21,'Budget Data'!$C:$C,$B$10,'Budget Data'!$A:$A,"&gt;="&amp;E$19,'Budget Data'!$A:$A,"&lt;="&amp;EOMONTH(E$19,0))+SUMIFS('Budget Data'!$J:$J,'Budget Data'!$E:$E,$B21,'Budget Data'!$C:$C,$B$11,'Budget Data'!$A:$A,"&gt;="&amp;E$19,'Budget Data'!$A:$A,"&lt;="&amp;EOMONTH(E$19,0))+SUMIFS('Budget Data'!$J:$J,'Budget Data'!$E:$E,$B21,'Budget Data'!$C:$C,$B$2,'Budget Data'!$A:$A,"&gt;="&amp;E$19,'Budget Data'!$A:$A,"&lt;="&amp;EOMONTH(E$19,0))+SUMIFS('Budget Data'!$J:$J,'Budget Data'!$E:$E,$B21,'Budget Data'!$C:$C,$B$4,'Budget Data'!$A:$A,"&gt;="&amp;E$19,'Budget Data'!$A:$A,"&lt;="&amp;EOMONTH(E$19,0))+SUMIFS('Budget Data'!$J:$J,'Budget Data'!$E:$E,$B21,'Budget Data'!$C:$C,$B$3,'Budget Data'!$A:$A,"&gt;="&amp;E$19,'Budget Data'!$A:$A,"&lt;="&amp;EOMONTH(E$19,0))+SUMIFS('Budget Data'!$J:$J,'Budget Data'!$E:$E,$B21,'Budget Data'!$C:$C,$B$5,'Budget Data'!$A:$A,"&gt;="&amp;E$19,'Budget Data'!$A:$A,"&lt;="&amp;EOMONTH(E$19,0))+SUMIFS('Budget Data'!$J:$J,'Budget Data'!$E:$E,$B21,'Budget Data'!$C:$C,$B$6,'Budget Data'!$A:$A,"&gt;="&amp;E$19,'Budget Data'!$A:$A,"&lt;="&amp;EOMONTH(E$19,0)))</f>
        <v>138983.17000000001</v>
      </c>
      <c r="F21" s="83">
        <f>-SUMPRODUCT(SUMIFS('Allocated Transactions'!$J:$J,'Allocated Transactions'!$D:$D,$B21,'Allocated Transactions'!$C:$C,$B$7,'Allocated Transactions'!$A:$A,"&gt;="&amp;F$19,'Allocated Transactions'!$A:$A,"&lt;="&amp;EOMONTH(F$19,0))+SUMIFS('Allocated Transactions'!$J:$J,'Allocated Transactions'!$D:$D,$B21,'Allocated Transactions'!$C:$C,$B$9,'Allocated Transactions'!$A:$A,"&gt;="&amp;F$19,'Allocated Transactions'!$A:$A,"&lt;="&amp;EOMONTH(F$19,0))+SUMIFS('Allocated Transactions'!$J:$J,'Allocated Transactions'!$D:$D,$B21,'Allocated Transactions'!$C:$C,$B$8,'Allocated Transactions'!$A:$A,"&gt;="&amp;F$19,'Allocated Transactions'!$A:$A,"&lt;="&amp;EOMONTH(F$19,0))+SUMIFS('Allocated Transactions'!$J:$J,'Allocated Transactions'!$D:$D,$B21,'Allocated Transactions'!$C:$C,$B$10,'Allocated Transactions'!$A:$A,"&gt;="&amp;F$19,'Allocated Transactions'!$A:$A,"&lt;="&amp;EOMONTH(F$19,0))+SUMIFS('Allocated Transactions'!$J:$J,'Allocated Transactions'!$D:$D,$B21,'Allocated Transactions'!$C:$C,$B$11,'Allocated Transactions'!$A:$A,"&gt;="&amp;F$19,'Allocated Transactions'!$A:$A,"&lt;="&amp;EOMONTH(F$19,0))+SUMIFS('Allocated Transactions'!$J:$J,'Allocated Transactions'!$D:$D,$B21,'Allocated Transactions'!$C:$C,$B$2,'Allocated Transactions'!$A:$A,"&gt;="&amp;F$19,'Allocated Transactions'!$A:$A,"&lt;="&amp;EOMONTH(F$19,0))+SUMIFS('Allocated Transactions'!$J:$J,'Allocated Transactions'!$D:$D,$B21,'Allocated Transactions'!$C:$C,$B$4,'Allocated Transactions'!$A:$A,"&gt;="&amp;F$19,'Allocated Transactions'!$A:$A,"&lt;="&amp;EOMONTH(F$19,0))+SUMIFS('Allocated Transactions'!$J:$J,'Allocated Transactions'!$D:$D,$B21,'Allocated Transactions'!$C:$C,$B$3,'Allocated Transactions'!$A:$A,"&gt;="&amp;F$19,'Allocated Transactions'!$A:$A,"&lt;="&amp;EOMONTH(F$19,0))+SUMIFS('Allocated Transactions'!$J:$J,'Allocated Transactions'!$D:$D,$B21,'Allocated Transactions'!$C:$C,$B$5,'Allocated Transactions'!$A:$A,"&gt;="&amp;F$19,'Allocated Transactions'!$A:$A,"&lt;="&amp;EOMONTH(F$19,0))+SUMIFS('Allocated Transactions'!$J:$J,'Allocated Transactions'!$D:$D,$B21,'Allocated Transactions'!$C:$C,$B$6,'Allocated Transactions'!$A:$A,"&gt;="&amp;F$19,'Allocated Transactions'!$A:$A,"&lt;="&amp;EOMONTH(F$19,0)))</f>
        <v>132524.01999999999</v>
      </c>
      <c r="G21" s="84">
        <f>SUMPRODUCT(SUMIFS('Budget Data'!$J:$J,'Budget Data'!$E:$E,$B21,'Budget Data'!$C:$C,$B$7,'Budget Data'!$A:$A,"&gt;="&amp;G$19,'Budget Data'!$A:$A,"&lt;="&amp;EOMONTH(G$19,0))+SUMIFS('Budget Data'!$J:$J,'Budget Data'!$E:$E,$B21,'Budget Data'!$C:$C,$B$9,'Budget Data'!$A:$A,"&gt;="&amp;G$19,'Budget Data'!$A:$A,"&lt;="&amp;EOMONTH(G$19,0))+SUMIFS('Budget Data'!$J:$J,'Budget Data'!$E:$E,$B21,'Budget Data'!$C:$C,$B$8,'Budget Data'!$A:$A,"&gt;="&amp;G$19,'Budget Data'!$A:$A,"&lt;="&amp;EOMONTH(G$19,0))+SUMIFS('Budget Data'!$J:$J,'Budget Data'!$E:$E,$B21,'Budget Data'!$C:$C,$B$10,'Budget Data'!$A:$A,"&gt;="&amp;G$19,'Budget Data'!$A:$A,"&lt;="&amp;EOMONTH(G$19,0))+SUMIFS('Budget Data'!$J:$J,'Budget Data'!$E:$E,$B21,'Budget Data'!$C:$C,$B$11,'Budget Data'!$A:$A,"&gt;="&amp;G$19,'Budget Data'!$A:$A,"&lt;="&amp;EOMONTH(G$19,0))+SUMIFS('Budget Data'!$J:$J,'Budget Data'!$E:$E,$B21,'Budget Data'!$C:$C,$B$2,'Budget Data'!$A:$A,"&gt;="&amp;G$19,'Budget Data'!$A:$A,"&lt;="&amp;EOMONTH(G$19,0))+SUMIFS('Budget Data'!$J:$J,'Budget Data'!$E:$E,$B21,'Budget Data'!$C:$C,$B$4,'Budget Data'!$A:$A,"&gt;="&amp;G$19,'Budget Data'!$A:$A,"&lt;="&amp;EOMONTH(G$19,0))+SUMIFS('Budget Data'!$J:$J,'Budget Data'!$E:$E,$B21,'Budget Data'!$C:$C,$B$3,'Budget Data'!$A:$A,"&gt;="&amp;G$19,'Budget Data'!$A:$A,"&lt;="&amp;EOMONTH(G$19,0))+SUMIFS('Budget Data'!$J:$J,'Budget Data'!$E:$E,$B21,'Budget Data'!$C:$C,$B$5,'Budget Data'!$A:$A,"&gt;="&amp;G$19,'Budget Data'!$A:$A,"&lt;="&amp;EOMONTH(G$19,0))+SUMIFS('Budget Data'!$J:$J,'Budget Data'!$E:$E,$B21,'Budget Data'!$C:$C,$B$6,'Budget Data'!$A:$A,"&gt;="&amp;G$19,'Budget Data'!$A:$A,"&lt;="&amp;EOMONTH(G$19,0)))</f>
        <v>139150.22000000003</v>
      </c>
      <c r="H21" s="83">
        <f>-SUMPRODUCT(SUMIFS('Allocated Transactions'!$J:$J,'Allocated Transactions'!$D:$D,$B21,'Allocated Transactions'!$C:$C,$B$7,'Allocated Transactions'!$A:$A,"&gt;="&amp;H$19,'Allocated Transactions'!$A:$A,"&lt;="&amp;EOMONTH(H$19,0))+SUMIFS('Allocated Transactions'!$J:$J,'Allocated Transactions'!$D:$D,$B21,'Allocated Transactions'!$C:$C,$B$9,'Allocated Transactions'!$A:$A,"&gt;="&amp;H$19,'Allocated Transactions'!$A:$A,"&lt;="&amp;EOMONTH(H$19,0))+SUMIFS('Allocated Transactions'!$J:$J,'Allocated Transactions'!$D:$D,$B21,'Allocated Transactions'!$C:$C,$B$8,'Allocated Transactions'!$A:$A,"&gt;="&amp;H$19,'Allocated Transactions'!$A:$A,"&lt;="&amp;EOMONTH(H$19,0))+SUMIFS('Allocated Transactions'!$J:$J,'Allocated Transactions'!$D:$D,$B21,'Allocated Transactions'!$C:$C,$B$10,'Allocated Transactions'!$A:$A,"&gt;="&amp;H$19,'Allocated Transactions'!$A:$A,"&lt;="&amp;EOMONTH(H$19,0))+SUMIFS('Allocated Transactions'!$J:$J,'Allocated Transactions'!$D:$D,$B21,'Allocated Transactions'!$C:$C,$B$11,'Allocated Transactions'!$A:$A,"&gt;="&amp;H$19,'Allocated Transactions'!$A:$A,"&lt;="&amp;EOMONTH(H$19,0))+SUMIFS('Allocated Transactions'!$J:$J,'Allocated Transactions'!$D:$D,$B21,'Allocated Transactions'!$C:$C,$B$2,'Allocated Transactions'!$A:$A,"&gt;="&amp;H$19,'Allocated Transactions'!$A:$A,"&lt;="&amp;EOMONTH(H$19,0))+SUMIFS('Allocated Transactions'!$J:$J,'Allocated Transactions'!$D:$D,$B21,'Allocated Transactions'!$C:$C,$B$4,'Allocated Transactions'!$A:$A,"&gt;="&amp;H$19,'Allocated Transactions'!$A:$A,"&lt;="&amp;EOMONTH(H$19,0))+SUMIFS('Allocated Transactions'!$J:$J,'Allocated Transactions'!$D:$D,$B21,'Allocated Transactions'!$C:$C,$B$3,'Allocated Transactions'!$A:$A,"&gt;="&amp;H$19,'Allocated Transactions'!$A:$A,"&lt;="&amp;EOMONTH(H$19,0))+SUMIFS('Allocated Transactions'!$J:$J,'Allocated Transactions'!$D:$D,$B21,'Allocated Transactions'!$C:$C,$B$5,'Allocated Transactions'!$A:$A,"&gt;="&amp;H$19,'Allocated Transactions'!$A:$A,"&lt;="&amp;EOMONTH(H$19,0))+SUMIFS('Allocated Transactions'!$J:$J,'Allocated Transactions'!$D:$D,$B21,'Allocated Transactions'!$C:$C,$B$6,'Allocated Transactions'!$A:$A,"&gt;="&amp;H$19,'Allocated Transactions'!$A:$A,"&lt;="&amp;EOMONTH(H$19,0)))</f>
        <v>136023.9899999999</v>
      </c>
      <c r="I21" s="84">
        <f>SUMPRODUCT(SUMIFS('Budget Data'!$J:$J,'Budget Data'!$E:$E,$B21,'Budget Data'!$C:$C,$B$7,'Budget Data'!$A:$A,"&gt;="&amp;I$19,'Budget Data'!$A:$A,"&lt;="&amp;EOMONTH(I$19,0))+SUMIFS('Budget Data'!$J:$J,'Budget Data'!$E:$E,$B21,'Budget Data'!$C:$C,$B$9,'Budget Data'!$A:$A,"&gt;="&amp;I$19,'Budget Data'!$A:$A,"&lt;="&amp;EOMONTH(I$19,0))+SUMIFS('Budget Data'!$J:$J,'Budget Data'!$E:$E,$B21,'Budget Data'!$C:$C,$B$8,'Budget Data'!$A:$A,"&gt;="&amp;I$19,'Budget Data'!$A:$A,"&lt;="&amp;EOMONTH(I$19,0))+SUMIFS('Budget Data'!$J:$J,'Budget Data'!$E:$E,$B21,'Budget Data'!$C:$C,$B$10,'Budget Data'!$A:$A,"&gt;="&amp;I$19,'Budget Data'!$A:$A,"&lt;="&amp;EOMONTH(I$19,0))+SUMIFS('Budget Data'!$J:$J,'Budget Data'!$E:$E,$B21,'Budget Data'!$C:$C,$B$11,'Budget Data'!$A:$A,"&gt;="&amp;I$19,'Budget Data'!$A:$A,"&lt;="&amp;EOMONTH(I$19,0))+SUMIFS('Budget Data'!$J:$J,'Budget Data'!$E:$E,$B21,'Budget Data'!$C:$C,$B$2,'Budget Data'!$A:$A,"&gt;="&amp;I$19,'Budget Data'!$A:$A,"&lt;="&amp;EOMONTH(I$19,0))+SUMIFS('Budget Data'!$J:$J,'Budget Data'!$E:$E,$B21,'Budget Data'!$C:$C,$B$4,'Budget Data'!$A:$A,"&gt;="&amp;I$19,'Budget Data'!$A:$A,"&lt;="&amp;EOMONTH(I$19,0))+SUMIFS('Budget Data'!$J:$J,'Budget Data'!$E:$E,$B21,'Budget Data'!$C:$C,$B$3,'Budget Data'!$A:$A,"&gt;="&amp;I$19,'Budget Data'!$A:$A,"&lt;="&amp;EOMONTH(I$19,0))+SUMIFS('Budget Data'!$J:$J,'Budget Data'!$E:$E,$B21,'Budget Data'!$C:$C,$B$5,'Budget Data'!$A:$A,"&gt;="&amp;I$19,'Budget Data'!$A:$A,"&lt;="&amp;EOMONTH(I$19,0))+SUMIFS('Budget Data'!$J:$J,'Budget Data'!$E:$E,$B21,'Budget Data'!$C:$C,$B$6,'Budget Data'!$A:$A,"&gt;="&amp;I$19,'Budget Data'!$A:$A,"&lt;="&amp;EOMONTH(I$19,0)))</f>
        <v>142825.19</v>
      </c>
      <c r="J21" s="83">
        <f>-SUMPRODUCT(SUMIFS('Allocated Transactions'!$J:$J,'Allocated Transactions'!$D:$D,$B21,'Allocated Transactions'!$C:$C,$B$7,'Allocated Transactions'!$A:$A,"&gt;="&amp;J$19,'Allocated Transactions'!$A:$A,"&lt;="&amp;EOMONTH(J$19,0))+SUMIFS('Allocated Transactions'!$J:$J,'Allocated Transactions'!$D:$D,$B21,'Allocated Transactions'!$C:$C,$B$9,'Allocated Transactions'!$A:$A,"&gt;="&amp;J$19,'Allocated Transactions'!$A:$A,"&lt;="&amp;EOMONTH(J$19,0))+SUMIFS('Allocated Transactions'!$J:$J,'Allocated Transactions'!$D:$D,$B21,'Allocated Transactions'!$C:$C,$B$8,'Allocated Transactions'!$A:$A,"&gt;="&amp;J$19,'Allocated Transactions'!$A:$A,"&lt;="&amp;EOMONTH(J$19,0))+SUMIFS('Allocated Transactions'!$J:$J,'Allocated Transactions'!$D:$D,$B21,'Allocated Transactions'!$C:$C,$B$10,'Allocated Transactions'!$A:$A,"&gt;="&amp;J$19,'Allocated Transactions'!$A:$A,"&lt;="&amp;EOMONTH(J$19,0))+SUMIFS('Allocated Transactions'!$J:$J,'Allocated Transactions'!$D:$D,$B21,'Allocated Transactions'!$C:$C,$B$11,'Allocated Transactions'!$A:$A,"&gt;="&amp;J$19,'Allocated Transactions'!$A:$A,"&lt;="&amp;EOMONTH(J$19,0))+SUMIFS('Allocated Transactions'!$J:$J,'Allocated Transactions'!$D:$D,$B21,'Allocated Transactions'!$C:$C,$B$2,'Allocated Transactions'!$A:$A,"&gt;="&amp;J$19,'Allocated Transactions'!$A:$A,"&lt;="&amp;EOMONTH(J$19,0))+SUMIFS('Allocated Transactions'!$J:$J,'Allocated Transactions'!$D:$D,$B21,'Allocated Transactions'!$C:$C,$B$4,'Allocated Transactions'!$A:$A,"&gt;="&amp;J$19,'Allocated Transactions'!$A:$A,"&lt;="&amp;EOMONTH(J$19,0))+SUMIFS('Allocated Transactions'!$J:$J,'Allocated Transactions'!$D:$D,$B21,'Allocated Transactions'!$C:$C,$B$3,'Allocated Transactions'!$A:$A,"&gt;="&amp;J$19,'Allocated Transactions'!$A:$A,"&lt;="&amp;EOMONTH(J$19,0))+SUMIFS('Allocated Transactions'!$J:$J,'Allocated Transactions'!$D:$D,$B21,'Allocated Transactions'!$C:$C,$B$5,'Allocated Transactions'!$A:$A,"&gt;="&amp;J$19,'Allocated Transactions'!$A:$A,"&lt;="&amp;EOMONTH(J$19,0))+SUMIFS('Allocated Transactions'!$J:$J,'Allocated Transactions'!$D:$D,$B21,'Allocated Transactions'!$C:$C,$B$6,'Allocated Transactions'!$A:$A,"&gt;="&amp;J$19,'Allocated Transactions'!$A:$A,"&lt;="&amp;EOMONTH(J$19,0)))</f>
        <v>100308.7</v>
      </c>
      <c r="K21" s="84">
        <f>SUMPRODUCT(SUMIFS('Budget Data'!$J:$J,'Budget Data'!$E:$E,$B21,'Budget Data'!$C:$C,$B$7,'Budget Data'!$A:$A,"&gt;="&amp;K$19,'Budget Data'!$A:$A,"&lt;="&amp;EOMONTH(K$19,0))+SUMIFS('Budget Data'!$J:$J,'Budget Data'!$E:$E,$B21,'Budget Data'!$C:$C,$B$9,'Budget Data'!$A:$A,"&gt;="&amp;K$19,'Budget Data'!$A:$A,"&lt;="&amp;EOMONTH(K$19,0))+SUMIFS('Budget Data'!$J:$J,'Budget Data'!$E:$E,$B21,'Budget Data'!$C:$C,$B$8,'Budget Data'!$A:$A,"&gt;="&amp;K$19,'Budget Data'!$A:$A,"&lt;="&amp;EOMONTH(K$19,0))+SUMIFS('Budget Data'!$J:$J,'Budget Data'!$E:$E,$B21,'Budget Data'!$C:$C,$B$10,'Budget Data'!$A:$A,"&gt;="&amp;K$19,'Budget Data'!$A:$A,"&lt;="&amp;EOMONTH(K$19,0))+SUMIFS('Budget Data'!$J:$J,'Budget Data'!$E:$E,$B21,'Budget Data'!$C:$C,$B$11,'Budget Data'!$A:$A,"&gt;="&amp;K$19,'Budget Data'!$A:$A,"&lt;="&amp;EOMONTH(K$19,0))+SUMIFS('Budget Data'!$J:$J,'Budget Data'!$E:$E,$B21,'Budget Data'!$C:$C,$B$2,'Budget Data'!$A:$A,"&gt;="&amp;K$19,'Budget Data'!$A:$A,"&lt;="&amp;EOMONTH(K$19,0))+SUMIFS('Budget Data'!$J:$J,'Budget Data'!$E:$E,$B21,'Budget Data'!$C:$C,$B$4,'Budget Data'!$A:$A,"&gt;="&amp;K$19,'Budget Data'!$A:$A,"&lt;="&amp;EOMONTH(K$19,0))+SUMIFS('Budget Data'!$J:$J,'Budget Data'!$E:$E,$B21,'Budget Data'!$C:$C,$B$3,'Budget Data'!$A:$A,"&gt;="&amp;K$19,'Budget Data'!$A:$A,"&lt;="&amp;EOMONTH(K$19,0))+SUMIFS('Budget Data'!$J:$J,'Budget Data'!$E:$E,$B21,'Budget Data'!$C:$C,$B$5,'Budget Data'!$A:$A,"&gt;="&amp;K$19,'Budget Data'!$A:$A,"&lt;="&amp;EOMONTH(K$19,0))+SUMIFS('Budget Data'!$J:$J,'Budget Data'!$E:$E,$B21,'Budget Data'!$C:$C,$B$6,'Budget Data'!$A:$A,"&gt;="&amp;K$19,'Budget Data'!$A:$A,"&lt;="&amp;EOMONTH(K$19,0)))</f>
        <v>105324.13</v>
      </c>
      <c r="L21" s="83">
        <f>-SUMPRODUCT(SUMIFS('Allocated Transactions'!$J:$J,'Allocated Transactions'!$D:$D,$B21,'Allocated Transactions'!$C:$C,$B$7,'Allocated Transactions'!$A:$A,"&gt;="&amp;L$19,'Allocated Transactions'!$A:$A,"&lt;="&amp;EOMONTH(L$19,0))+SUMIFS('Allocated Transactions'!$J:$J,'Allocated Transactions'!$D:$D,$B21,'Allocated Transactions'!$C:$C,$B$9,'Allocated Transactions'!$A:$A,"&gt;="&amp;L$19,'Allocated Transactions'!$A:$A,"&lt;="&amp;EOMONTH(L$19,0))+SUMIFS('Allocated Transactions'!$J:$J,'Allocated Transactions'!$D:$D,$B21,'Allocated Transactions'!$C:$C,$B$8,'Allocated Transactions'!$A:$A,"&gt;="&amp;L$19,'Allocated Transactions'!$A:$A,"&lt;="&amp;EOMONTH(L$19,0))+SUMIFS('Allocated Transactions'!$J:$J,'Allocated Transactions'!$D:$D,$B21,'Allocated Transactions'!$C:$C,$B$10,'Allocated Transactions'!$A:$A,"&gt;="&amp;L$19,'Allocated Transactions'!$A:$A,"&lt;="&amp;EOMONTH(L$19,0))+SUMIFS('Allocated Transactions'!$J:$J,'Allocated Transactions'!$D:$D,$B21,'Allocated Transactions'!$C:$C,$B$11,'Allocated Transactions'!$A:$A,"&gt;="&amp;L$19,'Allocated Transactions'!$A:$A,"&lt;="&amp;EOMONTH(L$19,0))+SUMIFS('Allocated Transactions'!$J:$J,'Allocated Transactions'!$D:$D,$B21,'Allocated Transactions'!$C:$C,$B$2,'Allocated Transactions'!$A:$A,"&gt;="&amp;L$19,'Allocated Transactions'!$A:$A,"&lt;="&amp;EOMONTH(L$19,0))+SUMIFS('Allocated Transactions'!$J:$J,'Allocated Transactions'!$D:$D,$B21,'Allocated Transactions'!$C:$C,$B$4,'Allocated Transactions'!$A:$A,"&gt;="&amp;L$19,'Allocated Transactions'!$A:$A,"&lt;="&amp;EOMONTH(L$19,0))+SUMIFS('Allocated Transactions'!$J:$J,'Allocated Transactions'!$D:$D,$B21,'Allocated Transactions'!$C:$C,$B$3,'Allocated Transactions'!$A:$A,"&gt;="&amp;L$19,'Allocated Transactions'!$A:$A,"&lt;="&amp;EOMONTH(L$19,0))+SUMIFS('Allocated Transactions'!$J:$J,'Allocated Transactions'!$D:$D,$B21,'Allocated Transactions'!$C:$C,$B$5,'Allocated Transactions'!$A:$A,"&gt;="&amp;L$19,'Allocated Transactions'!$A:$A,"&lt;="&amp;EOMONTH(L$19,0))+SUMIFS('Allocated Transactions'!$J:$J,'Allocated Transactions'!$D:$D,$B21,'Allocated Transactions'!$C:$C,$B$6,'Allocated Transactions'!$A:$A,"&gt;="&amp;L$19,'Allocated Transactions'!$A:$A,"&lt;="&amp;EOMONTH(L$19,0)))</f>
        <v>128639.7099999999</v>
      </c>
      <c r="M21" s="84">
        <f>SUMPRODUCT(SUMIFS('Budget Data'!$J:$J,'Budget Data'!$E:$E,$B21,'Budget Data'!$C:$C,$B$7,'Budget Data'!$A:$A,"&gt;="&amp;M$19,'Budget Data'!$A:$A,"&lt;="&amp;EOMONTH(M$19,0))+SUMIFS('Budget Data'!$J:$J,'Budget Data'!$E:$E,$B21,'Budget Data'!$C:$C,$B$9,'Budget Data'!$A:$A,"&gt;="&amp;M$19,'Budget Data'!$A:$A,"&lt;="&amp;EOMONTH(M$19,0))+SUMIFS('Budget Data'!$J:$J,'Budget Data'!$E:$E,$B21,'Budget Data'!$C:$C,$B$8,'Budget Data'!$A:$A,"&gt;="&amp;M$19,'Budget Data'!$A:$A,"&lt;="&amp;EOMONTH(M$19,0))+SUMIFS('Budget Data'!$J:$J,'Budget Data'!$E:$E,$B21,'Budget Data'!$C:$C,$B$10,'Budget Data'!$A:$A,"&gt;="&amp;M$19,'Budget Data'!$A:$A,"&lt;="&amp;EOMONTH(M$19,0))+SUMIFS('Budget Data'!$J:$J,'Budget Data'!$E:$E,$B21,'Budget Data'!$C:$C,$B$11,'Budget Data'!$A:$A,"&gt;="&amp;M$19,'Budget Data'!$A:$A,"&lt;="&amp;EOMONTH(M$19,0))+SUMIFS('Budget Data'!$J:$J,'Budget Data'!$E:$E,$B21,'Budget Data'!$C:$C,$B$2,'Budget Data'!$A:$A,"&gt;="&amp;M$19,'Budget Data'!$A:$A,"&lt;="&amp;EOMONTH(M$19,0))+SUMIFS('Budget Data'!$J:$J,'Budget Data'!$E:$E,$B21,'Budget Data'!$C:$C,$B$4,'Budget Data'!$A:$A,"&gt;="&amp;M$19,'Budget Data'!$A:$A,"&lt;="&amp;EOMONTH(M$19,0))+SUMIFS('Budget Data'!$J:$J,'Budget Data'!$E:$E,$B21,'Budget Data'!$C:$C,$B$3,'Budget Data'!$A:$A,"&gt;="&amp;M$19,'Budget Data'!$A:$A,"&lt;="&amp;EOMONTH(M$19,0))+SUMIFS('Budget Data'!$J:$J,'Budget Data'!$E:$E,$B21,'Budget Data'!$C:$C,$B$5,'Budget Data'!$A:$A,"&gt;="&amp;M$19,'Budget Data'!$A:$A,"&lt;="&amp;EOMONTH(M$19,0))+SUMIFS('Budget Data'!$J:$J,'Budget Data'!$E:$E,$B21,'Budget Data'!$C:$C,$B$6,'Budget Data'!$A:$A,"&gt;="&amp;M$19,'Budget Data'!$A:$A,"&lt;="&amp;EOMONTH(M$19,0)))</f>
        <v>135071.70000000001</v>
      </c>
      <c r="N21" s="83">
        <f>-SUMPRODUCT(SUMIFS('Allocated Transactions'!$J:$J,'Allocated Transactions'!$D:$D,$B21,'Allocated Transactions'!$C:$C,$B$7,'Allocated Transactions'!$A:$A,"&gt;="&amp;N$19,'Allocated Transactions'!$A:$A,"&lt;="&amp;EOMONTH(N$19,0))+SUMIFS('Allocated Transactions'!$J:$J,'Allocated Transactions'!$D:$D,$B21,'Allocated Transactions'!$C:$C,$B$9,'Allocated Transactions'!$A:$A,"&gt;="&amp;N$19,'Allocated Transactions'!$A:$A,"&lt;="&amp;EOMONTH(N$19,0))+SUMIFS('Allocated Transactions'!$J:$J,'Allocated Transactions'!$D:$D,$B21,'Allocated Transactions'!$C:$C,$B$8,'Allocated Transactions'!$A:$A,"&gt;="&amp;N$19,'Allocated Transactions'!$A:$A,"&lt;="&amp;EOMONTH(N$19,0))+SUMIFS('Allocated Transactions'!$J:$J,'Allocated Transactions'!$D:$D,$B21,'Allocated Transactions'!$C:$C,$B$10,'Allocated Transactions'!$A:$A,"&gt;="&amp;N$19,'Allocated Transactions'!$A:$A,"&lt;="&amp;EOMONTH(N$19,0))+SUMIFS('Allocated Transactions'!$J:$J,'Allocated Transactions'!$D:$D,$B21,'Allocated Transactions'!$C:$C,$B$11,'Allocated Transactions'!$A:$A,"&gt;="&amp;N$19,'Allocated Transactions'!$A:$A,"&lt;="&amp;EOMONTH(N$19,0))+SUMIFS('Allocated Transactions'!$J:$J,'Allocated Transactions'!$D:$D,$B21,'Allocated Transactions'!$C:$C,$B$2,'Allocated Transactions'!$A:$A,"&gt;="&amp;N$19,'Allocated Transactions'!$A:$A,"&lt;="&amp;EOMONTH(N$19,0))+SUMIFS('Allocated Transactions'!$J:$J,'Allocated Transactions'!$D:$D,$B21,'Allocated Transactions'!$C:$C,$B$4,'Allocated Transactions'!$A:$A,"&gt;="&amp;N$19,'Allocated Transactions'!$A:$A,"&lt;="&amp;EOMONTH(N$19,0))+SUMIFS('Allocated Transactions'!$J:$J,'Allocated Transactions'!$D:$D,$B21,'Allocated Transactions'!$C:$C,$B$3,'Allocated Transactions'!$A:$A,"&gt;="&amp;N$19,'Allocated Transactions'!$A:$A,"&lt;="&amp;EOMONTH(N$19,0))+SUMIFS('Allocated Transactions'!$J:$J,'Allocated Transactions'!$D:$D,$B21,'Allocated Transactions'!$C:$C,$B$5,'Allocated Transactions'!$A:$A,"&gt;="&amp;N$19,'Allocated Transactions'!$A:$A,"&lt;="&amp;EOMONTH(N$19,0))+SUMIFS('Allocated Transactions'!$J:$J,'Allocated Transactions'!$D:$D,$B21,'Allocated Transactions'!$C:$C,$B$6,'Allocated Transactions'!$A:$A,"&gt;="&amp;N$19,'Allocated Transactions'!$A:$A,"&lt;="&amp;EOMONTH(N$19,0)))</f>
        <v>140749.22</v>
      </c>
      <c r="O21" s="84">
        <f>SUMPRODUCT(SUMIFS('Budget Data'!$J:$J,'Budget Data'!$E:$E,$B21,'Budget Data'!$C:$C,$B$7,'Budget Data'!$A:$A,"&gt;="&amp;O$19,'Budget Data'!$A:$A,"&lt;="&amp;EOMONTH(O$19,0))+SUMIFS('Budget Data'!$J:$J,'Budget Data'!$E:$E,$B21,'Budget Data'!$C:$C,$B$9,'Budget Data'!$A:$A,"&gt;="&amp;O$19,'Budget Data'!$A:$A,"&lt;="&amp;EOMONTH(O$19,0))+SUMIFS('Budget Data'!$J:$J,'Budget Data'!$E:$E,$B21,'Budget Data'!$C:$C,$B$8,'Budget Data'!$A:$A,"&gt;="&amp;O$19,'Budget Data'!$A:$A,"&lt;="&amp;EOMONTH(O$19,0))+SUMIFS('Budget Data'!$J:$J,'Budget Data'!$E:$E,$B21,'Budget Data'!$C:$C,$B$10,'Budget Data'!$A:$A,"&gt;="&amp;O$19,'Budget Data'!$A:$A,"&lt;="&amp;EOMONTH(O$19,0))+SUMIFS('Budget Data'!$J:$J,'Budget Data'!$E:$E,$B21,'Budget Data'!$C:$C,$B$11,'Budget Data'!$A:$A,"&gt;="&amp;O$19,'Budget Data'!$A:$A,"&lt;="&amp;EOMONTH(O$19,0))+SUMIFS('Budget Data'!$J:$J,'Budget Data'!$E:$E,$B21,'Budget Data'!$C:$C,$B$2,'Budget Data'!$A:$A,"&gt;="&amp;O$19,'Budget Data'!$A:$A,"&lt;="&amp;EOMONTH(O$19,0))+SUMIFS('Budget Data'!$J:$J,'Budget Data'!$E:$E,$B21,'Budget Data'!$C:$C,$B$4,'Budget Data'!$A:$A,"&gt;="&amp;O$19,'Budget Data'!$A:$A,"&lt;="&amp;EOMONTH(O$19,0))+SUMIFS('Budget Data'!$J:$J,'Budget Data'!$E:$E,$B21,'Budget Data'!$C:$C,$B$3,'Budget Data'!$A:$A,"&gt;="&amp;O$19,'Budget Data'!$A:$A,"&lt;="&amp;EOMONTH(O$19,0))+SUMIFS('Budget Data'!$J:$J,'Budget Data'!$E:$E,$B21,'Budget Data'!$C:$C,$B$5,'Budget Data'!$A:$A,"&gt;="&amp;O$19,'Budget Data'!$A:$A,"&lt;="&amp;EOMONTH(O$19,0))+SUMIFS('Budget Data'!$J:$J,'Budget Data'!$E:$E,$B21,'Budget Data'!$C:$C,$B$6,'Budget Data'!$A:$A,"&gt;="&amp;O$19,'Budget Data'!$A:$A,"&lt;="&amp;EOMONTH(O$19,0)))</f>
        <v>147786.68</v>
      </c>
      <c r="P21" s="83">
        <f>-SUMPRODUCT(SUMIFS('Allocated Transactions'!$J:$J,'Allocated Transactions'!$D:$D,$B21,'Allocated Transactions'!$C:$C,$B$7,'Allocated Transactions'!$A:$A,"&gt;="&amp;P$19,'Allocated Transactions'!$A:$A,"&lt;="&amp;EOMONTH(P$19,0))+SUMIFS('Allocated Transactions'!$J:$J,'Allocated Transactions'!$D:$D,$B21,'Allocated Transactions'!$C:$C,$B$9,'Allocated Transactions'!$A:$A,"&gt;="&amp;P$19,'Allocated Transactions'!$A:$A,"&lt;="&amp;EOMONTH(P$19,0))+SUMIFS('Allocated Transactions'!$J:$J,'Allocated Transactions'!$D:$D,$B21,'Allocated Transactions'!$C:$C,$B$8,'Allocated Transactions'!$A:$A,"&gt;="&amp;P$19,'Allocated Transactions'!$A:$A,"&lt;="&amp;EOMONTH(P$19,0))+SUMIFS('Allocated Transactions'!$J:$J,'Allocated Transactions'!$D:$D,$B21,'Allocated Transactions'!$C:$C,$B$10,'Allocated Transactions'!$A:$A,"&gt;="&amp;P$19,'Allocated Transactions'!$A:$A,"&lt;="&amp;EOMONTH(P$19,0))+SUMIFS('Allocated Transactions'!$J:$J,'Allocated Transactions'!$D:$D,$B21,'Allocated Transactions'!$C:$C,$B$11,'Allocated Transactions'!$A:$A,"&gt;="&amp;P$19,'Allocated Transactions'!$A:$A,"&lt;="&amp;EOMONTH(P$19,0))+SUMIFS('Allocated Transactions'!$J:$J,'Allocated Transactions'!$D:$D,$B21,'Allocated Transactions'!$C:$C,$B$2,'Allocated Transactions'!$A:$A,"&gt;="&amp;P$19,'Allocated Transactions'!$A:$A,"&lt;="&amp;EOMONTH(P$19,0))+SUMIFS('Allocated Transactions'!$J:$J,'Allocated Transactions'!$D:$D,$B21,'Allocated Transactions'!$C:$C,$B$4,'Allocated Transactions'!$A:$A,"&gt;="&amp;P$19,'Allocated Transactions'!$A:$A,"&lt;="&amp;EOMONTH(P$19,0))+SUMIFS('Allocated Transactions'!$J:$J,'Allocated Transactions'!$D:$D,$B21,'Allocated Transactions'!$C:$C,$B$3,'Allocated Transactions'!$A:$A,"&gt;="&amp;P$19,'Allocated Transactions'!$A:$A,"&lt;="&amp;EOMONTH(P$19,0))+SUMIFS('Allocated Transactions'!$J:$J,'Allocated Transactions'!$D:$D,$B21,'Allocated Transactions'!$C:$C,$B$5,'Allocated Transactions'!$A:$A,"&gt;="&amp;P$19,'Allocated Transactions'!$A:$A,"&lt;="&amp;EOMONTH(P$19,0))+SUMIFS('Allocated Transactions'!$J:$J,'Allocated Transactions'!$D:$D,$B21,'Allocated Transactions'!$C:$C,$B$6,'Allocated Transactions'!$A:$A,"&gt;="&amp;P$19,'Allocated Transactions'!$A:$A,"&lt;="&amp;EOMONTH(P$19,0)))</f>
        <v>104483.2800000001</v>
      </c>
      <c r="Q21" s="84">
        <f>SUMPRODUCT(SUMIFS('Budget Data'!$J:$J,'Budget Data'!$E:$E,$B21,'Budget Data'!$C:$C,$B$7,'Budget Data'!$A:$A,"&gt;="&amp;Q$19,'Budget Data'!$A:$A,"&lt;="&amp;EOMONTH(Q$19,0))+SUMIFS('Budget Data'!$J:$J,'Budget Data'!$E:$E,$B21,'Budget Data'!$C:$C,$B$9,'Budget Data'!$A:$A,"&gt;="&amp;Q$19,'Budget Data'!$A:$A,"&lt;="&amp;EOMONTH(Q$19,0))+SUMIFS('Budget Data'!$J:$J,'Budget Data'!$E:$E,$B21,'Budget Data'!$C:$C,$B$8,'Budget Data'!$A:$A,"&gt;="&amp;Q$19,'Budget Data'!$A:$A,"&lt;="&amp;EOMONTH(Q$19,0))+SUMIFS('Budget Data'!$J:$J,'Budget Data'!$E:$E,$B21,'Budget Data'!$C:$C,$B$10,'Budget Data'!$A:$A,"&gt;="&amp;Q$19,'Budget Data'!$A:$A,"&lt;="&amp;EOMONTH(Q$19,0))+SUMIFS('Budget Data'!$J:$J,'Budget Data'!$E:$E,$B21,'Budget Data'!$C:$C,$B$11,'Budget Data'!$A:$A,"&gt;="&amp;Q$19,'Budget Data'!$A:$A,"&lt;="&amp;EOMONTH(Q$19,0))+SUMIFS('Budget Data'!$J:$J,'Budget Data'!$E:$E,$B21,'Budget Data'!$C:$C,$B$2,'Budget Data'!$A:$A,"&gt;="&amp;Q$19,'Budget Data'!$A:$A,"&lt;="&amp;EOMONTH(Q$19,0))+SUMIFS('Budget Data'!$J:$J,'Budget Data'!$E:$E,$B21,'Budget Data'!$C:$C,$B$4,'Budget Data'!$A:$A,"&gt;="&amp;Q$19,'Budget Data'!$A:$A,"&lt;="&amp;EOMONTH(Q$19,0))+SUMIFS('Budget Data'!$J:$J,'Budget Data'!$E:$E,$B21,'Budget Data'!$C:$C,$B$3,'Budget Data'!$A:$A,"&gt;="&amp;Q$19,'Budget Data'!$A:$A,"&lt;="&amp;EOMONTH(Q$19,0))+SUMIFS('Budget Data'!$J:$J,'Budget Data'!$E:$E,$B21,'Budget Data'!$C:$C,$B$5,'Budget Data'!$A:$A,"&gt;="&amp;Q$19,'Budget Data'!$A:$A,"&lt;="&amp;EOMONTH(Q$19,0))+SUMIFS('Budget Data'!$J:$J,'Budget Data'!$E:$E,$B21,'Budget Data'!$C:$C,$B$6,'Budget Data'!$A:$A,"&gt;="&amp;Q$19,'Budget Data'!$A:$A,"&lt;="&amp;EOMONTH(Q$19,0)))</f>
        <v>109707.44000000002</v>
      </c>
      <c r="R21" s="83">
        <f>-SUMPRODUCT(SUMIFS('Allocated Transactions'!$J:$J,'Allocated Transactions'!$D:$D,$B21,'Allocated Transactions'!$C:$C,$B$7,'Allocated Transactions'!$A:$A,"&gt;="&amp;R$19,'Allocated Transactions'!$A:$A,"&lt;="&amp;EOMONTH(R$19,0))+SUMIFS('Allocated Transactions'!$J:$J,'Allocated Transactions'!$D:$D,$B21,'Allocated Transactions'!$C:$C,$B$9,'Allocated Transactions'!$A:$A,"&gt;="&amp;R$19,'Allocated Transactions'!$A:$A,"&lt;="&amp;EOMONTH(R$19,0))+SUMIFS('Allocated Transactions'!$J:$J,'Allocated Transactions'!$D:$D,$B21,'Allocated Transactions'!$C:$C,$B$8,'Allocated Transactions'!$A:$A,"&gt;="&amp;R$19,'Allocated Transactions'!$A:$A,"&lt;="&amp;EOMONTH(R$19,0))+SUMIFS('Allocated Transactions'!$J:$J,'Allocated Transactions'!$D:$D,$B21,'Allocated Transactions'!$C:$C,$B$10,'Allocated Transactions'!$A:$A,"&gt;="&amp;R$19,'Allocated Transactions'!$A:$A,"&lt;="&amp;EOMONTH(R$19,0))+SUMIFS('Allocated Transactions'!$J:$J,'Allocated Transactions'!$D:$D,$B21,'Allocated Transactions'!$C:$C,$B$11,'Allocated Transactions'!$A:$A,"&gt;="&amp;R$19,'Allocated Transactions'!$A:$A,"&lt;="&amp;EOMONTH(R$19,0))+SUMIFS('Allocated Transactions'!$J:$J,'Allocated Transactions'!$D:$D,$B21,'Allocated Transactions'!$C:$C,$B$2,'Allocated Transactions'!$A:$A,"&gt;="&amp;R$19,'Allocated Transactions'!$A:$A,"&lt;="&amp;EOMONTH(R$19,0))+SUMIFS('Allocated Transactions'!$J:$J,'Allocated Transactions'!$D:$D,$B21,'Allocated Transactions'!$C:$C,$B$4,'Allocated Transactions'!$A:$A,"&gt;="&amp;R$19,'Allocated Transactions'!$A:$A,"&lt;="&amp;EOMONTH(R$19,0))+SUMIFS('Allocated Transactions'!$J:$J,'Allocated Transactions'!$D:$D,$B21,'Allocated Transactions'!$C:$C,$B$3,'Allocated Transactions'!$A:$A,"&gt;="&amp;R$19,'Allocated Transactions'!$A:$A,"&lt;="&amp;EOMONTH(R$19,0))+SUMIFS('Allocated Transactions'!$J:$J,'Allocated Transactions'!$D:$D,$B21,'Allocated Transactions'!$C:$C,$B$5,'Allocated Transactions'!$A:$A,"&gt;="&amp;R$19,'Allocated Transactions'!$A:$A,"&lt;="&amp;EOMONTH(R$19,0))+SUMIFS('Allocated Transactions'!$J:$J,'Allocated Transactions'!$D:$D,$B21,'Allocated Transactions'!$C:$C,$B$6,'Allocated Transactions'!$A:$A,"&gt;="&amp;R$19,'Allocated Transactions'!$A:$A,"&lt;="&amp;EOMONTH(R$19,0)))</f>
        <v>143240.0100000001</v>
      </c>
      <c r="S21" s="84">
        <f>SUMPRODUCT(SUMIFS('Budget Data'!$J:$J,'Budget Data'!$E:$E,$B21,'Budget Data'!$C:$C,$B$7,'Budget Data'!$A:$A,"&gt;="&amp;S$19,'Budget Data'!$A:$A,"&lt;="&amp;EOMONTH(S$19,0))+SUMIFS('Budget Data'!$J:$J,'Budget Data'!$E:$E,$B21,'Budget Data'!$C:$C,$B$9,'Budget Data'!$A:$A,"&gt;="&amp;S$19,'Budget Data'!$A:$A,"&lt;="&amp;EOMONTH(S$19,0))+SUMIFS('Budget Data'!$J:$J,'Budget Data'!$E:$E,$B21,'Budget Data'!$C:$C,$B$8,'Budget Data'!$A:$A,"&gt;="&amp;S$19,'Budget Data'!$A:$A,"&lt;="&amp;EOMONTH(S$19,0))+SUMIFS('Budget Data'!$J:$J,'Budget Data'!$E:$E,$B21,'Budget Data'!$C:$C,$B$10,'Budget Data'!$A:$A,"&gt;="&amp;S$19,'Budget Data'!$A:$A,"&lt;="&amp;EOMONTH(S$19,0))+SUMIFS('Budget Data'!$J:$J,'Budget Data'!$E:$E,$B21,'Budget Data'!$C:$C,$B$11,'Budget Data'!$A:$A,"&gt;="&amp;S$19,'Budget Data'!$A:$A,"&lt;="&amp;EOMONTH(S$19,0))+SUMIFS('Budget Data'!$J:$J,'Budget Data'!$E:$E,$B21,'Budget Data'!$C:$C,$B$2,'Budget Data'!$A:$A,"&gt;="&amp;S$19,'Budget Data'!$A:$A,"&lt;="&amp;EOMONTH(S$19,0))+SUMIFS('Budget Data'!$J:$J,'Budget Data'!$E:$E,$B21,'Budget Data'!$C:$C,$B$4,'Budget Data'!$A:$A,"&gt;="&amp;S$19,'Budget Data'!$A:$A,"&lt;="&amp;EOMONTH(S$19,0))+SUMIFS('Budget Data'!$J:$J,'Budget Data'!$E:$E,$B21,'Budget Data'!$C:$C,$B$3,'Budget Data'!$A:$A,"&gt;="&amp;S$19,'Budget Data'!$A:$A,"&lt;="&amp;EOMONTH(S$19,0))+SUMIFS('Budget Data'!$J:$J,'Budget Data'!$E:$E,$B21,'Budget Data'!$C:$C,$B$5,'Budget Data'!$A:$A,"&gt;="&amp;S$19,'Budget Data'!$A:$A,"&lt;="&amp;EOMONTH(S$19,0))+SUMIFS('Budget Data'!$J:$J,'Budget Data'!$E:$E,$B21,'Budget Data'!$C:$C,$B$6,'Budget Data'!$A:$A,"&gt;="&amp;S$19,'Budget Data'!$A:$A,"&lt;="&amp;EOMONTH(S$19,0)))</f>
        <v>150402.00999999998</v>
      </c>
      <c r="T21" s="83">
        <f>-SUMPRODUCT(SUMIFS('Allocated Transactions'!$J:$J,'Allocated Transactions'!$D:$D,$B21,'Allocated Transactions'!$C:$C,$B$7,'Allocated Transactions'!$A:$A,"&gt;="&amp;T$19,'Allocated Transactions'!$A:$A,"&lt;="&amp;EOMONTH(T$19,0))+SUMIFS('Allocated Transactions'!$J:$J,'Allocated Transactions'!$D:$D,$B21,'Allocated Transactions'!$C:$C,$B$9,'Allocated Transactions'!$A:$A,"&gt;="&amp;T$19,'Allocated Transactions'!$A:$A,"&lt;="&amp;EOMONTH(T$19,0))+SUMIFS('Allocated Transactions'!$J:$J,'Allocated Transactions'!$D:$D,$B21,'Allocated Transactions'!$C:$C,$B$8,'Allocated Transactions'!$A:$A,"&gt;="&amp;T$19,'Allocated Transactions'!$A:$A,"&lt;="&amp;EOMONTH(T$19,0))+SUMIFS('Allocated Transactions'!$J:$J,'Allocated Transactions'!$D:$D,$B21,'Allocated Transactions'!$C:$C,$B$10,'Allocated Transactions'!$A:$A,"&gt;="&amp;T$19,'Allocated Transactions'!$A:$A,"&lt;="&amp;EOMONTH(T$19,0))+SUMIFS('Allocated Transactions'!$J:$J,'Allocated Transactions'!$D:$D,$B21,'Allocated Transactions'!$C:$C,$B$11,'Allocated Transactions'!$A:$A,"&gt;="&amp;T$19,'Allocated Transactions'!$A:$A,"&lt;="&amp;EOMONTH(T$19,0))+SUMIFS('Allocated Transactions'!$J:$J,'Allocated Transactions'!$D:$D,$B21,'Allocated Transactions'!$C:$C,$B$2,'Allocated Transactions'!$A:$A,"&gt;="&amp;T$19,'Allocated Transactions'!$A:$A,"&lt;="&amp;EOMONTH(T$19,0))+SUMIFS('Allocated Transactions'!$J:$J,'Allocated Transactions'!$D:$D,$B21,'Allocated Transactions'!$C:$C,$B$4,'Allocated Transactions'!$A:$A,"&gt;="&amp;T$19,'Allocated Transactions'!$A:$A,"&lt;="&amp;EOMONTH(T$19,0))+SUMIFS('Allocated Transactions'!$J:$J,'Allocated Transactions'!$D:$D,$B21,'Allocated Transactions'!$C:$C,$B$3,'Allocated Transactions'!$A:$A,"&gt;="&amp;T$19,'Allocated Transactions'!$A:$A,"&lt;="&amp;EOMONTH(T$19,0))+SUMIFS('Allocated Transactions'!$J:$J,'Allocated Transactions'!$D:$D,$B21,'Allocated Transactions'!$C:$C,$B$5,'Allocated Transactions'!$A:$A,"&gt;="&amp;T$19,'Allocated Transactions'!$A:$A,"&lt;="&amp;EOMONTH(T$19,0))+SUMIFS('Allocated Transactions'!$J:$J,'Allocated Transactions'!$D:$D,$B21,'Allocated Transactions'!$C:$C,$B$6,'Allocated Transactions'!$A:$A,"&gt;="&amp;T$19,'Allocated Transactions'!$A:$A,"&lt;="&amp;EOMONTH(T$19,0)))</f>
        <v>105585.04999999999</v>
      </c>
      <c r="U21" s="84">
        <f>SUMPRODUCT(SUMIFS('Budget Data'!$J:$J,'Budget Data'!$E:$E,$B21,'Budget Data'!$C:$C,$B$7,'Budget Data'!$A:$A,"&gt;="&amp;U$19,'Budget Data'!$A:$A,"&lt;="&amp;EOMONTH(U$19,0))+SUMIFS('Budget Data'!$J:$J,'Budget Data'!$E:$E,$B21,'Budget Data'!$C:$C,$B$9,'Budget Data'!$A:$A,"&gt;="&amp;U$19,'Budget Data'!$A:$A,"&lt;="&amp;EOMONTH(U$19,0))+SUMIFS('Budget Data'!$J:$J,'Budget Data'!$E:$E,$B21,'Budget Data'!$C:$C,$B$8,'Budget Data'!$A:$A,"&gt;="&amp;U$19,'Budget Data'!$A:$A,"&lt;="&amp;EOMONTH(U$19,0))+SUMIFS('Budget Data'!$J:$J,'Budget Data'!$E:$E,$B21,'Budget Data'!$C:$C,$B$10,'Budget Data'!$A:$A,"&gt;="&amp;U$19,'Budget Data'!$A:$A,"&lt;="&amp;EOMONTH(U$19,0))+SUMIFS('Budget Data'!$J:$J,'Budget Data'!$E:$E,$B21,'Budget Data'!$C:$C,$B$11,'Budget Data'!$A:$A,"&gt;="&amp;U$19,'Budget Data'!$A:$A,"&lt;="&amp;EOMONTH(U$19,0))+SUMIFS('Budget Data'!$J:$J,'Budget Data'!$E:$E,$B21,'Budget Data'!$C:$C,$B$2,'Budget Data'!$A:$A,"&gt;="&amp;U$19,'Budget Data'!$A:$A,"&lt;="&amp;EOMONTH(U$19,0))+SUMIFS('Budget Data'!$J:$J,'Budget Data'!$E:$E,$B21,'Budget Data'!$C:$C,$B$4,'Budget Data'!$A:$A,"&gt;="&amp;U$19,'Budget Data'!$A:$A,"&lt;="&amp;EOMONTH(U$19,0))+SUMIFS('Budget Data'!$J:$J,'Budget Data'!$E:$E,$B21,'Budget Data'!$C:$C,$B$3,'Budget Data'!$A:$A,"&gt;="&amp;U$19,'Budget Data'!$A:$A,"&lt;="&amp;EOMONTH(U$19,0))+SUMIFS('Budget Data'!$J:$J,'Budget Data'!$E:$E,$B21,'Budget Data'!$C:$C,$B$5,'Budget Data'!$A:$A,"&gt;="&amp;U$19,'Budget Data'!$A:$A,"&lt;="&amp;EOMONTH(U$19,0))+SUMIFS('Budget Data'!$J:$J,'Budget Data'!$E:$E,$B21,'Budget Data'!$C:$C,$B$6,'Budget Data'!$A:$A,"&gt;="&amp;U$19,'Budget Data'!$A:$A,"&lt;="&amp;EOMONTH(U$19,0)))</f>
        <v>110864.3</v>
      </c>
      <c r="V21" s="83">
        <f>-SUMPRODUCT(SUMIFS('Allocated Transactions'!$J:$J,'Allocated Transactions'!$D:$D,$B21,'Allocated Transactions'!$C:$C,$B$7,'Allocated Transactions'!$A:$A,"&gt;="&amp;V$19,'Allocated Transactions'!$A:$A,"&lt;="&amp;EOMONTH(V$19,0))+SUMIFS('Allocated Transactions'!$J:$J,'Allocated Transactions'!$D:$D,$B21,'Allocated Transactions'!$C:$C,$B$9,'Allocated Transactions'!$A:$A,"&gt;="&amp;V$19,'Allocated Transactions'!$A:$A,"&lt;="&amp;EOMONTH(V$19,0))+SUMIFS('Allocated Transactions'!$J:$J,'Allocated Transactions'!$D:$D,$B21,'Allocated Transactions'!$C:$C,$B$8,'Allocated Transactions'!$A:$A,"&gt;="&amp;V$19,'Allocated Transactions'!$A:$A,"&lt;="&amp;EOMONTH(V$19,0))+SUMIFS('Allocated Transactions'!$J:$J,'Allocated Transactions'!$D:$D,$B21,'Allocated Transactions'!$C:$C,$B$10,'Allocated Transactions'!$A:$A,"&gt;="&amp;V$19,'Allocated Transactions'!$A:$A,"&lt;="&amp;EOMONTH(V$19,0))+SUMIFS('Allocated Transactions'!$J:$J,'Allocated Transactions'!$D:$D,$B21,'Allocated Transactions'!$C:$C,$B$11,'Allocated Transactions'!$A:$A,"&gt;="&amp;V$19,'Allocated Transactions'!$A:$A,"&lt;="&amp;EOMONTH(V$19,0))+SUMIFS('Allocated Transactions'!$J:$J,'Allocated Transactions'!$D:$D,$B21,'Allocated Transactions'!$C:$C,$B$2,'Allocated Transactions'!$A:$A,"&gt;="&amp;V$19,'Allocated Transactions'!$A:$A,"&lt;="&amp;EOMONTH(V$19,0))+SUMIFS('Allocated Transactions'!$J:$J,'Allocated Transactions'!$D:$D,$B21,'Allocated Transactions'!$C:$C,$B$4,'Allocated Transactions'!$A:$A,"&gt;="&amp;V$19,'Allocated Transactions'!$A:$A,"&lt;="&amp;EOMONTH(V$19,0))+SUMIFS('Allocated Transactions'!$J:$J,'Allocated Transactions'!$D:$D,$B21,'Allocated Transactions'!$C:$C,$B$3,'Allocated Transactions'!$A:$A,"&gt;="&amp;V$19,'Allocated Transactions'!$A:$A,"&lt;="&amp;EOMONTH(V$19,0))+SUMIFS('Allocated Transactions'!$J:$J,'Allocated Transactions'!$D:$D,$B21,'Allocated Transactions'!$C:$C,$B$5,'Allocated Transactions'!$A:$A,"&gt;="&amp;V$19,'Allocated Transactions'!$A:$A,"&lt;="&amp;EOMONTH(V$19,0))+SUMIFS('Allocated Transactions'!$J:$J,'Allocated Transactions'!$D:$D,$B21,'Allocated Transactions'!$C:$C,$B$6,'Allocated Transactions'!$A:$A,"&gt;="&amp;V$19,'Allocated Transactions'!$A:$A,"&lt;="&amp;EOMONTH(V$19,0)))</f>
        <v>108008.70000000001</v>
      </c>
      <c r="W21" s="84">
        <f>SUMPRODUCT(SUMIFS('Budget Data'!$J:$J,'Budget Data'!$E:$E,$B21,'Budget Data'!$C:$C,$B$7,'Budget Data'!$A:$A,"&gt;="&amp;W$19,'Budget Data'!$A:$A,"&lt;="&amp;EOMONTH(W$19,0))+SUMIFS('Budget Data'!$J:$J,'Budget Data'!$E:$E,$B21,'Budget Data'!$C:$C,$B$9,'Budget Data'!$A:$A,"&gt;="&amp;W$19,'Budget Data'!$A:$A,"&lt;="&amp;EOMONTH(W$19,0))+SUMIFS('Budget Data'!$J:$J,'Budget Data'!$E:$E,$B21,'Budget Data'!$C:$C,$B$8,'Budget Data'!$A:$A,"&gt;="&amp;W$19,'Budget Data'!$A:$A,"&lt;="&amp;EOMONTH(W$19,0))+SUMIFS('Budget Data'!$J:$J,'Budget Data'!$E:$E,$B21,'Budget Data'!$C:$C,$B$10,'Budget Data'!$A:$A,"&gt;="&amp;W$19,'Budget Data'!$A:$A,"&lt;="&amp;EOMONTH(W$19,0))+SUMIFS('Budget Data'!$J:$J,'Budget Data'!$E:$E,$B21,'Budget Data'!$C:$C,$B$11,'Budget Data'!$A:$A,"&gt;="&amp;W$19,'Budget Data'!$A:$A,"&lt;="&amp;EOMONTH(W$19,0))+SUMIFS('Budget Data'!$J:$J,'Budget Data'!$E:$E,$B21,'Budget Data'!$C:$C,$B$2,'Budget Data'!$A:$A,"&gt;="&amp;W$19,'Budget Data'!$A:$A,"&lt;="&amp;EOMONTH(W$19,0))+SUMIFS('Budget Data'!$J:$J,'Budget Data'!$E:$E,$B21,'Budget Data'!$C:$C,$B$4,'Budget Data'!$A:$A,"&gt;="&amp;W$19,'Budget Data'!$A:$A,"&lt;="&amp;EOMONTH(W$19,0))+SUMIFS('Budget Data'!$J:$J,'Budget Data'!$E:$E,$B21,'Budget Data'!$C:$C,$B$3,'Budget Data'!$A:$A,"&gt;="&amp;W$19,'Budget Data'!$A:$A,"&lt;="&amp;EOMONTH(W$19,0))+SUMIFS('Budget Data'!$J:$J,'Budget Data'!$E:$E,$B21,'Budget Data'!$C:$C,$B$5,'Budget Data'!$A:$A,"&gt;="&amp;W$19,'Budget Data'!$A:$A,"&lt;="&amp;EOMONTH(W$19,0))+SUMIFS('Budget Data'!$J:$J,'Budget Data'!$E:$E,$B21,'Budget Data'!$C:$C,$B$6,'Budget Data'!$A:$A,"&gt;="&amp;W$19,'Budget Data'!$A:$A,"&lt;="&amp;EOMONTH(W$19,0)))</f>
        <v>113409.13</v>
      </c>
      <c r="X21" s="83">
        <f>-SUMPRODUCT(SUMIFS('Allocated Transactions'!$J:$J,'Allocated Transactions'!$D:$D,$B21,'Allocated Transactions'!$C:$C,$B$7,'Allocated Transactions'!$A:$A,"&gt;="&amp;X$19,'Allocated Transactions'!$A:$A,"&lt;="&amp;EOMONTH(X$19,0))+SUMIFS('Allocated Transactions'!$J:$J,'Allocated Transactions'!$D:$D,$B21,'Allocated Transactions'!$C:$C,$B$9,'Allocated Transactions'!$A:$A,"&gt;="&amp;X$19,'Allocated Transactions'!$A:$A,"&lt;="&amp;EOMONTH(X$19,0))+SUMIFS('Allocated Transactions'!$J:$J,'Allocated Transactions'!$D:$D,$B21,'Allocated Transactions'!$C:$C,$B$8,'Allocated Transactions'!$A:$A,"&gt;="&amp;X$19,'Allocated Transactions'!$A:$A,"&lt;="&amp;EOMONTH(X$19,0))+SUMIFS('Allocated Transactions'!$J:$J,'Allocated Transactions'!$D:$D,$B21,'Allocated Transactions'!$C:$C,$B$10,'Allocated Transactions'!$A:$A,"&gt;="&amp;X$19,'Allocated Transactions'!$A:$A,"&lt;="&amp;EOMONTH(X$19,0))+SUMIFS('Allocated Transactions'!$J:$J,'Allocated Transactions'!$D:$D,$B21,'Allocated Transactions'!$C:$C,$B$11,'Allocated Transactions'!$A:$A,"&gt;="&amp;X$19,'Allocated Transactions'!$A:$A,"&lt;="&amp;EOMONTH(X$19,0))+SUMIFS('Allocated Transactions'!$J:$J,'Allocated Transactions'!$D:$D,$B21,'Allocated Transactions'!$C:$C,$B$2,'Allocated Transactions'!$A:$A,"&gt;="&amp;X$19,'Allocated Transactions'!$A:$A,"&lt;="&amp;EOMONTH(X$19,0))+SUMIFS('Allocated Transactions'!$J:$J,'Allocated Transactions'!$D:$D,$B21,'Allocated Transactions'!$C:$C,$B$4,'Allocated Transactions'!$A:$A,"&gt;="&amp;X$19,'Allocated Transactions'!$A:$A,"&lt;="&amp;EOMONTH(X$19,0))+SUMIFS('Allocated Transactions'!$J:$J,'Allocated Transactions'!$D:$D,$B21,'Allocated Transactions'!$C:$C,$B$3,'Allocated Transactions'!$A:$A,"&gt;="&amp;X$19,'Allocated Transactions'!$A:$A,"&lt;="&amp;EOMONTH(X$19,0))+SUMIFS('Allocated Transactions'!$J:$J,'Allocated Transactions'!$D:$D,$B21,'Allocated Transactions'!$C:$C,$B$5,'Allocated Transactions'!$A:$A,"&gt;="&amp;X$19,'Allocated Transactions'!$A:$A,"&lt;="&amp;EOMONTH(X$19,0))+SUMIFS('Allocated Transactions'!$J:$J,'Allocated Transactions'!$D:$D,$B21,'Allocated Transactions'!$C:$C,$B$6,'Allocated Transactions'!$A:$A,"&gt;="&amp;X$19,'Allocated Transactions'!$A:$A,"&lt;="&amp;EOMONTH(X$19,0)))</f>
        <v>123383.3299999999</v>
      </c>
      <c r="Y21" s="84">
        <f>SUMPRODUCT(SUMIFS('Budget Data'!$J:$J,'Budget Data'!$E:$E,$B21,'Budget Data'!$C:$C,$B$7,'Budget Data'!$A:$A,"&gt;="&amp;Y$19,'Budget Data'!$A:$A,"&lt;="&amp;EOMONTH(Y$19,0))+SUMIFS('Budget Data'!$J:$J,'Budget Data'!$E:$E,$B21,'Budget Data'!$C:$C,$B$9,'Budget Data'!$A:$A,"&gt;="&amp;Y$19,'Budget Data'!$A:$A,"&lt;="&amp;EOMONTH(Y$19,0))+SUMIFS('Budget Data'!$J:$J,'Budget Data'!$E:$E,$B21,'Budget Data'!$C:$C,$B$8,'Budget Data'!$A:$A,"&gt;="&amp;Y$19,'Budget Data'!$A:$A,"&lt;="&amp;EOMONTH(Y$19,0))+SUMIFS('Budget Data'!$J:$J,'Budget Data'!$E:$E,$B21,'Budget Data'!$C:$C,$B$10,'Budget Data'!$A:$A,"&gt;="&amp;Y$19,'Budget Data'!$A:$A,"&lt;="&amp;EOMONTH(Y$19,0))+SUMIFS('Budget Data'!$J:$J,'Budget Data'!$E:$E,$B21,'Budget Data'!$C:$C,$B$11,'Budget Data'!$A:$A,"&gt;="&amp;Y$19,'Budget Data'!$A:$A,"&lt;="&amp;EOMONTH(Y$19,0))+SUMIFS('Budget Data'!$J:$J,'Budget Data'!$E:$E,$B21,'Budget Data'!$C:$C,$B$2,'Budget Data'!$A:$A,"&gt;="&amp;Y$19,'Budget Data'!$A:$A,"&lt;="&amp;EOMONTH(Y$19,0))+SUMIFS('Budget Data'!$J:$J,'Budget Data'!$E:$E,$B21,'Budget Data'!$C:$C,$B$4,'Budget Data'!$A:$A,"&gt;="&amp;Y$19,'Budget Data'!$A:$A,"&lt;="&amp;EOMONTH(Y$19,0))+SUMIFS('Budget Data'!$J:$J,'Budget Data'!$E:$E,$B21,'Budget Data'!$C:$C,$B$3,'Budget Data'!$A:$A,"&gt;="&amp;Y$19,'Budget Data'!$A:$A,"&lt;="&amp;EOMONTH(Y$19,0))+SUMIFS('Budget Data'!$J:$J,'Budget Data'!$E:$E,$B21,'Budget Data'!$C:$C,$B$5,'Budget Data'!$A:$A,"&gt;="&amp;Y$19,'Budget Data'!$A:$A,"&lt;="&amp;EOMONTH(Y$19,0))+SUMIFS('Budget Data'!$J:$J,'Budget Data'!$E:$E,$B21,'Budget Data'!$C:$C,$B$6,'Budget Data'!$A:$A,"&gt;="&amp;Y$19,'Budget Data'!$A:$A,"&lt;="&amp;EOMONTH(Y$19,0)))</f>
        <v>129552.5</v>
      </c>
      <c r="Z21" s="83">
        <f>-SUMPRODUCT(SUMIFS('Allocated Transactions'!$J:$J,'Allocated Transactions'!$D:$D,$B21,'Allocated Transactions'!$C:$C,$B$7,'Allocated Transactions'!$A:$A,"&gt;="&amp;Z$19,'Allocated Transactions'!$A:$A,"&lt;="&amp;EOMONTH(Z$19,0))+SUMIFS('Allocated Transactions'!$J:$J,'Allocated Transactions'!$D:$D,$B21,'Allocated Transactions'!$C:$C,$B$9,'Allocated Transactions'!$A:$A,"&gt;="&amp;Z$19,'Allocated Transactions'!$A:$A,"&lt;="&amp;EOMONTH(Z$19,0))+SUMIFS('Allocated Transactions'!$J:$J,'Allocated Transactions'!$D:$D,$B21,'Allocated Transactions'!$C:$C,$B$8,'Allocated Transactions'!$A:$A,"&gt;="&amp;Z$19,'Allocated Transactions'!$A:$A,"&lt;="&amp;EOMONTH(Z$19,0))+SUMIFS('Allocated Transactions'!$J:$J,'Allocated Transactions'!$D:$D,$B21,'Allocated Transactions'!$C:$C,$B$10,'Allocated Transactions'!$A:$A,"&gt;="&amp;Z$19,'Allocated Transactions'!$A:$A,"&lt;="&amp;EOMONTH(Z$19,0))+SUMIFS('Allocated Transactions'!$J:$J,'Allocated Transactions'!$D:$D,$B21,'Allocated Transactions'!$C:$C,$B$11,'Allocated Transactions'!$A:$A,"&gt;="&amp;Z$19,'Allocated Transactions'!$A:$A,"&lt;="&amp;EOMONTH(Z$19,0))+SUMIFS('Allocated Transactions'!$J:$J,'Allocated Transactions'!$D:$D,$B21,'Allocated Transactions'!$C:$C,$B$2,'Allocated Transactions'!$A:$A,"&gt;="&amp;Z$19,'Allocated Transactions'!$A:$A,"&lt;="&amp;EOMONTH(Z$19,0))+SUMIFS('Allocated Transactions'!$J:$J,'Allocated Transactions'!$D:$D,$B21,'Allocated Transactions'!$C:$C,$B$4,'Allocated Transactions'!$A:$A,"&gt;="&amp;Z$19,'Allocated Transactions'!$A:$A,"&lt;="&amp;EOMONTH(Z$19,0))+SUMIFS('Allocated Transactions'!$J:$J,'Allocated Transactions'!$D:$D,$B21,'Allocated Transactions'!$C:$C,$B$3,'Allocated Transactions'!$A:$A,"&gt;="&amp;Z$19,'Allocated Transactions'!$A:$A,"&lt;="&amp;EOMONTH(Z$19,0))+SUMIFS('Allocated Transactions'!$J:$J,'Allocated Transactions'!$D:$D,$B21,'Allocated Transactions'!$C:$C,$B$5,'Allocated Transactions'!$A:$A,"&gt;="&amp;Z$19,'Allocated Transactions'!$A:$A,"&lt;="&amp;EOMONTH(Z$19,0))+SUMIFS('Allocated Transactions'!$J:$J,'Allocated Transactions'!$D:$D,$B21,'Allocated Transactions'!$C:$C,$B$6,'Allocated Transactions'!$A:$A,"&gt;="&amp;Z$19,'Allocated Transactions'!$A:$A,"&lt;="&amp;EOMONTH(Z$19,0)))</f>
        <v>125032.33999999989</v>
      </c>
      <c r="AA21" s="84">
        <f>SUMPRODUCT(SUMIFS('Budget Data'!$J:$J,'Budget Data'!$E:$E,$B21,'Budget Data'!$C:$C,$B$7,'Budget Data'!$A:$A,"&gt;="&amp;AA$19,'Budget Data'!$A:$A,"&lt;="&amp;EOMONTH(AA$19,0))+SUMIFS('Budget Data'!$J:$J,'Budget Data'!$E:$E,$B21,'Budget Data'!$C:$C,$B$9,'Budget Data'!$A:$A,"&gt;="&amp;AA$19,'Budget Data'!$A:$A,"&lt;="&amp;EOMONTH(AA$19,0))+SUMIFS('Budget Data'!$J:$J,'Budget Data'!$E:$E,$B21,'Budget Data'!$C:$C,$B$8,'Budget Data'!$A:$A,"&gt;="&amp;AA$19,'Budget Data'!$A:$A,"&lt;="&amp;EOMONTH(AA$19,0))+SUMIFS('Budget Data'!$J:$J,'Budget Data'!$E:$E,$B21,'Budget Data'!$C:$C,$B$10,'Budget Data'!$A:$A,"&gt;="&amp;AA$19,'Budget Data'!$A:$A,"&lt;="&amp;EOMONTH(AA$19,0))+SUMIFS('Budget Data'!$J:$J,'Budget Data'!$E:$E,$B21,'Budget Data'!$C:$C,$B$11,'Budget Data'!$A:$A,"&gt;="&amp;AA$19,'Budget Data'!$A:$A,"&lt;="&amp;EOMONTH(AA$19,0))+SUMIFS('Budget Data'!$J:$J,'Budget Data'!$E:$E,$B21,'Budget Data'!$C:$C,$B$2,'Budget Data'!$A:$A,"&gt;="&amp;AA$19,'Budget Data'!$A:$A,"&lt;="&amp;EOMONTH(AA$19,0))+SUMIFS('Budget Data'!$J:$J,'Budget Data'!$E:$E,$B21,'Budget Data'!$C:$C,$B$4,'Budget Data'!$A:$A,"&gt;="&amp;AA$19,'Budget Data'!$A:$A,"&lt;="&amp;EOMONTH(AA$19,0))+SUMIFS('Budget Data'!$J:$J,'Budget Data'!$E:$E,$B21,'Budget Data'!$C:$C,$B$3,'Budget Data'!$A:$A,"&gt;="&amp;AA$19,'Budget Data'!$A:$A,"&lt;="&amp;EOMONTH(AA$19,0))+SUMIFS('Budget Data'!$J:$J,'Budget Data'!$E:$E,$B21,'Budget Data'!$C:$C,$B$5,'Budget Data'!$A:$A,"&gt;="&amp;AA$19,'Budget Data'!$A:$A,"&lt;="&amp;EOMONTH(AA$19,0))+SUMIFS('Budget Data'!$J:$J,'Budget Data'!$E:$E,$B21,'Budget Data'!$C:$C,$B$6,'Budget Data'!$A:$A,"&gt;="&amp;AA$19,'Budget Data'!$A:$A,"&lt;="&amp;EOMONTH(AA$19,0)))</f>
        <v>131283.96000000002</v>
      </c>
      <c r="AC21" s="85">
        <f t="shared" ref="AC21:AD26" si="0">SUMIF($D$18:$AA$18,AC$18,$D21:$AA21)</f>
        <v>1480343.2699999998</v>
      </c>
      <c r="AD21" s="84">
        <f t="shared" si="0"/>
        <v>1554360.4299999997</v>
      </c>
    </row>
    <row r="22" spans="2:30" ht="15" customHeight="1">
      <c r="B22" s="12" t="str">
        <v>4010</v>
      </c>
      <c r="C22" s="160" t="str">
        <f>_xlfn.XLOOKUP(B22,'Allocated Transactions'!D:D,'Allocated Transactions'!E:E,"")</f>
        <v>Grant Revenue - Federal</v>
      </c>
      <c r="D22" s="86">
        <f>-SUMPRODUCT(SUMIFS('Allocated Transactions'!$J:$J,'Allocated Transactions'!$D:$D,$B22,'Allocated Transactions'!$C:$C,$B$7,'Allocated Transactions'!$A:$A,"&gt;="&amp;D$19,'Allocated Transactions'!$A:$A,"&lt;="&amp;EOMONTH(D$19,0))+SUMIFS('Allocated Transactions'!$J:$J,'Allocated Transactions'!$D:$D,$B22,'Allocated Transactions'!$C:$C,$B$9,'Allocated Transactions'!$A:$A,"&gt;="&amp;D$19,'Allocated Transactions'!$A:$A,"&lt;="&amp;EOMONTH(D$19,0))+SUMIFS('Allocated Transactions'!$J:$J,'Allocated Transactions'!$D:$D,$B22,'Allocated Transactions'!$C:$C,$B$8,'Allocated Transactions'!$A:$A,"&gt;="&amp;D$19,'Allocated Transactions'!$A:$A,"&lt;="&amp;EOMONTH(D$19,0))+SUMIFS('Allocated Transactions'!$J:$J,'Allocated Transactions'!$D:$D,$B22,'Allocated Transactions'!$C:$C,$B$10,'Allocated Transactions'!$A:$A,"&gt;="&amp;D$19,'Allocated Transactions'!$A:$A,"&lt;="&amp;EOMONTH(D$19,0))+SUMIFS('Allocated Transactions'!$J:$J,'Allocated Transactions'!$D:$D,$B22,'Allocated Transactions'!$C:$C,$B$11,'Allocated Transactions'!$A:$A,"&gt;="&amp;D$19,'Allocated Transactions'!$A:$A,"&lt;="&amp;EOMONTH(D$19,0))+SUMIFS('Allocated Transactions'!$J:$J,'Allocated Transactions'!$D:$D,$B22,'Allocated Transactions'!$C:$C,$B$2,'Allocated Transactions'!$A:$A,"&gt;="&amp;D$19,'Allocated Transactions'!$A:$A,"&lt;="&amp;EOMONTH(D$19,0))+SUMIFS('Allocated Transactions'!$J:$J,'Allocated Transactions'!$D:$D,$B22,'Allocated Transactions'!$C:$C,$B$4,'Allocated Transactions'!$A:$A,"&gt;="&amp;D$19,'Allocated Transactions'!$A:$A,"&lt;="&amp;EOMONTH(D$19,0))+SUMIFS('Allocated Transactions'!$J:$J,'Allocated Transactions'!$D:$D,$B22,'Allocated Transactions'!$C:$C,$B$3,'Allocated Transactions'!$A:$A,"&gt;="&amp;D$19,'Allocated Transactions'!$A:$A,"&lt;="&amp;EOMONTH(D$19,0))+SUMIFS('Allocated Transactions'!$J:$J,'Allocated Transactions'!$D:$D,$B22,'Allocated Transactions'!$C:$C,$B$5,'Allocated Transactions'!$A:$A,"&gt;="&amp;D$19,'Allocated Transactions'!$A:$A,"&lt;="&amp;EOMONTH(D$19,0))+SUMIFS('Allocated Transactions'!$J:$J,'Allocated Transactions'!$D:$D,$B22,'Allocated Transactions'!$C:$C,$B$6,'Allocated Transactions'!$A:$A,"&gt;="&amp;D$19,'Allocated Transactions'!$A:$A,"&lt;="&amp;EOMONTH(D$19,0)))</f>
        <v>53909.540000000059</v>
      </c>
      <c r="E22" s="84">
        <f>SUMPRODUCT(SUMIFS('Budget Data'!$J:$J,'Budget Data'!$E:$E,$B22,'Budget Data'!$C:$C,$B$7,'Budget Data'!$A:$A,"&gt;="&amp;E$19,'Budget Data'!$A:$A,"&lt;="&amp;EOMONTH(E$19,0))+SUMIFS('Budget Data'!$J:$J,'Budget Data'!$E:$E,$B22,'Budget Data'!$C:$C,$B$9,'Budget Data'!$A:$A,"&gt;="&amp;E$19,'Budget Data'!$A:$A,"&lt;="&amp;EOMONTH(E$19,0))+SUMIFS('Budget Data'!$J:$J,'Budget Data'!$E:$E,$B22,'Budget Data'!$C:$C,$B$8,'Budget Data'!$A:$A,"&gt;="&amp;E$19,'Budget Data'!$A:$A,"&lt;="&amp;EOMONTH(E$19,0))+SUMIFS('Budget Data'!$J:$J,'Budget Data'!$E:$E,$B22,'Budget Data'!$C:$C,$B$10,'Budget Data'!$A:$A,"&gt;="&amp;E$19,'Budget Data'!$A:$A,"&lt;="&amp;EOMONTH(E$19,0))+SUMIFS('Budget Data'!$J:$J,'Budget Data'!$E:$E,$B22,'Budget Data'!$C:$C,$B$11,'Budget Data'!$A:$A,"&gt;="&amp;E$19,'Budget Data'!$A:$A,"&lt;="&amp;EOMONTH(E$19,0))+SUMIFS('Budget Data'!$J:$J,'Budget Data'!$E:$E,$B22,'Budget Data'!$C:$C,$B$2,'Budget Data'!$A:$A,"&gt;="&amp;E$19,'Budget Data'!$A:$A,"&lt;="&amp;EOMONTH(E$19,0))+SUMIFS('Budget Data'!$J:$J,'Budget Data'!$E:$E,$B22,'Budget Data'!$C:$C,$B$4,'Budget Data'!$A:$A,"&gt;="&amp;E$19,'Budget Data'!$A:$A,"&lt;="&amp;EOMONTH(E$19,0))+SUMIFS('Budget Data'!$J:$J,'Budget Data'!$E:$E,$B22,'Budget Data'!$C:$C,$B$3,'Budget Data'!$A:$A,"&gt;="&amp;E$19,'Budget Data'!$A:$A,"&lt;="&amp;EOMONTH(E$19,0))+SUMIFS('Budget Data'!$J:$J,'Budget Data'!$E:$E,$B22,'Budget Data'!$C:$C,$B$5,'Budget Data'!$A:$A,"&gt;="&amp;E$19,'Budget Data'!$A:$A,"&lt;="&amp;EOMONTH(E$19,0))+SUMIFS('Budget Data'!$J:$J,'Budget Data'!$E:$E,$B22,'Budget Data'!$C:$C,$B$6,'Budget Data'!$A:$A,"&gt;="&amp;E$19,'Budget Data'!$A:$A,"&lt;="&amp;EOMONTH(E$19,0)))</f>
        <v>229600</v>
      </c>
      <c r="F22" s="86">
        <f>-SUMPRODUCT(SUMIFS('Allocated Transactions'!$J:$J,'Allocated Transactions'!$D:$D,$B22,'Allocated Transactions'!$C:$C,$B$7,'Allocated Transactions'!$A:$A,"&gt;="&amp;F$19,'Allocated Transactions'!$A:$A,"&lt;="&amp;EOMONTH(F$19,0))+SUMIFS('Allocated Transactions'!$J:$J,'Allocated Transactions'!$D:$D,$B22,'Allocated Transactions'!$C:$C,$B$9,'Allocated Transactions'!$A:$A,"&gt;="&amp;F$19,'Allocated Transactions'!$A:$A,"&lt;="&amp;EOMONTH(F$19,0))+SUMIFS('Allocated Transactions'!$J:$J,'Allocated Transactions'!$D:$D,$B22,'Allocated Transactions'!$C:$C,$B$8,'Allocated Transactions'!$A:$A,"&gt;="&amp;F$19,'Allocated Transactions'!$A:$A,"&lt;="&amp;EOMONTH(F$19,0))+SUMIFS('Allocated Transactions'!$J:$J,'Allocated Transactions'!$D:$D,$B22,'Allocated Transactions'!$C:$C,$B$10,'Allocated Transactions'!$A:$A,"&gt;="&amp;F$19,'Allocated Transactions'!$A:$A,"&lt;="&amp;EOMONTH(F$19,0))+SUMIFS('Allocated Transactions'!$J:$J,'Allocated Transactions'!$D:$D,$B22,'Allocated Transactions'!$C:$C,$B$11,'Allocated Transactions'!$A:$A,"&gt;="&amp;F$19,'Allocated Transactions'!$A:$A,"&lt;="&amp;EOMONTH(F$19,0))+SUMIFS('Allocated Transactions'!$J:$J,'Allocated Transactions'!$D:$D,$B22,'Allocated Transactions'!$C:$C,$B$2,'Allocated Transactions'!$A:$A,"&gt;="&amp;F$19,'Allocated Transactions'!$A:$A,"&lt;="&amp;EOMONTH(F$19,0))+SUMIFS('Allocated Transactions'!$J:$J,'Allocated Transactions'!$D:$D,$B22,'Allocated Transactions'!$C:$C,$B$4,'Allocated Transactions'!$A:$A,"&gt;="&amp;F$19,'Allocated Transactions'!$A:$A,"&lt;="&amp;EOMONTH(F$19,0))+SUMIFS('Allocated Transactions'!$J:$J,'Allocated Transactions'!$D:$D,$B22,'Allocated Transactions'!$C:$C,$B$3,'Allocated Transactions'!$A:$A,"&gt;="&amp;F$19,'Allocated Transactions'!$A:$A,"&lt;="&amp;EOMONTH(F$19,0))+SUMIFS('Allocated Transactions'!$J:$J,'Allocated Transactions'!$D:$D,$B22,'Allocated Transactions'!$C:$C,$B$5,'Allocated Transactions'!$A:$A,"&gt;="&amp;F$19,'Allocated Transactions'!$A:$A,"&lt;="&amp;EOMONTH(F$19,0))+SUMIFS('Allocated Transactions'!$J:$J,'Allocated Transactions'!$D:$D,$B22,'Allocated Transactions'!$C:$C,$B$6,'Allocated Transactions'!$A:$A,"&gt;="&amp;F$19,'Allocated Transactions'!$A:$A,"&lt;="&amp;EOMONTH(F$19,0)))</f>
        <v>54469.399999999958</v>
      </c>
      <c r="G22" s="84">
        <f>SUMPRODUCT(SUMIFS('Budget Data'!$J:$J,'Budget Data'!$E:$E,$B22,'Budget Data'!$C:$C,$B$7,'Budget Data'!$A:$A,"&gt;="&amp;G$19,'Budget Data'!$A:$A,"&lt;="&amp;EOMONTH(G$19,0))+SUMIFS('Budget Data'!$J:$J,'Budget Data'!$E:$E,$B22,'Budget Data'!$C:$C,$B$9,'Budget Data'!$A:$A,"&gt;="&amp;G$19,'Budget Data'!$A:$A,"&lt;="&amp;EOMONTH(G$19,0))+SUMIFS('Budget Data'!$J:$J,'Budget Data'!$E:$E,$B22,'Budget Data'!$C:$C,$B$8,'Budget Data'!$A:$A,"&gt;="&amp;G$19,'Budget Data'!$A:$A,"&lt;="&amp;EOMONTH(G$19,0))+SUMIFS('Budget Data'!$J:$J,'Budget Data'!$E:$E,$B22,'Budget Data'!$C:$C,$B$10,'Budget Data'!$A:$A,"&gt;="&amp;G$19,'Budget Data'!$A:$A,"&lt;="&amp;EOMONTH(G$19,0))+SUMIFS('Budget Data'!$J:$J,'Budget Data'!$E:$E,$B22,'Budget Data'!$C:$C,$B$11,'Budget Data'!$A:$A,"&gt;="&amp;G$19,'Budget Data'!$A:$A,"&lt;="&amp;EOMONTH(G$19,0))+SUMIFS('Budget Data'!$J:$J,'Budget Data'!$E:$E,$B22,'Budget Data'!$C:$C,$B$2,'Budget Data'!$A:$A,"&gt;="&amp;G$19,'Budget Data'!$A:$A,"&lt;="&amp;EOMONTH(G$19,0))+SUMIFS('Budget Data'!$J:$J,'Budget Data'!$E:$E,$B22,'Budget Data'!$C:$C,$B$4,'Budget Data'!$A:$A,"&gt;="&amp;G$19,'Budget Data'!$A:$A,"&lt;="&amp;EOMONTH(G$19,0))+SUMIFS('Budget Data'!$J:$J,'Budget Data'!$E:$E,$B22,'Budget Data'!$C:$C,$B$3,'Budget Data'!$A:$A,"&gt;="&amp;G$19,'Budget Data'!$A:$A,"&lt;="&amp;EOMONTH(G$19,0))+SUMIFS('Budget Data'!$J:$J,'Budget Data'!$E:$E,$B22,'Budget Data'!$C:$C,$B$5,'Budget Data'!$A:$A,"&gt;="&amp;G$19,'Budget Data'!$A:$A,"&lt;="&amp;EOMONTH(G$19,0))+SUMIFS('Budget Data'!$J:$J,'Budget Data'!$E:$E,$B22,'Budget Data'!$C:$C,$B$6,'Budget Data'!$A:$A,"&gt;="&amp;G$19,'Budget Data'!$A:$A,"&lt;="&amp;EOMONTH(G$19,0)))</f>
        <v>259840</v>
      </c>
      <c r="H22" s="86">
        <f>-SUMPRODUCT(SUMIFS('Allocated Transactions'!$J:$J,'Allocated Transactions'!$D:$D,$B22,'Allocated Transactions'!$C:$C,$B$7,'Allocated Transactions'!$A:$A,"&gt;="&amp;H$19,'Allocated Transactions'!$A:$A,"&lt;="&amp;EOMONTH(H$19,0))+SUMIFS('Allocated Transactions'!$J:$J,'Allocated Transactions'!$D:$D,$B22,'Allocated Transactions'!$C:$C,$B$9,'Allocated Transactions'!$A:$A,"&gt;="&amp;H$19,'Allocated Transactions'!$A:$A,"&lt;="&amp;EOMONTH(H$19,0))+SUMIFS('Allocated Transactions'!$J:$J,'Allocated Transactions'!$D:$D,$B22,'Allocated Transactions'!$C:$C,$B$8,'Allocated Transactions'!$A:$A,"&gt;="&amp;H$19,'Allocated Transactions'!$A:$A,"&lt;="&amp;EOMONTH(H$19,0))+SUMIFS('Allocated Transactions'!$J:$J,'Allocated Transactions'!$D:$D,$B22,'Allocated Transactions'!$C:$C,$B$10,'Allocated Transactions'!$A:$A,"&gt;="&amp;H$19,'Allocated Transactions'!$A:$A,"&lt;="&amp;EOMONTH(H$19,0))+SUMIFS('Allocated Transactions'!$J:$J,'Allocated Transactions'!$D:$D,$B22,'Allocated Transactions'!$C:$C,$B$11,'Allocated Transactions'!$A:$A,"&gt;="&amp;H$19,'Allocated Transactions'!$A:$A,"&lt;="&amp;EOMONTH(H$19,0))+SUMIFS('Allocated Transactions'!$J:$J,'Allocated Transactions'!$D:$D,$B22,'Allocated Transactions'!$C:$C,$B$2,'Allocated Transactions'!$A:$A,"&gt;="&amp;H$19,'Allocated Transactions'!$A:$A,"&lt;="&amp;EOMONTH(H$19,0))+SUMIFS('Allocated Transactions'!$J:$J,'Allocated Transactions'!$D:$D,$B22,'Allocated Transactions'!$C:$C,$B$4,'Allocated Transactions'!$A:$A,"&gt;="&amp;H$19,'Allocated Transactions'!$A:$A,"&lt;="&amp;EOMONTH(H$19,0))+SUMIFS('Allocated Transactions'!$J:$J,'Allocated Transactions'!$D:$D,$B22,'Allocated Transactions'!$C:$C,$B$3,'Allocated Transactions'!$A:$A,"&gt;="&amp;H$19,'Allocated Transactions'!$A:$A,"&lt;="&amp;EOMONTH(H$19,0))+SUMIFS('Allocated Transactions'!$J:$J,'Allocated Transactions'!$D:$D,$B22,'Allocated Transactions'!$C:$C,$B$5,'Allocated Transactions'!$A:$A,"&gt;="&amp;H$19,'Allocated Transactions'!$A:$A,"&lt;="&amp;EOMONTH(H$19,0))+SUMIFS('Allocated Transactions'!$J:$J,'Allocated Transactions'!$D:$D,$B22,'Allocated Transactions'!$C:$C,$B$6,'Allocated Transactions'!$A:$A,"&gt;="&amp;H$19,'Allocated Transactions'!$A:$A,"&lt;="&amp;EOMONTH(H$19,0)))</f>
        <v>55772.649999999936</v>
      </c>
      <c r="I22" s="84">
        <f>SUMPRODUCT(SUMIFS('Budget Data'!$J:$J,'Budget Data'!$E:$E,$B22,'Budget Data'!$C:$C,$B$7,'Budget Data'!$A:$A,"&gt;="&amp;I$19,'Budget Data'!$A:$A,"&lt;="&amp;EOMONTH(I$19,0))+SUMIFS('Budget Data'!$J:$J,'Budget Data'!$E:$E,$B22,'Budget Data'!$C:$C,$B$9,'Budget Data'!$A:$A,"&gt;="&amp;I$19,'Budget Data'!$A:$A,"&lt;="&amp;EOMONTH(I$19,0))+SUMIFS('Budget Data'!$J:$J,'Budget Data'!$E:$E,$B22,'Budget Data'!$C:$C,$B$8,'Budget Data'!$A:$A,"&gt;="&amp;I$19,'Budget Data'!$A:$A,"&lt;="&amp;EOMONTH(I$19,0))+SUMIFS('Budget Data'!$J:$J,'Budget Data'!$E:$E,$B22,'Budget Data'!$C:$C,$B$10,'Budget Data'!$A:$A,"&gt;="&amp;I$19,'Budget Data'!$A:$A,"&lt;="&amp;EOMONTH(I$19,0))+SUMIFS('Budget Data'!$J:$J,'Budget Data'!$E:$E,$B22,'Budget Data'!$C:$C,$B$11,'Budget Data'!$A:$A,"&gt;="&amp;I$19,'Budget Data'!$A:$A,"&lt;="&amp;EOMONTH(I$19,0))+SUMIFS('Budget Data'!$J:$J,'Budget Data'!$E:$E,$B22,'Budget Data'!$C:$C,$B$2,'Budget Data'!$A:$A,"&gt;="&amp;I$19,'Budget Data'!$A:$A,"&lt;="&amp;EOMONTH(I$19,0))+SUMIFS('Budget Data'!$J:$J,'Budget Data'!$E:$E,$B22,'Budget Data'!$C:$C,$B$4,'Budget Data'!$A:$A,"&gt;="&amp;I$19,'Budget Data'!$A:$A,"&lt;="&amp;EOMONTH(I$19,0))+SUMIFS('Budget Data'!$J:$J,'Budget Data'!$E:$E,$B22,'Budget Data'!$C:$C,$B$3,'Budget Data'!$A:$A,"&gt;="&amp;I$19,'Budget Data'!$A:$A,"&lt;="&amp;EOMONTH(I$19,0))+SUMIFS('Budget Data'!$J:$J,'Budget Data'!$E:$E,$B22,'Budget Data'!$C:$C,$B$5,'Budget Data'!$A:$A,"&gt;="&amp;I$19,'Budget Data'!$A:$A,"&lt;="&amp;EOMONTH(I$19,0))+SUMIFS('Budget Data'!$J:$J,'Budget Data'!$E:$E,$B22,'Budget Data'!$C:$C,$B$6,'Budget Data'!$A:$A,"&gt;="&amp;I$19,'Budget Data'!$A:$A,"&lt;="&amp;EOMONTH(I$19,0)))</f>
        <v>220080</v>
      </c>
      <c r="J22" s="86">
        <f>-SUMPRODUCT(SUMIFS('Allocated Transactions'!$J:$J,'Allocated Transactions'!$D:$D,$B22,'Allocated Transactions'!$C:$C,$B$7,'Allocated Transactions'!$A:$A,"&gt;="&amp;J$19,'Allocated Transactions'!$A:$A,"&lt;="&amp;EOMONTH(J$19,0))+SUMIFS('Allocated Transactions'!$J:$J,'Allocated Transactions'!$D:$D,$B22,'Allocated Transactions'!$C:$C,$B$9,'Allocated Transactions'!$A:$A,"&gt;="&amp;J$19,'Allocated Transactions'!$A:$A,"&lt;="&amp;EOMONTH(J$19,0))+SUMIFS('Allocated Transactions'!$J:$J,'Allocated Transactions'!$D:$D,$B22,'Allocated Transactions'!$C:$C,$B$8,'Allocated Transactions'!$A:$A,"&gt;="&amp;J$19,'Allocated Transactions'!$A:$A,"&lt;="&amp;EOMONTH(J$19,0))+SUMIFS('Allocated Transactions'!$J:$J,'Allocated Transactions'!$D:$D,$B22,'Allocated Transactions'!$C:$C,$B$10,'Allocated Transactions'!$A:$A,"&gt;="&amp;J$19,'Allocated Transactions'!$A:$A,"&lt;="&amp;EOMONTH(J$19,0))+SUMIFS('Allocated Transactions'!$J:$J,'Allocated Transactions'!$D:$D,$B22,'Allocated Transactions'!$C:$C,$B$11,'Allocated Transactions'!$A:$A,"&gt;="&amp;J$19,'Allocated Transactions'!$A:$A,"&lt;="&amp;EOMONTH(J$19,0))+SUMIFS('Allocated Transactions'!$J:$J,'Allocated Transactions'!$D:$D,$B22,'Allocated Transactions'!$C:$C,$B$2,'Allocated Transactions'!$A:$A,"&gt;="&amp;J$19,'Allocated Transactions'!$A:$A,"&lt;="&amp;EOMONTH(J$19,0))+SUMIFS('Allocated Transactions'!$J:$J,'Allocated Transactions'!$D:$D,$B22,'Allocated Transactions'!$C:$C,$B$4,'Allocated Transactions'!$A:$A,"&gt;="&amp;J$19,'Allocated Transactions'!$A:$A,"&lt;="&amp;EOMONTH(J$19,0))+SUMIFS('Allocated Transactions'!$J:$J,'Allocated Transactions'!$D:$D,$B22,'Allocated Transactions'!$C:$C,$B$3,'Allocated Transactions'!$A:$A,"&gt;="&amp;J$19,'Allocated Transactions'!$A:$A,"&lt;="&amp;EOMONTH(J$19,0))+SUMIFS('Allocated Transactions'!$J:$J,'Allocated Transactions'!$D:$D,$B22,'Allocated Transactions'!$C:$C,$B$5,'Allocated Transactions'!$A:$A,"&gt;="&amp;J$19,'Allocated Transactions'!$A:$A,"&lt;="&amp;EOMONTH(J$19,0))+SUMIFS('Allocated Transactions'!$J:$J,'Allocated Transactions'!$D:$D,$B22,'Allocated Transactions'!$C:$C,$B$6,'Allocated Transactions'!$A:$A,"&gt;="&amp;J$19,'Allocated Transactions'!$A:$A,"&lt;="&amp;EOMONTH(J$19,0)))</f>
        <v>79603.969999999899</v>
      </c>
      <c r="K22" s="84">
        <f>SUMPRODUCT(SUMIFS('Budget Data'!$J:$J,'Budget Data'!$E:$E,$B22,'Budget Data'!$C:$C,$B$7,'Budget Data'!$A:$A,"&gt;="&amp;K$19,'Budget Data'!$A:$A,"&lt;="&amp;EOMONTH(K$19,0))+SUMIFS('Budget Data'!$J:$J,'Budget Data'!$E:$E,$B22,'Budget Data'!$C:$C,$B$9,'Budget Data'!$A:$A,"&gt;="&amp;K$19,'Budget Data'!$A:$A,"&lt;="&amp;EOMONTH(K$19,0))+SUMIFS('Budget Data'!$J:$J,'Budget Data'!$E:$E,$B22,'Budget Data'!$C:$C,$B$8,'Budget Data'!$A:$A,"&gt;="&amp;K$19,'Budget Data'!$A:$A,"&lt;="&amp;EOMONTH(K$19,0))+SUMIFS('Budget Data'!$J:$J,'Budget Data'!$E:$E,$B22,'Budget Data'!$C:$C,$B$10,'Budget Data'!$A:$A,"&gt;="&amp;K$19,'Budget Data'!$A:$A,"&lt;="&amp;EOMONTH(K$19,0))+SUMIFS('Budget Data'!$J:$J,'Budget Data'!$E:$E,$B22,'Budget Data'!$C:$C,$B$11,'Budget Data'!$A:$A,"&gt;="&amp;K$19,'Budget Data'!$A:$A,"&lt;="&amp;EOMONTH(K$19,0))+SUMIFS('Budget Data'!$J:$J,'Budget Data'!$E:$E,$B22,'Budget Data'!$C:$C,$B$2,'Budget Data'!$A:$A,"&gt;="&amp;K$19,'Budget Data'!$A:$A,"&lt;="&amp;EOMONTH(K$19,0))+SUMIFS('Budget Data'!$J:$J,'Budget Data'!$E:$E,$B22,'Budget Data'!$C:$C,$B$4,'Budget Data'!$A:$A,"&gt;="&amp;K$19,'Budget Data'!$A:$A,"&lt;="&amp;EOMONTH(K$19,0))+SUMIFS('Budget Data'!$J:$J,'Budget Data'!$E:$E,$B22,'Budget Data'!$C:$C,$B$3,'Budget Data'!$A:$A,"&gt;="&amp;K$19,'Budget Data'!$A:$A,"&lt;="&amp;EOMONTH(K$19,0))+SUMIFS('Budget Data'!$J:$J,'Budget Data'!$E:$E,$B22,'Budget Data'!$C:$C,$B$5,'Budget Data'!$A:$A,"&gt;="&amp;K$19,'Budget Data'!$A:$A,"&lt;="&amp;EOMONTH(K$19,0))+SUMIFS('Budget Data'!$J:$J,'Budget Data'!$E:$E,$B22,'Budget Data'!$C:$C,$B$6,'Budget Data'!$A:$A,"&gt;="&amp;K$19,'Budget Data'!$A:$A,"&lt;="&amp;EOMONTH(K$19,0)))</f>
        <v>177660</v>
      </c>
      <c r="L22" s="86">
        <f>-SUMPRODUCT(SUMIFS('Allocated Transactions'!$J:$J,'Allocated Transactions'!$D:$D,$B22,'Allocated Transactions'!$C:$C,$B$7,'Allocated Transactions'!$A:$A,"&gt;="&amp;L$19,'Allocated Transactions'!$A:$A,"&lt;="&amp;EOMONTH(L$19,0))+SUMIFS('Allocated Transactions'!$J:$J,'Allocated Transactions'!$D:$D,$B22,'Allocated Transactions'!$C:$C,$B$9,'Allocated Transactions'!$A:$A,"&gt;="&amp;L$19,'Allocated Transactions'!$A:$A,"&lt;="&amp;EOMONTH(L$19,0))+SUMIFS('Allocated Transactions'!$J:$J,'Allocated Transactions'!$D:$D,$B22,'Allocated Transactions'!$C:$C,$B$8,'Allocated Transactions'!$A:$A,"&gt;="&amp;L$19,'Allocated Transactions'!$A:$A,"&lt;="&amp;EOMONTH(L$19,0))+SUMIFS('Allocated Transactions'!$J:$J,'Allocated Transactions'!$D:$D,$B22,'Allocated Transactions'!$C:$C,$B$10,'Allocated Transactions'!$A:$A,"&gt;="&amp;L$19,'Allocated Transactions'!$A:$A,"&lt;="&amp;EOMONTH(L$19,0))+SUMIFS('Allocated Transactions'!$J:$J,'Allocated Transactions'!$D:$D,$B22,'Allocated Transactions'!$C:$C,$B$11,'Allocated Transactions'!$A:$A,"&gt;="&amp;L$19,'Allocated Transactions'!$A:$A,"&lt;="&amp;EOMONTH(L$19,0))+SUMIFS('Allocated Transactions'!$J:$J,'Allocated Transactions'!$D:$D,$B22,'Allocated Transactions'!$C:$C,$B$2,'Allocated Transactions'!$A:$A,"&gt;="&amp;L$19,'Allocated Transactions'!$A:$A,"&lt;="&amp;EOMONTH(L$19,0))+SUMIFS('Allocated Transactions'!$J:$J,'Allocated Transactions'!$D:$D,$B22,'Allocated Transactions'!$C:$C,$B$4,'Allocated Transactions'!$A:$A,"&gt;="&amp;L$19,'Allocated Transactions'!$A:$A,"&lt;="&amp;EOMONTH(L$19,0))+SUMIFS('Allocated Transactions'!$J:$J,'Allocated Transactions'!$D:$D,$B22,'Allocated Transactions'!$C:$C,$B$3,'Allocated Transactions'!$A:$A,"&gt;="&amp;L$19,'Allocated Transactions'!$A:$A,"&lt;="&amp;EOMONTH(L$19,0))+SUMIFS('Allocated Transactions'!$J:$J,'Allocated Transactions'!$D:$D,$B22,'Allocated Transactions'!$C:$C,$B$5,'Allocated Transactions'!$A:$A,"&gt;="&amp;L$19,'Allocated Transactions'!$A:$A,"&lt;="&amp;EOMONTH(L$19,0))+SUMIFS('Allocated Transactions'!$J:$J,'Allocated Transactions'!$D:$D,$B22,'Allocated Transactions'!$C:$C,$B$6,'Allocated Transactions'!$A:$A,"&gt;="&amp;L$19,'Allocated Transactions'!$A:$A,"&lt;="&amp;EOMONTH(L$19,0)))</f>
        <v>49945.559999999976</v>
      </c>
      <c r="M22" s="84">
        <f>SUMPRODUCT(SUMIFS('Budget Data'!$J:$J,'Budget Data'!$E:$E,$B22,'Budget Data'!$C:$C,$B$7,'Budget Data'!$A:$A,"&gt;="&amp;M$19,'Budget Data'!$A:$A,"&lt;="&amp;EOMONTH(M$19,0))+SUMIFS('Budget Data'!$J:$J,'Budget Data'!$E:$E,$B22,'Budget Data'!$C:$C,$B$9,'Budget Data'!$A:$A,"&gt;="&amp;M$19,'Budget Data'!$A:$A,"&lt;="&amp;EOMONTH(M$19,0))+SUMIFS('Budget Data'!$J:$J,'Budget Data'!$E:$E,$B22,'Budget Data'!$C:$C,$B$8,'Budget Data'!$A:$A,"&gt;="&amp;M$19,'Budget Data'!$A:$A,"&lt;="&amp;EOMONTH(M$19,0))+SUMIFS('Budget Data'!$J:$J,'Budget Data'!$E:$E,$B22,'Budget Data'!$C:$C,$B$10,'Budget Data'!$A:$A,"&gt;="&amp;M$19,'Budget Data'!$A:$A,"&lt;="&amp;EOMONTH(M$19,0))+SUMIFS('Budget Data'!$J:$J,'Budget Data'!$E:$E,$B22,'Budget Data'!$C:$C,$B$11,'Budget Data'!$A:$A,"&gt;="&amp;M$19,'Budget Data'!$A:$A,"&lt;="&amp;EOMONTH(M$19,0))+SUMIFS('Budget Data'!$J:$J,'Budget Data'!$E:$E,$B22,'Budget Data'!$C:$C,$B$2,'Budget Data'!$A:$A,"&gt;="&amp;M$19,'Budget Data'!$A:$A,"&lt;="&amp;EOMONTH(M$19,0))+SUMIFS('Budget Data'!$J:$J,'Budget Data'!$E:$E,$B22,'Budget Data'!$C:$C,$B$4,'Budget Data'!$A:$A,"&gt;="&amp;M$19,'Budget Data'!$A:$A,"&lt;="&amp;EOMONTH(M$19,0))+SUMIFS('Budget Data'!$J:$J,'Budget Data'!$E:$E,$B22,'Budget Data'!$C:$C,$B$3,'Budget Data'!$A:$A,"&gt;="&amp;M$19,'Budget Data'!$A:$A,"&lt;="&amp;EOMONTH(M$19,0))+SUMIFS('Budget Data'!$J:$J,'Budget Data'!$E:$E,$B22,'Budget Data'!$C:$C,$B$5,'Budget Data'!$A:$A,"&gt;="&amp;M$19,'Budget Data'!$A:$A,"&lt;="&amp;EOMONTH(M$19,0))+SUMIFS('Budget Data'!$J:$J,'Budget Data'!$E:$E,$B22,'Budget Data'!$C:$C,$B$6,'Budget Data'!$A:$A,"&gt;="&amp;M$19,'Budget Data'!$A:$A,"&lt;="&amp;EOMONTH(M$19,0)))</f>
        <v>146720</v>
      </c>
      <c r="N22" s="86">
        <f>-SUMPRODUCT(SUMIFS('Allocated Transactions'!$J:$J,'Allocated Transactions'!$D:$D,$B22,'Allocated Transactions'!$C:$C,$B$7,'Allocated Transactions'!$A:$A,"&gt;="&amp;N$19,'Allocated Transactions'!$A:$A,"&lt;="&amp;EOMONTH(N$19,0))+SUMIFS('Allocated Transactions'!$J:$J,'Allocated Transactions'!$D:$D,$B22,'Allocated Transactions'!$C:$C,$B$9,'Allocated Transactions'!$A:$A,"&gt;="&amp;N$19,'Allocated Transactions'!$A:$A,"&lt;="&amp;EOMONTH(N$19,0))+SUMIFS('Allocated Transactions'!$J:$J,'Allocated Transactions'!$D:$D,$B22,'Allocated Transactions'!$C:$C,$B$8,'Allocated Transactions'!$A:$A,"&gt;="&amp;N$19,'Allocated Transactions'!$A:$A,"&lt;="&amp;EOMONTH(N$19,0))+SUMIFS('Allocated Transactions'!$J:$J,'Allocated Transactions'!$D:$D,$B22,'Allocated Transactions'!$C:$C,$B$10,'Allocated Transactions'!$A:$A,"&gt;="&amp;N$19,'Allocated Transactions'!$A:$A,"&lt;="&amp;EOMONTH(N$19,0))+SUMIFS('Allocated Transactions'!$J:$J,'Allocated Transactions'!$D:$D,$B22,'Allocated Transactions'!$C:$C,$B$11,'Allocated Transactions'!$A:$A,"&gt;="&amp;N$19,'Allocated Transactions'!$A:$A,"&lt;="&amp;EOMONTH(N$19,0))+SUMIFS('Allocated Transactions'!$J:$J,'Allocated Transactions'!$D:$D,$B22,'Allocated Transactions'!$C:$C,$B$2,'Allocated Transactions'!$A:$A,"&gt;="&amp;N$19,'Allocated Transactions'!$A:$A,"&lt;="&amp;EOMONTH(N$19,0))+SUMIFS('Allocated Transactions'!$J:$J,'Allocated Transactions'!$D:$D,$B22,'Allocated Transactions'!$C:$C,$B$4,'Allocated Transactions'!$A:$A,"&gt;="&amp;N$19,'Allocated Transactions'!$A:$A,"&lt;="&amp;EOMONTH(N$19,0))+SUMIFS('Allocated Transactions'!$J:$J,'Allocated Transactions'!$D:$D,$B22,'Allocated Transactions'!$C:$C,$B$3,'Allocated Transactions'!$A:$A,"&gt;="&amp;N$19,'Allocated Transactions'!$A:$A,"&lt;="&amp;EOMONTH(N$19,0))+SUMIFS('Allocated Transactions'!$J:$J,'Allocated Transactions'!$D:$D,$B22,'Allocated Transactions'!$C:$C,$B$5,'Allocated Transactions'!$A:$A,"&gt;="&amp;N$19,'Allocated Transactions'!$A:$A,"&lt;="&amp;EOMONTH(N$19,0))+SUMIFS('Allocated Transactions'!$J:$J,'Allocated Transactions'!$D:$D,$B22,'Allocated Transactions'!$C:$C,$B$6,'Allocated Transactions'!$A:$A,"&gt;="&amp;N$19,'Allocated Transactions'!$A:$A,"&lt;="&amp;EOMONTH(N$19,0)))</f>
        <v>66964.800000000192</v>
      </c>
      <c r="O22" s="84">
        <f>SUMPRODUCT(SUMIFS('Budget Data'!$J:$J,'Budget Data'!$E:$E,$B22,'Budget Data'!$C:$C,$B$7,'Budget Data'!$A:$A,"&gt;="&amp;O$19,'Budget Data'!$A:$A,"&lt;="&amp;EOMONTH(O$19,0))+SUMIFS('Budget Data'!$J:$J,'Budget Data'!$E:$E,$B22,'Budget Data'!$C:$C,$B$9,'Budget Data'!$A:$A,"&gt;="&amp;O$19,'Budget Data'!$A:$A,"&lt;="&amp;EOMONTH(O$19,0))+SUMIFS('Budget Data'!$J:$J,'Budget Data'!$E:$E,$B22,'Budget Data'!$C:$C,$B$8,'Budget Data'!$A:$A,"&gt;="&amp;O$19,'Budget Data'!$A:$A,"&lt;="&amp;EOMONTH(O$19,0))+SUMIFS('Budget Data'!$J:$J,'Budget Data'!$E:$E,$B22,'Budget Data'!$C:$C,$B$10,'Budget Data'!$A:$A,"&gt;="&amp;O$19,'Budget Data'!$A:$A,"&lt;="&amp;EOMONTH(O$19,0))+SUMIFS('Budget Data'!$J:$J,'Budget Data'!$E:$E,$B22,'Budget Data'!$C:$C,$B$11,'Budget Data'!$A:$A,"&gt;="&amp;O$19,'Budget Data'!$A:$A,"&lt;="&amp;EOMONTH(O$19,0))+SUMIFS('Budget Data'!$J:$J,'Budget Data'!$E:$E,$B22,'Budget Data'!$C:$C,$B$2,'Budget Data'!$A:$A,"&gt;="&amp;O$19,'Budget Data'!$A:$A,"&lt;="&amp;EOMONTH(O$19,0))+SUMIFS('Budget Data'!$J:$J,'Budget Data'!$E:$E,$B22,'Budget Data'!$C:$C,$B$4,'Budget Data'!$A:$A,"&gt;="&amp;O$19,'Budget Data'!$A:$A,"&lt;="&amp;EOMONTH(O$19,0))+SUMIFS('Budget Data'!$J:$J,'Budget Data'!$E:$E,$B22,'Budget Data'!$C:$C,$B$3,'Budget Data'!$A:$A,"&gt;="&amp;O$19,'Budget Data'!$A:$A,"&lt;="&amp;EOMONTH(O$19,0))+SUMIFS('Budget Data'!$J:$J,'Budget Data'!$E:$E,$B22,'Budget Data'!$C:$C,$B$5,'Budget Data'!$A:$A,"&gt;="&amp;O$19,'Budget Data'!$A:$A,"&lt;="&amp;EOMONTH(O$19,0))+SUMIFS('Budget Data'!$J:$J,'Budget Data'!$E:$E,$B22,'Budget Data'!$C:$C,$B$6,'Budget Data'!$A:$A,"&gt;="&amp;O$19,'Budget Data'!$A:$A,"&lt;="&amp;EOMONTH(O$19,0)))</f>
        <v>118440</v>
      </c>
      <c r="P22" s="86">
        <f>-SUMPRODUCT(SUMIFS('Allocated Transactions'!$J:$J,'Allocated Transactions'!$D:$D,$B22,'Allocated Transactions'!$C:$C,$B$7,'Allocated Transactions'!$A:$A,"&gt;="&amp;P$19,'Allocated Transactions'!$A:$A,"&lt;="&amp;EOMONTH(P$19,0))+SUMIFS('Allocated Transactions'!$J:$J,'Allocated Transactions'!$D:$D,$B22,'Allocated Transactions'!$C:$C,$B$9,'Allocated Transactions'!$A:$A,"&gt;="&amp;P$19,'Allocated Transactions'!$A:$A,"&lt;="&amp;EOMONTH(P$19,0))+SUMIFS('Allocated Transactions'!$J:$J,'Allocated Transactions'!$D:$D,$B22,'Allocated Transactions'!$C:$C,$B$8,'Allocated Transactions'!$A:$A,"&gt;="&amp;P$19,'Allocated Transactions'!$A:$A,"&lt;="&amp;EOMONTH(P$19,0))+SUMIFS('Allocated Transactions'!$J:$J,'Allocated Transactions'!$D:$D,$B22,'Allocated Transactions'!$C:$C,$B$10,'Allocated Transactions'!$A:$A,"&gt;="&amp;P$19,'Allocated Transactions'!$A:$A,"&lt;="&amp;EOMONTH(P$19,0))+SUMIFS('Allocated Transactions'!$J:$J,'Allocated Transactions'!$D:$D,$B22,'Allocated Transactions'!$C:$C,$B$11,'Allocated Transactions'!$A:$A,"&gt;="&amp;P$19,'Allocated Transactions'!$A:$A,"&lt;="&amp;EOMONTH(P$19,0))+SUMIFS('Allocated Transactions'!$J:$J,'Allocated Transactions'!$D:$D,$B22,'Allocated Transactions'!$C:$C,$B$2,'Allocated Transactions'!$A:$A,"&gt;="&amp;P$19,'Allocated Transactions'!$A:$A,"&lt;="&amp;EOMONTH(P$19,0))+SUMIFS('Allocated Transactions'!$J:$J,'Allocated Transactions'!$D:$D,$B22,'Allocated Transactions'!$C:$C,$B$4,'Allocated Transactions'!$A:$A,"&gt;="&amp;P$19,'Allocated Transactions'!$A:$A,"&lt;="&amp;EOMONTH(P$19,0))+SUMIFS('Allocated Transactions'!$J:$J,'Allocated Transactions'!$D:$D,$B22,'Allocated Transactions'!$C:$C,$B$3,'Allocated Transactions'!$A:$A,"&gt;="&amp;P$19,'Allocated Transactions'!$A:$A,"&lt;="&amp;EOMONTH(P$19,0))+SUMIFS('Allocated Transactions'!$J:$J,'Allocated Transactions'!$D:$D,$B22,'Allocated Transactions'!$C:$C,$B$5,'Allocated Transactions'!$A:$A,"&gt;="&amp;P$19,'Allocated Transactions'!$A:$A,"&lt;="&amp;EOMONTH(P$19,0))+SUMIFS('Allocated Transactions'!$J:$J,'Allocated Transactions'!$D:$D,$B22,'Allocated Transactions'!$C:$C,$B$6,'Allocated Transactions'!$A:$A,"&gt;="&amp;P$19,'Allocated Transactions'!$A:$A,"&lt;="&amp;EOMONTH(P$19,0)))</f>
        <v>0</v>
      </c>
      <c r="Q22" s="84">
        <f>SUMPRODUCT(SUMIFS('Budget Data'!$J:$J,'Budget Data'!$E:$E,$B22,'Budget Data'!$C:$C,$B$7,'Budget Data'!$A:$A,"&gt;="&amp;Q$19,'Budget Data'!$A:$A,"&lt;="&amp;EOMONTH(Q$19,0))+SUMIFS('Budget Data'!$J:$J,'Budget Data'!$E:$E,$B22,'Budget Data'!$C:$C,$B$9,'Budget Data'!$A:$A,"&gt;="&amp;Q$19,'Budget Data'!$A:$A,"&lt;="&amp;EOMONTH(Q$19,0))+SUMIFS('Budget Data'!$J:$J,'Budget Data'!$E:$E,$B22,'Budget Data'!$C:$C,$B$8,'Budget Data'!$A:$A,"&gt;="&amp;Q$19,'Budget Data'!$A:$A,"&lt;="&amp;EOMONTH(Q$19,0))+SUMIFS('Budget Data'!$J:$J,'Budget Data'!$E:$E,$B22,'Budget Data'!$C:$C,$B$10,'Budget Data'!$A:$A,"&gt;="&amp;Q$19,'Budget Data'!$A:$A,"&lt;="&amp;EOMONTH(Q$19,0))+SUMIFS('Budget Data'!$J:$J,'Budget Data'!$E:$E,$B22,'Budget Data'!$C:$C,$B$11,'Budget Data'!$A:$A,"&gt;="&amp;Q$19,'Budget Data'!$A:$A,"&lt;="&amp;EOMONTH(Q$19,0))+SUMIFS('Budget Data'!$J:$J,'Budget Data'!$E:$E,$B22,'Budget Data'!$C:$C,$B$2,'Budget Data'!$A:$A,"&gt;="&amp;Q$19,'Budget Data'!$A:$A,"&lt;="&amp;EOMONTH(Q$19,0))+SUMIFS('Budget Data'!$J:$J,'Budget Data'!$E:$E,$B22,'Budget Data'!$C:$C,$B$4,'Budget Data'!$A:$A,"&gt;="&amp;Q$19,'Budget Data'!$A:$A,"&lt;="&amp;EOMONTH(Q$19,0))+SUMIFS('Budget Data'!$J:$J,'Budget Data'!$E:$E,$B22,'Budget Data'!$C:$C,$B$3,'Budget Data'!$A:$A,"&gt;="&amp;Q$19,'Budget Data'!$A:$A,"&lt;="&amp;EOMONTH(Q$19,0))+SUMIFS('Budget Data'!$J:$J,'Budget Data'!$E:$E,$B22,'Budget Data'!$C:$C,$B$5,'Budget Data'!$A:$A,"&gt;="&amp;Q$19,'Budget Data'!$A:$A,"&lt;="&amp;EOMONTH(Q$19,0))+SUMIFS('Budget Data'!$J:$J,'Budget Data'!$E:$E,$B22,'Budget Data'!$C:$C,$B$6,'Budget Data'!$A:$A,"&gt;="&amp;Q$19,'Budget Data'!$A:$A,"&lt;="&amp;EOMONTH(Q$19,0)))</f>
        <v>101640</v>
      </c>
      <c r="R22" s="86">
        <f>-SUMPRODUCT(SUMIFS('Allocated Transactions'!$J:$J,'Allocated Transactions'!$D:$D,$B22,'Allocated Transactions'!$C:$C,$B$7,'Allocated Transactions'!$A:$A,"&gt;="&amp;R$19,'Allocated Transactions'!$A:$A,"&lt;="&amp;EOMONTH(R$19,0))+SUMIFS('Allocated Transactions'!$J:$J,'Allocated Transactions'!$D:$D,$B22,'Allocated Transactions'!$C:$C,$B$9,'Allocated Transactions'!$A:$A,"&gt;="&amp;R$19,'Allocated Transactions'!$A:$A,"&lt;="&amp;EOMONTH(R$19,0))+SUMIFS('Allocated Transactions'!$J:$J,'Allocated Transactions'!$D:$D,$B22,'Allocated Transactions'!$C:$C,$B$8,'Allocated Transactions'!$A:$A,"&gt;="&amp;R$19,'Allocated Transactions'!$A:$A,"&lt;="&amp;EOMONTH(R$19,0))+SUMIFS('Allocated Transactions'!$J:$J,'Allocated Transactions'!$D:$D,$B22,'Allocated Transactions'!$C:$C,$B$10,'Allocated Transactions'!$A:$A,"&gt;="&amp;R$19,'Allocated Transactions'!$A:$A,"&lt;="&amp;EOMONTH(R$19,0))+SUMIFS('Allocated Transactions'!$J:$J,'Allocated Transactions'!$D:$D,$B22,'Allocated Transactions'!$C:$C,$B$11,'Allocated Transactions'!$A:$A,"&gt;="&amp;R$19,'Allocated Transactions'!$A:$A,"&lt;="&amp;EOMONTH(R$19,0))+SUMIFS('Allocated Transactions'!$J:$J,'Allocated Transactions'!$D:$D,$B22,'Allocated Transactions'!$C:$C,$B$2,'Allocated Transactions'!$A:$A,"&gt;="&amp;R$19,'Allocated Transactions'!$A:$A,"&lt;="&amp;EOMONTH(R$19,0))+SUMIFS('Allocated Transactions'!$J:$J,'Allocated Transactions'!$D:$D,$B22,'Allocated Transactions'!$C:$C,$B$4,'Allocated Transactions'!$A:$A,"&gt;="&amp;R$19,'Allocated Transactions'!$A:$A,"&lt;="&amp;EOMONTH(R$19,0))+SUMIFS('Allocated Transactions'!$J:$J,'Allocated Transactions'!$D:$D,$B22,'Allocated Transactions'!$C:$C,$B$3,'Allocated Transactions'!$A:$A,"&gt;="&amp;R$19,'Allocated Transactions'!$A:$A,"&lt;="&amp;EOMONTH(R$19,0))+SUMIFS('Allocated Transactions'!$J:$J,'Allocated Transactions'!$D:$D,$B22,'Allocated Transactions'!$C:$C,$B$5,'Allocated Transactions'!$A:$A,"&gt;="&amp;R$19,'Allocated Transactions'!$A:$A,"&lt;="&amp;EOMONTH(R$19,0))+SUMIFS('Allocated Transactions'!$J:$J,'Allocated Transactions'!$D:$D,$B22,'Allocated Transactions'!$C:$C,$B$6,'Allocated Transactions'!$A:$A,"&gt;="&amp;R$19,'Allocated Transactions'!$A:$A,"&lt;="&amp;EOMONTH(R$19,0)))</f>
        <v>67516.270000000106</v>
      </c>
      <c r="S22" s="84">
        <f>SUMPRODUCT(SUMIFS('Budget Data'!$J:$J,'Budget Data'!$E:$E,$B22,'Budget Data'!$C:$C,$B$7,'Budget Data'!$A:$A,"&gt;="&amp;S$19,'Budget Data'!$A:$A,"&lt;="&amp;EOMONTH(S$19,0))+SUMIFS('Budget Data'!$J:$J,'Budget Data'!$E:$E,$B22,'Budget Data'!$C:$C,$B$9,'Budget Data'!$A:$A,"&gt;="&amp;S$19,'Budget Data'!$A:$A,"&lt;="&amp;EOMONTH(S$19,0))+SUMIFS('Budget Data'!$J:$J,'Budget Data'!$E:$E,$B22,'Budget Data'!$C:$C,$B$8,'Budget Data'!$A:$A,"&gt;="&amp;S$19,'Budget Data'!$A:$A,"&lt;="&amp;EOMONTH(S$19,0))+SUMIFS('Budget Data'!$J:$J,'Budget Data'!$E:$E,$B22,'Budget Data'!$C:$C,$B$10,'Budget Data'!$A:$A,"&gt;="&amp;S$19,'Budget Data'!$A:$A,"&lt;="&amp;EOMONTH(S$19,0))+SUMIFS('Budget Data'!$J:$J,'Budget Data'!$E:$E,$B22,'Budget Data'!$C:$C,$B$11,'Budget Data'!$A:$A,"&gt;="&amp;S$19,'Budget Data'!$A:$A,"&lt;="&amp;EOMONTH(S$19,0))+SUMIFS('Budget Data'!$J:$J,'Budget Data'!$E:$E,$B22,'Budget Data'!$C:$C,$B$2,'Budget Data'!$A:$A,"&gt;="&amp;S$19,'Budget Data'!$A:$A,"&lt;="&amp;EOMONTH(S$19,0))+SUMIFS('Budget Data'!$J:$J,'Budget Data'!$E:$E,$B22,'Budget Data'!$C:$C,$B$4,'Budget Data'!$A:$A,"&gt;="&amp;S$19,'Budget Data'!$A:$A,"&lt;="&amp;EOMONTH(S$19,0))+SUMIFS('Budget Data'!$J:$J,'Budget Data'!$E:$E,$B22,'Budget Data'!$C:$C,$B$3,'Budget Data'!$A:$A,"&gt;="&amp;S$19,'Budget Data'!$A:$A,"&lt;="&amp;EOMONTH(S$19,0))+SUMIFS('Budget Data'!$J:$J,'Budget Data'!$E:$E,$B22,'Budget Data'!$C:$C,$B$5,'Budget Data'!$A:$A,"&gt;="&amp;S$19,'Budget Data'!$A:$A,"&lt;="&amp;EOMONTH(S$19,0))+SUMIFS('Budget Data'!$J:$J,'Budget Data'!$E:$E,$B22,'Budget Data'!$C:$C,$B$6,'Budget Data'!$A:$A,"&gt;="&amp;S$19,'Budget Data'!$A:$A,"&lt;="&amp;EOMONTH(S$19,0)))</f>
        <v>111120</v>
      </c>
      <c r="T22" s="86">
        <f>-SUMPRODUCT(SUMIFS('Allocated Transactions'!$J:$J,'Allocated Transactions'!$D:$D,$B22,'Allocated Transactions'!$C:$C,$B$7,'Allocated Transactions'!$A:$A,"&gt;="&amp;T$19,'Allocated Transactions'!$A:$A,"&lt;="&amp;EOMONTH(T$19,0))+SUMIFS('Allocated Transactions'!$J:$J,'Allocated Transactions'!$D:$D,$B22,'Allocated Transactions'!$C:$C,$B$9,'Allocated Transactions'!$A:$A,"&gt;="&amp;T$19,'Allocated Transactions'!$A:$A,"&lt;="&amp;EOMONTH(T$19,0))+SUMIFS('Allocated Transactions'!$J:$J,'Allocated Transactions'!$D:$D,$B22,'Allocated Transactions'!$C:$C,$B$8,'Allocated Transactions'!$A:$A,"&gt;="&amp;T$19,'Allocated Transactions'!$A:$A,"&lt;="&amp;EOMONTH(T$19,0))+SUMIFS('Allocated Transactions'!$J:$J,'Allocated Transactions'!$D:$D,$B22,'Allocated Transactions'!$C:$C,$B$10,'Allocated Transactions'!$A:$A,"&gt;="&amp;T$19,'Allocated Transactions'!$A:$A,"&lt;="&amp;EOMONTH(T$19,0))+SUMIFS('Allocated Transactions'!$J:$J,'Allocated Transactions'!$D:$D,$B22,'Allocated Transactions'!$C:$C,$B$11,'Allocated Transactions'!$A:$A,"&gt;="&amp;T$19,'Allocated Transactions'!$A:$A,"&lt;="&amp;EOMONTH(T$19,0))+SUMIFS('Allocated Transactions'!$J:$J,'Allocated Transactions'!$D:$D,$B22,'Allocated Transactions'!$C:$C,$B$2,'Allocated Transactions'!$A:$A,"&gt;="&amp;T$19,'Allocated Transactions'!$A:$A,"&lt;="&amp;EOMONTH(T$19,0))+SUMIFS('Allocated Transactions'!$J:$J,'Allocated Transactions'!$D:$D,$B22,'Allocated Transactions'!$C:$C,$B$4,'Allocated Transactions'!$A:$A,"&gt;="&amp;T$19,'Allocated Transactions'!$A:$A,"&lt;="&amp;EOMONTH(T$19,0))+SUMIFS('Allocated Transactions'!$J:$J,'Allocated Transactions'!$D:$D,$B22,'Allocated Transactions'!$C:$C,$B$3,'Allocated Transactions'!$A:$A,"&gt;="&amp;T$19,'Allocated Transactions'!$A:$A,"&lt;="&amp;EOMONTH(T$19,0))+SUMIFS('Allocated Transactions'!$J:$J,'Allocated Transactions'!$D:$D,$B22,'Allocated Transactions'!$C:$C,$B$5,'Allocated Transactions'!$A:$A,"&gt;="&amp;T$19,'Allocated Transactions'!$A:$A,"&lt;="&amp;EOMONTH(T$19,0))+SUMIFS('Allocated Transactions'!$J:$J,'Allocated Transactions'!$D:$D,$B22,'Allocated Transactions'!$C:$C,$B$6,'Allocated Transactions'!$A:$A,"&gt;="&amp;T$19,'Allocated Transactions'!$A:$A,"&lt;="&amp;EOMONTH(T$19,0)))</f>
        <v>68959.009999999995</v>
      </c>
      <c r="U22" s="84">
        <f>SUMPRODUCT(SUMIFS('Budget Data'!$J:$J,'Budget Data'!$E:$E,$B22,'Budget Data'!$C:$C,$B$7,'Budget Data'!$A:$A,"&gt;="&amp;U$19,'Budget Data'!$A:$A,"&lt;="&amp;EOMONTH(U$19,0))+SUMIFS('Budget Data'!$J:$J,'Budget Data'!$E:$E,$B22,'Budget Data'!$C:$C,$B$9,'Budget Data'!$A:$A,"&gt;="&amp;U$19,'Budget Data'!$A:$A,"&lt;="&amp;EOMONTH(U$19,0))+SUMIFS('Budget Data'!$J:$J,'Budget Data'!$E:$E,$B22,'Budget Data'!$C:$C,$B$8,'Budget Data'!$A:$A,"&gt;="&amp;U$19,'Budget Data'!$A:$A,"&lt;="&amp;EOMONTH(U$19,0))+SUMIFS('Budget Data'!$J:$J,'Budget Data'!$E:$E,$B22,'Budget Data'!$C:$C,$B$10,'Budget Data'!$A:$A,"&gt;="&amp;U$19,'Budget Data'!$A:$A,"&lt;="&amp;EOMONTH(U$19,0))+SUMIFS('Budget Data'!$J:$J,'Budget Data'!$E:$E,$B22,'Budget Data'!$C:$C,$B$11,'Budget Data'!$A:$A,"&gt;="&amp;U$19,'Budget Data'!$A:$A,"&lt;="&amp;EOMONTH(U$19,0))+SUMIFS('Budget Data'!$J:$J,'Budget Data'!$E:$E,$B22,'Budget Data'!$C:$C,$B$2,'Budget Data'!$A:$A,"&gt;="&amp;U$19,'Budget Data'!$A:$A,"&lt;="&amp;EOMONTH(U$19,0))+SUMIFS('Budget Data'!$J:$J,'Budget Data'!$E:$E,$B22,'Budget Data'!$C:$C,$B$4,'Budget Data'!$A:$A,"&gt;="&amp;U$19,'Budget Data'!$A:$A,"&lt;="&amp;EOMONTH(U$19,0))+SUMIFS('Budget Data'!$J:$J,'Budget Data'!$E:$E,$B22,'Budget Data'!$C:$C,$B$3,'Budget Data'!$A:$A,"&gt;="&amp;U$19,'Budget Data'!$A:$A,"&lt;="&amp;EOMONTH(U$19,0))+SUMIFS('Budget Data'!$J:$J,'Budget Data'!$E:$E,$B22,'Budget Data'!$C:$C,$B$5,'Budget Data'!$A:$A,"&gt;="&amp;U$19,'Budget Data'!$A:$A,"&lt;="&amp;EOMONTH(U$19,0))+SUMIFS('Budget Data'!$J:$J,'Budget Data'!$E:$E,$B22,'Budget Data'!$C:$C,$B$6,'Budget Data'!$A:$A,"&gt;="&amp;U$19,'Budget Data'!$A:$A,"&lt;="&amp;EOMONTH(U$19,0)))</f>
        <v>61780</v>
      </c>
      <c r="V22" s="86">
        <f>-SUMPRODUCT(SUMIFS('Allocated Transactions'!$J:$J,'Allocated Transactions'!$D:$D,$B22,'Allocated Transactions'!$C:$C,$B$7,'Allocated Transactions'!$A:$A,"&gt;="&amp;V$19,'Allocated Transactions'!$A:$A,"&lt;="&amp;EOMONTH(V$19,0))+SUMIFS('Allocated Transactions'!$J:$J,'Allocated Transactions'!$D:$D,$B22,'Allocated Transactions'!$C:$C,$B$9,'Allocated Transactions'!$A:$A,"&gt;="&amp;V$19,'Allocated Transactions'!$A:$A,"&lt;="&amp;EOMONTH(V$19,0))+SUMIFS('Allocated Transactions'!$J:$J,'Allocated Transactions'!$D:$D,$B22,'Allocated Transactions'!$C:$C,$B$8,'Allocated Transactions'!$A:$A,"&gt;="&amp;V$19,'Allocated Transactions'!$A:$A,"&lt;="&amp;EOMONTH(V$19,0))+SUMIFS('Allocated Transactions'!$J:$J,'Allocated Transactions'!$D:$D,$B22,'Allocated Transactions'!$C:$C,$B$10,'Allocated Transactions'!$A:$A,"&gt;="&amp;V$19,'Allocated Transactions'!$A:$A,"&lt;="&amp;EOMONTH(V$19,0))+SUMIFS('Allocated Transactions'!$J:$J,'Allocated Transactions'!$D:$D,$B22,'Allocated Transactions'!$C:$C,$B$11,'Allocated Transactions'!$A:$A,"&gt;="&amp;V$19,'Allocated Transactions'!$A:$A,"&lt;="&amp;EOMONTH(V$19,0))+SUMIFS('Allocated Transactions'!$J:$J,'Allocated Transactions'!$D:$D,$B22,'Allocated Transactions'!$C:$C,$B$2,'Allocated Transactions'!$A:$A,"&gt;="&amp;V$19,'Allocated Transactions'!$A:$A,"&lt;="&amp;EOMONTH(V$19,0))+SUMIFS('Allocated Transactions'!$J:$J,'Allocated Transactions'!$D:$D,$B22,'Allocated Transactions'!$C:$C,$B$4,'Allocated Transactions'!$A:$A,"&gt;="&amp;V$19,'Allocated Transactions'!$A:$A,"&lt;="&amp;EOMONTH(V$19,0))+SUMIFS('Allocated Transactions'!$J:$J,'Allocated Transactions'!$D:$D,$B22,'Allocated Transactions'!$C:$C,$B$3,'Allocated Transactions'!$A:$A,"&gt;="&amp;V$19,'Allocated Transactions'!$A:$A,"&lt;="&amp;EOMONTH(V$19,0))+SUMIFS('Allocated Transactions'!$J:$J,'Allocated Transactions'!$D:$D,$B22,'Allocated Transactions'!$C:$C,$B$5,'Allocated Transactions'!$A:$A,"&gt;="&amp;V$19,'Allocated Transactions'!$A:$A,"&lt;="&amp;EOMONTH(V$19,0))+SUMIFS('Allocated Transactions'!$J:$J,'Allocated Transactions'!$D:$D,$B22,'Allocated Transactions'!$C:$C,$B$6,'Allocated Transactions'!$A:$A,"&gt;="&amp;V$19,'Allocated Transactions'!$A:$A,"&lt;="&amp;EOMONTH(V$19,0)))</f>
        <v>59789.29</v>
      </c>
      <c r="W22" s="84">
        <f>SUMPRODUCT(SUMIFS('Budget Data'!$J:$J,'Budget Data'!$E:$E,$B22,'Budget Data'!$C:$C,$B$7,'Budget Data'!$A:$A,"&gt;="&amp;W$19,'Budget Data'!$A:$A,"&lt;="&amp;EOMONTH(W$19,0))+SUMIFS('Budget Data'!$J:$J,'Budget Data'!$E:$E,$B22,'Budget Data'!$C:$C,$B$9,'Budget Data'!$A:$A,"&gt;="&amp;W$19,'Budget Data'!$A:$A,"&lt;="&amp;EOMONTH(W$19,0))+SUMIFS('Budget Data'!$J:$J,'Budget Data'!$E:$E,$B22,'Budget Data'!$C:$C,$B$8,'Budget Data'!$A:$A,"&gt;="&amp;W$19,'Budget Data'!$A:$A,"&lt;="&amp;EOMONTH(W$19,0))+SUMIFS('Budget Data'!$J:$J,'Budget Data'!$E:$E,$B22,'Budget Data'!$C:$C,$B$10,'Budget Data'!$A:$A,"&gt;="&amp;W$19,'Budget Data'!$A:$A,"&lt;="&amp;EOMONTH(W$19,0))+SUMIFS('Budget Data'!$J:$J,'Budget Data'!$E:$E,$B22,'Budget Data'!$C:$C,$B$11,'Budget Data'!$A:$A,"&gt;="&amp;W$19,'Budget Data'!$A:$A,"&lt;="&amp;EOMONTH(W$19,0))+SUMIFS('Budget Data'!$J:$J,'Budget Data'!$E:$E,$B22,'Budget Data'!$C:$C,$B$2,'Budget Data'!$A:$A,"&gt;="&amp;W$19,'Budget Data'!$A:$A,"&lt;="&amp;EOMONTH(W$19,0))+SUMIFS('Budget Data'!$J:$J,'Budget Data'!$E:$E,$B22,'Budget Data'!$C:$C,$B$4,'Budget Data'!$A:$A,"&gt;="&amp;W$19,'Budget Data'!$A:$A,"&lt;="&amp;EOMONTH(W$19,0))+SUMIFS('Budget Data'!$J:$J,'Budget Data'!$E:$E,$B22,'Budget Data'!$C:$C,$B$3,'Budget Data'!$A:$A,"&gt;="&amp;W$19,'Budget Data'!$A:$A,"&lt;="&amp;EOMONTH(W$19,0))+SUMIFS('Budget Data'!$J:$J,'Budget Data'!$E:$E,$B22,'Budget Data'!$C:$C,$B$5,'Budget Data'!$A:$A,"&gt;="&amp;W$19,'Budget Data'!$A:$A,"&lt;="&amp;EOMONTH(W$19,0))+SUMIFS('Budget Data'!$J:$J,'Budget Data'!$E:$E,$B22,'Budget Data'!$C:$C,$B$6,'Budget Data'!$A:$A,"&gt;="&amp;W$19,'Budget Data'!$A:$A,"&lt;="&amp;EOMONTH(W$19,0)))</f>
        <v>42640</v>
      </c>
      <c r="X22" s="86">
        <f>-SUMPRODUCT(SUMIFS('Allocated Transactions'!$J:$J,'Allocated Transactions'!$D:$D,$B22,'Allocated Transactions'!$C:$C,$B$7,'Allocated Transactions'!$A:$A,"&gt;="&amp;X$19,'Allocated Transactions'!$A:$A,"&lt;="&amp;EOMONTH(X$19,0))+SUMIFS('Allocated Transactions'!$J:$J,'Allocated Transactions'!$D:$D,$B22,'Allocated Transactions'!$C:$C,$B$9,'Allocated Transactions'!$A:$A,"&gt;="&amp;X$19,'Allocated Transactions'!$A:$A,"&lt;="&amp;EOMONTH(X$19,0))+SUMIFS('Allocated Transactions'!$J:$J,'Allocated Transactions'!$D:$D,$B22,'Allocated Transactions'!$C:$C,$B$8,'Allocated Transactions'!$A:$A,"&gt;="&amp;X$19,'Allocated Transactions'!$A:$A,"&lt;="&amp;EOMONTH(X$19,0))+SUMIFS('Allocated Transactions'!$J:$J,'Allocated Transactions'!$D:$D,$B22,'Allocated Transactions'!$C:$C,$B$10,'Allocated Transactions'!$A:$A,"&gt;="&amp;X$19,'Allocated Transactions'!$A:$A,"&lt;="&amp;EOMONTH(X$19,0))+SUMIFS('Allocated Transactions'!$J:$J,'Allocated Transactions'!$D:$D,$B22,'Allocated Transactions'!$C:$C,$B$11,'Allocated Transactions'!$A:$A,"&gt;="&amp;X$19,'Allocated Transactions'!$A:$A,"&lt;="&amp;EOMONTH(X$19,0))+SUMIFS('Allocated Transactions'!$J:$J,'Allocated Transactions'!$D:$D,$B22,'Allocated Transactions'!$C:$C,$B$2,'Allocated Transactions'!$A:$A,"&gt;="&amp;X$19,'Allocated Transactions'!$A:$A,"&lt;="&amp;EOMONTH(X$19,0))+SUMIFS('Allocated Transactions'!$J:$J,'Allocated Transactions'!$D:$D,$B22,'Allocated Transactions'!$C:$C,$B$4,'Allocated Transactions'!$A:$A,"&gt;="&amp;X$19,'Allocated Transactions'!$A:$A,"&lt;="&amp;EOMONTH(X$19,0))+SUMIFS('Allocated Transactions'!$J:$J,'Allocated Transactions'!$D:$D,$B22,'Allocated Transactions'!$C:$C,$B$3,'Allocated Transactions'!$A:$A,"&gt;="&amp;X$19,'Allocated Transactions'!$A:$A,"&lt;="&amp;EOMONTH(X$19,0))+SUMIFS('Allocated Transactions'!$J:$J,'Allocated Transactions'!$D:$D,$B22,'Allocated Transactions'!$C:$C,$B$5,'Allocated Transactions'!$A:$A,"&gt;="&amp;X$19,'Allocated Transactions'!$A:$A,"&lt;="&amp;EOMONTH(X$19,0))+SUMIFS('Allocated Transactions'!$J:$J,'Allocated Transactions'!$D:$D,$B22,'Allocated Transactions'!$C:$C,$B$6,'Allocated Transactions'!$A:$A,"&gt;="&amp;X$19,'Allocated Transactions'!$A:$A,"&lt;="&amp;EOMONTH(X$19,0)))</f>
        <v>73169.440000000162</v>
      </c>
      <c r="Y22" s="84">
        <f>SUMPRODUCT(SUMIFS('Budget Data'!$J:$J,'Budget Data'!$E:$E,$B22,'Budget Data'!$C:$C,$B$7,'Budget Data'!$A:$A,"&gt;="&amp;Y$19,'Budget Data'!$A:$A,"&lt;="&amp;EOMONTH(Y$19,0))+SUMIFS('Budget Data'!$J:$J,'Budget Data'!$E:$E,$B22,'Budget Data'!$C:$C,$B$9,'Budget Data'!$A:$A,"&gt;="&amp;Y$19,'Budget Data'!$A:$A,"&lt;="&amp;EOMONTH(Y$19,0))+SUMIFS('Budget Data'!$J:$J,'Budget Data'!$E:$E,$B22,'Budget Data'!$C:$C,$B$8,'Budget Data'!$A:$A,"&gt;="&amp;Y$19,'Budget Data'!$A:$A,"&lt;="&amp;EOMONTH(Y$19,0))+SUMIFS('Budget Data'!$J:$J,'Budget Data'!$E:$E,$B22,'Budget Data'!$C:$C,$B$10,'Budget Data'!$A:$A,"&gt;="&amp;Y$19,'Budget Data'!$A:$A,"&lt;="&amp;EOMONTH(Y$19,0))+SUMIFS('Budget Data'!$J:$J,'Budget Data'!$E:$E,$B22,'Budget Data'!$C:$C,$B$11,'Budget Data'!$A:$A,"&gt;="&amp;Y$19,'Budget Data'!$A:$A,"&lt;="&amp;EOMONTH(Y$19,0))+SUMIFS('Budget Data'!$J:$J,'Budget Data'!$E:$E,$B22,'Budget Data'!$C:$C,$B$2,'Budget Data'!$A:$A,"&gt;="&amp;Y$19,'Budget Data'!$A:$A,"&lt;="&amp;EOMONTH(Y$19,0))+SUMIFS('Budget Data'!$J:$J,'Budget Data'!$E:$E,$B22,'Budget Data'!$C:$C,$B$4,'Budget Data'!$A:$A,"&gt;="&amp;Y$19,'Budget Data'!$A:$A,"&lt;="&amp;EOMONTH(Y$19,0))+SUMIFS('Budget Data'!$J:$J,'Budget Data'!$E:$E,$B22,'Budget Data'!$C:$C,$B$3,'Budget Data'!$A:$A,"&gt;="&amp;Y$19,'Budget Data'!$A:$A,"&lt;="&amp;EOMONTH(Y$19,0))+SUMIFS('Budget Data'!$J:$J,'Budget Data'!$E:$E,$B22,'Budget Data'!$C:$C,$B$5,'Budget Data'!$A:$A,"&gt;="&amp;Y$19,'Budget Data'!$A:$A,"&lt;="&amp;EOMONTH(Y$19,0))+SUMIFS('Budget Data'!$J:$J,'Budget Data'!$E:$E,$B22,'Budget Data'!$C:$C,$B$6,'Budget Data'!$A:$A,"&gt;="&amp;Y$19,'Budget Data'!$A:$A,"&lt;="&amp;EOMONTH(Y$19,0)))</f>
        <v>14680</v>
      </c>
      <c r="Z22" s="86">
        <f>-SUMPRODUCT(SUMIFS('Allocated Transactions'!$J:$J,'Allocated Transactions'!$D:$D,$B22,'Allocated Transactions'!$C:$C,$B$7,'Allocated Transactions'!$A:$A,"&gt;="&amp;Z$19,'Allocated Transactions'!$A:$A,"&lt;="&amp;EOMONTH(Z$19,0))+SUMIFS('Allocated Transactions'!$J:$J,'Allocated Transactions'!$D:$D,$B22,'Allocated Transactions'!$C:$C,$B$9,'Allocated Transactions'!$A:$A,"&gt;="&amp;Z$19,'Allocated Transactions'!$A:$A,"&lt;="&amp;EOMONTH(Z$19,0))+SUMIFS('Allocated Transactions'!$J:$J,'Allocated Transactions'!$D:$D,$B22,'Allocated Transactions'!$C:$C,$B$8,'Allocated Transactions'!$A:$A,"&gt;="&amp;Z$19,'Allocated Transactions'!$A:$A,"&lt;="&amp;EOMONTH(Z$19,0))+SUMIFS('Allocated Transactions'!$J:$J,'Allocated Transactions'!$D:$D,$B22,'Allocated Transactions'!$C:$C,$B$10,'Allocated Transactions'!$A:$A,"&gt;="&amp;Z$19,'Allocated Transactions'!$A:$A,"&lt;="&amp;EOMONTH(Z$19,0))+SUMIFS('Allocated Transactions'!$J:$J,'Allocated Transactions'!$D:$D,$B22,'Allocated Transactions'!$C:$C,$B$11,'Allocated Transactions'!$A:$A,"&gt;="&amp;Z$19,'Allocated Transactions'!$A:$A,"&lt;="&amp;EOMONTH(Z$19,0))+SUMIFS('Allocated Transactions'!$J:$J,'Allocated Transactions'!$D:$D,$B22,'Allocated Transactions'!$C:$C,$B$2,'Allocated Transactions'!$A:$A,"&gt;="&amp;Z$19,'Allocated Transactions'!$A:$A,"&lt;="&amp;EOMONTH(Z$19,0))+SUMIFS('Allocated Transactions'!$J:$J,'Allocated Transactions'!$D:$D,$B22,'Allocated Transactions'!$C:$C,$B$4,'Allocated Transactions'!$A:$A,"&gt;="&amp;Z$19,'Allocated Transactions'!$A:$A,"&lt;="&amp;EOMONTH(Z$19,0))+SUMIFS('Allocated Transactions'!$J:$J,'Allocated Transactions'!$D:$D,$B22,'Allocated Transactions'!$C:$C,$B$3,'Allocated Transactions'!$A:$A,"&gt;="&amp;Z$19,'Allocated Transactions'!$A:$A,"&lt;="&amp;EOMONTH(Z$19,0))+SUMIFS('Allocated Transactions'!$J:$J,'Allocated Transactions'!$D:$D,$B22,'Allocated Transactions'!$C:$C,$B$5,'Allocated Transactions'!$A:$A,"&gt;="&amp;Z$19,'Allocated Transactions'!$A:$A,"&lt;="&amp;EOMONTH(Z$19,0))+SUMIFS('Allocated Transactions'!$J:$J,'Allocated Transactions'!$D:$D,$B22,'Allocated Transactions'!$C:$C,$B$6,'Allocated Transactions'!$A:$A,"&gt;="&amp;Z$19,'Allocated Transactions'!$A:$A,"&lt;="&amp;EOMONTH(Z$19,0)))</f>
        <v>43762.190000000017</v>
      </c>
      <c r="AA22" s="84">
        <f>SUMPRODUCT(SUMIFS('Budget Data'!$J:$J,'Budget Data'!$E:$E,$B22,'Budget Data'!$C:$C,$B$7,'Budget Data'!$A:$A,"&gt;="&amp;AA$19,'Budget Data'!$A:$A,"&lt;="&amp;EOMONTH(AA$19,0))+SUMIFS('Budget Data'!$J:$J,'Budget Data'!$E:$E,$B22,'Budget Data'!$C:$C,$B$9,'Budget Data'!$A:$A,"&gt;="&amp;AA$19,'Budget Data'!$A:$A,"&lt;="&amp;EOMONTH(AA$19,0))+SUMIFS('Budget Data'!$J:$J,'Budget Data'!$E:$E,$B22,'Budget Data'!$C:$C,$B$8,'Budget Data'!$A:$A,"&gt;="&amp;AA$19,'Budget Data'!$A:$A,"&lt;="&amp;EOMONTH(AA$19,0))+SUMIFS('Budget Data'!$J:$J,'Budget Data'!$E:$E,$B22,'Budget Data'!$C:$C,$B$10,'Budget Data'!$A:$A,"&gt;="&amp;AA$19,'Budget Data'!$A:$A,"&lt;="&amp;EOMONTH(AA$19,0))+SUMIFS('Budget Data'!$J:$J,'Budget Data'!$E:$E,$B22,'Budget Data'!$C:$C,$B$11,'Budget Data'!$A:$A,"&gt;="&amp;AA$19,'Budget Data'!$A:$A,"&lt;="&amp;EOMONTH(AA$19,0))+SUMIFS('Budget Data'!$J:$J,'Budget Data'!$E:$E,$B22,'Budget Data'!$C:$C,$B$2,'Budget Data'!$A:$A,"&gt;="&amp;AA$19,'Budget Data'!$A:$A,"&lt;="&amp;EOMONTH(AA$19,0))+SUMIFS('Budget Data'!$J:$J,'Budget Data'!$E:$E,$B22,'Budget Data'!$C:$C,$B$4,'Budget Data'!$A:$A,"&gt;="&amp;AA$19,'Budget Data'!$A:$A,"&lt;="&amp;EOMONTH(AA$19,0))+SUMIFS('Budget Data'!$J:$J,'Budget Data'!$E:$E,$B22,'Budget Data'!$C:$C,$B$3,'Budget Data'!$A:$A,"&gt;="&amp;AA$19,'Budget Data'!$A:$A,"&lt;="&amp;EOMONTH(AA$19,0))+SUMIFS('Budget Data'!$J:$J,'Budget Data'!$E:$E,$B22,'Budget Data'!$C:$C,$B$5,'Budget Data'!$A:$A,"&gt;="&amp;AA$19,'Budget Data'!$A:$A,"&lt;="&amp;EOMONTH(AA$19,0))+SUMIFS('Budget Data'!$J:$J,'Budget Data'!$E:$E,$B22,'Budget Data'!$C:$C,$B$6,'Budget Data'!$A:$A,"&gt;="&amp;AA$19,'Budget Data'!$A:$A,"&lt;="&amp;EOMONTH(AA$19,0)))</f>
        <v>7800</v>
      </c>
      <c r="AC22" s="87">
        <f t="shared" si="0"/>
        <v>673862.12000000046</v>
      </c>
      <c r="AD22" s="84">
        <f t="shared" si="0"/>
        <v>1492000</v>
      </c>
    </row>
    <row r="23" spans="2:30" ht="15" customHeight="1">
      <c r="B23" s="12" t="str">
        <v>4020</v>
      </c>
      <c r="C23" s="160" t="str">
        <f>_xlfn.XLOOKUP(B23,'Allocated Transactions'!D:D,'Allocated Transactions'!E:E,"")</f>
        <v>Grant Revenue - Foundation</v>
      </c>
      <c r="D23" s="86">
        <f>-SUMPRODUCT(SUMIFS('Allocated Transactions'!$J:$J,'Allocated Transactions'!$D:$D,$B23,'Allocated Transactions'!$C:$C,$B$7,'Allocated Transactions'!$A:$A,"&gt;="&amp;D$19,'Allocated Transactions'!$A:$A,"&lt;="&amp;EOMONTH(D$19,0))+SUMIFS('Allocated Transactions'!$J:$J,'Allocated Transactions'!$D:$D,$B23,'Allocated Transactions'!$C:$C,$B$9,'Allocated Transactions'!$A:$A,"&gt;="&amp;D$19,'Allocated Transactions'!$A:$A,"&lt;="&amp;EOMONTH(D$19,0))+SUMIFS('Allocated Transactions'!$J:$J,'Allocated Transactions'!$D:$D,$B23,'Allocated Transactions'!$C:$C,$B$8,'Allocated Transactions'!$A:$A,"&gt;="&amp;D$19,'Allocated Transactions'!$A:$A,"&lt;="&amp;EOMONTH(D$19,0))+SUMIFS('Allocated Transactions'!$J:$J,'Allocated Transactions'!$D:$D,$B23,'Allocated Transactions'!$C:$C,$B$10,'Allocated Transactions'!$A:$A,"&gt;="&amp;D$19,'Allocated Transactions'!$A:$A,"&lt;="&amp;EOMONTH(D$19,0))+SUMIFS('Allocated Transactions'!$J:$J,'Allocated Transactions'!$D:$D,$B23,'Allocated Transactions'!$C:$C,$B$11,'Allocated Transactions'!$A:$A,"&gt;="&amp;D$19,'Allocated Transactions'!$A:$A,"&lt;="&amp;EOMONTH(D$19,0))+SUMIFS('Allocated Transactions'!$J:$J,'Allocated Transactions'!$D:$D,$B23,'Allocated Transactions'!$C:$C,$B$2,'Allocated Transactions'!$A:$A,"&gt;="&amp;D$19,'Allocated Transactions'!$A:$A,"&lt;="&amp;EOMONTH(D$19,0))+SUMIFS('Allocated Transactions'!$J:$J,'Allocated Transactions'!$D:$D,$B23,'Allocated Transactions'!$C:$C,$B$4,'Allocated Transactions'!$A:$A,"&gt;="&amp;D$19,'Allocated Transactions'!$A:$A,"&lt;="&amp;EOMONTH(D$19,0))+SUMIFS('Allocated Transactions'!$J:$J,'Allocated Transactions'!$D:$D,$B23,'Allocated Transactions'!$C:$C,$B$3,'Allocated Transactions'!$A:$A,"&gt;="&amp;D$19,'Allocated Transactions'!$A:$A,"&lt;="&amp;EOMONTH(D$19,0))+SUMIFS('Allocated Transactions'!$J:$J,'Allocated Transactions'!$D:$D,$B23,'Allocated Transactions'!$C:$C,$B$5,'Allocated Transactions'!$A:$A,"&gt;="&amp;D$19,'Allocated Transactions'!$A:$A,"&lt;="&amp;EOMONTH(D$19,0))+SUMIFS('Allocated Transactions'!$J:$J,'Allocated Transactions'!$D:$D,$B23,'Allocated Transactions'!$C:$C,$B$6,'Allocated Transactions'!$A:$A,"&gt;="&amp;D$19,'Allocated Transactions'!$A:$A,"&lt;="&amp;EOMONTH(D$19,0)))</f>
        <v>110851.01999999999</v>
      </c>
      <c r="E23" s="84">
        <f>SUMPRODUCT(SUMIFS('Budget Data'!$J:$J,'Budget Data'!$E:$E,$B23,'Budget Data'!$C:$C,$B$7,'Budget Data'!$A:$A,"&gt;="&amp;E$19,'Budget Data'!$A:$A,"&lt;="&amp;EOMONTH(E$19,0))+SUMIFS('Budget Data'!$J:$J,'Budget Data'!$E:$E,$B23,'Budget Data'!$C:$C,$B$9,'Budget Data'!$A:$A,"&gt;="&amp;E$19,'Budget Data'!$A:$A,"&lt;="&amp;EOMONTH(E$19,0))+SUMIFS('Budget Data'!$J:$J,'Budget Data'!$E:$E,$B23,'Budget Data'!$C:$C,$B$8,'Budget Data'!$A:$A,"&gt;="&amp;E$19,'Budget Data'!$A:$A,"&lt;="&amp;EOMONTH(E$19,0))+SUMIFS('Budget Data'!$J:$J,'Budget Data'!$E:$E,$B23,'Budget Data'!$C:$C,$B$10,'Budget Data'!$A:$A,"&gt;="&amp;E$19,'Budget Data'!$A:$A,"&lt;="&amp;EOMONTH(E$19,0))+SUMIFS('Budget Data'!$J:$J,'Budget Data'!$E:$E,$B23,'Budget Data'!$C:$C,$B$11,'Budget Data'!$A:$A,"&gt;="&amp;E$19,'Budget Data'!$A:$A,"&lt;="&amp;EOMONTH(E$19,0))+SUMIFS('Budget Data'!$J:$J,'Budget Data'!$E:$E,$B23,'Budget Data'!$C:$C,$B$2,'Budget Data'!$A:$A,"&gt;="&amp;E$19,'Budget Data'!$A:$A,"&lt;="&amp;EOMONTH(E$19,0))+SUMIFS('Budget Data'!$J:$J,'Budget Data'!$E:$E,$B23,'Budget Data'!$C:$C,$B$4,'Budget Data'!$A:$A,"&gt;="&amp;E$19,'Budget Data'!$A:$A,"&lt;="&amp;EOMONTH(E$19,0))+SUMIFS('Budget Data'!$J:$J,'Budget Data'!$E:$E,$B23,'Budget Data'!$C:$C,$B$3,'Budget Data'!$A:$A,"&gt;="&amp;E$19,'Budget Data'!$A:$A,"&lt;="&amp;EOMONTH(E$19,0))+SUMIFS('Budget Data'!$J:$J,'Budget Data'!$E:$E,$B23,'Budget Data'!$C:$C,$B$5,'Budget Data'!$A:$A,"&gt;="&amp;E$19,'Budget Data'!$A:$A,"&lt;="&amp;EOMONTH(E$19,0))+SUMIFS('Budget Data'!$J:$J,'Budget Data'!$E:$E,$B23,'Budget Data'!$C:$C,$B$6,'Budget Data'!$A:$A,"&gt;="&amp;E$19,'Budget Data'!$A:$A,"&lt;="&amp;EOMONTH(E$19,0)))</f>
        <v>0</v>
      </c>
      <c r="F23" s="86">
        <f>-SUMPRODUCT(SUMIFS('Allocated Transactions'!$J:$J,'Allocated Transactions'!$D:$D,$B23,'Allocated Transactions'!$C:$C,$B$7,'Allocated Transactions'!$A:$A,"&gt;="&amp;F$19,'Allocated Transactions'!$A:$A,"&lt;="&amp;EOMONTH(F$19,0))+SUMIFS('Allocated Transactions'!$J:$J,'Allocated Transactions'!$D:$D,$B23,'Allocated Transactions'!$C:$C,$B$9,'Allocated Transactions'!$A:$A,"&gt;="&amp;F$19,'Allocated Transactions'!$A:$A,"&lt;="&amp;EOMONTH(F$19,0))+SUMIFS('Allocated Transactions'!$J:$J,'Allocated Transactions'!$D:$D,$B23,'Allocated Transactions'!$C:$C,$B$8,'Allocated Transactions'!$A:$A,"&gt;="&amp;F$19,'Allocated Transactions'!$A:$A,"&lt;="&amp;EOMONTH(F$19,0))+SUMIFS('Allocated Transactions'!$J:$J,'Allocated Transactions'!$D:$D,$B23,'Allocated Transactions'!$C:$C,$B$10,'Allocated Transactions'!$A:$A,"&gt;="&amp;F$19,'Allocated Transactions'!$A:$A,"&lt;="&amp;EOMONTH(F$19,0))+SUMIFS('Allocated Transactions'!$J:$J,'Allocated Transactions'!$D:$D,$B23,'Allocated Transactions'!$C:$C,$B$11,'Allocated Transactions'!$A:$A,"&gt;="&amp;F$19,'Allocated Transactions'!$A:$A,"&lt;="&amp;EOMONTH(F$19,0))+SUMIFS('Allocated Transactions'!$J:$J,'Allocated Transactions'!$D:$D,$B23,'Allocated Transactions'!$C:$C,$B$2,'Allocated Transactions'!$A:$A,"&gt;="&amp;F$19,'Allocated Transactions'!$A:$A,"&lt;="&amp;EOMONTH(F$19,0))+SUMIFS('Allocated Transactions'!$J:$J,'Allocated Transactions'!$D:$D,$B23,'Allocated Transactions'!$C:$C,$B$4,'Allocated Transactions'!$A:$A,"&gt;="&amp;F$19,'Allocated Transactions'!$A:$A,"&lt;="&amp;EOMONTH(F$19,0))+SUMIFS('Allocated Transactions'!$J:$J,'Allocated Transactions'!$D:$D,$B23,'Allocated Transactions'!$C:$C,$B$3,'Allocated Transactions'!$A:$A,"&gt;="&amp;F$19,'Allocated Transactions'!$A:$A,"&lt;="&amp;EOMONTH(F$19,0))+SUMIFS('Allocated Transactions'!$J:$J,'Allocated Transactions'!$D:$D,$B23,'Allocated Transactions'!$C:$C,$B$5,'Allocated Transactions'!$A:$A,"&gt;="&amp;F$19,'Allocated Transactions'!$A:$A,"&lt;="&amp;EOMONTH(F$19,0))+SUMIFS('Allocated Transactions'!$J:$J,'Allocated Transactions'!$D:$D,$B23,'Allocated Transactions'!$C:$C,$B$6,'Allocated Transactions'!$A:$A,"&gt;="&amp;F$19,'Allocated Transactions'!$A:$A,"&lt;="&amp;EOMONTH(F$19,0)))</f>
        <v>0</v>
      </c>
      <c r="G23" s="84">
        <f>SUMPRODUCT(SUMIFS('Budget Data'!$J:$J,'Budget Data'!$E:$E,$B23,'Budget Data'!$C:$C,$B$7,'Budget Data'!$A:$A,"&gt;="&amp;G$19,'Budget Data'!$A:$A,"&lt;="&amp;EOMONTH(G$19,0))+SUMIFS('Budget Data'!$J:$J,'Budget Data'!$E:$E,$B23,'Budget Data'!$C:$C,$B$9,'Budget Data'!$A:$A,"&gt;="&amp;G$19,'Budget Data'!$A:$A,"&lt;="&amp;EOMONTH(G$19,0))+SUMIFS('Budget Data'!$J:$J,'Budget Data'!$E:$E,$B23,'Budget Data'!$C:$C,$B$8,'Budget Data'!$A:$A,"&gt;="&amp;G$19,'Budget Data'!$A:$A,"&lt;="&amp;EOMONTH(G$19,0))+SUMIFS('Budget Data'!$J:$J,'Budget Data'!$E:$E,$B23,'Budget Data'!$C:$C,$B$10,'Budget Data'!$A:$A,"&gt;="&amp;G$19,'Budget Data'!$A:$A,"&lt;="&amp;EOMONTH(G$19,0))+SUMIFS('Budget Data'!$J:$J,'Budget Data'!$E:$E,$B23,'Budget Data'!$C:$C,$B$11,'Budget Data'!$A:$A,"&gt;="&amp;G$19,'Budget Data'!$A:$A,"&lt;="&amp;EOMONTH(G$19,0))+SUMIFS('Budget Data'!$J:$J,'Budget Data'!$E:$E,$B23,'Budget Data'!$C:$C,$B$2,'Budget Data'!$A:$A,"&gt;="&amp;G$19,'Budget Data'!$A:$A,"&lt;="&amp;EOMONTH(G$19,0))+SUMIFS('Budget Data'!$J:$J,'Budget Data'!$E:$E,$B23,'Budget Data'!$C:$C,$B$4,'Budget Data'!$A:$A,"&gt;="&amp;G$19,'Budget Data'!$A:$A,"&lt;="&amp;EOMONTH(G$19,0))+SUMIFS('Budget Data'!$J:$J,'Budget Data'!$E:$E,$B23,'Budget Data'!$C:$C,$B$3,'Budget Data'!$A:$A,"&gt;="&amp;G$19,'Budget Data'!$A:$A,"&lt;="&amp;EOMONTH(G$19,0))+SUMIFS('Budget Data'!$J:$J,'Budget Data'!$E:$E,$B23,'Budget Data'!$C:$C,$B$5,'Budget Data'!$A:$A,"&gt;="&amp;G$19,'Budget Data'!$A:$A,"&lt;="&amp;EOMONTH(G$19,0))+SUMIFS('Budget Data'!$J:$J,'Budget Data'!$E:$E,$B23,'Budget Data'!$C:$C,$B$6,'Budget Data'!$A:$A,"&gt;="&amp;G$19,'Budget Data'!$A:$A,"&lt;="&amp;EOMONTH(G$19,0)))</f>
        <v>0</v>
      </c>
      <c r="H23" s="86">
        <f>-SUMPRODUCT(SUMIFS('Allocated Transactions'!$J:$J,'Allocated Transactions'!$D:$D,$B23,'Allocated Transactions'!$C:$C,$B$7,'Allocated Transactions'!$A:$A,"&gt;="&amp;H$19,'Allocated Transactions'!$A:$A,"&lt;="&amp;EOMONTH(H$19,0))+SUMIFS('Allocated Transactions'!$J:$J,'Allocated Transactions'!$D:$D,$B23,'Allocated Transactions'!$C:$C,$B$9,'Allocated Transactions'!$A:$A,"&gt;="&amp;H$19,'Allocated Transactions'!$A:$A,"&lt;="&amp;EOMONTH(H$19,0))+SUMIFS('Allocated Transactions'!$J:$J,'Allocated Transactions'!$D:$D,$B23,'Allocated Transactions'!$C:$C,$B$8,'Allocated Transactions'!$A:$A,"&gt;="&amp;H$19,'Allocated Transactions'!$A:$A,"&lt;="&amp;EOMONTH(H$19,0))+SUMIFS('Allocated Transactions'!$J:$J,'Allocated Transactions'!$D:$D,$B23,'Allocated Transactions'!$C:$C,$B$10,'Allocated Transactions'!$A:$A,"&gt;="&amp;H$19,'Allocated Transactions'!$A:$A,"&lt;="&amp;EOMONTH(H$19,0))+SUMIFS('Allocated Transactions'!$J:$J,'Allocated Transactions'!$D:$D,$B23,'Allocated Transactions'!$C:$C,$B$11,'Allocated Transactions'!$A:$A,"&gt;="&amp;H$19,'Allocated Transactions'!$A:$A,"&lt;="&amp;EOMONTH(H$19,0))+SUMIFS('Allocated Transactions'!$J:$J,'Allocated Transactions'!$D:$D,$B23,'Allocated Transactions'!$C:$C,$B$2,'Allocated Transactions'!$A:$A,"&gt;="&amp;H$19,'Allocated Transactions'!$A:$A,"&lt;="&amp;EOMONTH(H$19,0))+SUMIFS('Allocated Transactions'!$J:$J,'Allocated Transactions'!$D:$D,$B23,'Allocated Transactions'!$C:$C,$B$4,'Allocated Transactions'!$A:$A,"&gt;="&amp;H$19,'Allocated Transactions'!$A:$A,"&lt;="&amp;EOMONTH(H$19,0))+SUMIFS('Allocated Transactions'!$J:$J,'Allocated Transactions'!$D:$D,$B23,'Allocated Transactions'!$C:$C,$B$3,'Allocated Transactions'!$A:$A,"&gt;="&amp;H$19,'Allocated Transactions'!$A:$A,"&lt;="&amp;EOMONTH(H$19,0))+SUMIFS('Allocated Transactions'!$J:$J,'Allocated Transactions'!$D:$D,$B23,'Allocated Transactions'!$C:$C,$B$5,'Allocated Transactions'!$A:$A,"&gt;="&amp;H$19,'Allocated Transactions'!$A:$A,"&lt;="&amp;EOMONTH(H$19,0))+SUMIFS('Allocated Transactions'!$J:$J,'Allocated Transactions'!$D:$D,$B23,'Allocated Transactions'!$C:$C,$B$6,'Allocated Transactions'!$A:$A,"&gt;="&amp;H$19,'Allocated Transactions'!$A:$A,"&lt;="&amp;EOMONTH(H$19,0)))</f>
        <v>0</v>
      </c>
      <c r="I23" s="84">
        <f>SUMPRODUCT(SUMIFS('Budget Data'!$J:$J,'Budget Data'!$E:$E,$B23,'Budget Data'!$C:$C,$B$7,'Budget Data'!$A:$A,"&gt;="&amp;I$19,'Budget Data'!$A:$A,"&lt;="&amp;EOMONTH(I$19,0))+SUMIFS('Budget Data'!$J:$J,'Budget Data'!$E:$E,$B23,'Budget Data'!$C:$C,$B$9,'Budget Data'!$A:$A,"&gt;="&amp;I$19,'Budget Data'!$A:$A,"&lt;="&amp;EOMONTH(I$19,0))+SUMIFS('Budget Data'!$J:$J,'Budget Data'!$E:$E,$B23,'Budget Data'!$C:$C,$B$8,'Budget Data'!$A:$A,"&gt;="&amp;I$19,'Budget Data'!$A:$A,"&lt;="&amp;EOMONTH(I$19,0))+SUMIFS('Budget Data'!$J:$J,'Budget Data'!$E:$E,$B23,'Budget Data'!$C:$C,$B$10,'Budget Data'!$A:$A,"&gt;="&amp;I$19,'Budget Data'!$A:$A,"&lt;="&amp;EOMONTH(I$19,0))+SUMIFS('Budget Data'!$J:$J,'Budget Data'!$E:$E,$B23,'Budget Data'!$C:$C,$B$11,'Budget Data'!$A:$A,"&gt;="&amp;I$19,'Budget Data'!$A:$A,"&lt;="&amp;EOMONTH(I$19,0))+SUMIFS('Budget Data'!$J:$J,'Budget Data'!$E:$E,$B23,'Budget Data'!$C:$C,$B$2,'Budget Data'!$A:$A,"&gt;="&amp;I$19,'Budget Data'!$A:$A,"&lt;="&amp;EOMONTH(I$19,0))+SUMIFS('Budget Data'!$J:$J,'Budget Data'!$E:$E,$B23,'Budget Data'!$C:$C,$B$4,'Budget Data'!$A:$A,"&gt;="&amp;I$19,'Budget Data'!$A:$A,"&lt;="&amp;EOMONTH(I$19,0))+SUMIFS('Budget Data'!$J:$J,'Budget Data'!$E:$E,$B23,'Budget Data'!$C:$C,$B$3,'Budget Data'!$A:$A,"&gt;="&amp;I$19,'Budget Data'!$A:$A,"&lt;="&amp;EOMONTH(I$19,0))+SUMIFS('Budget Data'!$J:$J,'Budget Data'!$E:$E,$B23,'Budget Data'!$C:$C,$B$5,'Budget Data'!$A:$A,"&gt;="&amp;I$19,'Budget Data'!$A:$A,"&lt;="&amp;EOMONTH(I$19,0))+SUMIFS('Budget Data'!$J:$J,'Budget Data'!$E:$E,$B23,'Budget Data'!$C:$C,$B$6,'Budget Data'!$A:$A,"&gt;="&amp;I$19,'Budget Data'!$A:$A,"&lt;="&amp;EOMONTH(I$19,0)))</f>
        <v>18000</v>
      </c>
      <c r="J23" s="86">
        <f>-SUMPRODUCT(SUMIFS('Allocated Transactions'!$J:$J,'Allocated Transactions'!$D:$D,$B23,'Allocated Transactions'!$C:$C,$B$7,'Allocated Transactions'!$A:$A,"&gt;="&amp;J$19,'Allocated Transactions'!$A:$A,"&lt;="&amp;EOMONTH(J$19,0))+SUMIFS('Allocated Transactions'!$J:$J,'Allocated Transactions'!$D:$D,$B23,'Allocated Transactions'!$C:$C,$B$9,'Allocated Transactions'!$A:$A,"&gt;="&amp;J$19,'Allocated Transactions'!$A:$A,"&lt;="&amp;EOMONTH(J$19,0))+SUMIFS('Allocated Transactions'!$J:$J,'Allocated Transactions'!$D:$D,$B23,'Allocated Transactions'!$C:$C,$B$8,'Allocated Transactions'!$A:$A,"&gt;="&amp;J$19,'Allocated Transactions'!$A:$A,"&lt;="&amp;EOMONTH(J$19,0))+SUMIFS('Allocated Transactions'!$J:$J,'Allocated Transactions'!$D:$D,$B23,'Allocated Transactions'!$C:$C,$B$10,'Allocated Transactions'!$A:$A,"&gt;="&amp;J$19,'Allocated Transactions'!$A:$A,"&lt;="&amp;EOMONTH(J$19,0))+SUMIFS('Allocated Transactions'!$J:$J,'Allocated Transactions'!$D:$D,$B23,'Allocated Transactions'!$C:$C,$B$11,'Allocated Transactions'!$A:$A,"&gt;="&amp;J$19,'Allocated Transactions'!$A:$A,"&lt;="&amp;EOMONTH(J$19,0))+SUMIFS('Allocated Transactions'!$J:$J,'Allocated Transactions'!$D:$D,$B23,'Allocated Transactions'!$C:$C,$B$2,'Allocated Transactions'!$A:$A,"&gt;="&amp;J$19,'Allocated Transactions'!$A:$A,"&lt;="&amp;EOMONTH(J$19,0))+SUMIFS('Allocated Transactions'!$J:$J,'Allocated Transactions'!$D:$D,$B23,'Allocated Transactions'!$C:$C,$B$4,'Allocated Transactions'!$A:$A,"&gt;="&amp;J$19,'Allocated Transactions'!$A:$A,"&lt;="&amp;EOMONTH(J$19,0))+SUMIFS('Allocated Transactions'!$J:$J,'Allocated Transactions'!$D:$D,$B23,'Allocated Transactions'!$C:$C,$B$3,'Allocated Transactions'!$A:$A,"&gt;="&amp;J$19,'Allocated Transactions'!$A:$A,"&lt;="&amp;EOMONTH(J$19,0))+SUMIFS('Allocated Transactions'!$J:$J,'Allocated Transactions'!$D:$D,$B23,'Allocated Transactions'!$C:$C,$B$5,'Allocated Transactions'!$A:$A,"&gt;="&amp;J$19,'Allocated Transactions'!$A:$A,"&lt;="&amp;EOMONTH(J$19,0))+SUMIFS('Allocated Transactions'!$J:$J,'Allocated Transactions'!$D:$D,$B23,'Allocated Transactions'!$C:$C,$B$6,'Allocated Transactions'!$A:$A,"&gt;="&amp;J$19,'Allocated Transactions'!$A:$A,"&lt;="&amp;EOMONTH(J$19,0)))</f>
        <v>79551.199999999808</v>
      </c>
      <c r="K23" s="84">
        <f>SUMPRODUCT(SUMIFS('Budget Data'!$J:$J,'Budget Data'!$E:$E,$B23,'Budget Data'!$C:$C,$B$7,'Budget Data'!$A:$A,"&gt;="&amp;K$19,'Budget Data'!$A:$A,"&lt;="&amp;EOMONTH(K$19,0))+SUMIFS('Budget Data'!$J:$J,'Budget Data'!$E:$E,$B23,'Budget Data'!$C:$C,$B$9,'Budget Data'!$A:$A,"&gt;="&amp;K$19,'Budget Data'!$A:$A,"&lt;="&amp;EOMONTH(K$19,0))+SUMIFS('Budget Data'!$J:$J,'Budget Data'!$E:$E,$B23,'Budget Data'!$C:$C,$B$8,'Budget Data'!$A:$A,"&gt;="&amp;K$19,'Budget Data'!$A:$A,"&lt;="&amp;EOMONTH(K$19,0))+SUMIFS('Budget Data'!$J:$J,'Budget Data'!$E:$E,$B23,'Budget Data'!$C:$C,$B$10,'Budget Data'!$A:$A,"&gt;="&amp;K$19,'Budget Data'!$A:$A,"&lt;="&amp;EOMONTH(K$19,0))+SUMIFS('Budget Data'!$J:$J,'Budget Data'!$E:$E,$B23,'Budget Data'!$C:$C,$B$11,'Budget Data'!$A:$A,"&gt;="&amp;K$19,'Budget Data'!$A:$A,"&lt;="&amp;EOMONTH(K$19,0))+SUMIFS('Budget Data'!$J:$J,'Budget Data'!$E:$E,$B23,'Budget Data'!$C:$C,$B$2,'Budget Data'!$A:$A,"&gt;="&amp;K$19,'Budget Data'!$A:$A,"&lt;="&amp;EOMONTH(K$19,0))+SUMIFS('Budget Data'!$J:$J,'Budget Data'!$E:$E,$B23,'Budget Data'!$C:$C,$B$4,'Budget Data'!$A:$A,"&gt;="&amp;K$19,'Budget Data'!$A:$A,"&lt;="&amp;EOMONTH(K$19,0))+SUMIFS('Budget Data'!$J:$J,'Budget Data'!$E:$E,$B23,'Budget Data'!$C:$C,$B$3,'Budget Data'!$A:$A,"&gt;="&amp;K$19,'Budget Data'!$A:$A,"&lt;="&amp;EOMONTH(K$19,0))+SUMIFS('Budget Data'!$J:$J,'Budget Data'!$E:$E,$B23,'Budget Data'!$C:$C,$B$5,'Budget Data'!$A:$A,"&gt;="&amp;K$19,'Budget Data'!$A:$A,"&lt;="&amp;EOMONTH(K$19,0))+SUMIFS('Budget Data'!$J:$J,'Budget Data'!$E:$E,$B23,'Budget Data'!$C:$C,$B$6,'Budget Data'!$A:$A,"&gt;="&amp;K$19,'Budget Data'!$A:$A,"&lt;="&amp;EOMONTH(K$19,0)))</f>
        <v>47660</v>
      </c>
      <c r="L23" s="86">
        <f>-SUMPRODUCT(SUMIFS('Allocated Transactions'!$J:$J,'Allocated Transactions'!$D:$D,$B23,'Allocated Transactions'!$C:$C,$B$7,'Allocated Transactions'!$A:$A,"&gt;="&amp;L$19,'Allocated Transactions'!$A:$A,"&lt;="&amp;EOMONTH(L$19,0))+SUMIFS('Allocated Transactions'!$J:$J,'Allocated Transactions'!$D:$D,$B23,'Allocated Transactions'!$C:$C,$B$9,'Allocated Transactions'!$A:$A,"&gt;="&amp;L$19,'Allocated Transactions'!$A:$A,"&lt;="&amp;EOMONTH(L$19,0))+SUMIFS('Allocated Transactions'!$J:$J,'Allocated Transactions'!$D:$D,$B23,'Allocated Transactions'!$C:$C,$B$8,'Allocated Transactions'!$A:$A,"&gt;="&amp;L$19,'Allocated Transactions'!$A:$A,"&lt;="&amp;EOMONTH(L$19,0))+SUMIFS('Allocated Transactions'!$J:$J,'Allocated Transactions'!$D:$D,$B23,'Allocated Transactions'!$C:$C,$B$10,'Allocated Transactions'!$A:$A,"&gt;="&amp;L$19,'Allocated Transactions'!$A:$A,"&lt;="&amp;EOMONTH(L$19,0))+SUMIFS('Allocated Transactions'!$J:$J,'Allocated Transactions'!$D:$D,$B23,'Allocated Transactions'!$C:$C,$B$11,'Allocated Transactions'!$A:$A,"&gt;="&amp;L$19,'Allocated Transactions'!$A:$A,"&lt;="&amp;EOMONTH(L$19,0))+SUMIFS('Allocated Transactions'!$J:$J,'Allocated Transactions'!$D:$D,$B23,'Allocated Transactions'!$C:$C,$B$2,'Allocated Transactions'!$A:$A,"&gt;="&amp;L$19,'Allocated Transactions'!$A:$A,"&lt;="&amp;EOMONTH(L$19,0))+SUMIFS('Allocated Transactions'!$J:$J,'Allocated Transactions'!$D:$D,$B23,'Allocated Transactions'!$C:$C,$B$4,'Allocated Transactions'!$A:$A,"&gt;="&amp;L$19,'Allocated Transactions'!$A:$A,"&lt;="&amp;EOMONTH(L$19,0))+SUMIFS('Allocated Transactions'!$J:$J,'Allocated Transactions'!$D:$D,$B23,'Allocated Transactions'!$C:$C,$B$3,'Allocated Transactions'!$A:$A,"&gt;="&amp;L$19,'Allocated Transactions'!$A:$A,"&lt;="&amp;EOMONTH(L$19,0))+SUMIFS('Allocated Transactions'!$J:$J,'Allocated Transactions'!$D:$D,$B23,'Allocated Transactions'!$C:$C,$B$5,'Allocated Transactions'!$A:$A,"&gt;="&amp;L$19,'Allocated Transactions'!$A:$A,"&lt;="&amp;EOMONTH(L$19,0))+SUMIFS('Allocated Transactions'!$J:$J,'Allocated Transactions'!$D:$D,$B23,'Allocated Transactions'!$C:$C,$B$6,'Allocated Transactions'!$A:$A,"&gt;="&amp;L$19,'Allocated Transactions'!$A:$A,"&lt;="&amp;EOMONTH(L$19,0)))</f>
        <v>0</v>
      </c>
      <c r="M23" s="84">
        <f>SUMPRODUCT(SUMIFS('Budget Data'!$J:$J,'Budget Data'!$E:$E,$B23,'Budget Data'!$C:$C,$B$7,'Budget Data'!$A:$A,"&gt;="&amp;M$19,'Budget Data'!$A:$A,"&lt;="&amp;EOMONTH(M$19,0))+SUMIFS('Budget Data'!$J:$J,'Budget Data'!$E:$E,$B23,'Budget Data'!$C:$C,$B$9,'Budget Data'!$A:$A,"&gt;="&amp;M$19,'Budget Data'!$A:$A,"&lt;="&amp;EOMONTH(M$19,0))+SUMIFS('Budget Data'!$J:$J,'Budget Data'!$E:$E,$B23,'Budget Data'!$C:$C,$B$8,'Budget Data'!$A:$A,"&gt;="&amp;M$19,'Budget Data'!$A:$A,"&lt;="&amp;EOMONTH(M$19,0))+SUMIFS('Budget Data'!$J:$J,'Budget Data'!$E:$E,$B23,'Budget Data'!$C:$C,$B$10,'Budget Data'!$A:$A,"&gt;="&amp;M$19,'Budget Data'!$A:$A,"&lt;="&amp;EOMONTH(M$19,0))+SUMIFS('Budget Data'!$J:$J,'Budget Data'!$E:$E,$B23,'Budget Data'!$C:$C,$B$11,'Budget Data'!$A:$A,"&gt;="&amp;M$19,'Budget Data'!$A:$A,"&lt;="&amp;EOMONTH(M$19,0))+SUMIFS('Budget Data'!$J:$J,'Budget Data'!$E:$E,$B23,'Budget Data'!$C:$C,$B$2,'Budget Data'!$A:$A,"&gt;="&amp;M$19,'Budget Data'!$A:$A,"&lt;="&amp;EOMONTH(M$19,0))+SUMIFS('Budget Data'!$J:$J,'Budget Data'!$E:$E,$B23,'Budget Data'!$C:$C,$B$4,'Budget Data'!$A:$A,"&gt;="&amp;M$19,'Budget Data'!$A:$A,"&lt;="&amp;EOMONTH(M$19,0))+SUMIFS('Budget Data'!$J:$J,'Budget Data'!$E:$E,$B23,'Budget Data'!$C:$C,$B$3,'Budget Data'!$A:$A,"&gt;="&amp;M$19,'Budget Data'!$A:$A,"&lt;="&amp;EOMONTH(M$19,0))+SUMIFS('Budget Data'!$J:$J,'Budget Data'!$E:$E,$B23,'Budget Data'!$C:$C,$B$5,'Budget Data'!$A:$A,"&gt;="&amp;M$19,'Budget Data'!$A:$A,"&lt;="&amp;EOMONTH(M$19,0))+SUMIFS('Budget Data'!$J:$J,'Budget Data'!$E:$E,$B23,'Budget Data'!$C:$C,$B$6,'Budget Data'!$A:$A,"&gt;="&amp;M$19,'Budget Data'!$A:$A,"&lt;="&amp;EOMONTH(M$19,0)))</f>
        <v>51115</v>
      </c>
      <c r="N23" s="86">
        <f>-SUMPRODUCT(SUMIFS('Allocated Transactions'!$J:$J,'Allocated Transactions'!$D:$D,$B23,'Allocated Transactions'!$C:$C,$B$7,'Allocated Transactions'!$A:$A,"&gt;="&amp;N$19,'Allocated Transactions'!$A:$A,"&lt;="&amp;EOMONTH(N$19,0))+SUMIFS('Allocated Transactions'!$J:$J,'Allocated Transactions'!$D:$D,$B23,'Allocated Transactions'!$C:$C,$B$9,'Allocated Transactions'!$A:$A,"&gt;="&amp;N$19,'Allocated Transactions'!$A:$A,"&lt;="&amp;EOMONTH(N$19,0))+SUMIFS('Allocated Transactions'!$J:$J,'Allocated Transactions'!$D:$D,$B23,'Allocated Transactions'!$C:$C,$B$8,'Allocated Transactions'!$A:$A,"&gt;="&amp;N$19,'Allocated Transactions'!$A:$A,"&lt;="&amp;EOMONTH(N$19,0))+SUMIFS('Allocated Transactions'!$J:$J,'Allocated Transactions'!$D:$D,$B23,'Allocated Transactions'!$C:$C,$B$10,'Allocated Transactions'!$A:$A,"&gt;="&amp;N$19,'Allocated Transactions'!$A:$A,"&lt;="&amp;EOMONTH(N$19,0))+SUMIFS('Allocated Transactions'!$J:$J,'Allocated Transactions'!$D:$D,$B23,'Allocated Transactions'!$C:$C,$B$11,'Allocated Transactions'!$A:$A,"&gt;="&amp;N$19,'Allocated Transactions'!$A:$A,"&lt;="&amp;EOMONTH(N$19,0))+SUMIFS('Allocated Transactions'!$J:$J,'Allocated Transactions'!$D:$D,$B23,'Allocated Transactions'!$C:$C,$B$2,'Allocated Transactions'!$A:$A,"&gt;="&amp;N$19,'Allocated Transactions'!$A:$A,"&lt;="&amp;EOMONTH(N$19,0))+SUMIFS('Allocated Transactions'!$J:$J,'Allocated Transactions'!$D:$D,$B23,'Allocated Transactions'!$C:$C,$B$4,'Allocated Transactions'!$A:$A,"&gt;="&amp;N$19,'Allocated Transactions'!$A:$A,"&lt;="&amp;EOMONTH(N$19,0))+SUMIFS('Allocated Transactions'!$J:$J,'Allocated Transactions'!$D:$D,$B23,'Allocated Transactions'!$C:$C,$B$3,'Allocated Transactions'!$A:$A,"&gt;="&amp;N$19,'Allocated Transactions'!$A:$A,"&lt;="&amp;EOMONTH(N$19,0))+SUMIFS('Allocated Transactions'!$J:$J,'Allocated Transactions'!$D:$D,$B23,'Allocated Transactions'!$C:$C,$B$5,'Allocated Transactions'!$A:$A,"&gt;="&amp;N$19,'Allocated Transactions'!$A:$A,"&lt;="&amp;EOMONTH(N$19,0))+SUMIFS('Allocated Transactions'!$J:$J,'Allocated Transactions'!$D:$D,$B23,'Allocated Transactions'!$C:$C,$B$6,'Allocated Transactions'!$A:$A,"&gt;="&amp;N$19,'Allocated Transactions'!$A:$A,"&lt;="&amp;EOMONTH(N$19,0)))</f>
        <v>0</v>
      </c>
      <c r="O23" s="84">
        <f>SUMPRODUCT(SUMIFS('Budget Data'!$J:$J,'Budget Data'!$E:$E,$B23,'Budget Data'!$C:$C,$B$7,'Budget Data'!$A:$A,"&gt;="&amp;O$19,'Budget Data'!$A:$A,"&lt;="&amp;EOMONTH(O$19,0))+SUMIFS('Budget Data'!$J:$J,'Budget Data'!$E:$E,$B23,'Budget Data'!$C:$C,$B$9,'Budget Data'!$A:$A,"&gt;="&amp;O$19,'Budget Data'!$A:$A,"&lt;="&amp;EOMONTH(O$19,0))+SUMIFS('Budget Data'!$J:$J,'Budget Data'!$E:$E,$B23,'Budget Data'!$C:$C,$B$8,'Budget Data'!$A:$A,"&gt;="&amp;O$19,'Budget Data'!$A:$A,"&lt;="&amp;EOMONTH(O$19,0))+SUMIFS('Budget Data'!$J:$J,'Budget Data'!$E:$E,$B23,'Budget Data'!$C:$C,$B$10,'Budget Data'!$A:$A,"&gt;="&amp;O$19,'Budget Data'!$A:$A,"&lt;="&amp;EOMONTH(O$19,0))+SUMIFS('Budget Data'!$J:$J,'Budget Data'!$E:$E,$B23,'Budget Data'!$C:$C,$B$11,'Budget Data'!$A:$A,"&gt;="&amp;O$19,'Budget Data'!$A:$A,"&lt;="&amp;EOMONTH(O$19,0))+SUMIFS('Budget Data'!$J:$J,'Budget Data'!$E:$E,$B23,'Budget Data'!$C:$C,$B$2,'Budget Data'!$A:$A,"&gt;="&amp;O$19,'Budget Data'!$A:$A,"&lt;="&amp;EOMONTH(O$19,0))+SUMIFS('Budget Data'!$J:$J,'Budget Data'!$E:$E,$B23,'Budget Data'!$C:$C,$B$4,'Budget Data'!$A:$A,"&gt;="&amp;O$19,'Budget Data'!$A:$A,"&lt;="&amp;EOMONTH(O$19,0))+SUMIFS('Budget Data'!$J:$J,'Budget Data'!$E:$E,$B23,'Budget Data'!$C:$C,$B$3,'Budget Data'!$A:$A,"&gt;="&amp;O$19,'Budget Data'!$A:$A,"&lt;="&amp;EOMONTH(O$19,0))+SUMIFS('Budget Data'!$J:$J,'Budget Data'!$E:$E,$B23,'Budget Data'!$C:$C,$B$5,'Budget Data'!$A:$A,"&gt;="&amp;O$19,'Budget Data'!$A:$A,"&lt;="&amp;EOMONTH(O$19,0))+SUMIFS('Budget Data'!$J:$J,'Budget Data'!$E:$E,$B23,'Budget Data'!$C:$C,$B$6,'Budget Data'!$A:$A,"&gt;="&amp;O$19,'Budget Data'!$A:$A,"&lt;="&amp;EOMONTH(O$19,0)))</f>
        <v>58950</v>
      </c>
      <c r="P23" s="86">
        <f>-SUMPRODUCT(SUMIFS('Allocated Transactions'!$J:$J,'Allocated Transactions'!$D:$D,$B23,'Allocated Transactions'!$C:$C,$B$7,'Allocated Transactions'!$A:$A,"&gt;="&amp;P$19,'Allocated Transactions'!$A:$A,"&lt;="&amp;EOMONTH(P$19,0))+SUMIFS('Allocated Transactions'!$J:$J,'Allocated Transactions'!$D:$D,$B23,'Allocated Transactions'!$C:$C,$B$9,'Allocated Transactions'!$A:$A,"&gt;="&amp;P$19,'Allocated Transactions'!$A:$A,"&lt;="&amp;EOMONTH(P$19,0))+SUMIFS('Allocated Transactions'!$J:$J,'Allocated Transactions'!$D:$D,$B23,'Allocated Transactions'!$C:$C,$B$8,'Allocated Transactions'!$A:$A,"&gt;="&amp;P$19,'Allocated Transactions'!$A:$A,"&lt;="&amp;EOMONTH(P$19,0))+SUMIFS('Allocated Transactions'!$J:$J,'Allocated Transactions'!$D:$D,$B23,'Allocated Transactions'!$C:$C,$B$10,'Allocated Transactions'!$A:$A,"&gt;="&amp;P$19,'Allocated Transactions'!$A:$A,"&lt;="&amp;EOMONTH(P$19,0))+SUMIFS('Allocated Transactions'!$J:$J,'Allocated Transactions'!$D:$D,$B23,'Allocated Transactions'!$C:$C,$B$11,'Allocated Transactions'!$A:$A,"&gt;="&amp;P$19,'Allocated Transactions'!$A:$A,"&lt;="&amp;EOMONTH(P$19,0))+SUMIFS('Allocated Transactions'!$J:$J,'Allocated Transactions'!$D:$D,$B23,'Allocated Transactions'!$C:$C,$B$2,'Allocated Transactions'!$A:$A,"&gt;="&amp;P$19,'Allocated Transactions'!$A:$A,"&lt;="&amp;EOMONTH(P$19,0))+SUMIFS('Allocated Transactions'!$J:$J,'Allocated Transactions'!$D:$D,$B23,'Allocated Transactions'!$C:$C,$B$4,'Allocated Transactions'!$A:$A,"&gt;="&amp;P$19,'Allocated Transactions'!$A:$A,"&lt;="&amp;EOMONTH(P$19,0))+SUMIFS('Allocated Transactions'!$J:$J,'Allocated Transactions'!$D:$D,$B23,'Allocated Transactions'!$C:$C,$B$3,'Allocated Transactions'!$A:$A,"&gt;="&amp;P$19,'Allocated Transactions'!$A:$A,"&lt;="&amp;EOMONTH(P$19,0))+SUMIFS('Allocated Transactions'!$J:$J,'Allocated Transactions'!$D:$D,$B23,'Allocated Transactions'!$C:$C,$B$5,'Allocated Transactions'!$A:$A,"&gt;="&amp;P$19,'Allocated Transactions'!$A:$A,"&lt;="&amp;EOMONTH(P$19,0))+SUMIFS('Allocated Transactions'!$J:$J,'Allocated Transactions'!$D:$D,$B23,'Allocated Transactions'!$C:$C,$B$6,'Allocated Transactions'!$A:$A,"&gt;="&amp;P$19,'Allocated Transactions'!$A:$A,"&lt;="&amp;EOMONTH(P$19,0)))</f>
        <v>89973.019999999786</v>
      </c>
      <c r="Q23" s="84">
        <f>SUMPRODUCT(SUMIFS('Budget Data'!$J:$J,'Budget Data'!$E:$E,$B23,'Budget Data'!$C:$C,$B$7,'Budget Data'!$A:$A,"&gt;="&amp;Q$19,'Budget Data'!$A:$A,"&lt;="&amp;EOMONTH(Q$19,0))+SUMIFS('Budget Data'!$J:$J,'Budget Data'!$E:$E,$B23,'Budget Data'!$C:$C,$B$9,'Budget Data'!$A:$A,"&gt;="&amp;Q$19,'Budget Data'!$A:$A,"&lt;="&amp;EOMONTH(Q$19,0))+SUMIFS('Budget Data'!$J:$J,'Budget Data'!$E:$E,$B23,'Budget Data'!$C:$C,$B$8,'Budget Data'!$A:$A,"&gt;="&amp;Q$19,'Budget Data'!$A:$A,"&lt;="&amp;EOMONTH(Q$19,0))+SUMIFS('Budget Data'!$J:$J,'Budget Data'!$E:$E,$B23,'Budget Data'!$C:$C,$B$10,'Budget Data'!$A:$A,"&gt;="&amp;Q$19,'Budget Data'!$A:$A,"&lt;="&amp;EOMONTH(Q$19,0))+SUMIFS('Budget Data'!$J:$J,'Budget Data'!$E:$E,$B23,'Budget Data'!$C:$C,$B$11,'Budget Data'!$A:$A,"&gt;="&amp;Q$19,'Budget Data'!$A:$A,"&lt;="&amp;EOMONTH(Q$19,0))+SUMIFS('Budget Data'!$J:$J,'Budget Data'!$E:$E,$B23,'Budget Data'!$C:$C,$B$2,'Budget Data'!$A:$A,"&gt;="&amp;Q$19,'Budget Data'!$A:$A,"&lt;="&amp;EOMONTH(Q$19,0))+SUMIFS('Budget Data'!$J:$J,'Budget Data'!$E:$E,$B23,'Budget Data'!$C:$C,$B$4,'Budget Data'!$A:$A,"&gt;="&amp;Q$19,'Budget Data'!$A:$A,"&lt;="&amp;EOMONTH(Q$19,0))+SUMIFS('Budget Data'!$J:$J,'Budget Data'!$E:$E,$B23,'Budget Data'!$C:$C,$B$3,'Budget Data'!$A:$A,"&gt;="&amp;Q$19,'Budget Data'!$A:$A,"&lt;="&amp;EOMONTH(Q$19,0))+SUMIFS('Budget Data'!$J:$J,'Budget Data'!$E:$E,$B23,'Budget Data'!$C:$C,$B$5,'Budget Data'!$A:$A,"&gt;="&amp;Q$19,'Budget Data'!$A:$A,"&lt;="&amp;EOMONTH(Q$19,0))+SUMIFS('Budget Data'!$J:$J,'Budget Data'!$E:$E,$B23,'Budget Data'!$C:$C,$B$6,'Budget Data'!$A:$A,"&gt;="&amp;Q$19,'Budget Data'!$A:$A,"&lt;="&amp;EOMONTH(Q$19,0)))</f>
        <v>65820</v>
      </c>
      <c r="R23" s="86">
        <f>-SUMPRODUCT(SUMIFS('Allocated Transactions'!$J:$J,'Allocated Transactions'!$D:$D,$B23,'Allocated Transactions'!$C:$C,$B$7,'Allocated Transactions'!$A:$A,"&gt;="&amp;R$19,'Allocated Transactions'!$A:$A,"&lt;="&amp;EOMONTH(R$19,0))+SUMIFS('Allocated Transactions'!$J:$J,'Allocated Transactions'!$D:$D,$B23,'Allocated Transactions'!$C:$C,$B$9,'Allocated Transactions'!$A:$A,"&gt;="&amp;R$19,'Allocated Transactions'!$A:$A,"&lt;="&amp;EOMONTH(R$19,0))+SUMIFS('Allocated Transactions'!$J:$J,'Allocated Transactions'!$D:$D,$B23,'Allocated Transactions'!$C:$C,$B$8,'Allocated Transactions'!$A:$A,"&gt;="&amp;R$19,'Allocated Transactions'!$A:$A,"&lt;="&amp;EOMONTH(R$19,0))+SUMIFS('Allocated Transactions'!$J:$J,'Allocated Transactions'!$D:$D,$B23,'Allocated Transactions'!$C:$C,$B$10,'Allocated Transactions'!$A:$A,"&gt;="&amp;R$19,'Allocated Transactions'!$A:$A,"&lt;="&amp;EOMONTH(R$19,0))+SUMIFS('Allocated Transactions'!$J:$J,'Allocated Transactions'!$D:$D,$B23,'Allocated Transactions'!$C:$C,$B$11,'Allocated Transactions'!$A:$A,"&gt;="&amp;R$19,'Allocated Transactions'!$A:$A,"&lt;="&amp;EOMONTH(R$19,0))+SUMIFS('Allocated Transactions'!$J:$J,'Allocated Transactions'!$D:$D,$B23,'Allocated Transactions'!$C:$C,$B$2,'Allocated Transactions'!$A:$A,"&gt;="&amp;R$19,'Allocated Transactions'!$A:$A,"&lt;="&amp;EOMONTH(R$19,0))+SUMIFS('Allocated Transactions'!$J:$J,'Allocated Transactions'!$D:$D,$B23,'Allocated Transactions'!$C:$C,$B$4,'Allocated Transactions'!$A:$A,"&gt;="&amp;R$19,'Allocated Transactions'!$A:$A,"&lt;="&amp;EOMONTH(R$19,0))+SUMIFS('Allocated Transactions'!$J:$J,'Allocated Transactions'!$D:$D,$B23,'Allocated Transactions'!$C:$C,$B$3,'Allocated Transactions'!$A:$A,"&gt;="&amp;R$19,'Allocated Transactions'!$A:$A,"&lt;="&amp;EOMONTH(R$19,0))+SUMIFS('Allocated Transactions'!$J:$J,'Allocated Transactions'!$D:$D,$B23,'Allocated Transactions'!$C:$C,$B$5,'Allocated Transactions'!$A:$A,"&gt;="&amp;R$19,'Allocated Transactions'!$A:$A,"&lt;="&amp;EOMONTH(R$19,0))+SUMIFS('Allocated Transactions'!$J:$J,'Allocated Transactions'!$D:$D,$B23,'Allocated Transactions'!$C:$C,$B$6,'Allocated Transactions'!$A:$A,"&gt;="&amp;R$19,'Allocated Transactions'!$A:$A,"&lt;="&amp;EOMONTH(R$19,0)))</f>
        <v>0</v>
      </c>
      <c r="S23" s="84">
        <f>SUMPRODUCT(SUMIFS('Budget Data'!$J:$J,'Budget Data'!$E:$E,$B23,'Budget Data'!$C:$C,$B$7,'Budget Data'!$A:$A,"&gt;="&amp;S$19,'Budget Data'!$A:$A,"&lt;="&amp;EOMONTH(S$19,0))+SUMIFS('Budget Data'!$J:$J,'Budget Data'!$E:$E,$B23,'Budget Data'!$C:$C,$B$9,'Budget Data'!$A:$A,"&gt;="&amp;S$19,'Budget Data'!$A:$A,"&lt;="&amp;EOMONTH(S$19,0))+SUMIFS('Budget Data'!$J:$J,'Budget Data'!$E:$E,$B23,'Budget Data'!$C:$C,$B$8,'Budget Data'!$A:$A,"&gt;="&amp;S$19,'Budget Data'!$A:$A,"&lt;="&amp;EOMONTH(S$19,0))+SUMIFS('Budget Data'!$J:$J,'Budget Data'!$E:$E,$B23,'Budget Data'!$C:$C,$B$10,'Budget Data'!$A:$A,"&gt;="&amp;S$19,'Budget Data'!$A:$A,"&lt;="&amp;EOMONTH(S$19,0))+SUMIFS('Budget Data'!$J:$J,'Budget Data'!$E:$E,$B23,'Budget Data'!$C:$C,$B$11,'Budget Data'!$A:$A,"&gt;="&amp;S$19,'Budget Data'!$A:$A,"&lt;="&amp;EOMONTH(S$19,0))+SUMIFS('Budget Data'!$J:$J,'Budget Data'!$E:$E,$B23,'Budget Data'!$C:$C,$B$2,'Budget Data'!$A:$A,"&gt;="&amp;S$19,'Budget Data'!$A:$A,"&lt;="&amp;EOMONTH(S$19,0))+SUMIFS('Budget Data'!$J:$J,'Budget Data'!$E:$E,$B23,'Budget Data'!$C:$C,$B$4,'Budget Data'!$A:$A,"&gt;="&amp;S$19,'Budget Data'!$A:$A,"&lt;="&amp;EOMONTH(S$19,0))+SUMIFS('Budget Data'!$J:$J,'Budget Data'!$E:$E,$B23,'Budget Data'!$C:$C,$B$3,'Budget Data'!$A:$A,"&gt;="&amp;S$19,'Budget Data'!$A:$A,"&lt;="&amp;EOMONTH(S$19,0))+SUMIFS('Budget Data'!$J:$J,'Budget Data'!$E:$E,$B23,'Budget Data'!$C:$C,$B$5,'Budget Data'!$A:$A,"&gt;="&amp;S$19,'Budget Data'!$A:$A,"&lt;="&amp;EOMONTH(S$19,0))+SUMIFS('Budget Data'!$J:$J,'Budget Data'!$E:$E,$B23,'Budget Data'!$C:$C,$B$6,'Budget Data'!$A:$A,"&gt;="&amp;S$19,'Budget Data'!$A:$A,"&lt;="&amp;EOMONTH(S$19,0)))</f>
        <v>46805</v>
      </c>
      <c r="T23" s="86">
        <f>-SUMPRODUCT(SUMIFS('Allocated Transactions'!$J:$J,'Allocated Transactions'!$D:$D,$B23,'Allocated Transactions'!$C:$C,$B$7,'Allocated Transactions'!$A:$A,"&gt;="&amp;T$19,'Allocated Transactions'!$A:$A,"&lt;="&amp;EOMONTH(T$19,0))+SUMIFS('Allocated Transactions'!$J:$J,'Allocated Transactions'!$D:$D,$B23,'Allocated Transactions'!$C:$C,$B$9,'Allocated Transactions'!$A:$A,"&gt;="&amp;T$19,'Allocated Transactions'!$A:$A,"&lt;="&amp;EOMONTH(T$19,0))+SUMIFS('Allocated Transactions'!$J:$J,'Allocated Transactions'!$D:$D,$B23,'Allocated Transactions'!$C:$C,$B$8,'Allocated Transactions'!$A:$A,"&gt;="&amp;T$19,'Allocated Transactions'!$A:$A,"&lt;="&amp;EOMONTH(T$19,0))+SUMIFS('Allocated Transactions'!$J:$J,'Allocated Transactions'!$D:$D,$B23,'Allocated Transactions'!$C:$C,$B$10,'Allocated Transactions'!$A:$A,"&gt;="&amp;T$19,'Allocated Transactions'!$A:$A,"&lt;="&amp;EOMONTH(T$19,0))+SUMIFS('Allocated Transactions'!$J:$J,'Allocated Transactions'!$D:$D,$B23,'Allocated Transactions'!$C:$C,$B$11,'Allocated Transactions'!$A:$A,"&gt;="&amp;T$19,'Allocated Transactions'!$A:$A,"&lt;="&amp;EOMONTH(T$19,0))+SUMIFS('Allocated Transactions'!$J:$J,'Allocated Transactions'!$D:$D,$B23,'Allocated Transactions'!$C:$C,$B$2,'Allocated Transactions'!$A:$A,"&gt;="&amp;T$19,'Allocated Transactions'!$A:$A,"&lt;="&amp;EOMONTH(T$19,0))+SUMIFS('Allocated Transactions'!$J:$J,'Allocated Transactions'!$D:$D,$B23,'Allocated Transactions'!$C:$C,$B$4,'Allocated Transactions'!$A:$A,"&gt;="&amp;T$19,'Allocated Transactions'!$A:$A,"&lt;="&amp;EOMONTH(T$19,0))+SUMIFS('Allocated Transactions'!$J:$J,'Allocated Transactions'!$D:$D,$B23,'Allocated Transactions'!$C:$C,$B$3,'Allocated Transactions'!$A:$A,"&gt;="&amp;T$19,'Allocated Transactions'!$A:$A,"&lt;="&amp;EOMONTH(T$19,0))+SUMIFS('Allocated Transactions'!$J:$J,'Allocated Transactions'!$D:$D,$B23,'Allocated Transactions'!$C:$C,$B$5,'Allocated Transactions'!$A:$A,"&gt;="&amp;T$19,'Allocated Transactions'!$A:$A,"&lt;="&amp;EOMONTH(T$19,0))+SUMIFS('Allocated Transactions'!$J:$J,'Allocated Transactions'!$D:$D,$B23,'Allocated Transactions'!$C:$C,$B$6,'Allocated Transactions'!$A:$A,"&gt;="&amp;T$19,'Allocated Transactions'!$A:$A,"&lt;="&amp;EOMONTH(T$19,0)))</f>
        <v>0</v>
      </c>
      <c r="U23" s="84">
        <f>SUMPRODUCT(SUMIFS('Budget Data'!$J:$J,'Budget Data'!$E:$E,$B23,'Budget Data'!$C:$C,$B$7,'Budget Data'!$A:$A,"&gt;="&amp;U$19,'Budget Data'!$A:$A,"&lt;="&amp;EOMONTH(U$19,0))+SUMIFS('Budget Data'!$J:$J,'Budget Data'!$E:$E,$B23,'Budget Data'!$C:$C,$B$9,'Budget Data'!$A:$A,"&gt;="&amp;U$19,'Budget Data'!$A:$A,"&lt;="&amp;EOMONTH(U$19,0))+SUMIFS('Budget Data'!$J:$J,'Budget Data'!$E:$E,$B23,'Budget Data'!$C:$C,$B$8,'Budget Data'!$A:$A,"&gt;="&amp;U$19,'Budget Data'!$A:$A,"&lt;="&amp;EOMONTH(U$19,0))+SUMIFS('Budget Data'!$J:$J,'Budget Data'!$E:$E,$B23,'Budget Data'!$C:$C,$B$10,'Budget Data'!$A:$A,"&gt;="&amp;U$19,'Budget Data'!$A:$A,"&lt;="&amp;EOMONTH(U$19,0))+SUMIFS('Budget Data'!$J:$J,'Budget Data'!$E:$E,$B23,'Budget Data'!$C:$C,$B$11,'Budget Data'!$A:$A,"&gt;="&amp;U$19,'Budget Data'!$A:$A,"&lt;="&amp;EOMONTH(U$19,0))+SUMIFS('Budget Data'!$J:$J,'Budget Data'!$E:$E,$B23,'Budget Data'!$C:$C,$B$2,'Budget Data'!$A:$A,"&gt;="&amp;U$19,'Budget Data'!$A:$A,"&lt;="&amp;EOMONTH(U$19,0))+SUMIFS('Budget Data'!$J:$J,'Budget Data'!$E:$E,$B23,'Budget Data'!$C:$C,$B$4,'Budget Data'!$A:$A,"&gt;="&amp;U$19,'Budget Data'!$A:$A,"&lt;="&amp;EOMONTH(U$19,0))+SUMIFS('Budget Data'!$J:$J,'Budget Data'!$E:$E,$B23,'Budget Data'!$C:$C,$B$3,'Budget Data'!$A:$A,"&gt;="&amp;U$19,'Budget Data'!$A:$A,"&lt;="&amp;EOMONTH(U$19,0))+SUMIFS('Budget Data'!$J:$J,'Budget Data'!$E:$E,$B23,'Budget Data'!$C:$C,$B$5,'Budget Data'!$A:$A,"&gt;="&amp;U$19,'Budget Data'!$A:$A,"&lt;="&amp;EOMONTH(U$19,0))+SUMIFS('Budget Data'!$J:$J,'Budget Data'!$E:$E,$B23,'Budget Data'!$C:$C,$B$6,'Budget Data'!$A:$A,"&gt;="&amp;U$19,'Budget Data'!$A:$A,"&lt;="&amp;EOMONTH(U$19,0)))</f>
        <v>50212.5</v>
      </c>
      <c r="V23" s="86">
        <f>-SUMPRODUCT(SUMIFS('Allocated Transactions'!$J:$J,'Allocated Transactions'!$D:$D,$B23,'Allocated Transactions'!$C:$C,$B$7,'Allocated Transactions'!$A:$A,"&gt;="&amp;V$19,'Allocated Transactions'!$A:$A,"&lt;="&amp;EOMONTH(V$19,0))+SUMIFS('Allocated Transactions'!$J:$J,'Allocated Transactions'!$D:$D,$B23,'Allocated Transactions'!$C:$C,$B$9,'Allocated Transactions'!$A:$A,"&gt;="&amp;V$19,'Allocated Transactions'!$A:$A,"&lt;="&amp;EOMONTH(V$19,0))+SUMIFS('Allocated Transactions'!$J:$J,'Allocated Transactions'!$D:$D,$B23,'Allocated Transactions'!$C:$C,$B$8,'Allocated Transactions'!$A:$A,"&gt;="&amp;V$19,'Allocated Transactions'!$A:$A,"&lt;="&amp;EOMONTH(V$19,0))+SUMIFS('Allocated Transactions'!$J:$J,'Allocated Transactions'!$D:$D,$B23,'Allocated Transactions'!$C:$C,$B$10,'Allocated Transactions'!$A:$A,"&gt;="&amp;V$19,'Allocated Transactions'!$A:$A,"&lt;="&amp;EOMONTH(V$19,0))+SUMIFS('Allocated Transactions'!$J:$J,'Allocated Transactions'!$D:$D,$B23,'Allocated Transactions'!$C:$C,$B$11,'Allocated Transactions'!$A:$A,"&gt;="&amp;V$19,'Allocated Transactions'!$A:$A,"&lt;="&amp;EOMONTH(V$19,0))+SUMIFS('Allocated Transactions'!$J:$J,'Allocated Transactions'!$D:$D,$B23,'Allocated Transactions'!$C:$C,$B$2,'Allocated Transactions'!$A:$A,"&gt;="&amp;V$19,'Allocated Transactions'!$A:$A,"&lt;="&amp;EOMONTH(V$19,0))+SUMIFS('Allocated Transactions'!$J:$J,'Allocated Transactions'!$D:$D,$B23,'Allocated Transactions'!$C:$C,$B$4,'Allocated Transactions'!$A:$A,"&gt;="&amp;V$19,'Allocated Transactions'!$A:$A,"&lt;="&amp;EOMONTH(V$19,0))+SUMIFS('Allocated Transactions'!$J:$J,'Allocated Transactions'!$D:$D,$B23,'Allocated Transactions'!$C:$C,$B$3,'Allocated Transactions'!$A:$A,"&gt;="&amp;V$19,'Allocated Transactions'!$A:$A,"&lt;="&amp;EOMONTH(V$19,0))+SUMIFS('Allocated Transactions'!$J:$J,'Allocated Transactions'!$D:$D,$B23,'Allocated Transactions'!$C:$C,$B$5,'Allocated Transactions'!$A:$A,"&gt;="&amp;V$19,'Allocated Transactions'!$A:$A,"&lt;="&amp;EOMONTH(V$19,0))+SUMIFS('Allocated Transactions'!$J:$J,'Allocated Transactions'!$D:$D,$B23,'Allocated Transactions'!$C:$C,$B$6,'Allocated Transactions'!$A:$A,"&gt;="&amp;V$19,'Allocated Transactions'!$A:$A,"&lt;="&amp;EOMONTH(V$19,0)))</f>
        <v>97018.32</v>
      </c>
      <c r="W23" s="84">
        <f>SUMPRODUCT(SUMIFS('Budget Data'!$J:$J,'Budget Data'!$E:$E,$B23,'Budget Data'!$C:$C,$B$7,'Budget Data'!$A:$A,"&gt;="&amp;W$19,'Budget Data'!$A:$A,"&lt;="&amp;EOMONTH(W$19,0))+SUMIFS('Budget Data'!$J:$J,'Budget Data'!$E:$E,$B23,'Budget Data'!$C:$C,$B$9,'Budget Data'!$A:$A,"&gt;="&amp;W$19,'Budget Data'!$A:$A,"&lt;="&amp;EOMONTH(W$19,0))+SUMIFS('Budget Data'!$J:$J,'Budget Data'!$E:$E,$B23,'Budget Data'!$C:$C,$B$8,'Budget Data'!$A:$A,"&gt;="&amp;W$19,'Budget Data'!$A:$A,"&lt;="&amp;EOMONTH(W$19,0))+SUMIFS('Budget Data'!$J:$J,'Budget Data'!$E:$E,$B23,'Budget Data'!$C:$C,$B$10,'Budget Data'!$A:$A,"&gt;="&amp;W$19,'Budget Data'!$A:$A,"&lt;="&amp;EOMONTH(W$19,0))+SUMIFS('Budget Data'!$J:$J,'Budget Data'!$E:$E,$B23,'Budget Data'!$C:$C,$B$11,'Budget Data'!$A:$A,"&gt;="&amp;W$19,'Budget Data'!$A:$A,"&lt;="&amp;EOMONTH(W$19,0))+SUMIFS('Budget Data'!$J:$J,'Budget Data'!$E:$E,$B23,'Budget Data'!$C:$C,$B$2,'Budget Data'!$A:$A,"&gt;="&amp;W$19,'Budget Data'!$A:$A,"&lt;="&amp;EOMONTH(W$19,0))+SUMIFS('Budget Data'!$J:$J,'Budget Data'!$E:$E,$B23,'Budget Data'!$C:$C,$B$4,'Budget Data'!$A:$A,"&gt;="&amp;W$19,'Budget Data'!$A:$A,"&lt;="&amp;EOMONTH(W$19,0))+SUMIFS('Budget Data'!$J:$J,'Budget Data'!$E:$E,$B23,'Budget Data'!$C:$C,$B$3,'Budget Data'!$A:$A,"&gt;="&amp;W$19,'Budget Data'!$A:$A,"&lt;="&amp;EOMONTH(W$19,0))+SUMIFS('Budget Data'!$J:$J,'Budget Data'!$E:$E,$B23,'Budget Data'!$C:$C,$B$5,'Budget Data'!$A:$A,"&gt;="&amp;W$19,'Budget Data'!$A:$A,"&lt;="&amp;EOMONTH(W$19,0))+SUMIFS('Budget Data'!$J:$J,'Budget Data'!$E:$E,$B23,'Budget Data'!$C:$C,$B$6,'Budget Data'!$A:$A,"&gt;="&amp;W$19,'Budget Data'!$A:$A,"&lt;="&amp;EOMONTH(W$19,0)))</f>
        <v>35205</v>
      </c>
      <c r="X23" s="86">
        <f>-SUMPRODUCT(SUMIFS('Allocated Transactions'!$J:$J,'Allocated Transactions'!$D:$D,$B23,'Allocated Transactions'!$C:$C,$B$7,'Allocated Transactions'!$A:$A,"&gt;="&amp;X$19,'Allocated Transactions'!$A:$A,"&lt;="&amp;EOMONTH(X$19,0))+SUMIFS('Allocated Transactions'!$J:$J,'Allocated Transactions'!$D:$D,$B23,'Allocated Transactions'!$C:$C,$B$9,'Allocated Transactions'!$A:$A,"&gt;="&amp;X$19,'Allocated Transactions'!$A:$A,"&lt;="&amp;EOMONTH(X$19,0))+SUMIFS('Allocated Transactions'!$J:$J,'Allocated Transactions'!$D:$D,$B23,'Allocated Transactions'!$C:$C,$B$8,'Allocated Transactions'!$A:$A,"&gt;="&amp;X$19,'Allocated Transactions'!$A:$A,"&lt;="&amp;EOMONTH(X$19,0))+SUMIFS('Allocated Transactions'!$J:$J,'Allocated Transactions'!$D:$D,$B23,'Allocated Transactions'!$C:$C,$B$10,'Allocated Transactions'!$A:$A,"&gt;="&amp;X$19,'Allocated Transactions'!$A:$A,"&lt;="&amp;EOMONTH(X$19,0))+SUMIFS('Allocated Transactions'!$J:$J,'Allocated Transactions'!$D:$D,$B23,'Allocated Transactions'!$C:$C,$B$11,'Allocated Transactions'!$A:$A,"&gt;="&amp;X$19,'Allocated Transactions'!$A:$A,"&lt;="&amp;EOMONTH(X$19,0))+SUMIFS('Allocated Transactions'!$J:$J,'Allocated Transactions'!$D:$D,$B23,'Allocated Transactions'!$C:$C,$B$2,'Allocated Transactions'!$A:$A,"&gt;="&amp;X$19,'Allocated Transactions'!$A:$A,"&lt;="&amp;EOMONTH(X$19,0))+SUMIFS('Allocated Transactions'!$J:$J,'Allocated Transactions'!$D:$D,$B23,'Allocated Transactions'!$C:$C,$B$4,'Allocated Transactions'!$A:$A,"&gt;="&amp;X$19,'Allocated Transactions'!$A:$A,"&lt;="&amp;EOMONTH(X$19,0))+SUMIFS('Allocated Transactions'!$J:$J,'Allocated Transactions'!$D:$D,$B23,'Allocated Transactions'!$C:$C,$B$3,'Allocated Transactions'!$A:$A,"&gt;="&amp;X$19,'Allocated Transactions'!$A:$A,"&lt;="&amp;EOMONTH(X$19,0))+SUMIFS('Allocated Transactions'!$J:$J,'Allocated Transactions'!$D:$D,$B23,'Allocated Transactions'!$C:$C,$B$5,'Allocated Transactions'!$A:$A,"&gt;="&amp;X$19,'Allocated Transactions'!$A:$A,"&lt;="&amp;EOMONTH(X$19,0))+SUMIFS('Allocated Transactions'!$J:$J,'Allocated Transactions'!$D:$D,$B23,'Allocated Transactions'!$C:$C,$B$6,'Allocated Transactions'!$A:$A,"&gt;="&amp;X$19,'Allocated Transactions'!$A:$A,"&lt;="&amp;EOMONTH(X$19,0)))</f>
        <v>0</v>
      </c>
      <c r="Y23" s="84">
        <f>SUMPRODUCT(SUMIFS('Budget Data'!$J:$J,'Budget Data'!$E:$E,$B23,'Budget Data'!$C:$C,$B$7,'Budget Data'!$A:$A,"&gt;="&amp;Y$19,'Budget Data'!$A:$A,"&lt;="&amp;EOMONTH(Y$19,0))+SUMIFS('Budget Data'!$J:$J,'Budget Data'!$E:$E,$B23,'Budget Data'!$C:$C,$B$9,'Budget Data'!$A:$A,"&gt;="&amp;Y$19,'Budget Data'!$A:$A,"&lt;="&amp;EOMONTH(Y$19,0))+SUMIFS('Budget Data'!$J:$J,'Budget Data'!$E:$E,$B23,'Budget Data'!$C:$C,$B$8,'Budget Data'!$A:$A,"&gt;="&amp;Y$19,'Budget Data'!$A:$A,"&lt;="&amp;EOMONTH(Y$19,0))+SUMIFS('Budget Data'!$J:$J,'Budget Data'!$E:$E,$B23,'Budget Data'!$C:$C,$B$10,'Budget Data'!$A:$A,"&gt;="&amp;Y$19,'Budget Data'!$A:$A,"&lt;="&amp;EOMONTH(Y$19,0))+SUMIFS('Budget Data'!$J:$J,'Budget Data'!$E:$E,$B23,'Budget Data'!$C:$C,$B$11,'Budget Data'!$A:$A,"&gt;="&amp;Y$19,'Budget Data'!$A:$A,"&lt;="&amp;EOMONTH(Y$19,0))+SUMIFS('Budget Data'!$J:$J,'Budget Data'!$E:$E,$B23,'Budget Data'!$C:$C,$B$2,'Budget Data'!$A:$A,"&gt;="&amp;Y$19,'Budget Data'!$A:$A,"&lt;="&amp;EOMONTH(Y$19,0))+SUMIFS('Budget Data'!$J:$J,'Budget Data'!$E:$E,$B23,'Budget Data'!$C:$C,$B$4,'Budget Data'!$A:$A,"&gt;="&amp;Y$19,'Budget Data'!$A:$A,"&lt;="&amp;EOMONTH(Y$19,0))+SUMIFS('Budget Data'!$J:$J,'Budget Data'!$E:$E,$B23,'Budget Data'!$C:$C,$B$3,'Budget Data'!$A:$A,"&gt;="&amp;Y$19,'Budget Data'!$A:$A,"&lt;="&amp;EOMONTH(Y$19,0))+SUMIFS('Budget Data'!$J:$J,'Budget Data'!$E:$E,$B23,'Budget Data'!$C:$C,$B$5,'Budget Data'!$A:$A,"&gt;="&amp;Y$19,'Budget Data'!$A:$A,"&lt;="&amp;EOMONTH(Y$19,0))+SUMIFS('Budget Data'!$J:$J,'Budget Data'!$E:$E,$B23,'Budget Data'!$C:$C,$B$6,'Budget Data'!$A:$A,"&gt;="&amp;Y$19,'Budget Data'!$A:$A,"&lt;="&amp;EOMONTH(Y$19,0)))</f>
        <v>27052.5</v>
      </c>
      <c r="Z23" s="86">
        <f>-SUMPRODUCT(SUMIFS('Allocated Transactions'!$J:$J,'Allocated Transactions'!$D:$D,$B23,'Allocated Transactions'!$C:$C,$B$7,'Allocated Transactions'!$A:$A,"&gt;="&amp;Z$19,'Allocated Transactions'!$A:$A,"&lt;="&amp;EOMONTH(Z$19,0))+SUMIFS('Allocated Transactions'!$J:$J,'Allocated Transactions'!$D:$D,$B23,'Allocated Transactions'!$C:$C,$B$9,'Allocated Transactions'!$A:$A,"&gt;="&amp;Z$19,'Allocated Transactions'!$A:$A,"&lt;="&amp;EOMONTH(Z$19,0))+SUMIFS('Allocated Transactions'!$J:$J,'Allocated Transactions'!$D:$D,$B23,'Allocated Transactions'!$C:$C,$B$8,'Allocated Transactions'!$A:$A,"&gt;="&amp;Z$19,'Allocated Transactions'!$A:$A,"&lt;="&amp;EOMONTH(Z$19,0))+SUMIFS('Allocated Transactions'!$J:$J,'Allocated Transactions'!$D:$D,$B23,'Allocated Transactions'!$C:$C,$B$10,'Allocated Transactions'!$A:$A,"&gt;="&amp;Z$19,'Allocated Transactions'!$A:$A,"&lt;="&amp;EOMONTH(Z$19,0))+SUMIFS('Allocated Transactions'!$J:$J,'Allocated Transactions'!$D:$D,$B23,'Allocated Transactions'!$C:$C,$B$11,'Allocated Transactions'!$A:$A,"&gt;="&amp;Z$19,'Allocated Transactions'!$A:$A,"&lt;="&amp;EOMONTH(Z$19,0))+SUMIFS('Allocated Transactions'!$J:$J,'Allocated Transactions'!$D:$D,$B23,'Allocated Transactions'!$C:$C,$B$2,'Allocated Transactions'!$A:$A,"&gt;="&amp;Z$19,'Allocated Transactions'!$A:$A,"&lt;="&amp;EOMONTH(Z$19,0))+SUMIFS('Allocated Transactions'!$J:$J,'Allocated Transactions'!$D:$D,$B23,'Allocated Transactions'!$C:$C,$B$4,'Allocated Transactions'!$A:$A,"&gt;="&amp;Z$19,'Allocated Transactions'!$A:$A,"&lt;="&amp;EOMONTH(Z$19,0))+SUMIFS('Allocated Transactions'!$J:$J,'Allocated Transactions'!$D:$D,$B23,'Allocated Transactions'!$C:$C,$B$3,'Allocated Transactions'!$A:$A,"&gt;="&amp;Z$19,'Allocated Transactions'!$A:$A,"&lt;="&amp;EOMONTH(Z$19,0))+SUMIFS('Allocated Transactions'!$J:$J,'Allocated Transactions'!$D:$D,$B23,'Allocated Transactions'!$C:$C,$B$5,'Allocated Transactions'!$A:$A,"&gt;="&amp;Z$19,'Allocated Transactions'!$A:$A,"&lt;="&amp;EOMONTH(Z$19,0))+SUMIFS('Allocated Transactions'!$J:$J,'Allocated Transactions'!$D:$D,$B23,'Allocated Transactions'!$C:$C,$B$6,'Allocated Transactions'!$A:$A,"&gt;="&amp;Z$19,'Allocated Transactions'!$A:$A,"&lt;="&amp;EOMONTH(Z$19,0)))</f>
        <v>0</v>
      </c>
      <c r="AA23" s="84">
        <f>SUMPRODUCT(SUMIFS('Budget Data'!$J:$J,'Budget Data'!$E:$E,$B23,'Budget Data'!$C:$C,$B$7,'Budget Data'!$A:$A,"&gt;="&amp;AA$19,'Budget Data'!$A:$A,"&lt;="&amp;EOMONTH(AA$19,0))+SUMIFS('Budget Data'!$J:$J,'Budget Data'!$E:$E,$B23,'Budget Data'!$C:$C,$B$9,'Budget Data'!$A:$A,"&gt;="&amp;AA$19,'Budget Data'!$A:$A,"&lt;="&amp;EOMONTH(AA$19,0))+SUMIFS('Budget Data'!$J:$J,'Budget Data'!$E:$E,$B23,'Budget Data'!$C:$C,$B$8,'Budget Data'!$A:$A,"&gt;="&amp;AA$19,'Budget Data'!$A:$A,"&lt;="&amp;EOMONTH(AA$19,0))+SUMIFS('Budget Data'!$J:$J,'Budget Data'!$E:$E,$B23,'Budget Data'!$C:$C,$B$10,'Budget Data'!$A:$A,"&gt;="&amp;AA$19,'Budget Data'!$A:$A,"&lt;="&amp;EOMONTH(AA$19,0))+SUMIFS('Budget Data'!$J:$J,'Budget Data'!$E:$E,$B23,'Budget Data'!$C:$C,$B$11,'Budget Data'!$A:$A,"&gt;="&amp;AA$19,'Budget Data'!$A:$A,"&lt;="&amp;EOMONTH(AA$19,0))+SUMIFS('Budget Data'!$J:$J,'Budget Data'!$E:$E,$B23,'Budget Data'!$C:$C,$B$2,'Budget Data'!$A:$A,"&gt;="&amp;AA$19,'Budget Data'!$A:$A,"&lt;="&amp;EOMONTH(AA$19,0))+SUMIFS('Budget Data'!$J:$J,'Budget Data'!$E:$E,$B23,'Budget Data'!$C:$C,$B$4,'Budget Data'!$A:$A,"&gt;="&amp;AA$19,'Budget Data'!$A:$A,"&lt;="&amp;EOMONTH(AA$19,0))+SUMIFS('Budget Data'!$J:$J,'Budget Data'!$E:$E,$B23,'Budget Data'!$C:$C,$B$3,'Budget Data'!$A:$A,"&gt;="&amp;AA$19,'Budget Data'!$A:$A,"&lt;="&amp;EOMONTH(AA$19,0))+SUMIFS('Budget Data'!$J:$J,'Budget Data'!$E:$E,$B23,'Budget Data'!$C:$C,$B$5,'Budget Data'!$A:$A,"&gt;="&amp;AA$19,'Budget Data'!$A:$A,"&lt;="&amp;EOMONTH(AA$19,0))+SUMIFS('Budget Data'!$J:$J,'Budget Data'!$E:$E,$B23,'Budget Data'!$C:$C,$B$6,'Budget Data'!$A:$A,"&gt;="&amp;AA$19,'Budget Data'!$A:$A,"&lt;="&amp;EOMONTH(AA$19,0)))</f>
        <v>19930</v>
      </c>
      <c r="AC23" s="87">
        <f t="shared" si="0"/>
        <v>377393.55999999959</v>
      </c>
      <c r="AD23" s="84">
        <f t="shared" si="0"/>
        <v>420750</v>
      </c>
    </row>
    <row r="24" spans="2:30" ht="15" customHeight="1">
      <c r="B24" s="12" t="str">
        <v>4100</v>
      </c>
      <c r="C24" s="160" t="str">
        <f>_xlfn.XLOOKUP(B24,'Allocated Transactions'!D:D,'Allocated Transactions'!E:E,"")</f>
        <v>Fee for Service Revenue</v>
      </c>
      <c r="D24" s="86">
        <f>-SUMPRODUCT(SUMIFS('Allocated Transactions'!$J:$J,'Allocated Transactions'!$D:$D,$B24,'Allocated Transactions'!$C:$C,$B$7,'Allocated Transactions'!$A:$A,"&gt;="&amp;D$19,'Allocated Transactions'!$A:$A,"&lt;="&amp;EOMONTH(D$19,0))+SUMIFS('Allocated Transactions'!$J:$J,'Allocated Transactions'!$D:$D,$B24,'Allocated Transactions'!$C:$C,$B$9,'Allocated Transactions'!$A:$A,"&gt;="&amp;D$19,'Allocated Transactions'!$A:$A,"&lt;="&amp;EOMONTH(D$19,0))+SUMIFS('Allocated Transactions'!$J:$J,'Allocated Transactions'!$D:$D,$B24,'Allocated Transactions'!$C:$C,$B$8,'Allocated Transactions'!$A:$A,"&gt;="&amp;D$19,'Allocated Transactions'!$A:$A,"&lt;="&amp;EOMONTH(D$19,0))+SUMIFS('Allocated Transactions'!$J:$J,'Allocated Transactions'!$D:$D,$B24,'Allocated Transactions'!$C:$C,$B$10,'Allocated Transactions'!$A:$A,"&gt;="&amp;D$19,'Allocated Transactions'!$A:$A,"&lt;="&amp;EOMONTH(D$19,0))+SUMIFS('Allocated Transactions'!$J:$J,'Allocated Transactions'!$D:$D,$B24,'Allocated Transactions'!$C:$C,$B$11,'Allocated Transactions'!$A:$A,"&gt;="&amp;D$19,'Allocated Transactions'!$A:$A,"&lt;="&amp;EOMONTH(D$19,0))+SUMIFS('Allocated Transactions'!$J:$J,'Allocated Transactions'!$D:$D,$B24,'Allocated Transactions'!$C:$C,$B$2,'Allocated Transactions'!$A:$A,"&gt;="&amp;D$19,'Allocated Transactions'!$A:$A,"&lt;="&amp;EOMONTH(D$19,0))+SUMIFS('Allocated Transactions'!$J:$J,'Allocated Transactions'!$D:$D,$B24,'Allocated Transactions'!$C:$C,$B$4,'Allocated Transactions'!$A:$A,"&gt;="&amp;D$19,'Allocated Transactions'!$A:$A,"&lt;="&amp;EOMONTH(D$19,0))+SUMIFS('Allocated Transactions'!$J:$J,'Allocated Transactions'!$D:$D,$B24,'Allocated Transactions'!$C:$C,$B$3,'Allocated Transactions'!$A:$A,"&gt;="&amp;D$19,'Allocated Transactions'!$A:$A,"&lt;="&amp;EOMONTH(D$19,0))+SUMIFS('Allocated Transactions'!$J:$J,'Allocated Transactions'!$D:$D,$B24,'Allocated Transactions'!$C:$C,$B$5,'Allocated Transactions'!$A:$A,"&gt;="&amp;D$19,'Allocated Transactions'!$A:$A,"&lt;="&amp;EOMONTH(D$19,0))+SUMIFS('Allocated Transactions'!$J:$J,'Allocated Transactions'!$D:$D,$B24,'Allocated Transactions'!$C:$C,$B$6,'Allocated Transactions'!$A:$A,"&gt;="&amp;D$19,'Allocated Transactions'!$A:$A,"&lt;="&amp;EOMONTH(D$19,0)))</f>
        <v>56727.819999999934</v>
      </c>
      <c r="E24" s="84">
        <f>SUMPRODUCT(SUMIFS('Budget Data'!$J:$J,'Budget Data'!$E:$E,$B24,'Budget Data'!$C:$C,$B$7,'Budget Data'!$A:$A,"&gt;="&amp;E$19,'Budget Data'!$A:$A,"&lt;="&amp;EOMONTH(E$19,0))+SUMIFS('Budget Data'!$J:$J,'Budget Data'!$E:$E,$B24,'Budget Data'!$C:$C,$B$9,'Budget Data'!$A:$A,"&gt;="&amp;E$19,'Budget Data'!$A:$A,"&lt;="&amp;EOMONTH(E$19,0))+SUMIFS('Budget Data'!$J:$J,'Budget Data'!$E:$E,$B24,'Budget Data'!$C:$C,$B$8,'Budget Data'!$A:$A,"&gt;="&amp;E$19,'Budget Data'!$A:$A,"&lt;="&amp;EOMONTH(E$19,0))+SUMIFS('Budget Data'!$J:$J,'Budget Data'!$E:$E,$B24,'Budget Data'!$C:$C,$B$10,'Budget Data'!$A:$A,"&gt;="&amp;E$19,'Budget Data'!$A:$A,"&lt;="&amp;EOMONTH(E$19,0))+SUMIFS('Budget Data'!$J:$J,'Budget Data'!$E:$E,$B24,'Budget Data'!$C:$C,$B$11,'Budget Data'!$A:$A,"&gt;="&amp;E$19,'Budget Data'!$A:$A,"&lt;="&amp;EOMONTH(E$19,0))+SUMIFS('Budget Data'!$J:$J,'Budget Data'!$E:$E,$B24,'Budget Data'!$C:$C,$B$2,'Budget Data'!$A:$A,"&gt;="&amp;E$19,'Budget Data'!$A:$A,"&lt;="&amp;EOMONTH(E$19,0))+SUMIFS('Budget Data'!$J:$J,'Budget Data'!$E:$E,$B24,'Budget Data'!$C:$C,$B$4,'Budget Data'!$A:$A,"&gt;="&amp;E$19,'Budget Data'!$A:$A,"&lt;="&amp;EOMONTH(E$19,0))+SUMIFS('Budget Data'!$J:$J,'Budget Data'!$E:$E,$B24,'Budget Data'!$C:$C,$B$3,'Budget Data'!$A:$A,"&gt;="&amp;E$19,'Budget Data'!$A:$A,"&lt;="&amp;EOMONTH(E$19,0))+SUMIFS('Budget Data'!$J:$J,'Budget Data'!$E:$E,$B24,'Budget Data'!$C:$C,$B$5,'Budget Data'!$A:$A,"&gt;="&amp;E$19,'Budget Data'!$A:$A,"&lt;="&amp;EOMONTH(E$19,0))+SUMIFS('Budget Data'!$J:$J,'Budget Data'!$E:$E,$B24,'Budget Data'!$C:$C,$B$6,'Budget Data'!$A:$A,"&gt;="&amp;E$19,'Budget Data'!$A:$A,"&lt;="&amp;EOMONTH(E$19,0)))</f>
        <v>59564.209999999992</v>
      </c>
      <c r="F24" s="86">
        <f>-SUMPRODUCT(SUMIFS('Allocated Transactions'!$J:$J,'Allocated Transactions'!$D:$D,$B24,'Allocated Transactions'!$C:$C,$B$7,'Allocated Transactions'!$A:$A,"&gt;="&amp;F$19,'Allocated Transactions'!$A:$A,"&lt;="&amp;EOMONTH(F$19,0))+SUMIFS('Allocated Transactions'!$J:$J,'Allocated Transactions'!$D:$D,$B24,'Allocated Transactions'!$C:$C,$B$9,'Allocated Transactions'!$A:$A,"&gt;="&amp;F$19,'Allocated Transactions'!$A:$A,"&lt;="&amp;EOMONTH(F$19,0))+SUMIFS('Allocated Transactions'!$J:$J,'Allocated Transactions'!$D:$D,$B24,'Allocated Transactions'!$C:$C,$B$8,'Allocated Transactions'!$A:$A,"&gt;="&amp;F$19,'Allocated Transactions'!$A:$A,"&lt;="&amp;EOMONTH(F$19,0))+SUMIFS('Allocated Transactions'!$J:$J,'Allocated Transactions'!$D:$D,$B24,'Allocated Transactions'!$C:$C,$B$10,'Allocated Transactions'!$A:$A,"&gt;="&amp;F$19,'Allocated Transactions'!$A:$A,"&lt;="&amp;EOMONTH(F$19,0))+SUMIFS('Allocated Transactions'!$J:$J,'Allocated Transactions'!$D:$D,$B24,'Allocated Transactions'!$C:$C,$B$11,'Allocated Transactions'!$A:$A,"&gt;="&amp;F$19,'Allocated Transactions'!$A:$A,"&lt;="&amp;EOMONTH(F$19,0))+SUMIFS('Allocated Transactions'!$J:$J,'Allocated Transactions'!$D:$D,$B24,'Allocated Transactions'!$C:$C,$B$2,'Allocated Transactions'!$A:$A,"&gt;="&amp;F$19,'Allocated Transactions'!$A:$A,"&lt;="&amp;EOMONTH(F$19,0))+SUMIFS('Allocated Transactions'!$J:$J,'Allocated Transactions'!$D:$D,$B24,'Allocated Transactions'!$C:$C,$B$4,'Allocated Transactions'!$A:$A,"&gt;="&amp;F$19,'Allocated Transactions'!$A:$A,"&lt;="&amp;EOMONTH(F$19,0))+SUMIFS('Allocated Transactions'!$J:$J,'Allocated Transactions'!$D:$D,$B24,'Allocated Transactions'!$C:$C,$B$3,'Allocated Transactions'!$A:$A,"&gt;="&amp;F$19,'Allocated Transactions'!$A:$A,"&lt;="&amp;EOMONTH(F$19,0))+SUMIFS('Allocated Transactions'!$J:$J,'Allocated Transactions'!$D:$D,$B24,'Allocated Transactions'!$C:$C,$B$5,'Allocated Transactions'!$A:$A,"&gt;="&amp;F$19,'Allocated Transactions'!$A:$A,"&lt;="&amp;EOMONTH(F$19,0))+SUMIFS('Allocated Transactions'!$J:$J,'Allocated Transactions'!$D:$D,$B24,'Allocated Transactions'!$C:$C,$B$6,'Allocated Transactions'!$A:$A,"&gt;="&amp;F$19,'Allocated Transactions'!$A:$A,"&lt;="&amp;EOMONTH(F$19,0)))</f>
        <v>56796.01000000014</v>
      </c>
      <c r="G24" s="84">
        <f>SUMPRODUCT(SUMIFS('Budget Data'!$J:$J,'Budget Data'!$E:$E,$B24,'Budget Data'!$C:$C,$B$7,'Budget Data'!$A:$A,"&gt;="&amp;G$19,'Budget Data'!$A:$A,"&lt;="&amp;EOMONTH(G$19,0))+SUMIFS('Budget Data'!$J:$J,'Budget Data'!$E:$E,$B24,'Budget Data'!$C:$C,$B$9,'Budget Data'!$A:$A,"&gt;="&amp;G$19,'Budget Data'!$A:$A,"&lt;="&amp;EOMONTH(G$19,0))+SUMIFS('Budget Data'!$J:$J,'Budget Data'!$E:$E,$B24,'Budget Data'!$C:$C,$B$8,'Budget Data'!$A:$A,"&gt;="&amp;G$19,'Budget Data'!$A:$A,"&lt;="&amp;EOMONTH(G$19,0))+SUMIFS('Budget Data'!$J:$J,'Budget Data'!$E:$E,$B24,'Budget Data'!$C:$C,$B$10,'Budget Data'!$A:$A,"&gt;="&amp;G$19,'Budget Data'!$A:$A,"&lt;="&amp;EOMONTH(G$19,0))+SUMIFS('Budget Data'!$J:$J,'Budget Data'!$E:$E,$B24,'Budget Data'!$C:$C,$B$11,'Budget Data'!$A:$A,"&gt;="&amp;G$19,'Budget Data'!$A:$A,"&lt;="&amp;EOMONTH(G$19,0))+SUMIFS('Budget Data'!$J:$J,'Budget Data'!$E:$E,$B24,'Budget Data'!$C:$C,$B$2,'Budget Data'!$A:$A,"&gt;="&amp;G$19,'Budget Data'!$A:$A,"&lt;="&amp;EOMONTH(G$19,0))+SUMIFS('Budget Data'!$J:$J,'Budget Data'!$E:$E,$B24,'Budget Data'!$C:$C,$B$4,'Budget Data'!$A:$A,"&gt;="&amp;G$19,'Budget Data'!$A:$A,"&lt;="&amp;EOMONTH(G$19,0))+SUMIFS('Budget Data'!$J:$J,'Budget Data'!$E:$E,$B24,'Budget Data'!$C:$C,$B$3,'Budget Data'!$A:$A,"&gt;="&amp;G$19,'Budget Data'!$A:$A,"&lt;="&amp;EOMONTH(G$19,0))+SUMIFS('Budget Data'!$J:$J,'Budget Data'!$E:$E,$B24,'Budget Data'!$C:$C,$B$5,'Budget Data'!$A:$A,"&gt;="&amp;G$19,'Budget Data'!$A:$A,"&lt;="&amp;EOMONTH(G$19,0))+SUMIFS('Budget Data'!$J:$J,'Budget Data'!$E:$E,$B24,'Budget Data'!$C:$C,$B$6,'Budget Data'!$A:$A,"&gt;="&amp;G$19,'Budget Data'!$A:$A,"&lt;="&amp;EOMONTH(G$19,0)))</f>
        <v>59635.810000000012</v>
      </c>
      <c r="H24" s="86">
        <f>-SUMPRODUCT(SUMIFS('Allocated Transactions'!$J:$J,'Allocated Transactions'!$D:$D,$B24,'Allocated Transactions'!$C:$C,$B$7,'Allocated Transactions'!$A:$A,"&gt;="&amp;H$19,'Allocated Transactions'!$A:$A,"&lt;="&amp;EOMONTH(H$19,0))+SUMIFS('Allocated Transactions'!$J:$J,'Allocated Transactions'!$D:$D,$B24,'Allocated Transactions'!$C:$C,$B$9,'Allocated Transactions'!$A:$A,"&gt;="&amp;H$19,'Allocated Transactions'!$A:$A,"&lt;="&amp;EOMONTH(H$19,0))+SUMIFS('Allocated Transactions'!$J:$J,'Allocated Transactions'!$D:$D,$B24,'Allocated Transactions'!$C:$C,$B$8,'Allocated Transactions'!$A:$A,"&gt;="&amp;H$19,'Allocated Transactions'!$A:$A,"&lt;="&amp;EOMONTH(H$19,0))+SUMIFS('Allocated Transactions'!$J:$J,'Allocated Transactions'!$D:$D,$B24,'Allocated Transactions'!$C:$C,$B$10,'Allocated Transactions'!$A:$A,"&gt;="&amp;H$19,'Allocated Transactions'!$A:$A,"&lt;="&amp;EOMONTH(H$19,0))+SUMIFS('Allocated Transactions'!$J:$J,'Allocated Transactions'!$D:$D,$B24,'Allocated Transactions'!$C:$C,$B$11,'Allocated Transactions'!$A:$A,"&gt;="&amp;H$19,'Allocated Transactions'!$A:$A,"&lt;="&amp;EOMONTH(H$19,0))+SUMIFS('Allocated Transactions'!$J:$J,'Allocated Transactions'!$D:$D,$B24,'Allocated Transactions'!$C:$C,$B$2,'Allocated Transactions'!$A:$A,"&gt;="&amp;H$19,'Allocated Transactions'!$A:$A,"&lt;="&amp;EOMONTH(H$19,0))+SUMIFS('Allocated Transactions'!$J:$J,'Allocated Transactions'!$D:$D,$B24,'Allocated Transactions'!$C:$C,$B$4,'Allocated Transactions'!$A:$A,"&gt;="&amp;H$19,'Allocated Transactions'!$A:$A,"&lt;="&amp;EOMONTH(H$19,0))+SUMIFS('Allocated Transactions'!$J:$J,'Allocated Transactions'!$D:$D,$B24,'Allocated Transactions'!$C:$C,$B$3,'Allocated Transactions'!$A:$A,"&gt;="&amp;H$19,'Allocated Transactions'!$A:$A,"&lt;="&amp;EOMONTH(H$19,0))+SUMIFS('Allocated Transactions'!$J:$J,'Allocated Transactions'!$D:$D,$B24,'Allocated Transactions'!$C:$C,$B$5,'Allocated Transactions'!$A:$A,"&gt;="&amp;H$19,'Allocated Transactions'!$A:$A,"&lt;="&amp;EOMONTH(H$19,0))+SUMIFS('Allocated Transactions'!$J:$J,'Allocated Transactions'!$D:$D,$B24,'Allocated Transactions'!$C:$C,$B$6,'Allocated Transactions'!$A:$A,"&gt;="&amp;H$19,'Allocated Transactions'!$A:$A,"&lt;="&amp;EOMONTH(H$19,0)))</f>
        <v>58296.000000000102</v>
      </c>
      <c r="I24" s="84">
        <f>SUMPRODUCT(SUMIFS('Budget Data'!$J:$J,'Budget Data'!$E:$E,$B24,'Budget Data'!$C:$C,$B$7,'Budget Data'!$A:$A,"&gt;="&amp;I$19,'Budget Data'!$A:$A,"&lt;="&amp;EOMONTH(I$19,0))+SUMIFS('Budget Data'!$J:$J,'Budget Data'!$E:$E,$B24,'Budget Data'!$C:$C,$B$9,'Budget Data'!$A:$A,"&gt;="&amp;I$19,'Budget Data'!$A:$A,"&lt;="&amp;EOMONTH(I$19,0))+SUMIFS('Budget Data'!$J:$J,'Budget Data'!$E:$E,$B24,'Budget Data'!$C:$C,$B$8,'Budget Data'!$A:$A,"&gt;="&amp;I$19,'Budget Data'!$A:$A,"&lt;="&amp;EOMONTH(I$19,0))+SUMIFS('Budget Data'!$J:$J,'Budget Data'!$E:$E,$B24,'Budget Data'!$C:$C,$B$10,'Budget Data'!$A:$A,"&gt;="&amp;I$19,'Budget Data'!$A:$A,"&lt;="&amp;EOMONTH(I$19,0))+SUMIFS('Budget Data'!$J:$J,'Budget Data'!$E:$E,$B24,'Budget Data'!$C:$C,$B$11,'Budget Data'!$A:$A,"&gt;="&amp;I$19,'Budget Data'!$A:$A,"&lt;="&amp;EOMONTH(I$19,0))+SUMIFS('Budget Data'!$J:$J,'Budget Data'!$E:$E,$B24,'Budget Data'!$C:$C,$B$2,'Budget Data'!$A:$A,"&gt;="&amp;I$19,'Budget Data'!$A:$A,"&lt;="&amp;EOMONTH(I$19,0))+SUMIFS('Budget Data'!$J:$J,'Budget Data'!$E:$E,$B24,'Budget Data'!$C:$C,$B$4,'Budget Data'!$A:$A,"&gt;="&amp;I$19,'Budget Data'!$A:$A,"&lt;="&amp;EOMONTH(I$19,0))+SUMIFS('Budget Data'!$J:$J,'Budget Data'!$E:$E,$B24,'Budget Data'!$C:$C,$B$3,'Budget Data'!$A:$A,"&gt;="&amp;I$19,'Budget Data'!$A:$A,"&lt;="&amp;EOMONTH(I$19,0))+SUMIFS('Budget Data'!$J:$J,'Budget Data'!$E:$E,$B24,'Budget Data'!$C:$C,$B$5,'Budget Data'!$A:$A,"&gt;="&amp;I$19,'Budget Data'!$A:$A,"&lt;="&amp;EOMONTH(I$19,0))+SUMIFS('Budget Data'!$J:$J,'Budget Data'!$E:$E,$B24,'Budget Data'!$C:$C,$B$6,'Budget Data'!$A:$A,"&gt;="&amp;I$19,'Budget Data'!$A:$A,"&lt;="&amp;EOMONTH(I$19,0)))</f>
        <v>61210.8</v>
      </c>
      <c r="J24" s="86">
        <f>-SUMPRODUCT(SUMIFS('Allocated Transactions'!$J:$J,'Allocated Transactions'!$D:$D,$B24,'Allocated Transactions'!$C:$C,$B$7,'Allocated Transactions'!$A:$A,"&gt;="&amp;J$19,'Allocated Transactions'!$A:$A,"&lt;="&amp;EOMONTH(J$19,0))+SUMIFS('Allocated Transactions'!$J:$J,'Allocated Transactions'!$D:$D,$B24,'Allocated Transactions'!$C:$C,$B$9,'Allocated Transactions'!$A:$A,"&gt;="&amp;J$19,'Allocated Transactions'!$A:$A,"&lt;="&amp;EOMONTH(J$19,0))+SUMIFS('Allocated Transactions'!$J:$J,'Allocated Transactions'!$D:$D,$B24,'Allocated Transactions'!$C:$C,$B$8,'Allocated Transactions'!$A:$A,"&gt;="&amp;J$19,'Allocated Transactions'!$A:$A,"&lt;="&amp;EOMONTH(J$19,0))+SUMIFS('Allocated Transactions'!$J:$J,'Allocated Transactions'!$D:$D,$B24,'Allocated Transactions'!$C:$C,$B$10,'Allocated Transactions'!$A:$A,"&gt;="&amp;J$19,'Allocated Transactions'!$A:$A,"&lt;="&amp;EOMONTH(J$19,0))+SUMIFS('Allocated Transactions'!$J:$J,'Allocated Transactions'!$D:$D,$B24,'Allocated Transactions'!$C:$C,$B$11,'Allocated Transactions'!$A:$A,"&gt;="&amp;J$19,'Allocated Transactions'!$A:$A,"&lt;="&amp;EOMONTH(J$19,0))+SUMIFS('Allocated Transactions'!$J:$J,'Allocated Transactions'!$D:$D,$B24,'Allocated Transactions'!$C:$C,$B$2,'Allocated Transactions'!$A:$A,"&gt;="&amp;J$19,'Allocated Transactions'!$A:$A,"&lt;="&amp;EOMONTH(J$19,0))+SUMIFS('Allocated Transactions'!$J:$J,'Allocated Transactions'!$D:$D,$B24,'Allocated Transactions'!$C:$C,$B$4,'Allocated Transactions'!$A:$A,"&gt;="&amp;J$19,'Allocated Transactions'!$A:$A,"&lt;="&amp;EOMONTH(J$19,0))+SUMIFS('Allocated Transactions'!$J:$J,'Allocated Transactions'!$D:$D,$B24,'Allocated Transactions'!$C:$C,$B$3,'Allocated Transactions'!$A:$A,"&gt;="&amp;J$19,'Allocated Transactions'!$A:$A,"&lt;="&amp;EOMONTH(J$19,0))+SUMIFS('Allocated Transactions'!$J:$J,'Allocated Transactions'!$D:$D,$B24,'Allocated Transactions'!$C:$C,$B$5,'Allocated Transactions'!$A:$A,"&gt;="&amp;J$19,'Allocated Transactions'!$A:$A,"&lt;="&amp;EOMONTH(J$19,0))+SUMIFS('Allocated Transactions'!$J:$J,'Allocated Transactions'!$D:$D,$B24,'Allocated Transactions'!$C:$C,$B$6,'Allocated Transactions'!$A:$A,"&gt;="&amp;J$19,'Allocated Transactions'!$A:$A,"&lt;="&amp;EOMONTH(J$19,0)))</f>
        <v>42989.44000000001</v>
      </c>
      <c r="K24" s="84">
        <f>SUMPRODUCT(SUMIFS('Budget Data'!$J:$J,'Budget Data'!$E:$E,$B24,'Budget Data'!$C:$C,$B$7,'Budget Data'!$A:$A,"&gt;="&amp;K$19,'Budget Data'!$A:$A,"&lt;="&amp;EOMONTH(K$19,0))+SUMIFS('Budget Data'!$J:$J,'Budget Data'!$E:$E,$B24,'Budget Data'!$C:$C,$B$9,'Budget Data'!$A:$A,"&gt;="&amp;K$19,'Budget Data'!$A:$A,"&lt;="&amp;EOMONTH(K$19,0))+SUMIFS('Budget Data'!$J:$J,'Budget Data'!$E:$E,$B24,'Budget Data'!$C:$C,$B$8,'Budget Data'!$A:$A,"&gt;="&amp;K$19,'Budget Data'!$A:$A,"&lt;="&amp;EOMONTH(K$19,0))+SUMIFS('Budget Data'!$J:$J,'Budget Data'!$E:$E,$B24,'Budget Data'!$C:$C,$B$10,'Budget Data'!$A:$A,"&gt;="&amp;K$19,'Budget Data'!$A:$A,"&lt;="&amp;EOMONTH(K$19,0))+SUMIFS('Budget Data'!$J:$J,'Budget Data'!$E:$E,$B24,'Budget Data'!$C:$C,$B$11,'Budget Data'!$A:$A,"&gt;="&amp;K$19,'Budget Data'!$A:$A,"&lt;="&amp;EOMONTH(K$19,0))+SUMIFS('Budget Data'!$J:$J,'Budget Data'!$E:$E,$B24,'Budget Data'!$C:$C,$B$2,'Budget Data'!$A:$A,"&gt;="&amp;K$19,'Budget Data'!$A:$A,"&lt;="&amp;EOMONTH(K$19,0))+SUMIFS('Budget Data'!$J:$J,'Budget Data'!$E:$E,$B24,'Budget Data'!$C:$C,$B$4,'Budget Data'!$A:$A,"&gt;="&amp;K$19,'Budget Data'!$A:$A,"&lt;="&amp;EOMONTH(K$19,0))+SUMIFS('Budget Data'!$J:$J,'Budget Data'!$E:$E,$B24,'Budget Data'!$C:$C,$B$3,'Budget Data'!$A:$A,"&gt;="&amp;K$19,'Budget Data'!$A:$A,"&lt;="&amp;EOMONTH(K$19,0))+SUMIFS('Budget Data'!$J:$J,'Budget Data'!$E:$E,$B24,'Budget Data'!$C:$C,$B$5,'Budget Data'!$A:$A,"&gt;="&amp;K$19,'Budget Data'!$A:$A,"&lt;="&amp;EOMONTH(K$19,0))+SUMIFS('Budget Data'!$J:$J,'Budget Data'!$E:$E,$B24,'Budget Data'!$C:$C,$B$6,'Budget Data'!$A:$A,"&gt;="&amp;K$19,'Budget Data'!$A:$A,"&lt;="&amp;EOMONTH(K$19,0)))</f>
        <v>45138.909999999996</v>
      </c>
      <c r="L24" s="86">
        <f>-SUMPRODUCT(SUMIFS('Allocated Transactions'!$J:$J,'Allocated Transactions'!$D:$D,$B24,'Allocated Transactions'!$C:$C,$B$7,'Allocated Transactions'!$A:$A,"&gt;="&amp;L$19,'Allocated Transactions'!$A:$A,"&lt;="&amp;EOMONTH(L$19,0))+SUMIFS('Allocated Transactions'!$J:$J,'Allocated Transactions'!$D:$D,$B24,'Allocated Transactions'!$C:$C,$B$9,'Allocated Transactions'!$A:$A,"&gt;="&amp;L$19,'Allocated Transactions'!$A:$A,"&lt;="&amp;EOMONTH(L$19,0))+SUMIFS('Allocated Transactions'!$J:$J,'Allocated Transactions'!$D:$D,$B24,'Allocated Transactions'!$C:$C,$B$8,'Allocated Transactions'!$A:$A,"&gt;="&amp;L$19,'Allocated Transactions'!$A:$A,"&lt;="&amp;EOMONTH(L$19,0))+SUMIFS('Allocated Transactions'!$J:$J,'Allocated Transactions'!$D:$D,$B24,'Allocated Transactions'!$C:$C,$B$10,'Allocated Transactions'!$A:$A,"&gt;="&amp;L$19,'Allocated Transactions'!$A:$A,"&lt;="&amp;EOMONTH(L$19,0))+SUMIFS('Allocated Transactions'!$J:$J,'Allocated Transactions'!$D:$D,$B24,'Allocated Transactions'!$C:$C,$B$11,'Allocated Transactions'!$A:$A,"&gt;="&amp;L$19,'Allocated Transactions'!$A:$A,"&lt;="&amp;EOMONTH(L$19,0))+SUMIFS('Allocated Transactions'!$J:$J,'Allocated Transactions'!$D:$D,$B24,'Allocated Transactions'!$C:$C,$B$2,'Allocated Transactions'!$A:$A,"&gt;="&amp;L$19,'Allocated Transactions'!$A:$A,"&lt;="&amp;EOMONTH(L$19,0))+SUMIFS('Allocated Transactions'!$J:$J,'Allocated Transactions'!$D:$D,$B24,'Allocated Transactions'!$C:$C,$B$4,'Allocated Transactions'!$A:$A,"&gt;="&amp;L$19,'Allocated Transactions'!$A:$A,"&lt;="&amp;EOMONTH(L$19,0))+SUMIFS('Allocated Transactions'!$J:$J,'Allocated Transactions'!$D:$D,$B24,'Allocated Transactions'!$C:$C,$B$3,'Allocated Transactions'!$A:$A,"&gt;="&amp;L$19,'Allocated Transactions'!$A:$A,"&lt;="&amp;EOMONTH(L$19,0))+SUMIFS('Allocated Transactions'!$J:$J,'Allocated Transactions'!$D:$D,$B24,'Allocated Transactions'!$C:$C,$B$5,'Allocated Transactions'!$A:$A,"&gt;="&amp;L$19,'Allocated Transactions'!$A:$A,"&lt;="&amp;EOMONTH(L$19,0))+SUMIFS('Allocated Transactions'!$J:$J,'Allocated Transactions'!$D:$D,$B24,'Allocated Transactions'!$C:$C,$B$6,'Allocated Transactions'!$A:$A,"&gt;="&amp;L$19,'Allocated Transactions'!$A:$A,"&lt;="&amp;EOMONTH(L$19,0)))</f>
        <v>55131.299999999967</v>
      </c>
      <c r="M24" s="84">
        <f>SUMPRODUCT(SUMIFS('Budget Data'!$J:$J,'Budget Data'!$E:$E,$B24,'Budget Data'!$C:$C,$B$7,'Budget Data'!$A:$A,"&gt;="&amp;M$19,'Budget Data'!$A:$A,"&lt;="&amp;EOMONTH(M$19,0))+SUMIFS('Budget Data'!$J:$J,'Budget Data'!$E:$E,$B24,'Budget Data'!$C:$C,$B$9,'Budget Data'!$A:$A,"&gt;="&amp;M$19,'Budget Data'!$A:$A,"&lt;="&amp;EOMONTH(M$19,0))+SUMIFS('Budget Data'!$J:$J,'Budget Data'!$E:$E,$B24,'Budget Data'!$C:$C,$B$8,'Budget Data'!$A:$A,"&gt;="&amp;M$19,'Budget Data'!$A:$A,"&lt;="&amp;EOMONTH(M$19,0))+SUMIFS('Budget Data'!$J:$J,'Budget Data'!$E:$E,$B24,'Budget Data'!$C:$C,$B$10,'Budget Data'!$A:$A,"&gt;="&amp;M$19,'Budget Data'!$A:$A,"&lt;="&amp;EOMONTH(M$19,0))+SUMIFS('Budget Data'!$J:$J,'Budget Data'!$E:$E,$B24,'Budget Data'!$C:$C,$B$11,'Budget Data'!$A:$A,"&gt;="&amp;M$19,'Budget Data'!$A:$A,"&lt;="&amp;EOMONTH(M$19,0))+SUMIFS('Budget Data'!$J:$J,'Budget Data'!$E:$E,$B24,'Budget Data'!$C:$C,$B$2,'Budget Data'!$A:$A,"&gt;="&amp;M$19,'Budget Data'!$A:$A,"&lt;="&amp;EOMONTH(M$19,0))+SUMIFS('Budget Data'!$J:$J,'Budget Data'!$E:$E,$B24,'Budget Data'!$C:$C,$B$4,'Budget Data'!$A:$A,"&gt;="&amp;M$19,'Budget Data'!$A:$A,"&lt;="&amp;EOMONTH(M$19,0))+SUMIFS('Budget Data'!$J:$J,'Budget Data'!$E:$E,$B24,'Budget Data'!$C:$C,$B$3,'Budget Data'!$A:$A,"&gt;="&amp;M$19,'Budget Data'!$A:$A,"&lt;="&amp;EOMONTH(M$19,0))+SUMIFS('Budget Data'!$J:$J,'Budget Data'!$E:$E,$B24,'Budget Data'!$C:$C,$B$5,'Budget Data'!$A:$A,"&gt;="&amp;M$19,'Budget Data'!$A:$A,"&lt;="&amp;EOMONTH(M$19,0))+SUMIFS('Budget Data'!$J:$J,'Budget Data'!$E:$E,$B24,'Budget Data'!$C:$C,$B$6,'Budget Data'!$A:$A,"&gt;="&amp;M$19,'Budget Data'!$A:$A,"&lt;="&amp;EOMONTH(M$19,0)))</f>
        <v>57887.869999999995</v>
      </c>
      <c r="N24" s="86">
        <f>-SUMPRODUCT(SUMIFS('Allocated Transactions'!$J:$J,'Allocated Transactions'!$D:$D,$B24,'Allocated Transactions'!$C:$C,$B$7,'Allocated Transactions'!$A:$A,"&gt;="&amp;N$19,'Allocated Transactions'!$A:$A,"&lt;="&amp;EOMONTH(N$19,0))+SUMIFS('Allocated Transactions'!$J:$J,'Allocated Transactions'!$D:$D,$B24,'Allocated Transactions'!$C:$C,$B$9,'Allocated Transactions'!$A:$A,"&gt;="&amp;N$19,'Allocated Transactions'!$A:$A,"&lt;="&amp;EOMONTH(N$19,0))+SUMIFS('Allocated Transactions'!$J:$J,'Allocated Transactions'!$D:$D,$B24,'Allocated Transactions'!$C:$C,$B$8,'Allocated Transactions'!$A:$A,"&gt;="&amp;N$19,'Allocated Transactions'!$A:$A,"&lt;="&amp;EOMONTH(N$19,0))+SUMIFS('Allocated Transactions'!$J:$J,'Allocated Transactions'!$D:$D,$B24,'Allocated Transactions'!$C:$C,$B$10,'Allocated Transactions'!$A:$A,"&gt;="&amp;N$19,'Allocated Transactions'!$A:$A,"&lt;="&amp;EOMONTH(N$19,0))+SUMIFS('Allocated Transactions'!$J:$J,'Allocated Transactions'!$D:$D,$B24,'Allocated Transactions'!$C:$C,$B$11,'Allocated Transactions'!$A:$A,"&gt;="&amp;N$19,'Allocated Transactions'!$A:$A,"&lt;="&amp;EOMONTH(N$19,0))+SUMIFS('Allocated Transactions'!$J:$J,'Allocated Transactions'!$D:$D,$B24,'Allocated Transactions'!$C:$C,$B$2,'Allocated Transactions'!$A:$A,"&gt;="&amp;N$19,'Allocated Transactions'!$A:$A,"&lt;="&amp;EOMONTH(N$19,0))+SUMIFS('Allocated Transactions'!$J:$J,'Allocated Transactions'!$D:$D,$B24,'Allocated Transactions'!$C:$C,$B$4,'Allocated Transactions'!$A:$A,"&gt;="&amp;N$19,'Allocated Transactions'!$A:$A,"&lt;="&amp;EOMONTH(N$19,0))+SUMIFS('Allocated Transactions'!$J:$J,'Allocated Transactions'!$D:$D,$B24,'Allocated Transactions'!$C:$C,$B$3,'Allocated Transactions'!$A:$A,"&gt;="&amp;N$19,'Allocated Transactions'!$A:$A,"&lt;="&amp;EOMONTH(N$19,0))+SUMIFS('Allocated Transactions'!$J:$J,'Allocated Transactions'!$D:$D,$B24,'Allocated Transactions'!$C:$C,$B$5,'Allocated Transactions'!$A:$A,"&gt;="&amp;N$19,'Allocated Transactions'!$A:$A,"&lt;="&amp;EOMONTH(N$19,0))+SUMIFS('Allocated Transactions'!$J:$J,'Allocated Transactions'!$D:$D,$B24,'Allocated Transactions'!$C:$C,$B$6,'Allocated Transactions'!$A:$A,"&gt;="&amp;N$19,'Allocated Transactions'!$A:$A,"&lt;="&amp;EOMONTH(N$19,0)))</f>
        <v>60321.090000000149</v>
      </c>
      <c r="O24" s="84">
        <f>SUMPRODUCT(SUMIFS('Budget Data'!$J:$J,'Budget Data'!$E:$E,$B24,'Budget Data'!$C:$C,$B$7,'Budget Data'!$A:$A,"&gt;="&amp;O$19,'Budget Data'!$A:$A,"&lt;="&amp;EOMONTH(O$19,0))+SUMIFS('Budget Data'!$J:$J,'Budget Data'!$E:$E,$B24,'Budget Data'!$C:$C,$B$9,'Budget Data'!$A:$A,"&gt;="&amp;O$19,'Budget Data'!$A:$A,"&lt;="&amp;EOMONTH(O$19,0))+SUMIFS('Budget Data'!$J:$J,'Budget Data'!$E:$E,$B24,'Budget Data'!$C:$C,$B$8,'Budget Data'!$A:$A,"&gt;="&amp;O$19,'Budget Data'!$A:$A,"&lt;="&amp;EOMONTH(O$19,0))+SUMIFS('Budget Data'!$J:$J,'Budget Data'!$E:$E,$B24,'Budget Data'!$C:$C,$B$10,'Budget Data'!$A:$A,"&gt;="&amp;O$19,'Budget Data'!$A:$A,"&lt;="&amp;EOMONTH(O$19,0))+SUMIFS('Budget Data'!$J:$J,'Budget Data'!$E:$E,$B24,'Budget Data'!$C:$C,$B$11,'Budget Data'!$A:$A,"&gt;="&amp;O$19,'Budget Data'!$A:$A,"&lt;="&amp;EOMONTH(O$19,0))+SUMIFS('Budget Data'!$J:$J,'Budget Data'!$E:$E,$B24,'Budget Data'!$C:$C,$B$2,'Budget Data'!$A:$A,"&gt;="&amp;O$19,'Budget Data'!$A:$A,"&lt;="&amp;EOMONTH(O$19,0))+SUMIFS('Budget Data'!$J:$J,'Budget Data'!$E:$E,$B24,'Budget Data'!$C:$C,$B$4,'Budget Data'!$A:$A,"&gt;="&amp;O$19,'Budget Data'!$A:$A,"&lt;="&amp;EOMONTH(O$19,0))+SUMIFS('Budget Data'!$J:$J,'Budget Data'!$E:$E,$B24,'Budget Data'!$C:$C,$B$3,'Budget Data'!$A:$A,"&gt;="&amp;O$19,'Budget Data'!$A:$A,"&lt;="&amp;EOMONTH(O$19,0))+SUMIFS('Budget Data'!$J:$J,'Budget Data'!$E:$E,$B24,'Budget Data'!$C:$C,$B$5,'Budget Data'!$A:$A,"&gt;="&amp;O$19,'Budget Data'!$A:$A,"&lt;="&amp;EOMONTH(O$19,0))+SUMIFS('Budget Data'!$J:$J,'Budget Data'!$E:$E,$B24,'Budget Data'!$C:$C,$B$6,'Budget Data'!$A:$A,"&gt;="&amp;O$19,'Budget Data'!$A:$A,"&lt;="&amp;EOMONTH(O$19,0)))</f>
        <v>63337.14</v>
      </c>
      <c r="P24" s="86">
        <f>-SUMPRODUCT(SUMIFS('Allocated Transactions'!$J:$J,'Allocated Transactions'!$D:$D,$B24,'Allocated Transactions'!$C:$C,$B$7,'Allocated Transactions'!$A:$A,"&gt;="&amp;P$19,'Allocated Transactions'!$A:$A,"&lt;="&amp;EOMONTH(P$19,0))+SUMIFS('Allocated Transactions'!$J:$J,'Allocated Transactions'!$D:$D,$B24,'Allocated Transactions'!$C:$C,$B$9,'Allocated Transactions'!$A:$A,"&gt;="&amp;P$19,'Allocated Transactions'!$A:$A,"&lt;="&amp;EOMONTH(P$19,0))+SUMIFS('Allocated Transactions'!$J:$J,'Allocated Transactions'!$D:$D,$B24,'Allocated Transactions'!$C:$C,$B$8,'Allocated Transactions'!$A:$A,"&gt;="&amp;P$19,'Allocated Transactions'!$A:$A,"&lt;="&amp;EOMONTH(P$19,0))+SUMIFS('Allocated Transactions'!$J:$J,'Allocated Transactions'!$D:$D,$B24,'Allocated Transactions'!$C:$C,$B$10,'Allocated Transactions'!$A:$A,"&gt;="&amp;P$19,'Allocated Transactions'!$A:$A,"&lt;="&amp;EOMONTH(P$19,0))+SUMIFS('Allocated Transactions'!$J:$J,'Allocated Transactions'!$D:$D,$B24,'Allocated Transactions'!$C:$C,$B$11,'Allocated Transactions'!$A:$A,"&gt;="&amp;P$19,'Allocated Transactions'!$A:$A,"&lt;="&amp;EOMONTH(P$19,0))+SUMIFS('Allocated Transactions'!$J:$J,'Allocated Transactions'!$D:$D,$B24,'Allocated Transactions'!$C:$C,$B$2,'Allocated Transactions'!$A:$A,"&gt;="&amp;P$19,'Allocated Transactions'!$A:$A,"&lt;="&amp;EOMONTH(P$19,0))+SUMIFS('Allocated Transactions'!$J:$J,'Allocated Transactions'!$D:$D,$B24,'Allocated Transactions'!$C:$C,$B$4,'Allocated Transactions'!$A:$A,"&gt;="&amp;P$19,'Allocated Transactions'!$A:$A,"&lt;="&amp;EOMONTH(P$19,0))+SUMIFS('Allocated Transactions'!$J:$J,'Allocated Transactions'!$D:$D,$B24,'Allocated Transactions'!$C:$C,$B$3,'Allocated Transactions'!$A:$A,"&gt;="&amp;P$19,'Allocated Transactions'!$A:$A,"&lt;="&amp;EOMONTH(P$19,0))+SUMIFS('Allocated Transactions'!$J:$J,'Allocated Transactions'!$D:$D,$B24,'Allocated Transactions'!$C:$C,$B$5,'Allocated Transactions'!$A:$A,"&gt;="&amp;P$19,'Allocated Transactions'!$A:$A,"&lt;="&amp;EOMONTH(P$19,0))+SUMIFS('Allocated Transactions'!$J:$J,'Allocated Transactions'!$D:$D,$B24,'Allocated Transactions'!$C:$C,$B$6,'Allocated Transactions'!$A:$A,"&gt;="&amp;P$19,'Allocated Transactions'!$A:$A,"&lt;="&amp;EOMONTH(P$19,0)))</f>
        <v>44778.55000000001</v>
      </c>
      <c r="Q24" s="84">
        <f>SUMPRODUCT(SUMIFS('Budget Data'!$J:$J,'Budget Data'!$E:$E,$B24,'Budget Data'!$C:$C,$B$7,'Budget Data'!$A:$A,"&gt;="&amp;Q$19,'Budget Data'!$A:$A,"&lt;="&amp;EOMONTH(Q$19,0))+SUMIFS('Budget Data'!$J:$J,'Budget Data'!$E:$E,$B24,'Budget Data'!$C:$C,$B$9,'Budget Data'!$A:$A,"&gt;="&amp;Q$19,'Budget Data'!$A:$A,"&lt;="&amp;EOMONTH(Q$19,0))+SUMIFS('Budget Data'!$J:$J,'Budget Data'!$E:$E,$B24,'Budget Data'!$C:$C,$B$8,'Budget Data'!$A:$A,"&gt;="&amp;Q$19,'Budget Data'!$A:$A,"&lt;="&amp;EOMONTH(Q$19,0))+SUMIFS('Budget Data'!$J:$J,'Budget Data'!$E:$E,$B24,'Budget Data'!$C:$C,$B$10,'Budget Data'!$A:$A,"&gt;="&amp;Q$19,'Budget Data'!$A:$A,"&lt;="&amp;EOMONTH(Q$19,0))+SUMIFS('Budget Data'!$J:$J,'Budget Data'!$E:$E,$B24,'Budget Data'!$C:$C,$B$11,'Budget Data'!$A:$A,"&gt;="&amp;Q$19,'Budget Data'!$A:$A,"&lt;="&amp;EOMONTH(Q$19,0))+SUMIFS('Budget Data'!$J:$J,'Budget Data'!$E:$E,$B24,'Budget Data'!$C:$C,$B$2,'Budget Data'!$A:$A,"&gt;="&amp;Q$19,'Budget Data'!$A:$A,"&lt;="&amp;EOMONTH(Q$19,0))+SUMIFS('Budget Data'!$J:$J,'Budget Data'!$E:$E,$B24,'Budget Data'!$C:$C,$B$4,'Budget Data'!$A:$A,"&gt;="&amp;Q$19,'Budget Data'!$A:$A,"&lt;="&amp;EOMONTH(Q$19,0))+SUMIFS('Budget Data'!$J:$J,'Budget Data'!$E:$E,$B24,'Budget Data'!$C:$C,$B$3,'Budget Data'!$A:$A,"&gt;="&amp;Q$19,'Budget Data'!$A:$A,"&lt;="&amp;EOMONTH(Q$19,0))+SUMIFS('Budget Data'!$J:$J,'Budget Data'!$E:$E,$B24,'Budget Data'!$C:$C,$B$5,'Budget Data'!$A:$A,"&gt;="&amp;Q$19,'Budget Data'!$A:$A,"&lt;="&amp;EOMONTH(Q$19,0))+SUMIFS('Budget Data'!$J:$J,'Budget Data'!$E:$E,$B24,'Budget Data'!$C:$C,$B$6,'Budget Data'!$A:$A,"&gt;="&amp;Q$19,'Budget Data'!$A:$A,"&lt;="&amp;EOMONTH(Q$19,0)))</f>
        <v>47017.479999999996</v>
      </c>
      <c r="R24" s="86">
        <f>-SUMPRODUCT(SUMIFS('Allocated Transactions'!$J:$J,'Allocated Transactions'!$D:$D,$B24,'Allocated Transactions'!$C:$C,$B$7,'Allocated Transactions'!$A:$A,"&gt;="&amp;R$19,'Allocated Transactions'!$A:$A,"&lt;="&amp;EOMONTH(R$19,0))+SUMIFS('Allocated Transactions'!$J:$J,'Allocated Transactions'!$D:$D,$B24,'Allocated Transactions'!$C:$C,$B$9,'Allocated Transactions'!$A:$A,"&gt;="&amp;R$19,'Allocated Transactions'!$A:$A,"&lt;="&amp;EOMONTH(R$19,0))+SUMIFS('Allocated Transactions'!$J:$J,'Allocated Transactions'!$D:$D,$B24,'Allocated Transactions'!$C:$C,$B$8,'Allocated Transactions'!$A:$A,"&gt;="&amp;R$19,'Allocated Transactions'!$A:$A,"&lt;="&amp;EOMONTH(R$19,0))+SUMIFS('Allocated Transactions'!$J:$J,'Allocated Transactions'!$D:$D,$B24,'Allocated Transactions'!$C:$C,$B$10,'Allocated Transactions'!$A:$A,"&gt;="&amp;R$19,'Allocated Transactions'!$A:$A,"&lt;="&amp;EOMONTH(R$19,0))+SUMIFS('Allocated Transactions'!$J:$J,'Allocated Transactions'!$D:$D,$B24,'Allocated Transactions'!$C:$C,$B$11,'Allocated Transactions'!$A:$A,"&gt;="&amp;R$19,'Allocated Transactions'!$A:$A,"&lt;="&amp;EOMONTH(R$19,0))+SUMIFS('Allocated Transactions'!$J:$J,'Allocated Transactions'!$D:$D,$B24,'Allocated Transactions'!$C:$C,$B$2,'Allocated Transactions'!$A:$A,"&gt;="&amp;R$19,'Allocated Transactions'!$A:$A,"&lt;="&amp;EOMONTH(R$19,0))+SUMIFS('Allocated Transactions'!$J:$J,'Allocated Transactions'!$D:$D,$B24,'Allocated Transactions'!$C:$C,$B$4,'Allocated Transactions'!$A:$A,"&gt;="&amp;R$19,'Allocated Transactions'!$A:$A,"&lt;="&amp;EOMONTH(R$19,0))+SUMIFS('Allocated Transactions'!$J:$J,'Allocated Transactions'!$D:$D,$B24,'Allocated Transactions'!$C:$C,$B$3,'Allocated Transactions'!$A:$A,"&gt;="&amp;R$19,'Allocated Transactions'!$A:$A,"&lt;="&amp;EOMONTH(R$19,0))+SUMIFS('Allocated Transactions'!$J:$J,'Allocated Transactions'!$D:$D,$B24,'Allocated Transactions'!$C:$C,$B$5,'Allocated Transactions'!$A:$A,"&gt;="&amp;R$19,'Allocated Transactions'!$A:$A,"&lt;="&amp;EOMONTH(R$19,0))+SUMIFS('Allocated Transactions'!$J:$J,'Allocated Transactions'!$D:$D,$B24,'Allocated Transactions'!$C:$C,$B$6,'Allocated Transactions'!$A:$A,"&gt;="&amp;R$19,'Allocated Transactions'!$A:$A,"&lt;="&amp;EOMONTH(R$19,0)))</f>
        <v>61388.580000000133</v>
      </c>
      <c r="S24" s="84">
        <f>SUMPRODUCT(SUMIFS('Budget Data'!$J:$J,'Budget Data'!$E:$E,$B24,'Budget Data'!$C:$C,$B$7,'Budget Data'!$A:$A,"&gt;="&amp;S$19,'Budget Data'!$A:$A,"&lt;="&amp;EOMONTH(S$19,0))+SUMIFS('Budget Data'!$J:$J,'Budget Data'!$E:$E,$B24,'Budget Data'!$C:$C,$B$9,'Budget Data'!$A:$A,"&gt;="&amp;S$19,'Budget Data'!$A:$A,"&lt;="&amp;EOMONTH(S$19,0))+SUMIFS('Budget Data'!$J:$J,'Budget Data'!$E:$E,$B24,'Budget Data'!$C:$C,$B$8,'Budget Data'!$A:$A,"&gt;="&amp;S$19,'Budget Data'!$A:$A,"&lt;="&amp;EOMONTH(S$19,0))+SUMIFS('Budget Data'!$J:$J,'Budget Data'!$E:$E,$B24,'Budget Data'!$C:$C,$B$10,'Budget Data'!$A:$A,"&gt;="&amp;S$19,'Budget Data'!$A:$A,"&lt;="&amp;EOMONTH(S$19,0))+SUMIFS('Budget Data'!$J:$J,'Budget Data'!$E:$E,$B24,'Budget Data'!$C:$C,$B$11,'Budget Data'!$A:$A,"&gt;="&amp;S$19,'Budget Data'!$A:$A,"&lt;="&amp;EOMONTH(S$19,0))+SUMIFS('Budget Data'!$J:$J,'Budget Data'!$E:$E,$B24,'Budget Data'!$C:$C,$B$2,'Budget Data'!$A:$A,"&gt;="&amp;S$19,'Budget Data'!$A:$A,"&lt;="&amp;EOMONTH(S$19,0))+SUMIFS('Budget Data'!$J:$J,'Budget Data'!$E:$E,$B24,'Budget Data'!$C:$C,$B$4,'Budget Data'!$A:$A,"&gt;="&amp;S$19,'Budget Data'!$A:$A,"&lt;="&amp;EOMONTH(S$19,0))+SUMIFS('Budget Data'!$J:$J,'Budget Data'!$E:$E,$B24,'Budget Data'!$C:$C,$B$3,'Budget Data'!$A:$A,"&gt;="&amp;S$19,'Budget Data'!$A:$A,"&lt;="&amp;EOMONTH(S$19,0))+SUMIFS('Budget Data'!$J:$J,'Budget Data'!$E:$E,$B24,'Budget Data'!$C:$C,$B$5,'Budget Data'!$A:$A,"&gt;="&amp;S$19,'Budget Data'!$A:$A,"&lt;="&amp;EOMONTH(S$19,0))+SUMIFS('Budget Data'!$J:$J,'Budget Data'!$E:$E,$B24,'Budget Data'!$C:$C,$B$6,'Budget Data'!$A:$A,"&gt;="&amp;S$19,'Budget Data'!$A:$A,"&lt;="&amp;EOMONTH(S$19,0)))</f>
        <v>64458.009999999995</v>
      </c>
      <c r="T24" s="86">
        <f>-SUMPRODUCT(SUMIFS('Allocated Transactions'!$J:$J,'Allocated Transactions'!$D:$D,$B24,'Allocated Transactions'!$C:$C,$B$7,'Allocated Transactions'!$A:$A,"&gt;="&amp;T$19,'Allocated Transactions'!$A:$A,"&lt;="&amp;EOMONTH(T$19,0))+SUMIFS('Allocated Transactions'!$J:$J,'Allocated Transactions'!$D:$D,$B24,'Allocated Transactions'!$C:$C,$B$9,'Allocated Transactions'!$A:$A,"&gt;="&amp;T$19,'Allocated Transactions'!$A:$A,"&lt;="&amp;EOMONTH(T$19,0))+SUMIFS('Allocated Transactions'!$J:$J,'Allocated Transactions'!$D:$D,$B24,'Allocated Transactions'!$C:$C,$B$8,'Allocated Transactions'!$A:$A,"&gt;="&amp;T$19,'Allocated Transactions'!$A:$A,"&lt;="&amp;EOMONTH(T$19,0))+SUMIFS('Allocated Transactions'!$J:$J,'Allocated Transactions'!$D:$D,$B24,'Allocated Transactions'!$C:$C,$B$10,'Allocated Transactions'!$A:$A,"&gt;="&amp;T$19,'Allocated Transactions'!$A:$A,"&lt;="&amp;EOMONTH(T$19,0))+SUMIFS('Allocated Transactions'!$J:$J,'Allocated Transactions'!$D:$D,$B24,'Allocated Transactions'!$C:$C,$B$11,'Allocated Transactions'!$A:$A,"&gt;="&amp;T$19,'Allocated Transactions'!$A:$A,"&lt;="&amp;EOMONTH(T$19,0))+SUMIFS('Allocated Transactions'!$J:$J,'Allocated Transactions'!$D:$D,$B24,'Allocated Transactions'!$C:$C,$B$2,'Allocated Transactions'!$A:$A,"&gt;="&amp;T$19,'Allocated Transactions'!$A:$A,"&lt;="&amp;EOMONTH(T$19,0))+SUMIFS('Allocated Transactions'!$J:$J,'Allocated Transactions'!$D:$D,$B24,'Allocated Transactions'!$C:$C,$B$4,'Allocated Transactions'!$A:$A,"&gt;="&amp;T$19,'Allocated Transactions'!$A:$A,"&lt;="&amp;EOMONTH(T$19,0))+SUMIFS('Allocated Transactions'!$J:$J,'Allocated Transactions'!$D:$D,$B24,'Allocated Transactions'!$C:$C,$B$3,'Allocated Transactions'!$A:$A,"&gt;="&amp;T$19,'Allocated Transactions'!$A:$A,"&lt;="&amp;EOMONTH(T$19,0))+SUMIFS('Allocated Transactions'!$J:$J,'Allocated Transactions'!$D:$D,$B24,'Allocated Transactions'!$C:$C,$B$5,'Allocated Transactions'!$A:$A,"&gt;="&amp;T$19,'Allocated Transactions'!$A:$A,"&lt;="&amp;EOMONTH(T$19,0))+SUMIFS('Allocated Transactions'!$J:$J,'Allocated Transactions'!$D:$D,$B24,'Allocated Transactions'!$C:$C,$B$6,'Allocated Transactions'!$A:$A,"&gt;="&amp;T$19,'Allocated Transactions'!$A:$A,"&lt;="&amp;EOMONTH(T$19,0)))</f>
        <v>45250.73</v>
      </c>
      <c r="U24" s="84">
        <f>SUMPRODUCT(SUMIFS('Budget Data'!$J:$J,'Budget Data'!$E:$E,$B24,'Budget Data'!$C:$C,$B$7,'Budget Data'!$A:$A,"&gt;="&amp;U$19,'Budget Data'!$A:$A,"&lt;="&amp;EOMONTH(U$19,0))+SUMIFS('Budget Data'!$J:$J,'Budget Data'!$E:$E,$B24,'Budget Data'!$C:$C,$B$9,'Budget Data'!$A:$A,"&gt;="&amp;U$19,'Budget Data'!$A:$A,"&lt;="&amp;EOMONTH(U$19,0))+SUMIFS('Budget Data'!$J:$J,'Budget Data'!$E:$E,$B24,'Budget Data'!$C:$C,$B$8,'Budget Data'!$A:$A,"&gt;="&amp;U$19,'Budget Data'!$A:$A,"&lt;="&amp;EOMONTH(U$19,0))+SUMIFS('Budget Data'!$J:$J,'Budget Data'!$E:$E,$B24,'Budget Data'!$C:$C,$B$10,'Budget Data'!$A:$A,"&gt;="&amp;U$19,'Budget Data'!$A:$A,"&lt;="&amp;EOMONTH(U$19,0))+SUMIFS('Budget Data'!$J:$J,'Budget Data'!$E:$E,$B24,'Budget Data'!$C:$C,$B$11,'Budget Data'!$A:$A,"&gt;="&amp;U$19,'Budget Data'!$A:$A,"&lt;="&amp;EOMONTH(U$19,0))+SUMIFS('Budget Data'!$J:$J,'Budget Data'!$E:$E,$B24,'Budget Data'!$C:$C,$B$2,'Budget Data'!$A:$A,"&gt;="&amp;U$19,'Budget Data'!$A:$A,"&lt;="&amp;EOMONTH(U$19,0))+SUMIFS('Budget Data'!$J:$J,'Budget Data'!$E:$E,$B24,'Budget Data'!$C:$C,$B$4,'Budget Data'!$A:$A,"&gt;="&amp;U$19,'Budget Data'!$A:$A,"&lt;="&amp;EOMONTH(U$19,0))+SUMIFS('Budget Data'!$J:$J,'Budget Data'!$E:$E,$B24,'Budget Data'!$C:$C,$B$3,'Budget Data'!$A:$A,"&gt;="&amp;U$19,'Budget Data'!$A:$A,"&lt;="&amp;EOMONTH(U$19,0))+SUMIFS('Budget Data'!$J:$J,'Budget Data'!$E:$E,$B24,'Budget Data'!$C:$C,$B$5,'Budget Data'!$A:$A,"&gt;="&amp;U$19,'Budget Data'!$A:$A,"&lt;="&amp;EOMONTH(U$19,0))+SUMIFS('Budget Data'!$J:$J,'Budget Data'!$E:$E,$B24,'Budget Data'!$C:$C,$B$6,'Budget Data'!$A:$A,"&gt;="&amp;U$19,'Budget Data'!$A:$A,"&lt;="&amp;EOMONTH(U$19,0)))</f>
        <v>47513.270000000004</v>
      </c>
      <c r="V24" s="86">
        <f>-SUMPRODUCT(SUMIFS('Allocated Transactions'!$J:$J,'Allocated Transactions'!$D:$D,$B24,'Allocated Transactions'!$C:$C,$B$7,'Allocated Transactions'!$A:$A,"&gt;="&amp;V$19,'Allocated Transactions'!$A:$A,"&lt;="&amp;EOMONTH(V$19,0))+SUMIFS('Allocated Transactions'!$J:$J,'Allocated Transactions'!$D:$D,$B24,'Allocated Transactions'!$C:$C,$B$9,'Allocated Transactions'!$A:$A,"&gt;="&amp;V$19,'Allocated Transactions'!$A:$A,"&lt;="&amp;EOMONTH(V$19,0))+SUMIFS('Allocated Transactions'!$J:$J,'Allocated Transactions'!$D:$D,$B24,'Allocated Transactions'!$C:$C,$B$8,'Allocated Transactions'!$A:$A,"&gt;="&amp;V$19,'Allocated Transactions'!$A:$A,"&lt;="&amp;EOMONTH(V$19,0))+SUMIFS('Allocated Transactions'!$J:$J,'Allocated Transactions'!$D:$D,$B24,'Allocated Transactions'!$C:$C,$B$10,'Allocated Transactions'!$A:$A,"&gt;="&amp;V$19,'Allocated Transactions'!$A:$A,"&lt;="&amp;EOMONTH(V$19,0))+SUMIFS('Allocated Transactions'!$J:$J,'Allocated Transactions'!$D:$D,$B24,'Allocated Transactions'!$C:$C,$B$11,'Allocated Transactions'!$A:$A,"&gt;="&amp;V$19,'Allocated Transactions'!$A:$A,"&lt;="&amp;EOMONTH(V$19,0))+SUMIFS('Allocated Transactions'!$J:$J,'Allocated Transactions'!$D:$D,$B24,'Allocated Transactions'!$C:$C,$B$2,'Allocated Transactions'!$A:$A,"&gt;="&amp;V$19,'Allocated Transactions'!$A:$A,"&lt;="&amp;EOMONTH(V$19,0))+SUMIFS('Allocated Transactions'!$J:$J,'Allocated Transactions'!$D:$D,$B24,'Allocated Transactions'!$C:$C,$B$4,'Allocated Transactions'!$A:$A,"&gt;="&amp;V$19,'Allocated Transactions'!$A:$A,"&lt;="&amp;EOMONTH(V$19,0))+SUMIFS('Allocated Transactions'!$J:$J,'Allocated Transactions'!$D:$D,$B24,'Allocated Transactions'!$C:$C,$B$3,'Allocated Transactions'!$A:$A,"&gt;="&amp;V$19,'Allocated Transactions'!$A:$A,"&lt;="&amp;EOMONTH(V$19,0))+SUMIFS('Allocated Transactions'!$J:$J,'Allocated Transactions'!$D:$D,$B24,'Allocated Transactions'!$C:$C,$B$5,'Allocated Transactions'!$A:$A,"&gt;="&amp;V$19,'Allocated Transactions'!$A:$A,"&lt;="&amp;EOMONTH(V$19,0))+SUMIFS('Allocated Transactions'!$J:$J,'Allocated Transactions'!$D:$D,$B24,'Allocated Transactions'!$C:$C,$B$6,'Allocated Transactions'!$A:$A,"&gt;="&amp;V$19,'Allocated Transactions'!$A:$A,"&lt;="&amp;EOMONTH(V$19,0)))</f>
        <v>46289.440000000002</v>
      </c>
      <c r="W24" s="84">
        <f>SUMPRODUCT(SUMIFS('Budget Data'!$J:$J,'Budget Data'!$E:$E,$B24,'Budget Data'!$C:$C,$B$7,'Budget Data'!$A:$A,"&gt;="&amp;W$19,'Budget Data'!$A:$A,"&lt;="&amp;EOMONTH(W$19,0))+SUMIFS('Budget Data'!$J:$J,'Budget Data'!$E:$E,$B24,'Budget Data'!$C:$C,$B$9,'Budget Data'!$A:$A,"&gt;="&amp;W$19,'Budget Data'!$A:$A,"&lt;="&amp;EOMONTH(W$19,0))+SUMIFS('Budget Data'!$J:$J,'Budget Data'!$E:$E,$B24,'Budget Data'!$C:$C,$B$8,'Budget Data'!$A:$A,"&gt;="&amp;W$19,'Budget Data'!$A:$A,"&lt;="&amp;EOMONTH(W$19,0))+SUMIFS('Budget Data'!$J:$J,'Budget Data'!$E:$E,$B24,'Budget Data'!$C:$C,$B$10,'Budget Data'!$A:$A,"&gt;="&amp;W$19,'Budget Data'!$A:$A,"&lt;="&amp;EOMONTH(W$19,0))+SUMIFS('Budget Data'!$J:$J,'Budget Data'!$E:$E,$B24,'Budget Data'!$C:$C,$B$11,'Budget Data'!$A:$A,"&gt;="&amp;W$19,'Budget Data'!$A:$A,"&lt;="&amp;EOMONTH(W$19,0))+SUMIFS('Budget Data'!$J:$J,'Budget Data'!$E:$E,$B24,'Budget Data'!$C:$C,$B$2,'Budget Data'!$A:$A,"&gt;="&amp;W$19,'Budget Data'!$A:$A,"&lt;="&amp;EOMONTH(W$19,0))+SUMIFS('Budget Data'!$J:$J,'Budget Data'!$E:$E,$B24,'Budget Data'!$C:$C,$B$4,'Budget Data'!$A:$A,"&gt;="&amp;W$19,'Budget Data'!$A:$A,"&lt;="&amp;EOMONTH(W$19,0))+SUMIFS('Budget Data'!$J:$J,'Budget Data'!$E:$E,$B24,'Budget Data'!$C:$C,$B$3,'Budget Data'!$A:$A,"&gt;="&amp;W$19,'Budget Data'!$A:$A,"&lt;="&amp;EOMONTH(W$19,0))+SUMIFS('Budget Data'!$J:$J,'Budget Data'!$E:$E,$B24,'Budget Data'!$C:$C,$B$5,'Budget Data'!$A:$A,"&gt;="&amp;W$19,'Budget Data'!$A:$A,"&lt;="&amp;EOMONTH(W$19,0))+SUMIFS('Budget Data'!$J:$J,'Budget Data'!$E:$E,$B24,'Budget Data'!$C:$C,$B$6,'Budget Data'!$A:$A,"&gt;="&amp;W$19,'Budget Data'!$A:$A,"&lt;="&amp;EOMONTH(W$19,0)))</f>
        <v>48603.909999999996</v>
      </c>
      <c r="X24" s="86">
        <f>-SUMPRODUCT(SUMIFS('Allocated Transactions'!$J:$J,'Allocated Transactions'!$D:$D,$B24,'Allocated Transactions'!$C:$C,$B$7,'Allocated Transactions'!$A:$A,"&gt;="&amp;X$19,'Allocated Transactions'!$A:$A,"&lt;="&amp;EOMONTH(X$19,0))+SUMIFS('Allocated Transactions'!$J:$J,'Allocated Transactions'!$D:$D,$B24,'Allocated Transactions'!$C:$C,$B$9,'Allocated Transactions'!$A:$A,"&gt;="&amp;X$19,'Allocated Transactions'!$A:$A,"&lt;="&amp;EOMONTH(X$19,0))+SUMIFS('Allocated Transactions'!$J:$J,'Allocated Transactions'!$D:$D,$B24,'Allocated Transactions'!$C:$C,$B$8,'Allocated Transactions'!$A:$A,"&gt;="&amp;X$19,'Allocated Transactions'!$A:$A,"&lt;="&amp;EOMONTH(X$19,0))+SUMIFS('Allocated Transactions'!$J:$J,'Allocated Transactions'!$D:$D,$B24,'Allocated Transactions'!$C:$C,$B$10,'Allocated Transactions'!$A:$A,"&gt;="&amp;X$19,'Allocated Transactions'!$A:$A,"&lt;="&amp;EOMONTH(X$19,0))+SUMIFS('Allocated Transactions'!$J:$J,'Allocated Transactions'!$D:$D,$B24,'Allocated Transactions'!$C:$C,$B$11,'Allocated Transactions'!$A:$A,"&gt;="&amp;X$19,'Allocated Transactions'!$A:$A,"&lt;="&amp;EOMONTH(X$19,0))+SUMIFS('Allocated Transactions'!$J:$J,'Allocated Transactions'!$D:$D,$B24,'Allocated Transactions'!$C:$C,$B$2,'Allocated Transactions'!$A:$A,"&gt;="&amp;X$19,'Allocated Transactions'!$A:$A,"&lt;="&amp;EOMONTH(X$19,0))+SUMIFS('Allocated Transactions'!$J:$J,'Allocated Transactions'!$D:$D,$B24,'Allocated Transactions'!$C:$C,$B$4,'Allocated Transactions'!$A:$A,"&gt;="&amp;X$19,'Allocated Transactions'!$A:$A,"&lt;="&amp;EOMONTH(X$19,0))+SUMIFS('Allocated Transactions'!$J:$J,'Allocated Transactions'!$D:$D,$B24,'Allocated Transactions'!$C:$C,$B$3,'Allocated Transactions'!$A:$A,"&gt;="&amp;X$19,'Allocated Transactions'!$A:$A,"&lt;="&amp;EOMONTH(X$19,0))+SUMIFS('Allocated Transactions'!$J:$J,'Allocated Transactions'!$D:$D,$B24,'Allocated Transactions'!$C:$C,$B$5,'Allocated Transactions'!$A:$A,"&gt;="&amp;X$19,'Allocated Transactions'!$A:$A,"&lt;="&amp;EOMONTH(X$19,0))+SUMIFS('Allocated Transactions'!$J:$J,'Allocated Transactions'!$D:$D,$B24,'Allocated Transactions'!$C:$C,$B$6,'Allocated Transactions'!$A:$A,"&gt;="&amp;X$19,'Allocated Transactions'!$A:$A,"&lt;="&amp;EOMONTH(X$19,0)))</f>
        <v>42164.290000000023</v>
      </c>
      <c r="Y24" s="84">
        <f>SUMPRODUCT(SUMIFS('Budget Data'!$J:$J,'Budget Data'!$E:$E,$B24,'Budget Data'!$C:$C,$B$7,'Budget Data'!$A:$A,"&gt;="&amp;Y$19,'Budget Data'!$A:$A,"&lt;="&amp;EOMONTH(Y$19,0))+SUMIFS('Budget Data'!$J:$J,'Budget Data'!$E:$E,$B24,'Budget Data'!$C:$C,$B$9,'Budget Data'!$A:$A,"&gt;="&amp;Y$19,'Budget Data'!$A:$A,"&lt;="&amp;EOMONTH(Y$19,0))+SUMIFS('Budget Data'!$J:$J,'Budget Data'!$E:$E,$B24,'Budget Data'!$C:$C,$B$8,'Budget Data'!$A:$A,"&gt;="&amp;Y$19,'Budget Data'!$A:$A,"&lt;="&amp;EOMONTH(Y$19,0))+SUMIFS('Budget Data'!$J:$J,'Budget Data'!$E:$E,$B24,'Budget Data'!$C:$C,$B$10,'Budget Data'!$A:$A,"&gt;="&amp;Y$19,'Budget Data'!$A:$A,"&lt;="&amp;EOMONTH(Y$19,0))+SUMIFS('Budget Data'!$J:$J,'Budget Data'!$E:$E,$B24,'Budget Data'!$C:$C,$B$11,'Budget Data'!$A:$A,"&gt;="&amp;Y$19,'Budget Data'!$A:$A,"&lt;="&amp;EOMONTH(Y$19,0))+SUMIFS('Budget Data'!$J:$J,'Budget Data'!$E:$E,$B24,'Budget Data'!$C:$C,$B$2,'Budget Data'!$A:$A,"&gt;="&amp;Y$19,'Budget Data'!$A:$A,"&lt;="&amp;EOMONTH(Y$19,0))+SUMIFS('Budget Data'!$J:$J,'Budget Data'!$E:$E,$B24,'Budget Data'!$C:$C,$B$4,'Budget Data'!$A:$A,"&gt;="&amp;Y$19,'Budget Data'!$A:$A,"&lt;="&amp;EOMONTH(Y$19,0))+SUMIFS('Budget Data'!$J:$J,'Budget Data'!$E:$E,$B24,'Budget Data'!$C:$C,$B$3,'Budget Data'!$A:$A,"&gt;="&amp;Y$19,'Budget Data'!$A:$A,"&lt;="&amp;EOMONTH(Y$19,0))+SUMIFS('Budget Data'!$J:$J,'Budget Data'!$E:$E,$B24,'Budget Data'!$C:$C,$B$5,'Budget Data'!$A:$A,"&gt;="&amp;Y$19,'Budget Data'!$A:$A,"&lt;="&amp;EOMONTH(Y$19,0))+SUMIFS('Budget Data'!$J:$J,'Budget Data'!$E:$E,$B24,'Budget Data'!$C:$C,$B$6,'Budget Data'!$A:$A,"&gt;="&amp;Y$19,'Budget Data'!$A:$A,"&lt;="&amp;EOMONTH(Y$19,0)))</f>
        <v>44272.5</v>
      </c>
      <c r="Z24" s="86">
        <f>-SUMPRODUCT(SUMIFS('Allocated Transactions'!$J:$J,'Allocated Transactions'!$D:$D,$B24,'Allocated Transactions'!$C:$C,$B$7,'Allocated Transactions'!$A:$A,"&gt;="&amp;Z$19,'Allocated Transactions'!$A:$A,"&lt;="&amp;EOMONTH(Z$19,0))+SUMIFS('Allocated Transactions'!$J:$J,'Allocated Transactions'!$D:$D,$B24,'Allocated Transactions'!$C:$C,$B$9,'Allocated Transactions'!$A:$A,"&gt;="&amp;Z$19,'Allocated Transactions'!$A:$A,"&lt;="&amp;EOMONTH(Z$19,0))+SUMIFS('Allocated Transactions'!$J:$J,'Allocated Transactions'!$D:$D,$B24,'Allocated Transactions'!$C:$C,$B$8,'Allocated Transactions'!$A:$A,"&gt;="&amp;Z$19,'Allocated Transactions'!$A:$A,"&lt;="&amp;EOMONTH(Z$19,0))+SUMIFS('Allocated Transactions'!$J:$J,'Allocated Transactions'!$D:$D,$B24,'Allocated Transactions'!$C:$C,$B$10,'Allocated Transactions'!$A:$A,"&gt;="&amp;Z$19,'Allocated Transactions'!$A:$A,"&lt;="&amp;EOMONTH(Z$19,0))+SUMIFS('Allocated Transactions'!$J:$J,'Allocated Transactions'!$D:$D,$B24,'Allocated Transactions'!$C:$C,$B$11,'Allocated Transactions'!$A:$A,"&gt;="&amp;Z$19,'Allocated Transactions'!$A:$A,"&lt;="&amp;EOMONTH(Z$19,0))+SUMIFS('Allocated Transactions'!$J:$J,'Allocated Transactions'!$D:$D,$B24,'Allocated Transactions'!$C:$C,$B$2,'Allocated Transactions'!$A:$A,"&gt;="&amp;Z$19,'Allocated Transactions'!$A:$A,"&lt;="&amp;EOMONTH(Z$19,0))+SUMIFS('Allocated Transactions'!$J:$J,'Allocated Transactions'!$D:$D,$B24,'Allocated Transactions'!$C:$C,$B$4,'Allocated Transactions'!$A:$A,"&gt;="&amp;Z$19,'Allocated Transactions'!$A:$A,"&lt;="&amp;EOMONTH(Z$19,0))+SUMIFS('Allocated Transactions'!$J:$J,'Allocated Transactions'!$D:$D,$B24,'Allocated Transactions'!$C:$C,$B$3,'Allocated Transactions'!$A:$A,"&gt;="&amp;Z$19,'Allocated Transactions'!$A:$A,"&lt;="&amp;EOMONTH(Z$19,0))+SUMIFS('Allocated Transactions'!$J:$J,'Allocated Transactions'!$D:$D,$B24,'Allocated Transactions'!$C:$C,$B$5,'Allocated Transactions'!$A:$A,"&gt;="&amp;Z$19,'Allocated Transactions'!$A:$A,"&lt;="&amp;EOMONTH(Z$19,0))+SUMIFS('Allocated Transactions'!$J:$J,'Allocated Transactions'!$D:$D,$B24,'Allocated Transactions'!$C:$C,$B$6,'Allocated Transactions'!$A:$A,"&gt;="&amp;Z$19,'Allocated Transactions'!$A:$A,"&lt;="&amp;EOMONTH(Z$19,0)))</f>
        <v>53585.289999999957</v>
      </c>
      <c r="AA24" s="84">
        <f>SUMPRODUCT(SUMIFS('Budget Data'!$J:$J,'Budget Data'!$E:$E,$B24,'Budget Data'!$C:$C,$B$7,'Budget Data'!$A:$A,"&gt;="&amp;AA$19,'Budget Data'!$A:$A,"&lt;="&amp;EOMONTH(AA$19,0))+SUMIFS('Budget Data'!$J:$J,'Budget Data'!$E:$E,$B24,'Budget Data'!$C:$C,$B$9,'Budget Data'!$A:$A,"&gt;="&amp;AA$19,'Budget Data'!$A:$A,"&lt;="&amp;EOMONTH(AA$19,0))+SUMIFS('Budget Data'!$J:$J,'Budget Data'!$E:$E,$B24,'Budget Data'!$C:$C,$B$8,'Budget Data'!$A:$A,"&gt;="&amp;AA$19,'Budget Data'!$A:$A,"&lt;="&amp;EOMONTH(AA$19,0))+SUMIFS('Budget Data'!$J:$J,'Budget Data'!$E:$E,$B24,'Budget Data'!$C:$C,$B$10,'Budget Data'!$A:$A,"&gt;="&amp;AA$19,'Budget Data'!$A:$A,"&lt;="&amp;EOMONTH(AA$19,0))+SUMIFS('Budget Data'!$J:$J,'Budget Data'!$E:$E,$B24,'Budget Data'!$C:$C,$B$11,'Budget Data'!$A:$A,"&gt;="&amp;AA$19,'Budget Data'!$A:$A,"&lt;="&amp;EOMONTH(AA$19,0))+SUMIFS('Budget Data'!$J:$J,'Budget Data'!$E:$E,$B24,'Budget Data'!$C:$C,$B$2,'Budget Data'!$A:$A,"&gt;="&amp;AA$19,'Budget Data'!$A:$A,"&lt;="&amp;EOMONTH(AA$19,0))+SUMIFS('Budget Data'!$J:$J,'Budget Data'!$E:$E,$B24,'Budget Data'!$C:$C,$B$4,'Budget Data'!$A:$A,"&gt;="&amp;AA$19,'Budget Data'!$A:$A,"&lt;="&amp;EOMONTH(AA$19,0))+SUMIFS('Budget Data'!$J:$J,'Budget Data'!$E:$E,$B24,'Budget Data'!$C:$C,$B$3,'Budget Data'!$A:$A,"&gt;="&amp;AA$19,'Budget Data'!$A:$A,"&lt;="&amp;EOMONTH(AA$19,0))+SUMIFS('Budget Data'!$J:$J,'Budget Data'!$E:$E,$B24,'Budget Data'!$C:$C,$B$5,'Budget Data'!$A:$A,"&gt;="&amp;AA$19,'Budget Data'!$A:$A,"&lt;="&amp;EOMONTH(AA$19,0))+SUMIFS('Budget Data'!$J:$J,'Budget Data'!$E:$E,$B24,'Budget Data'!$C:$C,$B$6,'Budget Data'!$A:$A,"&gt;="&amp;AA$19,'Budget Data'!$A:$A,"&lt;="&amp;EOMONTH(AA$19,0)))</f>
        <v>56264.55</v>
      </c>
      <c r="AC24" s="87">
        <f t="shared" si="0"/>
        <v>623718.54000000039</v>
      </c>
      <c r="AD24" s="84">
        <f t="shared" si="0"/>
        <v>654904.46000000008</v>
      </c>
    </row>
    <row r="25" spans="2:30" ht="15" customHeight="1">
      <c r="B25" s="12" t="str">
        <v>4200</v>
      </c>
      <c r="C25" s="160" t="str">
        <f>_xlfn.XLOOKUP(B25,'Allocated Transactions'!D:D,'Allocated Transactions'!E:E,"")</f>
        <v>Interest Income</v>
      </c>
      <c r="D25" s="86">
        <f>-SUMPRODUCT(SUMIFS('Allocated Transactions'!$J:$J,'Allocated Transactions'!$D:$D,$B25,'Allocated Transactions'!$C:$C,$B$7,'Allocated Transactions'!$A:$A,"&gt;="&amp;D$19,'Allocated Transactions'!$A:$A,"&lt;="&amp;EOMONTH(D$19,0))+SUMIFS('Allocated Transactions'!$J:$J,'Allocated Transactions'!$D:$D,$B25,'Allocated Transactions'!$C:$C,$B$9,'Allocated Transactions'!$A:$A,"&gt;="&amp;D$19,'Allocated Transactions'!$A:$A,"&lt;="&amp;EOMONTH(D$19,0))+SUMIFS('Allocated Transactions'!$J:$J,'Allocated Transactions'!$D:$D,$B25,'Allocated Transactions'!$C:$C,$B$8,'Allocated Transactions'!$A:$A,"&gt;="&amp;D$19,'Allocated Transactions'!$A:$A,"&lt;="&amp;EOMONTH(D$19,0))+SUMIFS('Allocated Transactions'!$J:$J,'Allocated Transactions'!$D:$D,$B25,'Allocated Transactions'!$C:$C,$B$10,'Allocated Transactions'!$A:$A,"&gt;="&amp;D$19,'Allocated Transactions'!$A:$A,"&lt;="&amp;EOMONTH(D$19,0))+SUMIFS('Allocated Transactions'!$J:$J,'Allocated Transactions'!$D:$D,$B25,'Allocated Transactions'!$C:$C,$B$11,'Allocated Transactions'!$A:$A,"&gt;="&amp;D$19,'Allocated Transactions'!$A:$A,"&lt;="&amp;EOMONTH(D$19,0))+SUMIFS('Allocated Transactions'!$J:$J,'Allocated Transactions'!$D:$D,$B25,'Allocated Transactions'!$C:$C,$B$2,'Allocated Transactions'!$A:$A,"&gt;="&amp;D$19,'Allocated Transactions'!$A:$A,"&lt;="&amp;EOMONTH(D$19,0))+SUMIFS('Allocated Transactions'!$J:$J,'Allocated Transactions'!$D:$D,$B25,'Allocated Transactions'!$C:$C,$B$4,'Allocated Transactions'!$A:$A,"&gt;="&amp;D$19,'Allocated Transactions'!$A:$A,"&lt;="&amp;EOMONTH(D$19,0))+SUMIFS('Allocated Transactions'!$J:$J,'Allocated Transactions'!$D:$D,$B25,'Allocated Transactions'!$C:$C,$B$3,'Allocated Transactions'!$A:$A,"&gt;="&amp;D$19,'Allocated Transactions'!$A:$A,"&lt;="&amp;EOMONTH(D$19,0))+SUMIFS('Allocated Transactions'!$J:$J,'Allocated Transactions'!$D:$D,$B25,'Allocated Transactions'!$C:$C,$B$5,'Allocated Transactions'!$A:$A,"&gt;="&amp;D$19,'Allocated Transactions'!$A:$A,"&lt;="&amp;EOMONTH(D$19,0))+SUMIFS('Allocated Transactions'!$J:$J,'Allocated Transactions'!$D:$D,$B25,'Allocated Transactions'!$C:$C,$B$6,'Allocated Transactions'!$A:$A,"&gt;="&amp;D$19,'Allocated Transactions'!$A:$A,"&lt;="&amp;EOMONTH(D$19,0)))</f>
        <v>977.64</v>
      </c>
      <c r="E25" s="84">
        <f>SUMPRODUCT(SUMIFS('Budget Data'!$J:$J,'Budget Data'!$E:$E,$B25,'Budget Data'!$C:$C,$B$7,'Budget Data'!$A:$A,"&gt;="&amp;E$19,'Budget Data'!$A:$A,"&lt;="&amp;EOMONTH(E$19,0))+SUMIFS('Budget Data'!$J:$J,'Budget Data'!$E:$E,$B25,'Budget Data'!$C:$C,$B$9,'Budget Data'!$A:$A,"&gt;="&amp;E$19,'Budget Data'!$A:$A,"&lt;="&amp;EOMONTH(E$19,0))+SUMIFS('Budget Data'!$J:$J,'Budget Data'!$E:$E,$B25,'Budget Data'!$C:$C,$B$8,'Budget Data'!$A:$A,"&gt;="&amp;E$19,'Budget Data'!$A:$A,"&lt;="&amp;EOMONTH(E$19,0))+SUMIFS('Budget Data'!$J:$J,'Budget Data'!$E:$E,$B25,'Budget Data'!$C:$C,$B$10,'Budget Data'!$A:$A,"&gt;="&amp;E$19,'Budget Data'!$A:$A,"&lt;="&amp;EOMONTH(E$19,0))+SUMIFS('Budget Data'!$J:$J,'Budget Data'!$E:$E,$B25,'Budget Data'!$C:$C,$B$11,'Budget Data'!$A:$A,"&gt;="&amp;E$19,'Budget Data'!$A:$A,"&lt;="&amp;EOMONTH(E$19,0))+SUMIFS('Budget Data'!$J:$J,'Budget Data'!$E:$E,$B25,'Budget Data'!$C:$C,$B$2,'Budget Data'!$A:$A,"&gt;="&amp;E$19,'Budget Data'!$A:$A,"&lt;="&amp;EOMONTH(E$19,0))+SUMIFS('Budget Data'!$J:$J,'Budget Data'!$E:$E,$B25,'Budget Data'!$C:$C,$B$4,'Budget Data'!$A:$A,"&gt;="&amp;E$19,'Budget Data'!$A:$A,"&lt;="&amp;EOMONTH(E$19,0))+SUMIFS('Budget Data'!$J:$J,'Budget Data'!$E:$E,$B25,'Budget Data'!$C:$C,$B$3,'Budget Data'!$A:$A,"&gt;="&amp;E$19,'Budget Data'!$A:$A,"&lt;="&amp;EOMONTH(E$19,0))+SUMIFS('Budget Data'!$J:$J,'Budget Data'!$E:$E,$B25,'Budget Data'!$C:$C,$B$5,'Budget Data'!$A:$A,"&gt;="&amp;E$19,'Budget Data'!$A:$A,"&lt;="&amp;EOMONTH(E$19,0))+SUMIFS('Budget Data'!$J:$J,'Budget Data'!$E:$E,$B25,'Budget Data'!$C:$C,$B$6,'Budget Data'!$A:$A,"&gt;="&amp;E$19,'Budget Data'!$A:$A,"&lt;="&amp;EOMONTH(E$19,0)))</f>
        <v>850</v>
      </c>
      <c r="F25" s="86">
        <f>-SUMPRODUCT(SUMIFS('Allocated Transactions'!$J:$J,'Allocated Transactions'!$D:$D,$B25,'Allocated Transactions'!$C:$C,$B$7,'Allocated Transactions'!$A:$A,"&gt;="&amp;F$19,'Allocated Transactions'!$A:$A,"&lt;="&amp;EOMONTH(F$19,0))+SUMIFS('Allocated Transactions'!$J:$J,'Allocated Transactions'!$D:$D,$B25,'Allocated Transactions'!$C:$C,$B$9,'Allocated Transactions'!$A:$A,"&gt;="&amp;F$19,'Allocated Transactions'!$A:$A,"&lt;="&amp;EOMONTH(F$19,0))+SUMIFS('Allocated Transactions'!$J:$J,'Allocated Transactions'!$D:$D,$B25,'Allocated Transactions'!$C:$C,$B$8,'Allocated Transactions'!$A:$A,"&gt;="&amp;F$19,'Allocated Transactions'!$A:$A,"&lt;="&amp;EOMONTH(F$19,0))+SUMIFS('Allocated Transactions'!$J:$J,'Allocated Transactions'!$D:$D,$B25,'Allocated Transactions'!$C:$C,$B$10,'Allocated Transactions'!$A:$A,"&gt;="&amp;F$19,'Allocated Transactions'!$A:$A,"&lt;="&amp;EOMONTH(F$19,0))+SUMIFS('Allocated Transactions'!$J:$J,'Allocated Transactions'!$D:$D,$B25,'Allocated Transactions'!$C:$C,$B$11,'Allocated Transactions'!$A:$A,"&gt;="&amp;F$19,'Allocated Transactions'!$A:$A,"&lt;="&amp;EOMONTH(F$19,0))+SUMIFS('Allocated Transactions'!$J:$J,'Allocated Transactions'!$D:$D,$B25,'Allocated Transactions'!$C:$C,$B$2,'Allocated Transactions'!$A:$A,"&gt;="&amp;F$19,'Allocated Transactions'!$A:$A,"&lt;="&amp;EOMONTH(F$19,0))+SUMIFS('Allocated Transactions'!$J:$J,'Allocated Transactions'!$D:$D,$B25,'Allocated Transactions'!$C:$C,$B$4,'Allocated Transactions'!$A:$A,"&gt;="&amp;F$19,'Allocated Transactions'!$A:$A,"&lt;="&amp;EOMONTH(F$19,0))+SUMIFS('Allocated Transactions'!$J:$J,'Allocated Transactions'!$D:$D,$B25,'Allocated Transactions'!$C:$C,$B$3,'Allocated Transactions'!$A:$A,"&gt;="&amp;F$19,'Allocated Transactions'!$A:$A,"&lt;="&amp;EOMONTH(F$19,0))+SUMIFS('Allocated Transactions'!$J:$J,'Allocated Transactions'!$D:$D,$B25,'Allocated Transactions'!$C:$C,$B$5,'Allocated Transactions'!$A:$A,"&gt;="&amp;F$19,'Allocated Transactions'!$A:$A,"&lt;="&amp;EOMONTH(F$19,0))+SUMIFS('Allocated Transactions'!$J:$J,'Allocated Transactions'!$D:$D,$B25,'Allocated Transactions'!$C:$C,$B$6,'Allocated Transactions'!$A:$A,"&gt;="&amp;F$19,'Allocated Transactions'!$A:$A,"&lt;="&amp;EOMONTH(F$19,0)))</f>
        <v>773.94</v>
      </c>
      <c r="G25" s="84">
        <f>SUMPRODUCT(SUMIFS('Budget Data'!$J:$J,'Budget Data'!$E:$E,$B25,'Budget Data'!$C:$C,$B$7,'Budget Data'!$A:$A,"&gt;="&amp;G$19,'Budget Data'!$A:$A,"&lt;="&amp;EOMONTH(G$19,0))+SUMIFS('Budget Data'!$J:$J,'Budget Data'!$E:$E,$B25,'Budget Data'!$C:$C,$B$9,'Budget Data'!$A:$A,"&gt;="&amp;G$19,'Budget Data'!$A:$A,"&lt;="&amp;EOMONTH(G$19,0))+SUMIFS('Budget Data'!$J:$J,'Budget Data'!$E:$E,$B25,'Budget Data'!$C:$C,$B$8,'Budget Data'!$A:$A,"&gt;="&amp;G$19,'Budget Data'!$A:$A,"&lt;="&amp;EOMONTH(G$19,0))+SUMIFS('Budget Data'!$J:$J,'Budget Data'!$E:$E,$B25,'Budget Data'!$C:$C,$B$10,'Budget Data'!$A:$A,"&gt;="&amp;G$19,'Budget Data'!$A:$A,"&lt;="&amp;EOMONTH(G$19,0))+SUMIFS('Budget Data'!$J:$J,'Budget Data'!$E:$E,$B25,'Budget Data'!$C:$C,$B$11,'Budget Data'!$A:$A,"&gt;="&amp;G$19,'Budget Data'!$A:$A,"&lt;="&amp;EOMONTH(G$19,0))+SUMIFS('Budget Data'!$J:$J,'Budget Data'!$E:$E,$B25,'Budget Data'!$C:$C,$B$2,'Budget Data'!$A:$A,"&gt;="&amp;G$19,'Budget Data'!$A:$A,"&lt;="&amp;EOMONTH(G$19,0))+SUMIFS('Budget Data'!$J:$J,'Budget Data'!$E:$E,$B25,'Budget Data'!$C:$C,$B$4,'Budget Data'!$A:$A,"&gt;="&amp;G$19,'Budget Data'!$A:$A,"&lt;="&amp;EOMONTH(G$19,0))+SUMIFS('Budget Data'!$J:$J,'Budget Data'!$E:$E,$B25,'Budget Data'!$C:$C,$B$3,'Budget Data'!$A:$A,"&gt;="&amp;G$19,'Budget Data'!$A:$A,"&lt;="&amp;EOMONTH(G$19,0))+SUMIFS('Budget Data'!$J:$J,'Budget Data'!$E:$E,$B25,'Budget Data'!$C:$C,$B$5,'Budget Data'!$A:$A,"&gt;="&amp;G$19,'Budget Data'!$A:$A,"&lt;="&amp;EOMONTH(G$19,0))+SUMIFS('Budget Data'!$J:$J,'Budget Data'!$E:$E,$B25,'Budget Data'!$C:$C,$B$6,'Budget Data'!$A:$A,"&gt;="&amp;G$19,'Budget Data'!$A:$A,"&lt;="&amp;EOMONTH(G$19,0)))</f>
        <v>850</v>
      </c>
      <c r="H25" s="86">
        <f>-SUMPRODUCT(SUMIFS('Allocated Transactions'!$J:$J,'Allocated Transactions'!$D:$D,$B25,'Allocated Transactions'!$C:$C,$B$7,'Allocated Transactions'!$A:$A,"&gt;="&amp;H$19,'Allocated Transactions'!$A:$A,"&lt;="&amp;EOMONTH(H$19,0))+SUMIFS('Allocated Transactions'!$J:$J,'Allocated Transactions'!$D:$D,$B25,'Allocated Transactions'!$C:$C,$B$9,'Allocated Transactions'!$A:$A,"&gt;="&amp;H$19,'Allocated Transactions'!$A:$A,"&lt;="&amp;EOMONTH(H$19,0))+SUMIFS('Allocated Transactions'!$J:$J,'Allocated Transactions'!$D:$D,$B25,'Allocated Transactions'!$C:$C,$B$8,'Allocated Transactions'!$A:$A,"&gt;="&amp;H$19,'Allocated Transactions'!$A:$A,"&lt;="&amp;EOMONTH(H$19,0))+SUMIFS('Allocated Transactions'!$J:$J,'Allocated Transactions'!$D:$D,$B25,'Allocated Transactions'!$C:$C,$B$10,'Allocated Transactions'!$A:$A,"&gt;="&amp;H$19,'Allocated Transactions'!$A:$A,"&lt;="&amp;EOMONTH(H$19,0))+SUMIFS('Allocated Transactions'!$J:$J,'Allocated Transactions'!$D:$D,$B25,'Allocated Transactions'!$C:$C,$B$11,'Allocated Transactions'!$A:$A,"&gt;="&amp;H$19,'Allocated Transactions'!$A:$A,"&lt;="&amp;EOMONTH(H$19,0))+SUMIFS('Allocated Transactions'!$J:$J,'Allocated Transactions'!$D:$D,$B25,'Allocated Transactions'!$C:$C,$B$2,'Allocated Transactions'!$A:$A,"&gt;="&amp;H$19,'Allocated Transactions'!$A:$A,"&lt;="&amp;EOMONTH(H$19,0))+SUMIFS('Allocated Transactions'!$J:$J,'Allocated Transactions'!$D:$D,$B25,'Allocated Transactions'!$C:$C,$B$4,'Allocated Transactions'!$A:$A,"&gt;="&amp;H$19,'Allocated Transactions'!$A:$A,"&lt;="&amp;EOMONTH(H$19,0))+SUMIFS('Allocated Transactions'!$J:$J,'Allocated Transactions'!$D:$D,$B25,'Allocated Transactions'!$C:$C,$B$3,'Allocated Transactions'!$A:$A,"&gt;="&amp;H$19,'Allocated Transactions'!$A:$A,"&lt;="&amp;EOMONTH(H$19,0))+SUMIFS('Allocated Transactions'!$J:$J,'Allocated Transactions'!$D:$D,$B25,'Allocated Transactions'!$C:$C,$B$5,'Allocated Transactions'!$A:$A,"&gt;="&amp;H$19,'Allocated Transactions'!$A:$A,"&lt;="&amp;EOMONTH(H$19,0))+SUMIFS('Allocated Transactions'!$J:$J,'Allocated Transactions'!$D:$D,$B25,'Allocated Transactions'!$C:$C,$B$6,'Allocated Transactions'!$A:$A,"&gt;="&amp;H$19,'Allocated Transactions'!$A:$A,"&lt;="&amp;EOMONTH(H$19,0)))</f>
        <v>830.32</v>
      </c>
      <c r="I25" s="84">
        <f>SUMPRODUCT(SUMIFS('Budget Data'!$J:$J,'Budget Data'!$E:$E,$B25,'Budget Data'!$C:$C,$B$7,'Budget Data'!$A:$A,"&gt;="&amp;I$19,'Budget Data'!$A:$A,"&lt;="&amp;EOMONTH(I$19,0))+SUMIFS('Budget Data'!$J:$J,'Budget Data'!$E:$E,$B25,'Budget Data'!$C:$C,$B$9,'Budget Data'!$A:$A,"&gt;="&amp;I$19,'Budget Data'!$A:$A,"&lt;="&amp;EOMONTH(I$19,0))+SUMIFS('Budget Data'!$J:$J,'Budget Data'!$E:$E,$B25,'Budget Data'!$C:$C,$B$8,'Budget Data'!$A:$A,"&gt;="&amp;I$19,'Budget Data'!$A:$A,"&lt;="&amp;EOMONTH(I$19,0))+SUMIFS('Budget Data'!$J:$J,'Budget Data'!$E:$E,$B25,'Budget Data'!$C:$C,$B$10,'Budget Data'!$A:$A,"&gt;="&amp;I$19,'Budget Data'!$A:$A,"&lt;="&amp;EOMONTH(I$19,0))+SUMIFS('Budget Data'!$J:$J,'Budget Data'!$E:$E,$B25,'Budget Data'!$C:$C,$B$11,'Budget Data'!$A:$A,"&gt;="&amp;I$19,'Budget Data'!$A:$A,"&lt;="&amp;EOMONTH(I$19,0))+SUMIFS('Budget Data'!$J:$J,'Budget Data'!$E:$E,$B25,'Budget Data'!$C:$C,$B$2,'Budget Data'!$A:$A,"&gt;="&amp;I$19,'Budget Data'!$A:$A,"&lt;="&amp;EOMONTH(I$19,0))+SUMIFS('Budget Data'!$J:$J,'Budget Data'!$E:$E,$B25,'Budget Data'!$C:$C,$B$4,'Budget Data'!$A:$A,"&gt;="&amp;I$19,'Budget Data'!$A:$A,"&lt;="&amp;EOMONTH(I$19,0))+SUMIFS('Budget Data'!$J:$J,'Budget Data'!$E:$E,$B25,'Budget Data'!$C:$C,$B$3,'Budget Data'!$A:$A,"&gt;="&amp;I$19,'Budget Data'!$A:$A,"&lt;="&amp;EOMONTH(I$19,0))+SUMIFS('Budget Data'!$J:$J,'Budget Data'!$E:$E,$B25,'Budget Data'!$C:$C,$B$5,'Budget Data'!$A:$A,"&gt;="&amp;I$19,'Budget Data'!$A:$A,"&lt;="&amp;EOMONTH(I$19,0))+SUMIFS('Budget Data'!$J:$J,'Budget Data'!$E:$E,$B25,'Budget Data'!$C:$C,$B$6,'Budget Data'!$A:$A,"&gt;="&amp;I$19,'Budget Data'!$A:$A,"&lt;="&amp;EOMONTH(I$19,0)))</f>
        <v>850</v>
      </c>
      <c r="J25" s="86">
        <f>-SUMPRODUCT(SUMIFS('Allocated Transactions'!$J:$J,'Allocated Transactions'!$D:$D,$B25,'Allocated Transactions'!$C:$C,$B$7,'Allocated Transactions'!$A:$A,"&gt;="&amp;J$19,'Allocated Transactions'!$A:$A,"&lt;="&amp;EOMONTH(J$19,0))+SUMIFS('Allocated Transactions'!$J:$J,'Allocated Transactions'!$D:$D,$B25,'Allocated Transactions'!$C:$C,$B$9,'Allocated Transactions'!$A:$A,"&gt;="&amp;J$19,'Allocated Transactions'!$A:$A,"&lt;="&amp;EOMONTH(J$19,0))+SUMIFS('Allocated Transactions'!$J:$J,'Allocated Transactions'!$D:$D,$B25,'Allocated Transactions'!$C:$C,$B$8,'Allocated Transactions'!$A:$A,"&gt;="&amp;J$19,'Allocated Transactions'!$A:$A,"&lt;="&amp;EOMONTH(J$19,0))+SUMIFS('Allocated Transactions'!$J:$J,'Allocated Transactions'!$D:$D,$B25,'Allocated Transactions'!$C:$C,$B$10,'Allocated Transactions'!$A:$A,"&gt;="&amp;J$19,'Allocated Transactions'!$A:$A,"&lt;="&amp;EOMONTH(J$19,0))+SUMIFS('Allocated Transactions'!$J:$J,'Allocated Transactions'!$D:$D,$B25,'Allocated Transactions'!$C:$C,$B$11,'Allocated Transactions'!$A:$A,"&gt;="&amp;J$19,'Allocated Transactions'!$A:$A,"&lt;="&amp;EOMONTH(J$19,0))+SUMIFS('Allocated Transactions'!$J:$J,'Allocated Transactions'!$D:$D,$B25,'Allocated Transactions'!$C:$C,$B$2,'Allocated Transactions'!$A:$A,"&gt;="&amp;J$19,'Allocated Transactions'!$A:$A,"&lt;="&amp;EOMONTH(J$19,0))+SUMIFS('Allocated Transactions'!$J:$J,'Allocated Transactions'!$D:$D,$B25,'Allocated Transactions'!$C:$C,$B$4,'Allocated Transactions'!$A:$A,"&gt;="&amp;J$19,'Allocated Transactions'!$A:$A,"&lt;="&amp;EOMONTH(J$19,0))+SUMIFS('Allocated Transactions'!$J:$J,'Allocated Transactions'!$D:$D,$B25,'Allocated Transactions'!$C:$C,$B$3,'Allocated Transactions'!$A:$A,"&gt;="&amp;J$19,'Allocated Transactions'!$A:$A,"&lt;="&amp;EOMONTH(J$19,0))+SUMIFS('Allocated Transactions'!$J:$J,'Allocated Transactions'!$D:$D,$B25,'Allocated Transactions'!$C:$C,$B$5,'Allocated Transactions'!$A:$A,"&gt;="&amp;J$19,'Allocated Transactions'!$A:$A,"&lt;="&amp;EOMONTH(J$19,0))+SUMIFS('Allocated Transactions'!$J:$J,'Allocated Transactions'!$D:$D,$B25,'Allocated Transactions'!$C:$C,$B$6,'Allocated Transactions'!$A:$A,"&gt;="&amp;J$19,'Allocated Transactions'!$A:$A,"&lt;="&amp;EOMONTH(J$19,0)))</f>
        <v>769.06</v>
      </c>
      <c r="K25" s="84">
        <f>SUMPRODUCT(SUMIFS('Budget Data'!$J:$J,'Budget Data'!$E:$E,$B25,'Budget Data'!$C:$C,$B$7,'Budget Data'!$A:$A,"&gt;="&amp;K$19,'Budget Data'!$A:$A,"&lt;="&amp;EOMONTH(K$19,0))+SUMIFS('Budget Data'!$J:$J,'Budget Data'!$E:$E,$B25,'Budget Data'!$C:$C,$B$9,'Budget Data'!$A:$A,"&gt;="&amp;K$19,'Budget Data'!$A:$A,"&lt;="&amp;EOMONTH(K$19,0))+SUMIFS('Budget Data'!$J:$J,'Budget Data'!$E:$E,$B25,'Budget Data'!$C:$C,$B$8,'Budget Data'!$A:$A,"&gt;="&amp;K$19,'Budget Data'!$A:$A,"&lt;="&amp;EOMONTH(K$19,0))+SUMIFS('Budget Data'!$J:$J,'Budget Data'!$E:$E,$B25,'Budget Data'!$C:$C,$B$10,'Budget Data'!$A:$A,"&gt;="&amp;K$19,'Budget Data'!$A:$A,"&lt;="&amp;EOMONTH(K$19,0))+SUMIFS('Budget Data'!$J:$J,'Budget Data'!$E:$E,$B25,'Budget Data'!$C:$C,$B$11,'Budget Data'!$A:$A,"&gt;="&amp;K$19,'Budget Data'!$A:$A,"&lt;="&amp;EOMONTH(K$19,0))+SUMIFS('Budget Data'!$J:$J,'Budget Data'!$E:$E,$B25,'Budget Data'!$C:$C,$B$2,'Budget Data'!$A:$A,"&gt;="&amp;K$19,'Budget Data'!$A:$A,"&lt;="&amp;EOMONTH(K$19,0))+SUMIFS('Budget Data'!$J:$J,'Budget Data'!$E:$E,$B25,'Budget Data'!$C:$C,$B$4,'Budget Data'!$A:$A,"&gt;="&amp;K$19,'Budget Data'!$A:$A,"&lt;="&amp;EOMONTH(K$19,0))+SUMIFS('Budget Data'!$J:$J,'Budget Data'!$E:$E,$B25,'Budget Data'!$C:$C,$B$3,'Budget Data'!$A:$A,"&gt;="&amp;K$19,'Budget Data'!$A:$A,"&lt;="&amp;EOMONTH(K$19,0))+SUMIFS('Budget Data'!$J:$J,'Budget Data'!$E:$E,$B25,'Budget Data'!$C:$C,$B$5,'Budget Data'!$A:$A,"&gt;="&amp;K$19,'Budget Data'!$A:$A,"&lt;="&amp;EOMONTH(K$19,0))+SUMIFS('Budget Data'!$J:$J,'Budget Data'!$E:$E,$B25,'Budget Data'!$C:$C,$B$6,'Budget Data'!$A:$A,"&gt;="&amp;K$19,'Budget Data'!$A:$A,"&lt;="&amp;EOMONTH(K$19,0)))</f>
        <v>850</v>
      </c>
      <c r="L25" s="86">
        <f>-SUMPRODUCT(SUMIFS('Allocated Transactions'!$J:$J,'Allocated Transactions'!$D:$D,$B25,'Allocated Transactions'!$C:$C,$B$7,'Allocated Transactions'!$A:$A,"&gt;="&amp;L$19,'Allocated Transactions'!$A:$A,"&lt;="&amp;EOMONTH(L$19,0))+SUMIFS('Allocated Transactions'!$J:$J,'Allocated Transactions'!$D:$D,$B25,'Allocated Transactions'!$C:$C,$B$9,'Allocated Transactions'!$A:$A,"&gt;="&amp;L$19,'Allocated Transactions'!$A:$A,"&lt;="&amp;EOMONTH(L$19,0))+SUMIFS('Allocated Transactions'!$J:$J,'Allocated Transactions'!$D:$D,$B25,'Allocated Transactions'!$C:$C,$B$8,'Allocated Transactions'!$A:$A,"&gt;="&amp;L$19,'Allocated Transactions'!$A:$A,"&lt;="&amp;EOMONTH(L$19,0))+SUMIFS('Allocated Transactions'!$J:$J,'Allocated Transactions'!$D:$D,$B25,'Allocated Transactions'!$C:$C,$B$10,'Allocated Transactions'!$A:$A,"&gt;="&amp;L$19,'Allocated Transactions'!$A:$A,"&lt;="&amp;EOMONTH(L$19,0))+SUMIFS('Allocated Transactions'!$J:$J,'Allocated Transactions'!$D:$D,$B25,'Allocated Transactions'!$C:$C,$B$11,'Allocated Transactions'!$A:$A,"&gt;="&amp;L$19,'Allocated Transactions'!$A:$A,"&lt;="&amp;EOMONTH(L$19,0))+SUMIFS('Allocated Transactions'!$J:$J,'Allocated Transactions'!$D:$D,$B25,'Allocated Transactions'!$C:$C,$B$2,'Allocated Transactions'!$A:$A,"&gt;="&amp;L$19,'Allocated Transactions'!$A:$A,"&lt;="&amp;EOMONTH(L$19,0))+SUMIFS('Allocated Transactions'!$J:$J,'Allocated Transactions'!$D:$D,$B25,'Allocated Transactions'!$C:$C,$B$4,'Allocated Transactions'!$A:$A,"&gt;="&amp;L$19,'Allocated Transactions'!$A:$A,"&lt;="&amp;EOMONTH(L$19,0))+SUMIFS('Allocated Transactions'!$J:$J,'Allocated Transactions'!$D:$D,$B25,'Allocated Transactions'!$C:$C,$B$3,'Allocated Transactions'!$A:$A,"&gt;="&amp;L$19,'Allocated Transactions'!$A:$A,"&lt;="&amp;EOMONTH(L$19,0))+SUMIFS('Allocated Transactions'!$J:$J,'Allocated Transactions'!$D:$D,$B25,'Allocated Transactions'!$C:$C,$B$5,'Allocated Transactions'!$A:$A,"&gt;="&amp;L$19,'Allocated Transactions'!$A:$A,"&lt;="&amp;EOMONTH(L$19,0))+SUMIFS('Allocated Transactions'!$J:$J,'Allocated Transactions'!$D:$D,$B25,'Allocated Transactions'!$C:$C,$B$6,'Allocated Transactions'!$A:$A,"&gt;="&amp;L$19,'Allocated Transactions'!$A:$A,"&lt;="&amp;EOMONTH(L$19,0)))</f>
        <v>862.17</v>
      </c>
      <c r="M25" s="84">
        <f>SUMPRODUCT(SUMIFS('Budget Data'!$J:$J,'Budget Data'!$E:$E,$B25,'Budget Data'!$C:$C,$B$7,'Budget Data'!$A:$A,"&gt;="&amp;M$19,'Budget Data'!$A:$A,"&lt;="&amp;EOMONTH(M$19,0))+SUMIFS('Budget Data'!$J:$J,'Budget Data'!$E:$E,$B25,'Budget Data'!$C:$C,$B$9,'Budget Data'!$A:$A,"&gt;="&amp;M$19,'Budget Data'!$A:$A,"&lt;="&amp;EOMONTH(M$19,0))+SUMIFS('Budget Data'!$J:$J,'Budget Data'!$E:$E,$B25,'Budget Data'!$C:$C,$B$8,'Budget Data'!$A:$A,"&gt;="&amp;M$19,'Budget Data'!$A:$A,"&lt;="&amp;EOMONTH(M$19,0))+SUMIFS('Budget Data'!$J:$J,'Budget Data'!$E:$E,$B25,'Budget Data'!$C:$C,$B$10,'Budget Data'!$A:$A,"&gt;="&amp;M$19,'Budget Data'!$A:$A,"&lt;="&amp;EOMONTH(M$19,0))+SUMIFS('Budget Data'!$J:$J,'Budget Data'!$E:$E,$B25,'Budget Data'!$C:$C,$B$11,'Budget Data'!$A:$A,"&gt;="&amp;M$19,'Budget Data'!$A:$A,"&lt;="&amp;EOMONTH(M$19,0))+SUMIFS('Budget Data'!$J:$J,'Budget Data'!$E:$E,$B25,'Budget Data'!$C:$C,$B$2,'Budget Data'!$A:$A,"&gt;="&amp;M$19,'Budget Data'!$A:$A,"&lt;="&amp;EOMONTH(M$19,0))+SUMIFS('Budget Data'!$J:$J,'Budget Data'!$E:$E,$B25,'Budget Data'!$C:$C,$B$4,'Budget Data'!$A:$A,"&gt;="&amp;M$19,'Budget Data'!$A:$A,"&lt;="&amp;EOMONTH(M$19,0))+SUMIFS('Budget Data'!$J:$J,'Budget Data'!$E:$E,$B25,'Budget Data'!$C:$C,$B$3,'Budget Data'!$A:$A,"&gt;="&amp;M$19,'Budget Data'!$A:$A,"&lt;="&amp;EOMONTH(M$19,0))+SUMIFS('Budget Data'!$J:$J,'Budget Data'!$E:$E,$B25,'Budget Data'!$C:$C,$B$5,'Budget Data'!$A:$A,"&gt;="&amp;M$19,'Budget Data'!$A:$A,"&lt;="&amp;EOMONTH(M$19,0))+SUMIFS('Budget Data'!$J:$J,'Budget Data'!$E:$E,$B25,'Budget Data'!$C:$C,$B$6,'Budget Data'!$A:$A,"&gt;="&amp;M$19,'Budget Data'!$A:$A,"&lt;="&amp;EOMONTH(M$19,0)))</f>
        <v>850</v>
      </c>
      <c r="N25" s="86">
        <f>-SUMPRODUCT(SUMIFS('Allocated Transactions'!$J:$J,'Allocated Transactions'!$D:$D,$B25,'Allocated Transactions'!$C:$C,$B$7,'Allocated Transactions'!$A:$A,"&gt;="&amp;N$19,'Allocated Transactions'!$A:$A,"&lt;="&amp;EOMONTH(N$19,0))+SUMIFS('Allocated Transactions'!$J:$J,'Allocated Transactions'!$D:$D,$B25,'Allocated Transactions'!$C:$C,$B$9,'Allocated Transactions'!$A:$A,"&gt;="&amp;N$19,'Allocated Transactions'!$A:$A,"&lt;="&amp;EOMONTH(N$19,0))+SUMIFS('Allocated Transactions'!$J:$J,'Allocated Transactions'!$D:$D,$B25,'Allocated Transactions'!$C:$C,$B$8,'Allocated Transactions'!$A:$A,"&gt;="&amp;N$19,'Allocated Transactions'!$A:$A,"&lt;="&amp;EOMONTH(N$19,0))+SUMIFS('Allocated Transactions'!$J:$J,'Allocated Transactions'!$D:$D,$B25,'Allocated Transactions'!$C:$C,$B$10,'Allocated Transactions'!$A:$A,"&gt;="&amp;N$19,'Allocated Transactions'!$A:$A,"&lt;="&amp;EOMONTH(N$19,0))+SUMIFS('Allocated Transactions'!$J:$J,'Allocated Transactions'!$D:$D,$B25,'Allocated Transactions'!$C:$C,$B$11,'Allocated Transactions'!$A:$A,"&gt;="&amp;N$19,'Allocated Transactions'!$A:$A,"&lt;="&amp;EOMONTH(N$19,0))+SUMIFS('Allocated Transactions'!$J:$J,'Allocated Transactions'!$D:$D,$B25,'Allocated Transactions'!$C:$C,$B$2,'Allocated Transactions'!$A:$A,"&gt;="&amp;N$19,'Allocated Transactions'!$A:$A,"&lt;="&amp;EOMONTH(N$19,0))+SUMIFS('Allocated Transactions'!$J:$J,'Allocated Transactions'!$D:$D,$B25,'Allocated Transactions'!$C:$C,$B$4,'Allocated Transactions'!$A:$A,"&gt;="&amp;N$19,'Allocated Transactions'!$A:$A,"&lt;="&amp;EOMONTH(N$19,0))+SUMIFS('Allocated Transactions'!$J:$J,'Allocated Transactions'!$D:$D,$B25,'Allocated Transactions'!$C:$C,$B$3,'Allocated Transactions'!$A:$A,"&gt;="&amp;N$19,'Allocated Transactions'!$A:$A,"&lt;="&amp;EOMONTH(N$19,0))+SUMIFS('Allocated Transactions'!$J:$J,'Allocated Transactions'!$D:$D,$B25,'Allocated Transactions'!$C:$C,$B$5,'Allocated Transactions'!$A:$A,"&gt;="&amp;N$19,'Allocated Transactions'!$A:$A,"&lt;="&amp;EOMONTH(N$19,0))+SUMIFS('Allocated Transactions'!$J:$J,'Allocated Transactions'!$D:$D,$B25,'Allocated Transactions'!$C:$C,$B$6,'Allocated Transactions'!$A:$A,"&gt;="&amp;N$19,'Allocated Transactions'!$A:$A,"&lt;="&amp;EOMONTH(N$19,0)))</f>
        <v>968.98</v>
      </c>
      <c r="O25" s="84">
        <f>SUMPRODUCT(SUMIFS('Budget Data'!$J:$J,'Budget Data'!$E:$E,$B25,'Budget Data'!$C:$C,$B$7,'Budget Data'!$A:$A,"&gt;="&amp;O$19,'Budget Data'!$A:$A,"&lt;="&amp;EOMONTH(O$19,0))+SUMIFS('Budget Data'!$J:$J,'Budget Data'!$E:$E,$B25,'Budget Data'!$C:$C,$B$9,'Budget Data'!$A:$A,"&gt;="&amp;O$19,'Budget Data'!$A:$A,"&lt;="&amp;EOMONTH(O$19,0))+SUMIFS('Budget Data'!$J:$J,'Budget Data'!$E:$E,$B25,'Budget Data'!$C:$C,$B$8,'Budget Data'!$A:$A,"&gt;="&amp;O$19,'Budget Data'!$A:$A,"&lt;="&amp;EOMONTH(O$19,0))+SUMIFS('Budget Data'!$J:$J,'Budget Data'!$E:$E,$B25,'Budget Data'!$C:$C,$B$10,'Budget Data'!$A:$A,"&gt;="&amp;O$19,'Budget Data'!$A:$A,"&lt;="&amp;EOMONTH(O$19,0))+SUMIFS('Budget Data'!$J:$J,'Budget Data'!$E:$E,$B25,'Budget Data'!$C:$C,$B$11,'Budget Data'!$A:$A,"&gt;="&amp;O$19,'Budget Data'!$A:$A,"&lt;="&amp;EOMONTH(O$19,0))+SUMIFS('Budget Data'!$J:$J,'Budget Data'!$E:$E,$B25,'Budget Data'!$C:$C,$B$2,'Budget Data'!$A:$A,"&gt;="&amp;O$19,'Budget Data'!$A:$A,"&lt;="&amp;EOMONTH(O$19,0))+SUMIFS('Budget Data'!$J:$J,'Budget Data'!$E:$E,$B25,'Budget Data'!$C:$C,$B$4,'Budget Data'!$A:$A,"&gt;="&amp;O$19,'Budget Data'!$A:$A,"&lt;="&amp;EOMONTH(O$19,0))+SUMIFS('Budget Data'!$J:$J,'Budget Data'!$E:$E,$B25,'Budget Data'!$C:$C,$B$3,'Budget Data'!$A:$A,"&gt;="&amp;O$19,'Budget Data'!$A:$A,"&lt;="&amp;EOMONTH(O$19,0))+SUMIFS('Budget Data'!$J:$J,'Budget Data'!$E:$E,$B25,'Budget Data'!$C:$C,$B$5,'Budget Data'!$A:$A,"&gt;="&amp;O$19,'Budget Data'!$A:$A,"&lt;="&amp;EOMONTH(O$19,0))+SUMIFS('Budget Data'!$J:$J,'Budget Data'!$E:$E,$B25,'Budget Data'!$C:$C,$B$6,'Budget Data'!$A:$A,"&gt;="&amp;O$19,'Budget Data'!$A:$A,"&lt;="&amp;EOMONTH(O$19,0)))</f>
        <v>850</v>
      </c>
      <c r="P25" s="86">
        <f>-SUMPRODUCT(SUMIFS('Allocated Transactions'!$J:$J,'Allocated Transactions'!$D:$D,$B25,'Allocated Transactions'!$C:$C,$B$7,'Allocated Transactions'!$A:$A,"&gt;="&amp;P$19,'Allocated Transactions'!$A:$A,"&lt;="&amp;EOMONTH(P$19,0))+SUMIFS('Allocated Transactions'!$J:$J,'Allocated Transactions'!$D:$D,$B25,'Allocated Transactions'!$C:$C,$B$9,'Allocated Transactions'!$A:$A,"&gt;="&amp;P$19,'Allocated Transactions'!$A:$A,"&lt;="&amp;EOMONTH(P$19,0))+SUMIFS('Allocated Transactions'!$J:$J,'Allocated Transactions'!$D:$D,$B25,'Allocated Transactions'!$C:$C,$B$8,'Allocated Transactions'!$A:$A,"&gt;="&amp;P$19,'Allocated Transactions'!$A:$A,"&lt;="&amp;EOMONTH(P$19,0))+SUMIFS('Allocated Transactions'!$J:$J,'Allocated Transactions'!$D:$D,$B25,'Allocated Transactions'!$C:$C,$B$10,'Allocated Transactions'!$A:$A,"&gt;="&amp;P$19,'Allocated Transactions'!$A:$A,"&lt;="&amp;EOMONTH(P$19,0))+SUMIFS('Allocated Transactions'!$J:$J,'Allocated Transactions'!$D:$D,$B25,'Allocated Transactions'!$C:$C,$B$11,'Allocated Transactions'!$A:$A,"&gt;="&amp;P$19,'Allocated Transactions'!$A:$A,"&lt;="&amp;EOMONTH(P$19,0))+SUMIFS('Allocated Transactions'!$J:$J,'Allocated Transactions'!$D:$D,$B25,'Allocated Transactions'!$C:$C,$B$2,'Allocated Transactions'!$A:$A,"&gt;="&amp;P$19,'Allocated Transactions'!$A:$A,"&lt;="&amp;EOMONTH(P$19,0))+SUMIFS('Allocated Transactions'!$J:$J,'Allocated Transactions'!$D:$D,$B25,'Allocated Transactions'!$C:$C,$B$4,'Allocated Transactions'!$A:$A,"&gt;="&amp;P$19,'Allocated Transactions'!$A:$A,"&lt;="&amp;EOMONTH(P$19,0))+SUMIFS('Allocated Transactions'!$J:$J,'Allocated Transactions'!$D:$D,$B25,'Allocated Transactions'!$C:$C,$B$3,'Allocated Transactions'!$A:$A,"&gt;="&amp;P$19,'Allocated Transactions'!$A:$A,"&lt;="&amp;EOMONTH(P$19,0))+SUMIFS('Allocated Transactions'!$J:$J,'Allocated Transactions'!$D:$D,$B25,'Allocated Transactions'!$C:$C,$B$5,'Allocated Transactions'!$A:$A,"&gt;="&amp;P$19,'Allocated Transactions'!$A:$A,"&lt;="&amp;EOMONTH(P$19,0))+SUMIFS('Allocated Transactions'!$J:$J,'Allocated Transactions'!$D:$D,$B25,'Allocated Transactions'!$C:$C,$B$6,'Allocated Transactions'!$A:$A,"&gt;="&amp;P$19,'Allocated Transactions'!$A:$A,"&lt;="&amp;EOMONTH(P$19,0)))</f>
        <v>891.8</v>
      </c>
      <c r="Q25" s="84">
        <f>SUMPRODUCT(SUMIFS('Budget Data'!$J:$J,'Budget Data'!$E:$E,$B25,'Budget Data'!$C:$C,$B$7,'Budget Data'!$A:$A,"&gt;="&amp;Q$19,'Budget Data'!$A:$A,"&lt;="&amp;EOMONTH(Q$19,0))+SUMIFS('Budget Data'!$J:$J,'Budget Data'!$E:$E,$B25,'Budget Data'!$C:$C,$B$9,'Budget Data'!$A:$A,"&gt;="&amp;Q$19,'Budget Data'!$A:$A,"&lt;="&amp;EOMONTH(Q$19,0))+SUMIFS('Budget Data'!$J:$J,'Budget Data'!$E:$E,$B25,'Budget Data'!$C:$C,$B$8,'Budget Data'!$A:$A,"&gt;="&amp;Q$19,'Budget Data'!$A:$A,"&lt;="&amp;EOMONTH(Q$19,0))+SUMIFS('Budget Data'!$J:$J,'Budget Data'!$E:$E,$B25,'Budget Data'!$C:$C,$B$10,'Budget Data'!$A:$A,"&gt;="&amp;Q$19,'Budget Data'!$A:$A,"&lt;="&amp;EOMONTH(Q$19,0))+SUMIFS('Budget Data'!$J:$J,'Budget Data'!$E:$E,$B25,'Budget Data'!$C:$C,$B$11,'Budget Data'!$A:$A,"&gt;="&amp;Q$19,'Budget Data'!$A:$A,"&lt;="&amp;EOMONTH(Q$19,0))+SUMIFS('Budget Data'!$J:$J,'Budget Data'!$E:$E,$B25,'Budget Data'!$C:$C,$B$2,'Budget Data'!$A:$A,"&gt;="&amp;Q$19,'Budget Data'!$A:$A,"&lt;="&amp;EOMONTH(Q$19,0))+SUMIFS('Budget Data'!$J:$J,'Budget Data'!$E:$E,$B25,'Budget Data'!$C:$C,$B$4,'Budget Data'!$A:$A,"&gt;="&amp;Q$19,'Budget Data'!$A:$A,"&lt;="&amp;EOMONTH(Q$19,0))+SUMIFS('Budget Data'!$J:$J,'Budget Data'!$E:$E,$B25,'Budget Data'!$C:$C,$B$3,'Budget Data'!$A:$A,"&gt;="&amp;Q$19,'Budget Data'!$A:$A,"&lt;="&amp;EOMONTH(Q$19,0))+SUMIFS('Budget Data'!$J:$J,'Budget Data'!$E:$E,$B25,'Budget Data'!$C:$C,$B$5,'Budget Data'!$A:$A,"&gt;="&amp;Q$19,'Budget Data'!$A:$A,"&lt;="&amp;EOMONTH(Q$19,0))+SUMIFS('Budget Data'!$J:$J,'Budget Data'!$E:$E,$B25,'Budget Data'!$C:$C,$B$6,'Budget Data'!$A:$A,"&gt;="&amp;Q$19,'Budget Data'!$A:$A,"&lt;="&amp;EOMONTH(Q$19,0)))</f>
        <v>850</v>
      </c>
      <c r="R25" s="86">
        <f>-SUMPRODUCT(SUMIFS('Allocated Transactions'!$J:$J,'Allocated Transactions'!$D:$D,$B25,'Allocated Transactions'!$C:$C,$B$7,'Allocated Transactions'!$A:$A,"&gt;="&amp;R$19,'Allocated Transactions'!$A:$A,"&lt;="&amp;EOMONTH(R$19,0))+SUMIFS('Allocated Transactions'!$J:$J,'Allocated Transactions'!$D:$D,$B25,'Allocated Transactions'!$C:$C,$B$9,'Allocated Transactions'!$A:$A,"&gt;="&amp;R$19,'Allocated Transactions'!$A:$A,"&lt;="&amp;EOMONTH(R$19,0))+SUMIFS('Allocated Transactions'!$J:$J,'Allocated Transactions'!$D:$D,$B25,'Allocated Transactions'!$C:$C,$B$8,'Allocated Transactions'!$A:$A,"&gt;="&amp;R$19,'Allocated Transactions'!$A:$A,"&lt;="&amp;EOMONTH(R$19,0))+SUMIFS('Allocated Transactions'!$J:$J,'Allocated Transactions'!$D:$D,$B25,'Allocated Transactions'!$C:$C,$B$10,'Allocated Transactions'!$A:$A,"&gt;="&amp;R$19,'Allocated Transactions'!$A:$A,"&lt;="&amp;EOMONTH(R$19,0))+SUMIFS('Allocated Transactions'!$J:$J,'Allocated Transactions'!$D:$D,$B25,'Allocated Transactions'!$C:$C,$B$11,'Allocated Transactions'!$A:$A,"&gt;="&amp;R$19,'Allocated Transactions'!$A:$A,"&lt;="&amp;EOMONTH(R$19,0))+SUMIFS('Allocated Transactions'!$J:$J,'Allocated Transactions'!$D:$D,$B25,'Allocated Transactions'!$C:$C,$B$2,'Allocated Transactions'!$A:$A,"&gt;="&amp;R$19,'Allocated Transactions'!$A:$A,"&lt;="&amp;EOMONTH(R$19,0))+SUMIFS('Allocated Transactions'!$J:$J,'Allocated Transactions'!$D:$D,$B25,'Allocated Transactions'!$C:$C,$B$4,'Allocated Transactions'!$A:$A,"&gt;="&amp;R$19,'Allocated Transactions'!$A:$A,"&lt;="&amp;EOMONTH(R$19,0))+SUMIFS('Allocated Transactions'!$J:$J,'Allocated Transactions'!$D:$D,$B25,'Allocated Transactions'!$C:$C,$B$3,'Allocated Transactions'!$A:$A,"&gt;="&amp;R$19,'Allocated Transactions'!$A:$A,"&lt;="&amp;EOMONTH(R$19,0))+SUMIFS('Allocated Transactions'!$J:$J,'Allocated Transactions'!$D:$D,$B25,'Allocated Transactions'!$C:$C,$B$5,'Allocated Transactions'!$A:$A,"&gt;="&amp;R$19,'Allocated Transactions'!$A:$A,"&lt;="&amp;EOMONTH(R$19,0))+SUMIFS('Allocated Transactions'!$J:$J,'Allocated Transactions'!$D:$D,$B25,'Allocated Transactions'!$C:$C,$B$6,'Allocated Transactions'!$A:$A,"&gt;="&amp;R$19,'Allocated Transactions'!$A:$A,"&lt;="&amp;EOMONTH(R$19,0)))</f>
        <v>765.18</v>
      </c>
      <c r="S25" s="84">
        <f>SUMPRODUCT(SUMIFS('Budget Data'!$J:$J,'Budget Data'!$E:$E,$B25,'Budget Data'!$C:$C,$B$7,'Budget Data'!$A:$A,"&gt;="&amp;S$19,'Budget Data'!$A:$A,"&lt;="&amp;EOMONTH(S$19,0))+SUMIFS('Budget Data'!$J:$J,'Budget Data'!$E:$E,$B25,'Budget Data'!$C:$C,$B$9,'Budget Data'!$A:$A,"&gt;="&amp;S$19,'Budget Data'!$A:$A,"&lt;="&amp;EOMONTH(S$19,0))+SUMIFS('Budget Data'!$J:$J,'Budget Data'!$E:$E,$B25,'Budget Data'!$C:$C,$B$8,'Budget Data'!$A:$A,"&gt;="&amp;S$19,'Budget Data'!$A:$A,"&lt;="&amp;EOMONTH(S$19,0))+SUMIFS('Budget Data'!$J:$J,'Budget Data'!$E:$E,$B25,'Budget Data'!$C:$C,$B$10,'Budget Data'!$A:$A,"&gt;="&amp;S$19,'Budget Data'!$A:$A,"&lt;="&amp;EOMONTH(S$19,0))+SUMIFS('Budget Data'!$J:$J,'Budget Data'!$E:$E,$B25,'Budget Data'!$C:$C,$B$11,'Budget Data'!$A:$A,"&gt;="&amp;S$19,'Budget Data'!$A:$A,"&lt;="&amp;EOMONTH(S$19,0))+SUMIFS('Budget Data'!$J:$J,'Budget Data'!$E:$E,$B25,'Budget Data'!$C:$C,$B$2,'Budget Data'!$A:$A,"&gt;="&amp;S$19,'Budget Data'!$A:$A,"&lt;="&amp;EOMONTH(S$19,0))+SUMIFS('Budget Data'!$J:$J,'Budget Data'!$E:$E,$B25,'Budget Data'!$C:$C,$B$4,'Budget Data'!$A:$A,"&gt;="&amp;S$19,'Budget Data'!$A:$A,"&lt;="&amp;EOMONTH(S$19,0))+SUMIFS('Budget Data'!$J:$J,'Budget Data'!$E:$E,$B25,'Budget Data'!$C:$C,$B$3,'Budget Data'!$A:$A,"&gt;="&amp;S$19,'Budget Data'!$A:$A,"&lt;="&amp;EOMONTH(S$19,0))+SUMIFS('Budget Data'!$J:$J,'Budget Data'!$E:$E,$B25,'Budget Data'!$C:$C,$B$5,'Budget Data'!$A:$A,"&gt;="&amp;S$19,'Budget Data'!$A:$A,"&lt;="&amp;EOMONTH(S$19,0))+SUMIFS('Budget Data'!$J:$J,'Budget Data'!$E:$E,$B25,'Budget Data'!$C:$C,$B$6,'Budget Data'!$A:$A,"&gt;="&amp;S$19,'Budget Data'!$A:$A,"&lt;="&amp;EOMONTH(S$19,0)))</f>
        <v>850</v>
      </c>
      <c r="T25" s="86">
        <f>-SUMPRODUCT(SUMIFS('Allocated Transactions'!$J:$J,'Allocated Transactions'!$D:$D,$B25,'Allocated Transactions'!$C:$C,$B$7,'Allocated Transactions'!$A:$A,"&gt;="&amp;T$19,'Allocated Transactions'!$A:$A,"&lt;="&amp;EOMONTH(T$19,0))+SUMIFS('Allocated Transactions'!$J:$J,'Allocated Transactions'!$D:$D,$B25,'Allocated Transactions'!$C:$C,$B$9,'Allocated Transactions'!$A:$A,"&gt;="&amp;T$19,'Allocated Transactions'!$A:$A,"&lt;="&amp;EOMONTH(T$19,0))+SUMIFS('Allocated Transactions'!$J:$J,'Allocated Transactions'!$D:$D,$B25,'Allocated Transactions'!$C:$C,$B$8,'Allocated Transactions'!$A:$A,"&gt;="&amp;T$19,'Allocated Transactions'!$A:$A,"&lt;="&amp;EOMONTH(T$19,0))+SUMIFS('Allocated Transactions'!$J:$J,'Allocated Transactions'!$D:$D,$B25,'Allocated Transactions'!$C:$C,$B$10,'Allocated Transactions'!$A:$A,"&gt;="&amp;T$19,'Allocated Transactions'!$A:$A,"&lt;="&amp;EOMONTH(T$19,0))+SUMIFS('Allocated Transactions'!$J:$J,'Allocated Transactions'!$D:$D,$B25,'Allocated Transactions'!$C:$C,$B$11,'Allocated Transactions'!$A:$A,"&gt;="&amp;T$19,'Allocated Transactions'!$A:$A,"&lt;="&amp;EOMONTH(T$19,0))+SUMIFS('Allocated Transactions'!$J:$J,'Allocated Transactions'!$D:$D,$B25,'Allocated Transactions'!$C:$C,$B$2,'Allocated Transactions'!$A:$A,"&gt;="&amp;T$19,'Allocated Transactions'!$A:$A,"&lt;="&amp;EOMONTH(T$19,0))+SUMIFS('Allocated Transactions'!$J:$J,'Allocated Transactions'!$D:$D,$B25,'Allocated Transactions'!$C:$C,$B$4,'Allocated Transactions'!$A:$A,"&gt;="&amp;T$19,'Allocated Transactions'!$A:$A,"&lt;="&amp;EOMONTH(T$19,0))+SUMIFS('Allocated Transactions'!$J:$J,'Allocated Transactions'!$D:$D,$B25,'Allocated Transactions'!$C:$C,$B$3,'Allocated Transactions'!$A:$A,"&gt;="&amp;T$19,'Allocated Transactions'!$A:$A,"&lt;="&amp;EOMONTH(T$19,0))+SUMIFS('Allocated Transactions'!$J:$J,'Allocated Transactions'!$D:$D,$B25,'Allocated Transactions'!$C:$C,$B$5,'Allocated Transactions'!$A:$A,"&gt;="&amp;T$19,'Allocated Transactions'!$A:$A,"&lt;="&amp;EOMONTH(T$19,0))+SUMIFS('Allocated Transactions'!$J:$J,'Allocated Transactions'!$D:$D,$B25,'Allocated Transactions'!$C:$C,$B$6,'Allocated Transactions'!$A:$A,"&gt;="&amp;T$19,'Allocated Transactions'!$A:$A,"&lt;="&amp;EOMONTH(T$19,0)))</f>
        <v>912.66</v>
      </c>
      <c r="U25" s="84">
        <f>SUMPRODUCT(SUMIFS('Budget Data'!$J:$J,'Budget Data'!$E:$E,$B25,'Budget Data'!$C:$C,$B$7,'Budget Data'!$A:$A,"&gt;="&amp;U$19,'Budget Data'!$A:$A,"&lt;="&amp;EOMONTH(U$19,0))+SUMIFS('Budget Data'!$J:$J,'Budget Data'!$E:$E,$B25,'Budget Data'!$C:$C,$B$9,'Budget Data'!$A:$A,"&gt;="&amp;U$19,'Budget Data'!$A:$A,"&lt;="&amp;EOMONTH(U$19,0))+SUMIFS('Budget Data'!$J:$J,'Budget Data'!$E:$E,$B25,'Budget Data'!$C:$C,$B$8,'Budget Data'!$A:$A,"&gt;="&amp;U$19,'Budget Data'!$A:$A,"&lt;="&amp;EOMONTH(U$19,0))+SUMIFS('Budget Data'!$J:$J,'Budget Data'!$E:$E,$B25,'Budget Data'!$C:$C,$B$10,'Budget Data'!$A:$A,"&gt;="&amp;U$19,'Budget Data'!$A:$A,"&lt;="&amp;EOMONTH(U$19,0))+SUMIFS('Budget Data'!$J:$J,'Budget Data'!$E:$E,$B25,'Budget Data'!$C:$C,$B$11,'Budget Data'!$A:$A,"&gt;="&amp;U$19,'Budget Data'!$A:$A,"&lt;="&amp;EOMONTH(U$19,0))+SUMIFS('Budget Data'!$J:$J,'Budget Data'!$E:$E,$B25,'Budget Data'!$C:$C,$B$2,'Budget Data'!$A:$A,"&gt;="&amp;U$19,'Budget Data'!$A:$A,"&lt;="&amp;EOMONTH(U$19,0))+SUMIFS('Budget Data'!$J:$J,'Budget Data'!$E:$E,$B25,'Budget Data'!$C:$C,$B$4,'Budget Data'!$A:$A,"&gt;="&amp;U$19,'Budget Data'!$A:$A,"&lt;="&amp;EOMONTH(U$19,0))+SUMIFS('Budget Data'!$J:$J,'Budget Data'!$E:$E,$B25,'Budget Data'!$C:$C,$B$3,'Budget Data'!$A:$A,"&gt;="&amp;U$19,'Budget Data'!$A:$A,"&lt;="&amp;EOMONTH(U$19,0))+SUMIFS('Budget Data'!$J:$J,'Budget Data'!$E:$E,$B25,'Budget Data'!$C:$C,$B$5,'Budget Data'!$A:$A,"&gt;="&amp;U$19,'Budget Data'!$A:$A,"&lt;="&amp;EOMONTH(U$19,0))+SUMIFS('Budget Data'!$J:$J,'Budget Data'!$E:$E,$B25,'Budget Data'!$C:$C,$B$6,'Budget Data'!$A:$A,"&gt;="&amp;U$19,'Budget Data'!$A:$A,"&lt;="&amp;EOMONTH(U$19,0)))</f>
        <v>850</v>
      </c>
      <c r="V25" s="86">
        <f>-SUMPRODUCT(SUMIFS('Allocated Transactions'!$J:$J,'Allocated Transactions'!$D:$D,$B25,'Allocated Transactions'!$C:$C,$B$7,'Allocated Transactions'!$A:$A,"&gt;="&amp;V$19,'Allocated Transactions'!$A:$A,"&lt;="&amp;EOMONTH(V$19,0))+SUMIFS('Allocated Transactions'!$J:$J,'Allocated Transactions'!$D:$D,$B25,'Allocated Transactions'!$C:$C,$B$9,'Allocated Transactions'!$A:$A,"&gt;="&amp;V$19,'Allocated Transactions'!$A:$A,"&lt;="&amp;EOMONTH(V$19,0))+SUMIFS('Allocated Transactions'!$J:$J,'Allocated Transactions'!$D:$D,$B25,'Allocated Transactions'!$C:$C,$B$8,'Allocated Transactions'!$A:$A,"&gt;="&amp;V$19,'Allocated Transactions'!$A:$A,"&lt;="&amp;EOMONTH(V$19,0))+SUMIFS('Allocated Transactions'!$J:$J,'Allocated Transactions'!$D:$D,$B25,'Allocated Transactions'!$C:$C,$B$10,'Allocated Transactions'!$A:$A,"&gt;="&amp;V$19,'Allocated Transactions'!$A:$A,"&lt;="&amp;EOMONTH(V$19,0))+SUMIFS('Allocated Transactions'!$J:$J,'Allocated Transactions'!$D:$D,$B25,'Allocated Transactions'!$C:$C,$B$11,'Allocated Transactions'!$A:$A,"&gt;="&amp;V$19,'Allocated Transactions'!$A:$A,"&lt;="&amp;EOMONTH(V$19,0))+SUMIFS('Allocated Transactions'!$J:$J,'Allocated Transactions'!$D:$D,$B25,'Allocated Transactions'!$C:$C,$B$2,'Allocated Transactions'!$A:$A,"&gt;="&amp;V$19,'Allocated Transactions'!$A:$A,"&lt;="&amp;EOMONTH(V$19,0))+SUMIFS('Allocated Transactions'!$J:$J,'Allocated Transactions'!$D:$D,$B25,'Allocated Transactions'!$C:$C,$B$4,'Allocated Transactions'!$A:$A,"&gt;="&amp;V$19,'Allocated Transactions'!$A:$A,"&lt;="&amp;EOMONTH(V$19,0))+SUMIFS('Allocated Transactions'!$J:$J,'Allocated Transactions'!$D:$D,$B25,'Allocated Transactions'!$C:$C,$B$3,'Allocated Transactions'!$A:$A,"&gt;="&amp;V$19,'Allocated Transactions'!$A:$A,"&lt;="&amp;EOMONTH(V$19,0))+SUMIFS('Allocated Transactions'!$J:$J,'Allocated Transactions'!$D:$D,$B25,'Allocated Transactions'!$C:$C,$B$5,'Allocated Transactions'!$A:$A,"&gt;="&amp;V$19,'Allocated Transactions'!$A:$A,"&lt;="&amp;EOMONTH(V$19,0))+SUMIFS('Allocated Transactions'!$J:$J,'Allocated Transactions'!$D:$D,$B25,'Allocated Transactions'!$C:$C,$B$6,'Allocated Transactions'!$A:$A,"&gt;="&amp;V$19,'Allocated Transactions'!$A:$A,"&lt;="&amp;EOMONTH(V$19,0)))</f>
        <v>840</v>
      </c>
      <c r="W25" s="84">
        <f>SUMPRODUCT(SUMIFS('Budget Data'!$J:$J,'Budget Data'!$E:$E,$B25,'Budget Data'!$C:$C,$B$7,'Budget Data'!$A:$A,"&gt;="&amp;W$19,'Budget Data'!$A:$A,"&lt;="&amp;EOMONTH(W$19,0))+SUMIFS('Budget Data'!$J:$J,'Budget Data'!$E:$E,$B25,'Budget Data'!$C:$C,$B$9,'Budget Data'!$A:$A,"&gt;="&amp;W$19,'Budget Data'!$A:$A,"&lt;="&amp;EOMONTH(W$19,0))+SUMIFS('Budget Data'!$J:$J,'Budget Data'!$E:$E,$B25,'Budget Data'!$C:$C,$B$8,'Budget Data'!$A:$A,"&gt;="&amp;W$19,'Budget Data'!$A:$A,"&lt;="&amp;EOMONTH(W$19,0))+SUMIFS('Budget Data'!$J:$J,'Budget Data'!$E:$E,$B25,'Budget Data'!$C:$C,$B$10,'Budget Data'!$A:$A,"&gt;="&amp;W$19,'Budget Data'!$A:$A,"&lt;="&amp;EOMONTH(W$19,0))+SUMIFS('Budget Data'!$J:$J,'Budget Data'!$E:$E,$B25,'Budget Data'!$C:$C,$B$11,'Budget Data'!$A:$A,"&gt;="&amp;W$19,'Budget Data'!$A:$A,"&lt;="&amp;EOMONTH(W$19,0))+SUMIFS('Budget Data'!$J:$J,'Budget Data'!$E:$E,$B25,'Budget Data'!$C:$C,$B$2,'Budget Data'!$A:$A,"&gt;="&amp;W$19,'Budget Data'!$A:$A,"&lt;="&amp;EOMONTH(W$19,0))+SUMIFS('Budget Data'!$J:$J,'Budget Data'!$E:$E,$B25,'Budget Data'!$C:$C,$B$4,'Budget Data'!$A:$A,"&gt;="&amp;W$19,'Budget Data'!$A:$A,"&lt;="&amp;EOMONTH(W$19,0))+SUMIFS('Budget Data'!$J:$J,'Budget Data'!$E:$E,$B25,'Budget Data'!$C:$C,$B$3,'Budget Data'!$A:$A,"&gt;="&amp;W$19,'Budget Data'!$A:$A,"&lt;="&amp;EOMONTH(W$19,0))+SUMIFS('Budget Data'!$J:$J,'Budget Data'!$E:$E,$B25,'Budget Data'!$C:$C,$B$5,'Budget Data'!$A:$A,"&gt;="&amp;W$19,'Budget Data'!$A:$A,"&lt;="&amp;EOMONTH(W$19,0))+SUMIFS('Budget Data'!$J:$J,'Budget Data'!$E:$E,$B25,'Budget Data'!$C:$C,$B$6,'Budget Data'!$A:$A,"&gt;="&amp;W$19,'Budget Data'!$A:$A,"&lt;="&amp;EOMONTH(W$19,0)))</f>
        <v>850</v>
      </c>
      <c r="X25" s="86">
        <f>-SUMPRODUCT(SUMIFS('Allocated Transactions'!$J:$J,'Allocated Transactions'!$D:$D,$B25,'Allocated Transactions'!$C:$C,$B$7,'Allocated Transactions'!$A:$A,"&gt;="&amp;X$19,'Allocated Transactions'!$A:$A,"&lt;="&amp;EOMONTH(X$19,0))+SUMIFS('Allocated Transactions'!$J:$J,'Allocated Transactions'!$D:$D,$B25,'Allocated Transactions'!$C:$C,$B$9,'Allocated Transactions'!$A:$A,"&gt;="&amp;X$19,'Allocated Transactions'!$A:$A,"&lt;="&amp;EOMONTH(X$19,0))+SUMIFS('Allocated Transactions'!$J:$J,'Allocated Transactions'!$D:$D,$B25,'Allocated Transactions'!$C:$C,$B$8,'Allocated Transactions'!$A:$A,"&gt;="&amp;X$19,'Allocated Transactions'!$A:$A,"&lt;="&amp;EOMONTH(X$19,0))+SUMIFS('Allocated Transactions'!$J:$J,'Allocated Transactions'!$D:$D,$B25,'Allocated Transactions'!$C:$C,$B$10,'Allocated Transactions'!$A:$A,"&gt;="&amp;X$19,'Allocated Transactions'!$A:$A,"&lt;="&amp;EOMONTH(X$19,0))+SUMIFS('Allocated Transactions'!$J:$J,'Allocated Transactions'!$D:$D,$B25,'Allocated Transactions'!$C:$C,$B$11,'Allocated Transactions'!$A:$A,"&gt;="&amp;X$19,'Allocated Transactions'!$A:$A,"&lt;="&amp;EOMONTH(X$19,0))+SUMIFS('Allocated Transactions'!$J:$J,'Allocated Transactions'!$D:$D,$B25,'Allocated Transactions'!$C:$C,$B$2,'Allocated Transactions'!$A:$A,"&gt;="&amp;X$19,'Allocated Transactions'!$A:$A,"&lt;="&amp;EOMONTH(X$19,0))+SUMIFS('Allocated Transactions'!$J:$J,'Allocated Transactions'!$D:$D,$B25,'Allocated Transactions'!$C:$C,$B$4,'Allocated Transactions'!$A:$A,"&gt;="&amp;X$19,'Allocated Transactions'!$A:$A,"&lt;="&amp;EOMONTH(X$19,0))+SUMIFS('Allocated Transactions'!$J:$J,'Allocated Transactions'!$D:$D,$B25,'Allocated Transactions'!$C:$C,$B$3,'Allocated Transactions'!$A:$A,"&gt;="&amp;X$19,'Allocated Transactions'!$A:$A,"&lt;="&amp;EOMONTH(X$19,0))+SUMIFS('Allocated Transactions'!$J:$J,'Allocated Transactions'!$D:$D,$B25,'Allocated Transactions'!$C:$C,$B$5,'Allocated Transactions'!$A:$A,"&gt;="&amp;X$19,'Allocated Transactions'!$A:$A,"&lt;="&amp;EOMONTH(X$19,0))+SUMIFS('Allocated Transactions'!$J:$J,'Allocated Transactions'!$D:$D,$B25,'Allocated Transactions'!$C:$C,$B$6,'Allocated Transactions'!$A:$A,"&gt;="&amp;X$19,'Allocated Transactions'!$A:$A,"&lt;="&amp;EOMONTH(X$19,0)))</f>
        <v>1031.68</v>
      </c>
      <c r="Y25" s="84">
        <f>SUMPRODUCT(SUMIFS('Budget Data'!$J:$J,'Budget Data'!$E:$E,$B25,'Budget Data'!$C:$C,$B$7,'Budget Data'!$A:$A,"&gt;="&amp;Y$19,'Budget Data'!$A:$A,"&lt;="&amp;EOMONTH(Y$19,0))+SUMIFS('Budget Data'!$J:$J,'Budget Data'!$E:$E,$B25,'Budget Data'!$C:$C,$B$9,'Budget Data'!$A:$A,"&gt;="&amp;Y$19,'Budget Data'!$A:$A,"&lt;="&amp;EOMONTH(Y$19,0))+SUMIFS('Budget Data'!$J:$J,'Budget Data'!$E:$E,$B25,'Budget Data'!$C:$C,$B$8,'Budget Data'!$A:$A,"&gt;="&amp;Y$19,'Budget Data'!$A:$A,"&lt;="&amp;EOMONTH(Y$19,0))+SUMIFS('Budget Data'!$J:$J,'Budget Data'!$E:$E,$B25,'Budget Data'!$C:$C,$B$10,'Budget Data'!$A:$A,"&gt;="&amp;Y$19,'Budget Data'!$A:$A,"&lt;="&amp;EOMONTH(Y$19,0))+SUMIFS('Budget Data'!$J:$J,'Budget Data'!$E:$E,$B25,'Budget Data'!$C:$C,$B$11,'Budget Data'!$A:$A,"&gt;="&amp;Y$19,'Budget Data'!$A:$A,"&lt;="&amp;EOMONTH(Y$19,0))+SUMIFS('Budget Data'!$J:$J,'Budget Data'!$E:$E,$B25,'Budget Data'!$C:$C,$B$2,'Budget Data'!$A:$A,"&gt;="&amp;Y$19,'Budget Data'!$A:$A,"&lt;="&amp;EOMONTH(Y$19,0))+SUMIFS('Budget Data'!$J:$J,'Budget Data'!$E:$E,$B25,'Budget Data'!$C:$C,$B$4,'Budget Data'!$A:$A,"&gt;="&amp;Y$19,'Budget Data'!$A:$A,"&lt;="&amp;EOMONTH(Y$19,0))+SUMIFS('Budget Data'!$J:$J,'Budget Data'!$E:$E,$B25,'Budget Data'!$C:$C,$B$3,'Budget Data'!$A:$A,"&gt;="&amp;Y$19,'Budget Data'!$A:$A,"&lt;="&amp;EOMONTH(Y$19,0))+SUMIFS('Budget Data'!$J:$J,'Budget Data'!$E:$E,$B25,'Budget Data'!$C:$C,$B$5,'Budget Data'!$A:$A,"&gt;="&amp;Y$19,'Budget Data'!$A:$A,"&lt;="&amp;EOMONTH(Y$19,0))+SUMIFS('Budget Data'!$J:$J,'Budget Data'!$E:$E,$B25,'Budget Data'!$C:$C,$B$6,'Budget Data'!$A:$A,"&gt;="&amp;Y$19,'Budget Data'!$A:$A,"&lt;="&amp;EOMONTH(Y$19,0)))</f>
        <v>850</v>
      </c>
      <c r="Z25" s="86">
        <f>-SUMPRODUCT(SUMIFS('Allocated Transactions'!$J:$J,'Allocated Transactions'!$D:$D,$B25,'Allocated Transactions'!$C:$C,$B$7,'Allocated Transactions'!$A:$A,"&gt;="&amp;Z$19,'Allocated Transactions'!$A:$A,"&lt;="&amp;EOMONTH(Z$19,0))+SUMIFS('Allocated Transactions'!$J:$J,'Allocated Transactions'!$D:$D,$B25,'Allocated Transactions'!$C:$C,$B$9,'Allocated Transactions'!$A:$A,"&gt;="&amp;Z$19,'Allocated Transactions'!$A:$A,"&lt;="&amp;EOMONTH(Z$19,0))+SUMIFS('Allocated Transactions'!$J:$J,'Allocated Transactions'!$D:$D,$B25,'Allocated Transactions'!$C:$C,$B$8,'Allocated Transactions'!$A:$A,"&gt;="&amp;Z$19,'Allocated Transactions'!$A:$A,"&lt;="&amp;EOMONTH(Z$19,0))+SUMIFS('Allocated Transactions'!$J:$J,'Allocated Transactions'!$D:$D,$B25,'Allocated Transactions'!$C:$C,$B$10,'Allocated Transactions'!$A:$A,"&gt;="&amp;Z$19,'Allocated Transactions'!$A:$A,"&lt;="&amp;EOMONTH(Z$19,0))+SUMIFS('Allocated Transactions'!$J:$J,'Allocated Transactions'!$D:$D,$B25,'Allocated Transactions'!$C:$C,$B$11,'Allocated Transactions'!$A:$A,"&gt;="&amp;Z$19,'Allocated Transactions'!$A:$A,"&lt;="&amp;EOMONTH(Z$19,0))+SUMIFS('Allocated Transactions'!$J:$J,'Allocated Transactions'!$D:$D,$B25,'Allocated Transactions'!$C:$C,$B$2,'Allocated Transactions'!$A:$A,"&gt;="&amp;Z$19,'Allocated Transactions'!$A:$A,"&lt;="&amp;EOMONTH(Z$19,0))+SUMIFS('Allocated Transactions'!$J:$J,'Allocated Transactions'!$D:$D,$B25,'Allocated Transactions'!$C:$C,$B$4,'Allocated Transactions'!$A:$A,"&gt;="&amp;Z$19,'Allocated Transactions'!$A:$A,"&lt;="&amp;EOMONTH(Z$19,0))+SUMIFS('Allocated Transactions'!$J:$J,'Allocated Transactions'!$D:$D,$B25,'Allocated Transactions'!$C:$C,$B$3,'Allocated Transactions'!$A:$A,"&gt;="&amp;Z$19,'Allocated Transactions'!$A:$A,"&lt;="&amp;EOMONTH(Z$19,0))+SUMIFS('Allocated Transactions'!$J:$J,'Allocated Transactions'!$D:$D,$B25,'Allocated Transactions'!$C:$C,$B$5,'Allocated Transactions'!$A:$A,"&gt;="&amp;Z$19,'Allocated Transactions'!$A:$A,"&lt;="&amp;EOMONTH(Z$19,0))+SUMIFS('Allocated Transactions'!$J:$J,'Allocated Transactions'!$D:$D,$B25,'Allocated Transactions'!$C:$C,$B$6,'Allocated Transactions'!$A:$A,"&gt;="&amp;Z$19,'Allocated Transactions'!$A:$A,"&lt;="&amp;EOMONTH(Z$19,0)))</f>
        <v>1014.93</v>
      </c>
      <c r="AA25" s="84">
        <f>SUMPRODUCT(SUMIFS('Budget Data'!$J:$J,'Budget Data'!$E:$E,$B25,'Budget Data'!$C:$C,$B$7,'Budget Data'!$A:$A,"&gt;="&amp;AA$19,'Budget Data'!$A:$A,"&lt;="&amp;EOMONTH(AA$19,0))+SUMIFS('Budget Data'!$J:$J,'Budget Data'!$E:$E,$B25,'Budget Data'!$C:$C,$B$9,'Budget Data'!$A:$A,"&gt;="&amp;AA$19,'Budget Data'!$A:$A,"&lt;="&amp;EOMONTH(AA$19,0))+SUMIFS('Budget Data'!$J:$J,'Budget Data'!$E:$E,$B25,'Budget Data'!$C:$C,$B$8,'Budget Data'!$A:$A,"&gt;="&amp;AA$19,'Budget Data'!$A:$A,"&lt;="&amp;EOMONTH(AA$19,0))+SUMIFS('Budget Data'!$J:$J,'Budget Data'!$E:$E,$B25,'Budget Data'!$C:$C,$B$10,'Budget Data'!$A:$A,"&gt;="&amp;AA$19,'Budget Data'!$A:$A,"&lt;="&amp;EOMONTH(AA$19,0))+SUMIFS('Budget Data'!$J:$J,'Budget Data'!$E:$E,$B25,'Budget Data'!$C:$C,$B$11,'Budget Data'!$A:$A,"&gt;="&amp;AA$19,'Budget Data'!$A:$A,"&lt;="&amp;EOMONTH(AA$19,0))+SUMIFS('Budget Data'!$J:$J,'Budget Data'!$E:$E,$B25,'Budget Data'!$C:$C,$B$2,'Budget Data'!$A:$A,"&gt;="&amp;AA$19,'Budget Data'!$A:$A,"&lt;="&amp;EOMONTH(AA$19,0))+SUMIFS('Budget Data'!$J:$J,'Budget Data'!$E:$E,$B25,'Budget Data'!$C:$C,$B$4,'Budget Data'!$A:$A,"&gt;="&amp;AA$19,'Budget Data'!$A:$A,"&lt;="&amp;EOMONTH(AA$19,0))+SUMIFS('Budget Data'!$J:$J,'Budget Data'!$E:$E,$B25,'Budget Data'!$C:$C,$B$3,'Budget Data'!$A:$A,"&gt;="&amp;AA$19,'Budget Data'!$A:$A,"&lt;="&amp;EOMONTH(AA$19,0))+SUMIFS('Budget Data'!$J:$J,'Budget Data'!$E:$E,$B25,'Budget Data'!$C:$C,$B$5,'Budget Data'!$A:$A,"&gt;="&amp;AA$19,'Budget Data'!$A:$A,"&lt;="&amp;EOMONTH(AA$19,0))+SUMIFS('Budget Data'!$J:$J,'Budget Data'!$E:$E,$B25,'Budget Data'!$C:$C,$B$6,'Budget Data'!$A:$A,"&gt;="&amp;AA$19,'Budget Data'!$A:$A,"&lt;="&amp;EOMONTH(AA$19,0)))</f>
        <v>850</v>
      </c>
      <c r="AC25" s="87">
        <f t="shared" si="0"/>
        <v>10638.36</v>
      </c>
      <c r="AD25" s="84">
        <f t="shared" si="0"/>
        <v>10200</v>
      </c>
    </row>
    <row r="26" spans="2:30" ht="15" customHeight="1">
      <c r="B26" s="12" t="str">
        <v>4900</v>
      </c>
      <c r="C26" s="160" t="str">
        <f>_xlfn.XLOOKUP(B26,'Allocated Transactions'!D:D,'Allocated Transactions'!E:E,"")</f>
        <v>Other Revenue</v>
      </c>
      <c r="D26" s="86">
        <f>-SUMPRODUCT(SUMIFS('Allocated Transactions'!$J:$J,'Allocated Transactions'!$D:$D,$B26,'Allocated Transactions'!$C:$C,$B$7,'Allocated Transactions'!$A:$A,"&gt;="&amp;D$19,'Allocated Transactions'!$A:$A,"&lt;="&amp;EOMONTH(D$19,0))+SUMIFS('Allocated Transactions'!$J:$J,'Allocated Transactions'!$D:$D,$B26,'Allocated Transactions'!$C:$C,$B$9,'Allocated Transactions'!$A:$A,"&gt;="&amp;D$19,'Allocated Transactions'!$A:$A,"&lt;="&amp;EOMONTH(D$19,0))+SUMIFS('Allocated Transactions'!$J:$J,'Allocated Transactions'!$D:$D,$B26,'Allocated Transactions'!$C:$C,$B$8,'Allocated Transactions'!$A:$A,"&gt;="&amp;D$19,'Allocated Transactions'!$A:$A,"&lt;="&amp;EOMONTH(D$19,0))+SUMIFS('Allocated Transactions'!$J:$J,'Allocated Transactions'!$D:$D,$B26,'Allocated Transactions'!$C:$C,$B$10,'Allocated Transactions'!$A:$A,"&gt;="&amp;D$19,'Allocated Transactions'!$A:$A,"&lt;="&amp;EOMONTH(D$19,0))+SUMIFS('Allocated Transactions'!$J:$J,'Allocated Transactions'!$D:$D,$B26,'Allocated Transactions'!$C:$C,$B$11,'Allocated Transactions'!$A:$A,"&gt;="&amp;D$19,'Allocated Transactions'!$A:$A,"&lt;="&amp;EOMONTH(D$19,0))+SUMIFS('Allocated Transactions'!$J:$J,'Allocated Transactions'!$D:$D,$B26,'Allocated Transactions'!$C:$C,$B$2,'Allocated Transactions'!$A:$A,"&gt;="&amp;D$19,'Allocated Transactions'!$A:$A,"&lt;="&amp;EOMONTH(D$19,0))+SUMIFS('Allocated Transactions'!$J:$J,'Allocated Transactions'!$D:$D,$B26,'Allocated Transactions'!$C:$C,$B$4,'Allocated Transactions'!$A:$A,"&gt;="&amp;D$19,'Allocated Transactions'!$A:$A,"&lt;="&amp;EOMONTH(D$19,0))+SUMIFS('Allocated Transactions'!$J:$J,'Allocated Transactions'!$D:$D,$B26,'Allocated Transactions'!$C:$C,$B$3,'Allocated Transactions'!$A:$A,"&gt;="&amp;D$19,'Allocated Transactions'!$A:$A,"&lt;="&amp;EOMONTH(D$19,0))+SUMIFS('Allocated Transactions'!$J:$J,'Allocated Transactions'!$D:$D,$B26,'Allocated Transactions'!$C:$C,$B$5,'Allocated Transactions'!$A:$A,"&gt;="&amp;D$19,'Allocated Transactions'!$A:$A,"&lt;="&amp;EOMONTH(D$19,0))+SUMIFS('Allocated Transactions'!$J:$J,'Allocated Transactions'!$D:$D,$B26,'Allocated Transactions'!$C:$C,$B$6,'Allocated Transactions'!$A:$A,"&gt;="&amp;D$19,'Allocated Transactions'!$A:$A,"&lt;="&amp;EOMONTH(D$19,0)))</f>
        <v>0</v>
      </c>
      <c r="E26" s="84">
        <f>SUMPRODUCT(SUMIFS('Budget Data'!$J:$J,'Budget Data'!$E:$E,$B26,'Budget Data'!$C:$C,$B$7,'Budget Data'!$A:$A,"&gt;="&amp;E$19,'Budget Data'!$A:$A,"&lt;="&amp;EOMONTH(E$19,0))+SUMIFS('Budget Data'!$J:$J,'Budget Data'!$E:$E,$B26,'Budget Data'!$C:$C,$B$9,'Budget Data'!$A:$A,"&gt;="&amp;E$19,'Budget Data'!$A:$A,"&lt;="&amp;EOMONTH(E$19,0))+SUMIFS('Budget Data'!$J:$J,'Budget Data'!$E:$E,$B26,'Budget Data'!$C:$C,$B$8,'Budget Data'!$A:$A,"&gt;="&amp;E$19,'Budget Data'!$A:$A,"&lt;="&amp;EOMONTH(E$19,0))+SUMIFS('Budget Data'!$J:$J,'Budget Data'!$E:$E,$B26,'Budget Data'!$C:$C,$B$10,'Budget Data'!$A:$A,"&gt;="&amp;E$19,'Budget Data'!$A:$A,"&lt;="&amp;EOMONTH(E$19,0))+SUMIFS('Budget Data'!$J:$J,'Budget Data'!$E:$E,$B26,'Budget Data'!$C:$C,$B$11,'Budget Data'!$A:$A,"&gt;="&amp;E$19,'Budget Data'!$A:$A,"&lt;="&amp;EOMONTH(E$19,0))+SUMIFS('Budget Data'!$J:$J,'Budget Data'!$E:$E,$B26,'Budget Data'!$C:$C,$B$2,'Budget Data'!$A:$A,"&gt;="&amp;E$19,'Budget Data'!$A:$A,"&lt;="&amp;EOMONTH(E$19,0))+SUMIFS('Budget Data'!$J:$J,'Budget Data'!$E:$E,$B26,'Budget Data'!$C:$C,$B$4,'Budget Data'!$A:$A,"&gt;="&amp;E$19,'Budget Data'!$A:$A,"&lt;="&amp;EOMONTH(E$19,0))+SUMIFS('Budget Data'!$J:$J,'Budget Data'!$E:$E,$B26,'Budget Data'!$C:$C,$B$3,'Budget Data'!$A:$A,"&gt;="&amp;E$19,'Budget Data'!$A:$A,"&lt;="&amp;EOMONTH(E$19,0))+SUMIFS('Budget Data'!$J:$J,'Budget Data'!$E:$E,$B26,'Budget Data'!$C:$C,$B$5,'Budget Data'!$A:$A,"&gt;="&amp;E$19,'Budget Data'!$A:$A,"&lt;="&amp;EOMONTH(E$19,0))+SUMIFS('Budget Data'!$J:$J,'Budget Data'!$E:$E,$B26,'Budget Data'!$C:$C,$B$6,'Budget Data'!$A:$A,"&gt;="&amp;E$19,'Budget Data'!$A:$A,"&lt;="&amp;EOMONTH(E$19,0)))</f>
        <v>0</v>
      </c>
      <c r="F26" s="86">
        <f>-SUMPRODUCT(SUMIFS('Allocated Transactions'!$J:$J,'Allocated Transactions'!$D:$D,$B26,'Allocated Transactions'!$C:$C,$B$7,'Allocated Transactions'!$A:$A,"&gt;="&amp;F$19,'Allocated Transactions'!$A:$A,"&lt;="&amp;EOMONTH(F$19,0))+SUMIFS('Allocated Transactions'!$J:$J,'Allocated Transactions'!$D:$D,$B26,'Allocated Transactions'!$C:$C,$B$9,'Allocated Transactions'!$A:$A,"&gt;="&amp;F$19,'Allocated Transactions'!$A:$A,"&lt;="&amp;EOMONTH(F$19,0))+SUMIFS('Allocated Transactions'!$J:$J,'Allocated Transactions'!$D:$D,$B26,'Allocated Transactions'!$C:$C,$B$8,'Allocated Transactions'!$A:$A,"&gt;="&amp;F$19,'Allocated Transactions'!$A:$A,"&lt;="&amp;EOMONTH(F$19,0))+SUMIFS('Allocated Transactions'!$J:$J,'Allocated Transactions'!$D:$D,$B26,'Allocated Transactions'!$C:$C,$B$10,'Allocated Transactions'!$A:$A,"&gt;="&amp;F$19,'Allocated Transactions'!$A:$A,"&lt;="&amp;EOMONTH(F$19,0))+SUMIFS('Allocated Transactions'!$J:$J,'Allocated Transactions'!$D:$D,$B26,'Allocated Transactions'!$C:$C,$B$11,'Allocated Transactions'!$A:$A,"&gt;="&amp;F$19,'Allocated Transactions'!$A:$A,"&lt;="&amp;EOMONTH(F$19,0))+SUMIFS('Allocated Transactions'!$J:$J,'Allocated Transactions'!$D:$D,$B26,'Allocated Transactions'!$C:$C,$B$2,'Allocated Transactions'!$A:$A,"&gt;="&amp;F$19,'Allocated Transactions'!$A:$A,"&lt;="&amp;EOMONTH(F$19,0))+SUMIFS('Allocated Transactions'!$J:$J,'Allocated Transactions'!$D:$D,$B26,'Allocated Transactions'!$C:$C,$B$4,'Allocated Transactions'!$A:$A,"&gt;="&amp;F$19,'Allocated Transactions'!$A:$A,"&lt;="&amp;EOMONTH(F$19,0))+SUMIFS('Allocated Transactions'!$J:$J,'Allocated Transactions'!$D:$D,$B26,'Allocated Transactions'!$C:$C,$B$3,'Allocated Transactions'!$A:$A,"&gt;="&amp;F$19,'Allocated Transactions'!$A:$A,"&lt;="&amp;EOMONTH(F$19,0))+SUMIFS('Allocated Transactions'!$J:$J,'Allocated Transactions'!$D:$D,$B26,'Allocated Transactions'!$C:$C,$B$5,'Allocated Transactions'!$A:$A,"&gt;="&amp;F$19,'Allocated Transactions'!$A:$A,"&lt;="&amp;EOMONTH(F$19,0))+SUMIFS('Allocated Transactions'!$J:$J,'Allocated Transactions'!$D:$D,$B26,'Allocated Transactions'!$C:$C,$B$6,'Allocated Transactions'!$A:$A,"&gt;="&amp;F$19,'Allocated Transactions'!$A:$A,"&lt;="&amp;EOMONTH(F$19,0)))</f>
        <v>0</v>
      </c>
      <c r="G26" s="84">
        <f>SUMPRODUCT(SUMIFS('Budget Data'!$J:$J,'Budget Data'!$E:$E,$B26,'Budget Data'!$C:$C,$B$7,'Budget Data'!$A:$A,"&gt;="&amp;G$19,'Budget Data'!$A:$A,"&lt;="&amp;EOMONTH(G$19,0))+SUMIFS('Budget Data'!$J:$J,'Budget Data'!$E:$E,$B26,'Budget Data'!$C:$C,$B$9,'Budget Data'!$A:$A,"&gt;="&amp;G$19,'Budget Data'!$A:$A,"&lt;="&amp;EOMONTH(G$19,0))+SUMIFS('Budget Data'!$J:$J,'Budget Data'!$E:$E,$B26,'Budget Data'!$C:$C,$B$8,'Budget Data'!$A:$A,"&gt;="&amp;G$19,'Budget Data'!$A:$A,"&lt;="&amp;EOMONTH(G$19,0))+SUMIFS('Budget Data'!$J:$J,'Budget Data'!$E:$E,$B26,'Budget Data'!$C:$C,$B$10,'Budget Data'!$A:$A,"&gt;="&amp;G$19,'Budget Data'!$A:$A,"&lt;="&amp;EOMONTH(G$19,0))+SUMIFS('Budget Data'!$J:$J,'Budget Data'!$E:$E,$B26,'Budget Data'!$C:$C,$B$11,'Budget Data'!$A:$A,"&gt;="&amp;G$19,'Budget Data'!$A:$A,"&lt;="&amp;EOMONTH(G$19,0))+SUMIFS('Budget Data'!$J:$J,'Budget Data'!$E:$E,$B26,'Budget Data'!$C:$C,$B$2,'Budget Data'!$A:$A,"&gt;="&amp;G$19,'Budget Data'!$A:$A,"&lt;="&amp;EOMONTH(G$19,0))+SUMIFS('Budget Data'!$J:$J,'Budget Data'!$E:$E,$B26,'Budget Data'!$C:$C,$B$4,'Budget Data'!$A:$A,"&gt;="&amp;G$19,'Budget Data'!$A:$A,"&lt;="&amp;EOMONTH(G$19,0))+SUMIFS('Budget Data'!$J:$J,'Budget Data'!$E:$E,$B26,'Budget Data'!$C:$C,$B$3,'Budget Data'!$A:$A,"&gt;="&amp;G$19,'Budget Data'!$A:$A,"&lt;="&amp;EOMONTH(G$19,0))+SUMIFS('Budget Data'!$J:$J,'Budget Data'!$E:$E,$B26,'Budget Data'!$C:$C,$B$5,'Budget Data'!$A:$A,"&gt;="&amp;G$19,'Budget Data'!$A:$A,"&lt;="&amp;EOMONTH(G$19,0))+SUMIFS('Budget Data'!$J:$J,'Budget Data'!$E:$E,$B26,'Budget Data'!$C:$C,$B$6,'Budget Data'!$A:$A,"&gt;="&amp;G$19,'Budget Data'!$A:$A,"&lt;="&amp;EOMONTH(G$19,0)))</f>
        <v>0</v>
      </c>
      <c r="H26" s="86">
        <f>-SUMPRODUCT(SUMIFS('Allocated Transactions'!$J:$J,'Allocated Transactions'!$D:$D,$B26,'Allocated Transactions'!$C:$C,$B$7,'Allocated Transactions'!$A:$A,"&gt;="&amp;H$19,'Allocated Transactions'!$A:$A,"&lt;="&amp;EOMONTH(H$19,0))+SUMIFS('Allocated Transactions'!$J:$J,'Allocated Transactions'!$D:$D,$B26,'Allocated Transactions'!$C:$C,$B$9,'Allocated Transactions'!$A:$A,"&gt;="&amp;H$19,'Allocated Transactions'!$A:$A,"&lt;="&amp;EOMONTH(H$19,0))+SUMIFS('Allocated Transactions'!$J:$J,'Allocated Transactions'!$D:$D,$B26,'Allocated Transactions'!$C:$C,$B$8,'Allocated Transactions'!$A:$A,"&gt;="&amp;H$19,'Allocated Transactions'!$A:$A,"&lt;="&amp;EOMONTH(H$19,0))+SUMIFS('Allocated Transactions'!$J:$J,'Allocated Transactions'!$D:$D,$B26,'Allocated Transactions'!$C:$C,$B$10,'Allocated Transactions'!$A:$A,"&gt;="&amp;H$19,'Allocated Transactions'!$A:$A,"&lt;="&amp;EOMONTH(H$19,0))+SUMIFS('Allocated Transactions'!$J:$J,'Allocated Transactions'!$D:$D,$B26,'Allocated Transactions'!$C:$C,$B$11,'Allocated Transactions'!$A:$A,"&gt;="&amp;H$19,'Allocated Transactions'!$A:$A,"&lt;="&amp;EOMONTH(H$19,0))+SUMIFS('Allocated Transactions'!$J:$J,'Allocated Transactions'!$D:$D,$B26,'Allocated Transactions'!$C:$C,$B$2,'Allocated Transactions'!$A:$A,"&gt;="&amp;H$19,'Allocated Transactions'!$A:$A,"&lt;="&amp;EOMONTH(H$19,0))+SUMIFS('Allocated Transactions'!$J:$J,'Allocated Transactions'!$D:$D,$B26,'Allocated Transactions'!$C:$C,$B$4,'Allocated Transactions'!$A:$A,"&gt;="&amp;H$19,'Allocated Transactions'!$A:$A,"&lt;="&amp;EOMONTH(H$19,0))+SUMIFS('Allocated Transactions'!$J:$J,'Allocated Transactions'!$D:$D,$B26,'Allocated Transactions'!$C:$C,$B$3,'Allocated Transactions'!$A:$A,"&gt;="&amp;H$19,'Allocated Transactions'!$A:$A,"&lt;="&amp;EOMONTH(H$19,0))+SUMIFS('Allocated Transactions'!$J:$J,'Allocated Transactions'!$D:$D,$B26,'Allocated Transactions'!$C:$C,$B$5,'Allocated Transactions'!$A:$A,"&gt;="&amp;H$19,'Allocated Transactions'!$A:$A,"&lt;="&amp;EOMONTH(H$19,0))+SUMIFS('Allocated Transactions'!$J:$J,'Allocated Transactions'!$D:$D,$B26,'Allocated Transactions'!$C:$C,$B$6,'Allocated Transactions'!$A:$A,"&gt;="&amp;H$19,'Allocated Transactions'!$A:$A,"&lt;="&amp;EOMONTH(H$19,0)))</f>
        <v>0</v>
      </c>
      <c r="I26" s="84">
        <f>SUMPRODUCT(SUMIFS('Budget Data'!$J:$J,'Budget Data'!$E:$E,$B26,'Budget Data'!$C:$C,$B$7,'Budget Data'!$A:$A,"&gt;="&amp;I$19,'Budget Data'!$A:$A,"&lt;="&amp;EOMONTH(I$19,0))+SUMIFS('Budget Data'!$J:$J,'Budget Data'!$E:$E,$B26,'Budget Data'!$C:$C,$B$9,'Budget Data'!$A:$A,"&gt;="&amp;I$19,'Budget Data'!$A:$A,"&lt;="&amp;EOMONTH(I$19,0))+SUMIFS('Budget Data'!$J:$J,'Budget Data'!$E:$E,$B26,'Budget Data'!$C:$C,$B$8,'Budget Data'!$A:$A,"&gt;="&amp;I$19,'Budget Data'!$A:$A,"&lt;="&amp;EOMONTH(I$19,0))+SUMIFS('Budget Data'!$J:$J,'Budget Data'!$E:$E,$B26,'Budget Data'!$C:$C,$B$10,'Budget Data'!$A:$A,"&gt;="&amp;I$19,'Budget Data'!$A:$A,"&lt;="&amp;EOMONTH(I$19,0))+SUMIFS('Budget Data'!$J:$J,'Budget Data'!$E:$E,$B26,'Budget Data'!$C:$C,$B$11,'Budget Data'!$A:$A,"&gt;="&amp;I$19,'Budget Data'!$A:$A,"&lt;="&amp;EOMONTH(I$19,0))+SUMIFS('Budget Data'!$J:$J,'Budget Data'!$E:$E,$B26,'Budget Data'!$C:$C,$B$2,'Budget Data'!$A:$A,"&gt;="&amp;I$19,'Budget Data'!$A:$A,"&lt;="&amp;EOMONTH(I$19,0))+SUMIFS('Budget Data'!$J:$J,'Budget Data'!$E:$E,$B26,'Budget Data'!$C:$C,$B$4,'Budget Data'!$A:$A,"&gt;="&amp;I$19,'Budget Data'!$A:$A,"&lt;="&amp;EOMONTH(I$19,0))+SUMIFS('Budget Data'!$J:$J,'Budget Data'!$E:$E,$B26,'Budget Data'!$C:$C,$B$3,'Budget Data'!$A:$A,"&gt;="&amp;I$19,'Budget Data'!$A:$A,"&lt;="&amp;EOMONTH(I$19,0))+SUMIFS('Budget Data'!$J:$J,'Budget Data'!$E:$E,$B26,'Budget Data'!$C:$C,$B$5,'Budget Data'!$A:$A,"&gt;="&amp;I$19,'Budget Data'!$A:$A,"&lt;="&amp;EOMONTH(I$19,0))+SUMIFS('Budget Data'!$J:$J,'Budget Data'!$E:$E,$B26,'Budget Data'!$C:$C,$B$6,'Budget Data'!$A:$A,"&gt;="&amp;I$19,'Budget Data'!$A:$A,"&lt;="&amp;EOMONTH(I$19,0)))</f>
        <v>0</v>
      </c>
      <c r="J26" s="86">
        <f>-SUMPRODUCT(SUMIFS('Allocated Transactions'!$J:$J,'Allocated Transactions'!$D:$D,$B26,'Allocated Transactions'!$C:$C,$B$7,'Allocated Transactions'!$A:$A,"&gt;="&amp;J$19,'Allocated Transactions'!$A:$A,"&lt;="&amp;EOMONTH(J$19,0))+SUMIFS('Allocated Transactions'!$J:$J,'Allocated Transactions'!$D:$D,$B26,'Allocated Transactions'!$C:$C,$B$9,'Allocated Transactions'!$A:$A,"&gt;="&amp;J$19,'Allocated Transactions'!$A:$A,"&lt;="&amp;EOMONTH(J$19,0))+SUMIFS('Allocated Transactions'!$J:$J,'Allocated Transactions'!$D:$D,$B26,'Allocated Transactions'!$C:$C,$B$8,'Allocated Transactions'!$A:$A,"&gt;="&amp;J$19,'Allocated Transactions'!$A:$A,"&lt;="&amp;EOMONTH(J$19,0))+SUMIFS('Allocated Transactions'!$J:$J,'Allocated Transactions'!$D:$D,$B26,'Allocated Transactions'!$C:$C,$B$10,'Allocated Transactions'!$A:$A,"&gt;="&amp;J$19,'Allocated Transactions'!$A:$A,"&lt;="&amp;EOMONTH(J$19,0))+SUMIFS('Allocated Transactions'!$J:$J,'Allocated Transactions'!$D:$D,$B26,'Allocated Transactions'!$C:$C,$B$11,'Allocated Transactions'!$A:$A,"&gt;="&amp;J$19,'Allocated Transactions'!$A:$A,"&lt;="&amp;EOMONTH(J$19,0))+SUMIFS('Allocated Transactions'!$J:$J,'Allocated Transactions'!$D:$D,$B26,'Allocated Transactions'!$C:$C,$B$2,'Allocated Transactions'!$A:$A,"&gt;="&amp;J$19,'Allocated Transactions'!$A:$A,"&lt;="&amp;EOMONTH(J$19,0))+SUMIFS('Allocated Transactions'!$J:$J,'Allocated Transactions'!$D:$D,$B26,'Allocated Transactions'!$C:$C,$B$4,'Allocated Transactions'!$A:$A,"&gt;="&amp;J$19,'Allocated Transactions'!$A:$A,"&lt;="&amp;EOMONTH(J$19,0))+SUMIFS('Allocated Transactions'!$J:$J,'Allocated Transactions'!$D:$D,$B26,'Allocated Transactions'!$C:$C,$B$3,'Allocated Transactions'!$A:$A,"&gt;="&amp;J$19,'Allocated Transactions'!$A:$A,"&lt;="&amp;EOMONTH(J$19,0))+SUMIFS('Allocated Transactions'!$J:$J,'Allocated Transactions'!$D:$D,$B26,'Allocated Transactions'!$C:$C,$B$5,'Allocated Transactions'!$A:$A,"&gt;="&amp;J$19,'Allocated Transactions'!$A:$A,"&lt;="&amp;EOMONTH(J$19,0))+SUMIFS('Allocated Transactions'!$J:$J,'Allocated Transactions'!$D:$D,$B26,'Allocated Transactions'!$C:$C,$B$6,'Allocated Transactions'!$A:$A,"&gt;="&amp;J$19,'Allocated Transactions'!$A:$A,"&lt;="&amp;EOMONTH(J$19,0)))</f>
        <v>0</v>
      </c>
      <c r="K26" s="84">
        <f>SUMPRODUCT(SUMIFS('Budget Data'!$J:$J,'Budget Data'!$E:$E,$B26,'Budget Data'!$C:$C,$B$7,'Budget Data'!$A:$A,"&gt;="&amp;K$19,'Budget Data'!$A:$A,"&lt;="&amp;EOMONTH(K$19,0))+SUMIFS('Budget Data'!$J:$J,'Budget Data'!$E:$E,$B26,'Budget Data'!$C:$C,$B$9,'Budget Data'!$A:$A,"&gt;="&amp;K$19,'Budget Data'!$A:$A,"&lt;="&amp;EOMONTH(K$19,0))+SUMIFS('Budget Data'!$J:$J,'Budget Data'!$E:$E,$B26,'Budget Data'!$C:$C,$B$8,'Budget Data'!$A:$A,"&gt;="&amp;K$19,'Budget Data'!$A:$A,"&lt;="&amp;EOMONTH(K$19,0))+SUMIFS('Budget Data'!$J:$J,'Budget Data'!$E:$E,$B26,'Budget Data'!$C:$C,$B$10,'Budget Data'!$A:$A,"&gt;="&amp;K$19,'Budget Data'!$A:$A,"&lt;="&amp;EOMONTH(K$19,0))+SUMIFS('Budget Data'!$J:$J,'Budget Data'!$E:$E,$B26,'Budget Data'!$C:$C,$B$11,'Budget Data'!$A:$A,"&gt;="&amp;K$19,'Budget Data'!$A:$A,"&lt;="&amp;EOMONTH(K$19,0))+SUMIFS('Budget Data'!$J:$J,'Budget Data'!$E:$E,$B26,'Budget Data'!$C:$C,$B$2,'Budget Data'!$A:$A,"&gt;="&amp;K$19,'Budget Data'!$A:$A,"&lt;="&amp;EOMONTH(K$19,0))+SUMIFS('Budget Data'!$J:$J,'Budget Data'!$E:$E,$B26,'Budget Data'!$C:$C,$B$4,'Budget Data'!$A:$A,"&gt;="&amp;K$19,'Budget Data'!$A:$A,"&lt;="&amp;EOMONTH(K$19,0))+SUMIFS('Budget Data'!$J:$J,'Budget Data'!$E:$E,$B26,'Budget Data'!$C:$C,$B$3,'Budget Data'!$A:$A,"&gt;="&amp;K$19,'Budget Data'!$A:$A,"&lt;="&amp;EOMONTH(K$19,0))+SUMIFS('Budget Data'!$J:$J,'Budget Data'!$E:$E,$B26,'Budget Data'!$C:$C,$B$5,'Budget Data'!$A:$A,"&gt;="&amp;K$19,'Budget Data'!$A:$A,"&lt;="&amp;EOMONTH(K$19,0))+SUMIFS('Budget Data'!$J:$J,'Budget Data'!$E:$E,$B26,'Budget Data'!$C:$C,$B$6,'Budget Data'!$A:$A,"&gt;="&amp;K$19,'Budget Data'!$A:$A,"&lt;="&amp;EOMONTH(K$19,0)))</f>
        <v>0</v>
      </c>
      <c r="L26" s="86">
        <f>-SUMPRODUCT(SUMIFS('Allocated Transactions'!$J:$J,'Allocated Transactions'!$D:$D,$B26,'Allocated Transactions'!$C:$C,$B$7,'Allocated Transactions'!$A:$A,"&gt;="&amp;L$19,'Allocated Transactions'!$A:$A,"&lt;="&amp;EOMONTH(L$19,0))+SUMIFS('Allocated Transactions'!$J:$J,'Allocated Transactions'!$D:$D,$B26,'Allocated Transactions'!$C:$C,$B$9,'Allocated Transactions'!$A:$A,"&gt;="&amp;L$19,'Allocated Transactions'!$A:$A,"&lt;="&amp;EOMONTH(L$19,0))+SUMIFS('Allocated Transactions'!$J:$J,'Allocated Transactions'!$D:$D,$B26,'Allocated Transactions'!$C:$C,$B$8,'Allocated Transactions'!$A:$A,"&gt;="&amp;L$19,'Allocated Transactions'!$A:$A,"&lt;="&amp;EOMONTH(L$19,0))+SUMIFS('Allocated Transactions'!$J:$J,'Allocated Transactions'!$D:$D,$B26,'Allocated Transactions'!$C:$C,$B$10,'Allocated Transactions'!$A:$A,"&gt;="&amp;L$19,'Allocated Transactions'!$A:$A,"&lt;="&amp;EOMONTH(L$19,0))+SUMIFS('Allocated Transactions'!$J:$J,'Allocated Transactions'!$D:$D,$B26,'Allocated Transactions'!$C:$C,$B$11,'Allocated Transactions'!$A:$A,"&gt;="&amp;L$19,'Allocated Transactions'!$A:$A,"&lt;="&amp;EOMONTH(L$19,0))+SUMIFS('Allocated Transactions'!$J:$J,'Allocated Transactions'!$D:$D,$B26,'Allocated Transactions'!$C:$C,$B$2,'Allocated Transactions'!$A:$A,"&gt;="&amp;L$19,'Allocated Transactions'!$A:$A,"&lt;="&amp;EOMONTH(L$19,0))+SUMIFS('Allocated Transactions'!$J:$J,'Allocated Transactions'!$D:$D,$B26,'Allocated Transactions'!$C:$C,$B$4,'Allocated Transactions'!$A:$A,"&gt;="&amp;L$19,'Allocated Transactions'!$A:$A,"&lt;="&amp;EOMONTH(L$19,0))+SUMIFS('Allocated Transactions'!$J:$J,'Allocated Transactions'!$D:$D,$B26,'Allocated Transactions'!$C:$C,$B$3,'Allocated Transactions'!$A:$A,"&gt;="&amp;L$19,'Allocated Transactions'!$A:$A,"&lt;="&amp;EOMONTH(L$19,0))+SUMIFS('Allocated Transactions'!$J:$J,'Allocated Transactions'!$D:$D,$B26,'Allocated Transactions'!$C:$C,$B$5,'Allocated Transactions'!$A:$A,"&gt;="&amp;L$19,'Allocated Transactions'!$A:$A,"&lt;="&amp;EOMONTH(L$19,0))+SUMIFS('Allocated Transactions'!$J:$J,'Allocated Transactions'!$D:$D,$B26,'Allocated Transactions'!$C:$C,$B$6,'Allocated Transactions'!$A:$A,"&gt;="&amp;L$19,'Allocated Transactions'!$A:$A,"&lt;="&amp;EOMONTH(L$19,0)))</f>
        <v>0</v>
      </c>
      <c r="M26" s="84">
        <f>SUMPRODUCT(SUMIFS('Budget Data'!$J:$J,'Budget Data'!$E:$E,$B26,'Budget Data'!$C:$C,$B$7,'Budget Data'!$A:$A,"&gt;="&amp;M$19,'Budget Data'!$A:$A,"&lt;="&amp;EOMONTH(M$19,0))+SUMIFS('Budget Data'!$J:$J,'Budget Data'!$E:$E,$B26,'Budget Data'!$C:$C,$B$9,'Budget Data'!$A:$A,"&gt;="&amp;M$19,'Budget Data'!$A:$A,"&lt;="&amp;EOMONTH(M$19,0))+SUMIFS('Budget Data'!$J:$J,'Budget Data'!$E:$E,$B26,'Budget Data'!$C:$C,$B$8,'Budget Data'!$A:$A,"&gt;="&amp;M$19,'Budget Data'!$A:$A,"&lt;="&amp;EOMONTH(M$19,0))+SUMIFS('Budget Data'!$J:$J,'Budget Data'!$E:$E,$B26,'Budget Data'!$C:$C,$B$10,'Budget Data'!$A:$A,"&gt;="&amp;M$19,'Budget Data'!$A:$A,"&lt;="&amp;EOMONTH(M$19,0))+SUMIFS('Budget Data'!$J:$J,'Budget Data'!$E:$E,$B26,'Budget Data'!$C:$C,$B$11,'Budget Data'!$A:$A,"&gt;="&amp;M$19,'Budget Data'!$A:$A,"&lt;="&amp;EOMONTH(M$19,0))+SUMIFS('Budget Data'!$J:$J,'Budget Data'!$E:$E,$B26,'Budget Data'!$C:$C,$B$2,'Budget Data'!$A:$A,"&gt;="&amp;M$19,'Budget Data'!$A:$A,"&lt;="&amp;EOMONTH(M$19,0))+SUMIFS('Budget Data'!$J:$J,'Budget Data'!$E:$E,$B26,'Budget Data'!$C:$C,$B$4,'Budget Data'!$A:$A,"&gt;="&amp;M$19,'Budget Data'!$A:$A,"&lt;="&amp;EOMONTH(M$19,0))+SUMIFS('Budget Data'!$J:$J,'Budget Data'!$E:$E,$B26,'Budget Data'!$C:$C,$B$3,'Budget Data'!$A:$A,"&gt;="&amp;M$19,'Budget Data'!$A:$A,"&lt;="&amp;EOMONTH(M$19,0))+SUMIFS('Budget Data'!$J:$J,'Budget Data'!$E:$E,$B26,'Budget Data'!$C:$C,$B$5,'Budget Data'!$A:$A,"&gt;="&amp;M$19,'Budget Data'!$A:$A,"&lt;="&amp;EOMONTH(M$19,0))+SUMIFS('Budget Data'!$J:$J,'Budget Data'!$E:$E,$B26,'Budget Data'!$C:$C,$B$6,'Budget Data'!$A:$A,"&gt;="&amp;M$19,'Budget Data'!$A:$A,"&lt;="&amp;EOMONTH(M$19,0)))</f>
        <v>0</v>
      </c>
      <c r="N26" s="86">
        <f>-SUMPRODUCT(SUMIFS('Allocated Transactions'!$J:$J,'Allocated Transactions'!$D:$D,$B26,'Allocated Transactions'!$C:$C,$B$7,'Allocated Transactions'!$A:$A,"&gt;="&amp;N$19,'Allocated Transactions'!$A:$A,"&lt;="&amp;EOMONTH(N$19,0))+SUMIFS('Allocated Transactions'!$J:$J,'Allocated Transactions'!$D:$D,$B26,'Allocated Transactions'!$C:$C,$B$9,'Allocated Transactions'!$A:$A,"&gt;="&amp;N$19,'Allocated Transactions'!$A:$A,"&lt;="&amp;EOMONTH(N$19,0))+SUMIFS('Allocated Transactions'!$J:$J,'Allocated Transactions'!$D:$D,$B26,'Allocated Transactions'!$C:$C,$B$8,'Allocated Transactions'!$A:$A,"&gt;="&amp;N$19,'Allocated Transactions'!$A:$A,"&lt;="&amp;EOMONTH(N$19,0))+SUMIFS('Allocated Transactions'!$J:$J,'Allocated Transactions'!$D:$D,$B26,'Allocated Transactions'!$C:$C,$B$10,'Allocated Transactions'!$A:$A,"&gt;="&amp;N$19,'Allocated Transactions'!$A:$A,"&lt;="&amp;EOMONTH(N$19,0))+SUMIFS('Allocated Transactions'!$J:$J,'Allocated Transactions'!$D:$D,$B26,'Allocated Transactions'!$C:$C,$B$11,'Allocated Transactions'!$A:$A,"&gt;="&amp;N$19,'Allocated Transactions'!$A:$A,"&lt;="&amp;EOMONTH(N$19,0))+SUMIFS('Allocated Transactions'!$J:$J,'Allocated Transactions'!$D:$D,$B26,'Allocated Transactions'!$C:$C,$B$2,'Allocated Transactions'!$A:$A,"&gt;="&amp;N$19,'Allocated Transactions'!$A:$A,"&lt;="&amp;EOMONTH(N$19,0))+SUMIFS('Allocated Transactions'!$J:$J,'Allocated Transactions'!$D:$D,$B26,'Allocated Transactions'!$C:$C,$B$4,'Allocated Transactions'!$A:$A,"&gt;="&amp;N$19,'Allocated Transactions'!$A:$A,"&lt;="&amp;EOMONTH(N$19,0))+SUMIFS('Allocated Transactions'!$J:$J,'Allocated Transactions'!$D:$D,$B26,'Allocated Transactions'!$C:$C,$B$3,'Allocated Transactions'!$A:$A,"&gt;="&amp;N$19,'Allocated Transactions'!$A:$A,"&lt;="&amp;EOMONTH(N$19,0))+SUMIFS('Allocated Transactions'!$J:$J,'Allocated Transactions'!$D:$D,$B26,'Allocated Transactions'!$C:$C,$B$5,'Allocated Transactions'!$A:$A,"&gt;="&amp;N$19,'Allocated Transactions'!$A:$A,"&lt;="&amp;EOMONTH(N$19,0))+SUMIFS('Allocated Transactions'!$J:$J,'Allocated Transactions'!$D:$D,$B26,'Allocated Transactions'!$C:$C,$B$6,'Allocated Transactions'!$A:$A,"&gt;="&amp;N$19,'Allocated Transactions'!$A:$A,"&lt;="&amp;EOMONTH(N$19,0)))</f>
        <v>0</v>
      </c>
      <c r="O26" s="84">
        <f>SUMPRODUCT(SUMIFS('Budget Data'!$J:$J,'Budget Data'!$E:$E,$B26,'Budget Data'!$C:$C,$B$7,'Budget Data'!$A:$A,"&gt;="&amp;O$19,'Budget Data'!$A:$A,"&lt;="&amp;EOMONTH(O$19,0))+SUMIFS('Budget Data'!$J:$J,'Budget Data'!$E:$E,$B26,'Budget Data'!$C:$C,$B$9,'Budget Data'!$A:$A,"&gt;="&amp;O$19,'Budget Data'!$A:$A,"&lt;="&amp;EOMONTH(O$19,0))+SUMIFS('Budget Data'!$J:$J,'Budget Data'!$E:$E,$B26,'Budget Data'!$C:$C,$B$8,'Budget Data'!$A:$A,"&gt;="&amp;O$19,'Budget Data'!$A:$A,"&lt;="&amp;EOMONTH(O$19,0))+SUMIFS('Budget Data'!$J:$J,'Budget Data'!$E:$E,$B26,'Budget Data'!$C:$C,$B$10,'Budget Data'!$A:$A,"&gt;="&amp;O$19,'Budget Data'!$A:$A,"&lt;="&amp;EOMONTH(O$19,0))+SUMIFS('Budget Data'!$J:$J,'Budget Data'!$E:$E,$B26,'Budget Data'!$C:$C,$B$11,'Budget Data'!$A:$A,"&gt;="&amp;O$19,'Budget Data'!$A:$A,"&lt;="&amp;EOMONTH(O$19,0))+SUMIFS('Budget Data'!$J:$J,'Budget Data'!$E:$E,$B26,'Budget Data'!$C:$C,$B$2,'Budget Data'!$A:$A,"&gt;="&amp;O$19,'Budget Data'!$A:$A,"&lt;="&amp;EOMONTH(O$19,0))+SUMIFS('Budget Data'!$J:$J,'Budget Data'!$E:$E,$B26,'Budget Data'!$C:$C,$B$4,'Budget Data'!$A:$A,"&gt;="&amp;O$19,'Budget Data'!$A:$A,"&lt;="&amp;EOMONTH(O$19,0))+SUMIFS('Budget Data'!$J:$J,'Budget Data'!$E:$E,$B26,'Budget Data'!$C:$C,$B$3,'Budget Data'!$A:$A,"&gt;="&amp;O$19,'Budget Data'!$A:$A,"&lt;="&amp;EOMONTH(O$19,0))+SUMIFS('Budget Data'!$J:$J,'Budget Data'!$E:$E,$B26,'Budget Data'!$C:$C,$B$5,'Budget Data'!$A:$A,"&gt;="&amp;O$19,'Budget Data'!$A:$A,"&lt;="&amp;EOMONTH(O$19,0))+SUMIFS('Budget Data'!$J:$J,'Budget Data'!$E:$E,$B26,'Budget Data'!$C:$C,$B$6,'Budget Data'!$A:$A,"&gt;="&amp;O$19,'Budget Data'!$A:$A,"&lt;="&amp;EOMONTH(O$19,0)))</f>
        <v>0</v>
      </c>
      <c r="P26" s="86">
        <f>-SUMPRODUCT(SUMIFS('Allocated Transactions'!$J:$J,'Allocated Transactions'!$D:$D,$B26,'Allocated Transactions'!$C:$C,$B$7,'Allocated Transactions'!$A:$A,"&gt;="&amp;P$19,'Allocated Transactions'!$A:$A,"&lt;="&amp;EOMONTH(P$19,0))+SUMIFS('Allocated Transactions'!$J:$J,'Allocated Transactions'!$D:$D,$B26,'Allocated Transactions'!$C:$C,$B$9,'Allocated Transactions'!$A:$A,"&gt;="&amp;P$19,'Allocated Transactions'!$A:$A,"&lt;="&amp;EOMONTH(P$19,0))+SUMIFS('Allocated Transactions'!$J:$J,'Allocated Transactions'!$D:$D,$B26,'Allocated Transactions'!$C:$C,$B$8,'Allocated Transactions'!$A:$A,"&gt;="&amp;P$19,'Allocated Transactions'!$A:$A,"&lt;="&amp;EOMONTH(P$19,0))+SUMIFS('Allocated Transactions'!$J:$J,'Allocated Transactions'!$D:$D,$B26,'Allocated Transactions'!$C:$C,$B$10,'Allocated Transactions'!$A:$A,"&gt;="&amp;P$19,'Allocated Transactions'!$A:$A,"&lt;="&amp;EOMONTH(P$19,0))+SUMIFS('Allocated Transactions'!$J:$J,'Allocated Transactions'!$D:$D,$B26,'Allocated Transactions'!$C:$C,$B$11,'Allocated Transactions'!$A:$A,"&gt;="&amp;P$19,'Allocated Transactions'!$A:$A,"&lt;="&amp;EOMONTH(P$19,0))+SUMIFS('Allocated Transactions'!$J:$J,'Allocated Transactions'!$D:$D,$B26,'Allocated Transactions'!$C:$C,$B$2,'Allocated Transactions'!$A:$A,"&gt;="&amp;P$19,'Allocated Transactions'!$A:$A,"&lt;="&amp;EOMONTH(P$19,0))+SUMIFS('Allocated Transactions'!$J:$J,'Allocated Transactions'!$D:$D,$B26,'Allocated Transactions'!$C:$C,$B$4,'Allocated Transactions'!$A:$A,"&gt;="&amp;P$19,'Allocated Transactions'!$A:$A,"&lt;="&amp;EOMONTH(P$19,0))+SUMIFS('Allocated Transactions'!$J:$J,'Allocated Transactions'!$D:$D,$B26,'Allocated Transactions'!$C:$C,$B$3,'Allocated Transactions'!$A:$A,"&gt;="&amp;P$19,'Allocated Transactions'!$A:$A,"&lt;="&amp;EOMONTH(P$19,0))+SUMIFS('Allocated Transactions'!$J:$J,'Allocated Transactions'!$D:$D,$B26,'Allocated Transactions'!$C:$C,$B$5,'Allocated Transactions'!$A:$A,"&gt;="&amp;P$19,'Allocated Transactions'!$A:$A,"&lt;="&amp;EOMONTH(P$19,0))+SUMIFS('Allocated Transactions'!$J:$J,'Allocated Transactions'!$D:$D,$B26,'Allocated Transactions'!$C:$C,$B$6,'Allocated Transactions'!$A:$A,"&gt;="&amp;P$19,'Allocated Transactions'!$A:$A,"&lt;="&amp;EOMONTH(P$19,0)))</f>
        <v>790.79</v>
      </c>
      <c r="Q26" s="84">
        <f>SUMPRODUCT(SUMIFS('Budget Data'!$J:$J,'Budget Data'!$E:$E,$B26,'Budget Data'!$C:$C,$B$7,'Budget Data'!$A:$A,"&gt;="&amp;Q$19,'Budget Data'!$A:$A,"&lt;="&amp;EOMONTH(Q$19,0))+SUMIFS('Budget Data'!$J:$J,'Budget Data'!$E:$E,$B26,'Budget Data'!$C:$C,$B$9,'Budget Data'!$A:$A,"&gt;="&amp;Q$19,'Budget Data'!$A:$A,"&lt;="&amp;EOMONTH(Q$19,0))+SUMIFS('Budget Data'!$J:$J,'Budget Data'!$E:$E,$B26,'Budget Data'!$C:$C,$B$8,'Budget Data'!$A:$A,"&gt;="&amp;Q$19,'Budget Data'!$A:$A,"&lt;="&amp;EOMONTH(Q$19,0))+SUMIFS('Budget Data'!$J:$J,'Budget Data'!$E:$E,$B26,'Budget Data'!$C:$C,$B$10,'Budget Data'!$A:$A,"&gt;="&amp;Q$19,'Budget Data'!$A:$A,"&lt;="&amp;EOMONTH(Q$19,0))+SUMIFS('Budget Data'!$J:$J,'Budget Data'!$E:$E,$B26,'Budget Data'!$C:$C,$B$11,'Budget Data'!$A:$A,"&gt;="&amp;Q$19,'Budget Data'!$A:$A,"&lt;="&amp;EOMONTH(Q$19,0))+SUMIFS('Budget Data'!$J:$J,'Budget Data'!$E:$E,$B26,'Budget Data'!$C:$C,$B$2,'Budget Data'!$A:$A,"&gt;="&amp;Q$19,'Budget Data'!$A:$A,"&lt;="&amp;EOMONTH(Q$19,0))+SUMIFS('Budget Data'!$J:$J,'Budget Data'!$E:$E,$B26,'Budget Data'!$C:$C,$B$4,'Budget Data'!$A:$A,"&gt;="&amp;Q$19,'Budget Data'!$A:$A,"&lt;="&amp;EOMONTH(Q$19,0))+SUMIFS('Budget Data'!$J:$J,'Budget Data'!$E:$E,$B26,'Budget Data'!$C:$C,$B$3,'Budget Data'!$A:$A,"&gt;="&amp;Q$19,'Budget Data'!$A:$A,"&lt;="&amp;EOMONTH(Q$19,0))+SUMIFS('Budget Data'!$J:$J,'Budget Data'!$E:$E,$B26,'Budget Data'!$C:$C,$B$5,'Budget Data'!$A:$A,"&gt;="&amp;Q$19,'Budget Data'!$A:$A,"&lt;="&amp;EOMONTH(Q$19,0))+SUMIFS('Budget Data'!$J:$J,'Budget Data'!$E:$E,$B26,'Budget Data'!$C:$C,$B$6,'Budget Data'!$A:$A,"&gt;="&amp;Q$19,'Budget Data'!$A:$A,"&lt;="&amp;EOMONTH(Q$19,0)))</f>
        <v>830.33</v>
      </c>
      <c r="R26" s="86">
        <f>-SUMPRODUCT(SUMIFS('Allocated Transactions'!$J:$J,'Allocated Transactions'!$D:$D,$B26,'Allocated Transactions'!$C:$C,$B$7,'Allocated Transactions'!$A:$A,"&gt;="&amp;R$19,'Allocated Transactions'!$A:$A,"&lt;="&amp;EOMONTH(R$19,0))+SUMIFS('Allocated Transactions'!$J:$J,'Allocated Transactions'!$D:$D,$B26,'Allocated Transactions'!$C:$C,$B$9,'Allocated Transactions'!$A:$A,"&gt;="&amp;R$19,'Allocated Transactions'!$A:$A,"&lt;="&amp;EOMONTH(R$19,0))+SUMIFS('Allocated Transactions'!$J:$J,'Allocated Transactions'!$D:$D,$B26,'Allocated Transactions'!$C:$C,$B$8,'Allocated Transactions'!$A:$A,"&gt;="&amp;R$19,'Allocated Transactions'!$A:$A,"&lt;="&amp;EOMONTH(R$19,0))+SUMIFS('Allocated Transactions'!$J:$J,'Allocated Transactions'!$D:$D,$B26,'Allocated Transactions'!$C:$C,$B$10,'Allocated Transactions'!$A:$A,"&gt;="&amp;R$19,'Allocated Transactions'!$A:$A,"&lt;="&amp;EOMONTH(R$19,0))+SUMIFS('Allocated Transactions'!$J:$J,'Allocated Transactions'!$D:$D,$B26,'Allocated Transactions'!$C:$C,$B$11,'Allocated Transactions'!$A:$A,"&gt;="&amp;R$19,'Allocated Transactions'!$A:$A,"&lt;="&amp;EOMONTH(R$19,0))+SUMIFS('Allocated Transactions'!$J:$J,'Allocated Transactions'!$D:$D,$B26,'Allocated Transactions'!$C:$C,$B$2,'Allocated Transactions'!$A:$A,"&gt;="&amp;R$19,'Allocated Transactions'!$A:$A,"&lt;="&amp;EOMONTH(R$19,0))+SUMIFS('Allocated Transactions'!$J:$J,'Allocated Transactions'!$D:$D,$B26,'Allocated Transactions'!$C:$C,$B$4,'Allocated Transactions'!$A:$A,"&gt;="&amp;R$19,'Allocated Transactions'!$A:$A,"&lt;="&amp;EOMONTH(R$19,0))+SUMIFS('Allocated Transactions'!$J:$J,'Allocated Transactions'!$D:$D,$B26,'Allocated Transactions'!$C:$C,$B$3,'Allocated Transactions'!$A:$A,"&gt;="&amp;R$19,'Allocated Transactions'!$A:$A,"&lt;="&amp;EOMONTH(R$19,0))+SUMIFS('Allocated Transactions'!$J:$J,'Allocated Transactions'!$D:$D,$B26,'Allocated Transactions'!$C:$C,$B$5,'Allocated Transactions'!$A:$A,"&gt;="&amp;R$19,'Allocated Transactions'!$A:$A,"&lt;="&amp;EOMONTH(R$19,0))+SUMIFS('Allocated Transactions'!$J:$J,'Allocated Transactions'!$D:$D,$B26,'Allocated Transactions'!$C:$C,$B$6,'Allocated Transactions'!$A:$A,"&gt;="&amp;R$19,'Allocated Transactions'!$A:$A,"&lt;="&amp;EOMONTH(R$19,0)))</f>
        <v>0</v>
      </c>
      <c r="S26" s="84">
        <f>SUMPRODUCT(SUMIFS('Budget Data'!$J:$J,'Budget Data'!$E:$E,$B26,'Budget Data'!$C:$C,$B$7,'Budget Data'!$A:$A,"&gt;="&amp;S$19,'Budget Data'!$A:$A,"&lt;="&amp;EOMONTH(S$19,0))+SUMIFS('Budget Data'!$J:$J,'Budget Data'!$E:$E,$B26,'Budget Data'!$C:$C,$B$9,'Budget Data'!$A:$A,"&gt;="&amp;S$19,'Budget Data'!$A:$A,"&lt;="&amp;EOMONTH(S$19,0))+SUMIFS('Budget Data'!$J:$J,'Budget Data'!$E:$E,$B26,'Budget Data'!$C:$C,$B$8,'Budget Data'!$A:$A,"&gt;="&amp;S$19,'Budget Data'!$A:$A,"&lt;="&amp;EOMONTH(S$19,0))+SUMIFS('Budget Data'!$J:$J,'Budget Data'!$E:$E,$B26,'Budget Data'!$C:$C,$B$10,'Budget Data'!$A:$A,"&gt;="&amp;S$19,'Budget Data'!$A:$A,"&lt;="&amp;EOMONTH(S$19,0))+SUMIFS('Budget Data'!$J:$J,'Budget Data'!$E:$E,$B26,'Budget Data'!$C:$C,$B$11,'Budget Data'!$A:$A,"&gt;="&amp;S$19,'Budget Data'!$A:$A,"&lt;="&amp;EOMONTH(S$19,0))+SUMIFS('Budget Data'!$J:$J,'Budget Data'!$E:$E,$B26,'Budget Data'!$C:$C,$B$2,'Budget Data'!$A:$A,"&gt;="&amp;S$19,'Budget Data'!$A:$A,"&lt;="&amp;EOMONTH(S$19,0))+SUMIFS('Budget Data'!$J:$J,'Budget Data'!$E:$E,$B26,'Budget Data'!$C:$C,$B$4,'Budget Data'!$A:$A,"&gt;="&amp;S$19,'Budget Data'!$A:$A,"&lt;="&amp;EOMONTH(S$19,0))+SUMIFS('Budget Data'!$J:$J,'Budget Data'!$E:$E,$B26,'Budget Data'!$C:$C,$B$3,'Budget Data'!$A:$A,"&gt;="&amp;S$19,'Budget Data'!$A:$A,"&lt;="&amp;EOMONTH(S$19,0))+SUMIFS('Budget Data'!$J:$J,'Budget Data'!$E:$E,$B26,'Budget Data'!$C:$C,$B$5,'Budget Data'!$A:$A,"&gt;="&amp;S$19,'Budget Data'!$A:$A,"&lt;="&amp;EOMONTH(S$19,0))+SUMIFS('Budget Data'!$J:$J,'Budget Data'!$E:$E,$B26,'Budget Data'!$C:$C,$B$6,'Budget Data'!$A:$A,"&gt;="&amp;S$19,'Budget Data'!$A:$A,"&lt;="&amp;EOMONTH(S$19,0)))</f>
        <v>0</v>
      </c>
      <c r="T26" s="86">
        <f>-SUMPRODUCT(SUMIFS('Allocated Transactions'!$J:$J,'Allocated Transactions'!$D:$D,$B26,'Allocated Transactions'!$C:$C,$B$7,'Allocated Transactions'!$A:$A,"&gt;="&amp;T$19,'Allocated Transactions'!$A:$A,"&lt;="&amp;EOMONTH(T$19,0))+SUMIFS('Allocated Transactions'!$J:$J,'Allocated Transactions'!$D:$D,$B26,'Allocated Transactions'!$C:$C,$B$9,'Allocated Transactions'!$A:$A,"&gt;="&amp;T$19,'Allocated Transactions'!$A:$A,"&lt;="&amp;EOMONTH(T$19,0))+SUMIFS('Allocated Transactions'!$J:$J,'Allocated Transactions'!$D:$D,$B26,'Allocated Transactions'!$C:$C,$B$8,'Allocated Transactions'!$A:$A,"&gt;="&amp;T$19,'Allocated Transactions'!$A:$A,"&lt;="&amp;EOMONTH(T$19,0))+SUMIFS('Allocated Transactions'!$J:$J,'Allocated Transactions'!$D:$D,$B26,'Allocated Transactions'!$C:$C,$B$10,'Allocated Transactions'!$A:$A,"&gt;="&amp;T$19,'Allocated Transactions'!$A:$A,"&lt;="&amp;EOMONTH(T$19,0))+SUMIFS('Allocated Transactions'!$J:$J,'Allocated Transactions'!$D:$D,$B26,'Allocated Transactions'!$C:$C,$B$11,'Allocated Transactions'!$A:$A,"&gt;="&amp;T$19,'Allocated Transactions'!$A:$A,"&lt;="&amp;EOMONTH(T$19,0))+SUMIFS('Allocated Transactions'!$J:$J,'Allocated Transactions'!$D:$D,$B26,'Allocated Transactions'!$C:$C,$B$2,'Allocated Transactions'!$A:$A,"&gt;="&amp;T$19,'Allocated Transactions'!$A:$A,"&lt;="&amp;EOMONTH(T$19,0))+SUMIFS('Allocated Transactions'!$J:$J,'Allocated Transactions'!$D:$D,$B26,'Allocated Transactions'!$C:$C,$B$4,'Allocated Transactions'!$A:$A,"&gt;="&amp;T$19,'Allocated Transactions'!$A:$A,"&lt;="&amp;EOMONTH(T$19,0))+SUMIFS('Allocated Transactions'!$J:$J,'Allocated Transactions'!$D:$D,$B26,'Allocated Transactions'!$C:$C,$B$3,'Allocated Transactions'!$A:$A,"&gt;="&amp;T$19,'Allocated Transactions'!$A:$A,"&lt;="&amp;EOMONTH(T$19,0))+SUMIFS('Allocated Transactions'!$J:$J,'Allocated Transactions'!$D:$D,$B26,'Allocated Transactions'!$C:$C,$B$5,'Allocated Transactions'!$A:$A,"&gt;="&amp;T$19,'Allocated Transactions'!$A:$A,"&lt;="&amp;EOMONTH(T$19,0))+SUMIFS('Allocated Transactions'!$J:$J,'Allocated Transactions'!$D:$D,$B26,'Allocated Transactions'!$C:$C,$B$6,'Allocated Transactions'!$A:$A,"&gt;="&amp;T$19,'Allocated Transactions'!$A:$A,"&lt;="&amp;EOMONTH(T$19,0)))</f>
        <v>0</v>
      </c>
      <c r="U26" s="84">
        <f>SUMPRODUCT(SUMIFS('Budget Data'!$J:$J,'Budget Data'!$E:$E,$B26,'Budget Data'!$C:$C,$B$7,'Budget Data'!$A:$A,"&gt;="&amp;U$19,'Budget Data'!$A:$A,"&lt;="&amp;EOMONTH(U$19,0))+SUMIFS('Budget Data'!$J:$J,'Budget Data'!$E:$E,$B26,'Budget Data'!$C:$C,$B$9,'Budget Data'!$A:$A,"&gt;="&amp;U$19,'Budget Data'!$A:$A,"&lt;="&amp;EOMONTH(U$19,0))+SUMIFS('Budget Data'!$J:$J,'Budget Data'!$E:$E,$B26,'Budget Data'!$C:$C,$B$8,'Budget Data'!$A:$A,"&gt;="&amp;U$19,'Budget Data'!$A:$A,"&lt;="&amp;EOMONTH(U$19,0))+SUMIFS('Budget Data'!$J:$J,'Budget Data'!$E:$E,$B26,'Budget Data'!$C:$C,$B$10,'Budget Data'!$A:$A,"&gt;="&amp;U$19,'Budget Data'!$A:$A,"&lt;="&amp;EOMONTH(U$19,0))+SUMIFS('Budget Data'!$J:$J,'Budget Data'!$E:$E,$B26,'Budget Data'!$C:$C,$B$11,'Budget Data'!$A:$A,"&gt;="&amp;U$19,'Budget Data'!$A:$A,"&lt;="&amp;EOMONTH(U$19,0))+SUMIFS('Budget Data'!$J:$J,'Budget Data'!$E:$E,$B26,'Budget Data'!$C:$C,$B$2,'Budget Data'!$A:$A,"&gt;="&amp;U$19,'Budget Data'!$A:$A,"&lt;="&amp;EOMONTH(U$19,0))+SUMIFS('Budget Data'!$J:$J,'Budget Data'!$E:$E,$B26,'Budget Data'!$C:$C,$B$4,'Budget Data'!$A:$A,"&gt;="&amp;U$19,'Budget Data'!$A:$A,"&lt;="&amp;EOMONTH(U$19,0))+SUMIFS('Budget Data'!$J:$J,'Budget Data'!$E:$E,$B26,'Budget Data'!$C:$C,$B$3,'Budget Data'!$A:$A,"&gt;="&amp;U$19,'Budget Data'!$A:$A,"&lt;="&amp;EOMONTH(U$19,0))+SUMIFS('Budget Data'!$J:$J,'Budget Data'!$E:$E,$B26,'Budget Data'!$C:$C,$B$5,'Budget Data'!$A:$A,"&gt;="&amp;U$19,'Budget Data'!$A:$A,"&lt;="&amp;EOMONTH(U$19,0))+SUMIFS('Budget Data'!$J:$J,'Budget Data'!$E:$E,$B26,'Budget Data'!$C:$C,$B$6,'Budget Data'!$A:$A,"&gt;="&amp;U$19,'Budget Data'!$A:$A,"&lt;="&amp;EOMONTH(U$19,0)))</f>
        <v>0</v>
      </c>
      <c r="V26" s="86">
        <f>-SUMPRODUCT(SUMIFS('Allocated Transactions'!$J:$J,'Allocated Transactions'!$D:$D,$B26,'Allocated Transactions'!$C:$C,$B$7,'Allocated Transactions'!$A:$A,"&gt;="&amp;V$19,'Allocated Transactions'!$A:$A,"&lt;="&amp;EOMONTH(V$19,0))+SUMIFS('Allocated Transactions'!$J:$J,'Allocated Transactions'!$D:$D,$B26,'Allocated Transactions'!$C:$C,$B$9,'Allocated Transactions'!$A:$A,"&gt;="&amp;V$19,'Allocated Transactions'!$A:$A,"&lt;="&amp;EOMONTH(V$19,0))+SUMIFS('Allocated Transactions'!$J:$J,'Allocated Transactions'!$D:$D,$B26,'Allocated Transactions'!$C:$C,$B$8,'Allocated Transactions'!$A:$A,"&gt;="&amp;V$19,'Allocated Transactions'!$A:$A,"&lt;="&amp;EOMONTH(V$19,0))+SUMIFS('Allocated Transactions'!$J:$J,'Allocated Transactions'!$D:$D,$B26,'Allocated Transactions'!$C:$C,$B$10,'Allocated Transactions'!$A:$A,"&gt;="&amp;V$19,'Allocated Transactions'!$A:$A,"&lt;="&amp;EOMONTH(V$19,0))+SUMIFS('Allocated Transactions'!$J:$J,'Allocated Transactions'!$D:$D,$B26,'Allocated Transactions'!$C:$C,$B$11,'Allocated Transactions'!$A:$A,"&gt;="&amp;V$19,'Allocated Transactions'!$A:$A,"&lt;="&amp;EOMONTH(V$19,0))+SUMIFS('Allocated Transactions'!$J:$J,'Allocated Transactions'!$D:$D,$B26,'Allocated Transactions'!$C:$C,$B$2,'Allocated Transactions'!$A:$A,"&gt;="&amp;V$19,'Allocated Transactions'!$A:$A,"&lt;="&amp;EOMONTH(V$19,0))+SUMIFS('Allocated Transactions'!$J:$J,'Allocated Transactions'!$D:$D,$B26,'Allocated Transactions'!$C:$C,$B$4,'Allocated Transactions'!$A:$A,"&gt;="&amp;V$19,'Allocated Transactions'!$A:$A,"&lt;="&amp;EOMONTH(V$19,0))+SUMIFS('Allocated Transactions'!$J:$J,'Allocated Transactions'!$D:$D,$B26,'Allocated Transactions'!$C:$C,$B$3,'Allocated Transactions'!$A:$A,"&gt;="&amp;V$19,'Allocated Transactions'!$A:$A,"&lt;="&amp;EOMONTH(V$19,0))+SUMIFS('Allocated Transactions'!$J:$J,'Allocated Transactions'!$D:$D,$B26,'Allocated Transactions'!$C:$C,$B$5,'Allocated Transactions'!$A:$A,"&gt;="&amp;V$19,'Allocated Transactions'!$A:$A,"&lt;="&amp;EOMONTH(V$19,0))+SUMIFS('Allocated Transactions'!$J:$J,'Allocated Transactions'!$D:$D,$B26,'Allocated Transactions'!$C:$C,$B$6,'Allocated Transactions'!$A:$A,"&gt;="&amp;V$19,'Allocated Transactions'!$A:$A,"&lt;="&amp;EOMONTH(V$19,0)))</f>
        <v>1874.86</v>
      </c>
      <c r="W26" s="84">
        <f>SUMPRODUCT(SUMIFS('Budget Data'!$J:$J,'Budget Data'!$E:$E,$B26,'Budget Data'!$C:$C,$B$7,'Budget Data'!$A:$A,"&gt;="&amp;W$19,'Budget Data'!$A:$A,"&lt;="&amp;EOMONTH(W$19,0))+SUMIFS('Budget Data'!$J:$J,'Budget Data'!$E:$E,$B26,'Budget Data'!$C:$C,$B$9,'Budget Data'!$A:$A,"&gt;="&amp;W$19,'Budget Data'!$A:$A,"&lt;="&amp;EOMONTH(W$19,0))+SUMIFS('Budget Data'!$J:$J,'Budget Data'!$E:$E,$B26,'Budget Data'!$C:$C,$B$8,'Budget Data'!$A:$A,"&gt;="&amp;W$19,'Budget Data'!$A:$A,"&lt;="&amp;EOMONTH(W$19,0))+SUMIFS('Budget Data'!$J:$J,'Budget Data'!$E:$E,$B26,'Budget Data'!$C:$C,$B$10,'Budget Data'!$A:$A,"&gt;="&amp;W$19,'Budget Data'!$A:$A,"&lt;="&amp;EOMONTH(W$19,0))+SUMIFS('Budget Data'!$J:$J,'Budget Data'!$E:$E,$B26,'Budget Data'!$C:$C,$B$11,'Budget Data'!$A:$A,"&gt;="&amp;W$19,'Budget Data'!$A:$A,"&lt;="&amp;EOMONTH(W$19,0))+SUMIFS('Budget Data'!$J:$J,'Budget Data'!$E:$E,$B26,'Budget Data'!$C:$C,$B$2,'Budget Data'!$A:$A,"&gt;="&amp;W$19,'Budget Data'!$A:$A,"&lt;="&amp;EOMONTH(W$19,0))+SUMIFS('Budget Data'!$J:$J,'Budget Data'!$E:$E,$B26,'Budget Data'!$C:$C,$B$4,'Budget Data'!$A:$A,"&gt;="&amp;W$19,'Budget Data'!$A:$A,"&lt;="&amp;EOMONTH(W$19,0))+SUMIFS('Budget Data'!$J:$J,'Budget Data'!$E:$E,$B26,'Budget Data'!$C:$C,$B$3,'Budget Data'!$A:$A,"&gt;="&amp;W$19,'Budget Data'!$A:$A,"&lt;="&amp;EOMONTH(W$19,0))+SUMIFS('Budget Data'!$J:$J,'Budget Data'!$E:$E,$B26,'Budget Data'!$C:$C,$B$5,'Budget Data'!$A:$A,"&gt;="&amp;W$19,'Budget Data'!$A:$A,"&lt;="&amp;EOMONTH(W$19,0))+SUMIFS('Budget Data'!$J:$J,'Budget Data'!$E:$E,$B26,'Budget Data'!$C:$C,$B$6,'Budget Data'!$A:$A,"&gt;="&amp;W$19,'Budget Data'!$A:$A,"&lt;="&amp;EOMONTH(W$19,0)))</f>
        <v>1968.6</v>
      </c>
      <c r="X26" s="86">
        <f>-SUMPRODUCT(SUMIFS('Allocated Transactions'!$J:$J,'Allocated Transactions'!$D:$D,$B26,'Allocated Transactions'!$C:$C,$B$7,'Allocated Transactions'!$A:$A,"&gt;="&amp;X$19,'Allocated Transactions'!$A:$A,"&lt;="&amp;EOMONTH(X$19,0))+SUMIFS('Allocated Transactions'!$J:$J,'Allocated Transactions'!$D:$D,$B26,'Allocated Transactions'!$C:$C,$B$9,'Allocated Transactions'!$A:$A,"&gt;="&amp;X$19,'Allocated Transactions'!$A:$A,"&lt;="&amp;EOMONTH(X$19,0))+SUMIFS('Allocated Transactions'!$J:$J,'Allocated Transactions'!$D:$D,$B26,'Allocated Transactions'!$C:$C,$B$8,'Allocated Transactions'!$A:$A,"&gt;="&amp;X$19,'Allocated Transactions'!$A:$A,"&lt;="&amp;EOMONTH(X$19,0))+SUMIFS('Allocated Transactions'!$J:$J,'Allocated Transactions'!$D:$D,$B26,'Allocated Transactions'!$C:$C,$B$10,'Allocated Transactions'!$A:$A,"&gt;="&amp;X$19,'Allocated Transactions'!$A:$A,"&lt;="&amp;EOMONTH(X$19,0))+SUMIFS('Allocated Transactions'!$J:$J,'Allocated Transactions'!$D:$D,$B26,'Allocated Transactions'!$C:$C,$B$11,'Allocated Transactions'!$A:$A,"&gt;="&amp;X$19,'Allocated Transactions'!$A:$A,"&lt;="&amp;EOMONTH(X$19,0))+SUMIFS('Allocated Transactions'!$J:$J,'Allocated Transactions'!$D:$D,$B26,'Allocated Transactions'!$C:$C,$B$2,'Allocated Transactions'!$A:$A,"&gt;="&amp;X$19,'Allocated Transactions'!$A:$A,"&lt;="&amp;EOMONTH(X$19,0))+SUMIFS('Allocated Transactions'!$J:$J,'Allocated Transactions'!$D:$D,$B26,'Allocated Transactions'!$C:$C,$B$4,'Allocated Transactions'!$A:$A,"&gt;="&amp;X$19,'Allocated Transactions'!$A:$A,"&lt;="&amp;EOMONTH(X$19,0))+SUMIFS('Allocated Transactions'!$J:$J,'Allocated Transactions'!$D:$D,$B26,'Allocated Transactions'!$C:$C,$B$3,'Allocated Transactions'!$A:$A,"&gt;="&amp;X$19,'Allocated Transactions'!$A:$A,"&lt;="&amp;EOMONTH(X$19,0))+SUMIFS('Allocated Transactions'!$J:$J,'Allocated Transactions'!$D:$D,$B26,'Allocated Transactions'!$C:$C,$B$5,'Allocated Transactions'!$A:$A,"&gt;="&amp;X$19,'Allocated Transactions'!$A:$A,"&lt;="&amp;EOMONTH(X$19,0))+SUMIFS('Allocated Transactions'!$J:$J,'Allocated Transactions'!$D:$D,$B26,'Allocated Transactions'!$C:$C,$B$6,'Allocated Transactions'!$A:$A,"&gt;="&amp;X$19,'Allocated Transactions'!$A:$A,"&lt;="&amp;EOMONTH(X$19,0)))</f>
        <v>1345.27</v>
      </c>
      <c r="Y26" s="84">
        <f>SUMPRODUCT(SUMIFS('Budget Data'!$J:$J,'Budget Data'!$E:$E,$B26,'Budget Data'!$C:$C,$B$7,'Budget Data'!$A:$A,"&gt;="&amp;Y$19,'Budget Data'!$A:$A,"&lt;="&amp;EOMONTH(Y$19,0))+SUMIFS('Budget Data'!$J:$J,'Budget Data'!$E:$E,$B26,'Budget Data'!$C:$C,$B$9,'Budget Data'!$A:$A,"&gt;="&amp;Y$19,'Budget Data'!$A:$A,"&lt;="&amp;EOMONTH(Y$19,0))+SUMIFS('Budget Data'!$J:$J,'Budget Data'!$E:$E,$B26,'Budget Data'!$C:$C,$B$8,'Budget Data'!$A:$A,"&gt;="&amp;Y$19,'Budget Data'!$A:$A,"&lt;="&amp;EOMONTH(Y$19,0))+SUMIFS('Budget Data'!$J:$J,'Budget Data'!$E:$E,$B26,'Budget Data'!$C:$C,$B$10,'Budget Data'!$A:$A,"&gt;="&amp;Y$19,'Budget Data'!$A:$A,"&lt;="&amp;EOMONTH(Y$19,0))+SUMIFS('Budget Data'!$J:$J,'Budget Data'!$E:$E,$B26,'Budget Data'!$C:$C,$B$11,'Budget Data'!$A:$A,"&gt;="&amp;Y$19,'Budget Data'!$A:$A,"&lt;="&amp;EOMONTH(Y$19,0))+SUMIFS('Budget Data'!$J:$J,'Budget Data'!$E:$E,$B26,'Budget Data'!$C:$C,$B$2,'Budget Data'!$A:$A,"&gt;="&amp;Y$19,'Budget Data'!$A:$A,"&lt;="&amp;EOMONTH(Y$19,0))+SUMIFS('Budget Data'!$J:$J,'Budget Data'!$E:$E,$B26,'Budget Data'!$C:$C,$B$4,'Budget Data'!$A:$A,"&gt;="&amp;Y$19,'Budget Data'!$A:$A,"&lt;="&amp;EOMONTH(Y$19,0))+SUMIFS('Budget Data'!$J:$J,'Budget Data'!$E:$E,$B26,'Budget Data'!$C:$C,$B$3,'Budget Data'!$A:$A,"&gt;="&amp;Y$19,'Budget Data'!$A:$A,"&lt;="&amp;EOMONTH(Y$19,0))+SUMIFS('Budget Data'!$J:$J,'Budget Data'!$E:$E,$B26,'Budget Data'!$C:$C,$B$5,'Budget Data'!$A:$A,"&gt;="&amp;Y$19,'Budget Data'!$A:$A,"&lt;="&amp;EOMONTH(Y$19,0))+SUMIFS('Budget Data'!$J:$J,'Budget Data'!$E:$E,$B26,'Budget Data'!$C:$C,$B$6,'Budget Data'!$A:$A,"&gt;="&amp;Y$19,'Budget Data'!$A:$A,"&lt;="&amp;EOMONTH(Y$19,0)))</f>
        <v>1412.53</v>
      </c>
      <c r="Z26" s="86">
        <f>-SUMPRODUCT(SUMIFS('Allocated Transactions'!$J:$J,'Allocated Transactions'!$D:$D,$B26,'Allocated Transactions'!$C:$C,$B$7,'Allocated Transactions'!$A:$A,"&gt;="&amp;Z$19,'Allocated Transactions'!$A:$A,"&lt;="&amp;EOMONTH(Z$19,0))+SUMIFS('Allocated Transactions'!$J:$J,'Allocated Transactions'!$D:$D,$B26,'Allocated Transactions'!$C:$C,$B$9,'Allocated Transactions'!$A:$A,"&gt;="&amp;Z$19,'Allocated Transactions'!$A:$A,"&lt;="&amp;EOMONTH(Z$19,0))+SUMIFS('Allocated Transactions'!$J:$J,'Allocated Transactions'!$D:$D,$B26,'Allocated Transactions'!$C:$C,$B$8,'Allocated Transactions'!$A:$A,"&gt;="&amp;Z$19,'Allocated Transactions'!$A:$A,"&lt;="&amp;EOMONTH(Z$19,0))+SUMIFS('Allocated Transactions'!$J:$J,'Allocated Transactions'!$D:$D,$B26,'Allocated Transactions'!$C:$C,$B$10,'Allocated Transactions'!$A:$A,"&gt;="&amp;Z$19,'Allocated Transactions'!$A:$A,"&lt;="&amp;EOMONTH(Z$19,0))+SUMIFS('Allocated Transactions'!$J:$J,'Allocated Transactions'!$D:$D,$B26,'Allocated Transactions'!$C:$C,$B$11,'Allocated Transactions'!$A:$A,"&gt;="&amp;Z$19,'Allocated Transactions'!$A:$A,"&lt;="&amp;EOMONTH(Z$19,0))+SUMIFS('Allocated Transactions'!$J:$J,'Allocated Transactions'!$D:$D,$B26,'Allocated Transactions'!$C:$C,$B$2,'Allocated Transactions'!$A:$A,"&gt;="&amp;Z$19,'Allocated Transactions'!$A:$A,"&lt;="&amp;EOMONTH(Z$19,0))+SUMIFS('Allocated Transactions'!$J:$J,'Allocated Transactions'!$D:$D,$B26,'Allocated Transactions'!$C:$C,$B$4,'Allocated Transactions'!$A:$A,"&gt;="&amp;Z$19,'Allocated Transactions'!$A:$A,"&lt;="&amp;EOMONTH(Z$19,0))+SUMIFS('Allocated Transactions'!$J:$J,'Allocated Transactions'!$D:$D,$B26,'Allocated Transactions'!$C:$C,$B$3,'Allocated Transactions'!$A:$A,"&gt;="&amp;Z$19,'Allocated Transactions'!$A:$A,"&lt;="&amp;EOMONTH(Z$19,0))+SUMIFS('Allocated Transactions'!$J:$J,'Allocated Transactions'!$D:$D,$B26,'Allocated Transactions'!$C:$C,$B$5,'Allocated Transactions'!$A:$A,"&gt;="&amp;Z$19,'Allocated Transactions'!$A:$A,"&lt;="&amp;EOMONTH(Z$19,0))+SUMIFS('Allocated Transactions'!$J:$J,'Allocated Transactions'!$D:$D,$B26,'Allocated Transactions'!$C:$C,$B$6,'Allocated Transactions'!$A:$A,"&gt;="&amp;Z$19,'Allocated Transactions'!$A:$A,"&lt;="&amp;EOMONTH(Z$19,0)))</f>
        <v>0</v>
      </c>
      <c r="AA26" s="84">
        <f>SUMPRODUCT(SUMIFS('Budget Data'!$J:$J,'Budget Data'!$E:$E,$B26,'Budget Data'!$C:$C,$B$7,'Budget Data'!$A:$A,"&gt;="&amp;AA$19,'Budget Data'!$A:$A,"&lt;="&amp;EOMONTH(AA$19,0))+SUMIFS('Budget Data'!$J:$J,'Budget Data'!$E:$E,$B26,'Budget Data'!$C:$C,$B$9,'Budget Data'!$A:$A,"&gt;="&amp;AA$19,'Budget Data'!$A:$A,"&lt;="&amp;EOMONTH(AA$19,0))+SUMIFS('Budget Data'!$J:$J,'Budget Data'!$E:$E,$B26,'Budget Data'!$C:$C,$B$8,'Budget Data'!$A:$A,"&gt;="&amp;AA$19,'Budget Data'!$A:$A,"&lt;="&amp;EOMONTH(AA$19,0))+SUMIFS('Budget Data'!$J:$J,'Budget Data'!$E:$E,$B26,'Budget Data'!$C:$C,$B$10,'Budget Data'!$A:$A,"&gt;="&amp;AA$19,'Budget Data'!$A:$A,"&lt;="&amp;EOMONTH(AA$19,0))+SUMIFS('Budget Data'!$J:$J,'Budget Data'!$E:$E,$B26,'Budget Data'!$C:$C,$B$11,'Budget Data'!$A:$A,"&gt;="&amp;AA$19,'Budget Data'!$A:$A,"&lt;="&amp;EOMONTH(AA$19,0))+SUMIFS('Budget Data'!$J:$J,'Budget Data'!$E:$E,$B26,'Budget Data'!$C:$C,$B$2,'Budget Data'!$A:$A,"&gt;="&amp;AA$19,'Budget Data'!$A:$A,"&lt;="&amp;EOMONTH(AA$19,0))+SUMIFS('Budget Data'!$J:$J,'Budget Data'!$E:$E,$B26,'Budget Data'!$C:$C,$B$4,'Budget Data'!$A:$A,"&gt;="&amp;AA$19,'Budget Data'!$A:$A,"&lt;="&amp;EOMONTH(AA$19,0))+SUMIFS('Budget Data'!$J:$J,'Budget Data'!$E:$E,$B26,'Budget Data'!$C:$C,$B$3,'Budget Data'!$A:$A,"&gt;="&amp;AA$19,'Budget Data'!$A:$A,"&lt;="&amp;EOMONTH(AA$19,0))+SUMIFS('Budget Data'!$J:$J,'Budget Data'!$E:$E,$B26,'Budget Data'!$C:$C,$B$5,'Budget Data'!$A:$A,"&gt;="&amp;AA$19,'Budget Data'!$A:$A,"&lt;="&amp;EOMONTH(AA$19,0))+SUMIFS('Budget Data'!$J:$J,'Budget Data'!$E:$E,$B26,'Budget Data'!$C:$C,$B$6,'Budget Data'!$A:$A,"&gt;="&amp;AA$19,'Budget Data'!$A:$A,"&lt;="&amp;EOMONTH(AA$19,0)))</f>
        <v>0</v>
      </c>
      <c r="AC26" s="87">
        <f t="shared" si="0"/>
        <v>4010.9199999999996</v>
      </c>
      <c r="AD26" s="84">
        <f t="shared" si="0"/>
        <v>4211.46</v>
      </c>
    </row>
    <row r="27" spans="2:30" ht="15" customHeight="1">
      <c r="D27" s="86"/>
      <c r="E27" s="84"/>
      <c r="F27" s="86"/>
      <c r="G27" s="84"/>
      <c r="H27" s="86"/>
      <c r="I27" s="84"/>
      <c r="J27" s="86"/>
      <c r="K27" s="84"/>
      <c r="L27" s="86"/>
      <c r="M27" s="84"/>
      <c r="N27" s="86"/>
      <c r="O27" s="84"/>
      <c r="P27" s="86"/>
      <c r="Q27" s="84"/>
      <c r="R27" s="86"/>
      <c r="S27" s="84"/>
      <c r="T27" s="86"/>
      <c r="U27" s="84"/>
      <c r="V27" s="86"/>
      <c r="W27" s="84"/>
      <c r="X27" s="86"/>
      <c r="Y27" s="84"/>
      <c r="Z27" s="86"/>
      <c r="AA27" s="84"/>
      <c r="AC27" s="86"/>
      <c r="AD27" s="84"/>
    </row>
    <row r="28" spans="2:30" ht="15.75" customHeight="1">
      <c r="C28" s="37" t="s">
        <v>638</v>
      </c>
      <c r="D28" s="88">
        <f>SUM(D21:D26)</f>
        <v>354830.94000000012</v>
      </c>
      <c r="E28" s="89">
        <f>SUM(E21:E26)</f>
        <v>428997.38</v>
      </c>
      <c r="F28" s="88">
        <f t="shared" ref="F28:AA28" si="1">SUM(F21:F26)</f>
        <v>244563.37000000011</v>
      </c>
      <c r="G28" s="89">
        <f t="shared" si="1"/>
        <v>459476.03</v>
      </c>
      <c r="H28" s="88">
        <f t="shared" si="1"/>
        <v>250922.95999999996</v>
      </c>
      <c r="I28" s="89">
        <f t="shared" si="1"/>
        <v>442965.99</v>
      </c>
      <c r="J28" s="88">
        <f t="shared" si="1"/>
        <v>303222.3699999997</v>
      </c>
      <c r="K28" s="89">
        <f t="shared" si="1"/>
        <v>376633.04</v>
      </c>
      <c r="L28" s="88">
        <f t="shared" si="1"/>
        <v>234578.73999999985</v>
      </c>
      <c r="M28" s="89">
        <f t="shared" si="1"/>
        <v>391644.57</v>
      </c>
      <c r="N28" s="88">
        <f t="shared" si="1"/>
        <v>269004.09000000032</v>
      </c>
      <c r="O28" s="89">
        <f t="shared" si="1"/>
        <v>389363.82</v>
      </c>
      <c r="P28" s="88">
        <f t="shared" si="1"/>
        <v>240917.43999999989</v>
      </c>
      <c r="Q28" s="89">
        <f t="shared" si="1"/>
        <v>325865.25</v>
      </c>
      <c r="R28" s="88">
        <f t="shared" si="1"/>
        <v>272910.04000000033</v>
      </c>
      <c r="S28" s="89">
        <f t="shared" si="1"/>
        <v>373635.02</v>
      </c>
      <c r="T28" s="88">
        <f t="shared" si="1"/>
        <v>220707.45</v>
      </c>
      <c r="U28" s="89">
        <f t="shared" si="1"/>
        <v>271220.07</v>
      </c>
      <c r="V28" s="88">
        <f t="shared" si="1"/>
        <v>313820.61000000004</v>
      </c>
      <c r="W28" s="89">
        <f t="shared" si="1"/>
        <v>242676.64</v>
      </c>
      <c r="X28" s="88">
        <f t="shared" si="1"/>
        <v>241094.0100000001</v>
      </c>
      <c r="Y28" s="89">
        <f t="shared" si="1"/>
        <v>217820.03</v>
      </c>
      <c r="Z28" s="88">
        <f t="shared" si="1"/>
        <v>223394.74999999985</v>
      </c>
      <c r="AA28" s="89">
        <f t="shared" si="1"/>
        <v>216128.51</v>
      </c>
      <c r="AC28" s="88">
        <f>SUM(AC21:AC26)</f>
        <v>3169966.77</v>
      </c>
      <c r="AD28" s="90">
        <f>SUM(AD21:AD26)</f>
        <v>4136426.3499999996</v>
      </c>
    </row>
    <row r="29" spans="2:30" ht="15" customHeight="1">
      <c r="D29" s="86"/>
      <c r="E29" s="84"/>
      <c r="F29" s="86"/>
      <c r="G29" s="84"/>
      <c r="H29" s="86"/>
      <c r="I29" s="84"/>
      <c r="J29" s="86"/>
      <c r="K29" s="84"/>
      <c r="L29" s="86"/>
      <c r="M29" s="84"/>
      <c r="N29" s="86"/>
      <c r="O29" s="84"/>
      <c r="P29" s="86"/>
      <c r="Q29" s="84"/>
      <c r="R29" s="86"/>
      <c r="S29" s="84"/>
      <c r="T29" s="86"/>
      <c r="U29" s="84"/>
      <c r="V29" s="86"/>
      <c r="W29" s="84"/>
      <c r="X29" s="86"/>
      <c r="Y29" s="84"/>
      <c r="Z29" s="86"/>
      <c r="AA29" s="84"/>
      <c r="AC29" s="87"/>
      <c r="AD29" s="84"/>
    </row>
    <row r="30" spans="2:30" ht="15" customHeight="1">
      <c r="B30" s="12" t="str">
        <f t="array" ref="B30:B47">_xlfn._xlws.SORT(_xlfn.UNIQUE(_xlfn._xlws.FILTER('Allocated Transactions'!D:D,'Allocated Transactions'!F:F="Expense")))</f>
        <v>5000</v>
      </c>
      <c r="C30" s="160" t="str">
        <f>_xlfn.XLOOKUP(B30,'Allocated Transactions'!D:D,'Allocated Transactions'!E:E,"")</f>
        <v>Salaries and Wages</v>
      </c>
      <c r="D30" s="86">
        <f>SUMPRODUCT(SUMIFS('Allocated Transactions'!$J:$J,'Allocated Transactions'!$D:$D,$B30,'Allocated Transactions'!$C:$C,$B$7,'Allocated Transactions'!$A:$A,"&gt;="&amp;D$19,'Allocated Transactions'!$A:$A,"&lt;="&amp;EOMONTH(D$19,0))+SUMIFS('Allocated Transactions'!$J:$J,'Allocated Transactions'!$D:$D,$B30,'Allocated Transactions'!$C:$C,$B$9,'Allocated Transactions'!$A:$A,"&gt;="&amp;D$19,'Allocated Transactions'!$A:$A,"&lt;="&amp;EOMONTH(D$19,0))+SUMIFS('Allocated Transactions'!$J:$J,'Allocated Transactions'!$D:$D,$B30,'Allocated Transactions'!$C:$C,$B$8,'Allocated Transactions'!$A:$A,"&gt;="&amp;D$19,'Allocated Transactions'!$A:$A,"&lt;="&amp;EOMONTH(D$19,0))+SUMIFS('Allocated Transactions'!$J:$J,'Allocated Transactions'!$D:$D,$B30,'Allocated Transactions'!$C:$C,$B$10,'Allocated Transactions'!$A:$A,"&gt;="&amp;D$19,'Allocated Transactions'!$A:$A,"&lt;="&amp;EOMONTH(D$19,0))+SUMIFS('Allocated Transactions'!$J:$J,'Allocated Transactions'!$D:$D,$B30,'Allocated Transactions'!$C:$C,$B$11,'Allocated Transactions'!$A:$A,"&gt;="&amp;D$19,'Allocated Transactions'!$A:$A,"&lt;="&amp;EOMONTH(D$19,0))+SUMIFS('Allocated Transactions'!$J:$J,'Allocated Transactions'!$D:$D,$B30,'Allocated Transactions'!$C:$C,$B$2,'Allocated Transactions'!$A:$A,"&gt;="&amp;D$19,'Allocated Transactions'!$A:$A,"&lt;="&amp;EOMONTH(D$19,0))+SUMIFS('Allocated Transactions'!$J:$J,'Allocated Transactions'!$D:$D,$B30,'Allocated Transactions'!$C:$C,$B$4,'Allocated Transactions'!$A:$A,"&gt;="&amp;D$19,'Allocated Transactions'!$A:$A,"&lt;="&amp;EOMONTH(D$19,0))+SUMIFS('Allocated Transactions'!$J:$J,'Allocated Transactions'!$D:$D,$B30,'Allocated Transactions'!$C:$C,$B$3,'Allocated Transactions'!$A:$A,"&gt;="&amp;D$19,'Allocated Transactions'!$A:$A,"&lt;="&amp;EOMONTH(D$19,0))+SUMIFS('Allocated Transactions'!$J:$J,'Allocated Transactions'!$D:$D,$B30,'Allocated Transactions'!$C:$C,$B$5,'Allocated Transactions'!$A:$A,"&gt;="&amp;D$19,'Allocated Transactions'!$A:$A,"&lt;="&amp;EOMONTH(D$19,0))+SUMIFS('Allocated Transactions'!$J:$J,'Allocated Transactions'!$D:$D,$B30,'Allocated Transactions'!$C:$C,$B$6,'Allocated Transactions'!$A:$A,"&gt;="&amp;D$19,'Allocated Transactions'!$A:$A,"&lt;="&amp;EOMONTH(D$19,0)))</f>
        <v>122644.38000000003</v>
      </c>
      <c r="E30" s="84">
        <f>SUMPRODUCT(SUMIFS('Budget Data'!$J:$J,'Budget Data'!$E:$E,$B30,'Budget Data'!$C:$C,$B$7,'Budget Data'!$A:$A,"&gt;="&amp;E$19,'Budget Data'!$A:$A,"&lt;="&amp;EOMONTH(E$19,0))+SUMIFS('Budget Data'!$J:$J,'Budget Data'!$E:$E,$B30,'Budget Data'!$C:$C,$B$9,'Budget Data'!$A:$A,"&gt;="&amp;E$19,'Budget Data'!$A:$A,"&lt;="&amp;EOMONTH(E$19,0))+SUMIFS('Budget Data'!$J:$J,'Budget Data'!$E:$E,$B30,'Budget Data'!$C:$C,$B$8,'Budget Data'!$A:$A,"&gt;="&amp;E$19,'Budget Data'!$A:$A,"&lt;="&amp;EOMONTH(E$19,0))+SUMIFS('Budget Data'!$J:$J,'Budget Data'!$E:$E,$B30,'Budget Data'!$C:$C,$B$10,'Budget Data'!$A:$A,"&gt;="&amp;E$19,'Budget Data'!$A:$A,"&lt;="&amp;EOMONTH(E$19,0))+SUMIFS('Budget Data'!$J:$J,'Budget Data'!$E:$E,$B30,'Budget Data'!$C:$C,$B$11,'Budget Data'!$A:$A,"&gt;="&amp;E$19,'Budget Data'!$A:$A,"&lt;="&amp;EOMONTH(E$19,0))+SUMIFS('Budget Data'!$J:$J,'Budget Data'!$E:$E,$B30,'Budget Data'!$C:$C,$B$2,'Budget Data'!$A:$A,"&gt;="&amp;E$19,'Budget Data'!$A:$A,"&lt;="&amp;EOMONTH(E$19,0))+SUMIFS('Budget Data'!$J:$J,'Budget Data'!$E:$E,$B30,'Budget Data'!$C:$C,$B$4,'Budget Data'!$A:$A,"&gt;="&amp;E$19,'Budget Data'!$A:$A,"&lt;="&amp;EOMONTH(E$19,0))+SUMIFS('Budget Data'!$J:$J,'Budget Data'!$E:$E,$B30,'Budget Data'!$C:$C,$B$3,'Budget Data'!$A:$A,"&gt;="&amp;E$19,'Budget Data'!$A:$A,"&lt;="&amp;EOMONTH(E$19,0))+SUMIFS('Budget Data'!$J:$J,'Budget Data'!$E:$E,$B30,'Budget Data'!$C:$C,$B$5,'Budget Data'!$A:$A,"&gt;="&amp;E$19,'Budget Data'!$A:$A,"&lt;="&amp;EOMONTH(E$19,0))+SUMIFS('Budget Data'!$J:$J,'Budget Data'!$E:$E,$B30,'Budget Data'!$C:$C,$B$6,'Budget Data'!$A:$A,"&gt;="&amp;E$19,'Budget Data'!$A:$A,"&lt;="&amp;EOMONTH(E$19,0)))</f>
        <v>121400</v>
      </c>
      <c r="F30" s="86">
        <f>SUMPRODUCT(SUMIFS('Allocated Transactions'!$J:$J,'Allocated Transactions'!$D:$D,$B30,'Allocated Transactions'!$C:$C,$B$7,'Allocated Transactions'!$A:$A,"&gt;="&amp;F$19,'Allocated Transactions'!$A:$A,"&lt;="&amp;EOMONTH(F$19,0))+SUMIFS('Allocated Transactions'!$J:$J,'Allocated Transactions'!$D:$D,$B30,'Allocated Transactions'!$C:$C,$B$9,'Allocated Transactions'!$A:$A,"&gt;="&amp;F$19,'Allocated Transactions'!$A:$A,"&lt;="&amp;EOMONTH(F$19,0))+SUMIFS('Allocated Transactions'!$J:$J,'Allocated Transactions'!$D:$D,$B30,'Allocated Transactions'!$C:$C,$B$8,'Allocated Transactions'!$A:$A,"&gt;="&amp;F$19,'Allocated Transactions'!$A:$A,"&lt;="&amp;EOMONTH(F$19,0))+SUMIFS('Allocated Transactions'!$J:$J,'Allocated Transactions'!$D:$D,$B30,'Allocated Transactions'!$C:$C,$B$10,'Allocated Transactions'!$A:$A,"&gt;="&amp;F$19,'Allocated Transactions'!$A:$A,"&lt;="&amp;EOMONTH(F$19,0))+SUMIFS('Allocated Transactions'!$J:$J,'Allocated Transactions'!$D:$D,$B30,'Allocated Transactions'!$C:$C,$B$11,'Allocated Transactions'!$A:$A,"&gt;="&amp;F$19,'Allocated Transactions'!$A:$A,"&lt;="&amp;EOMONTH(F$19,0))+SUMIFS('Allocated Transactions'!$J:$J,'Allocated Transactions'!$D:$D,$B30,'Allocated Transactions'!$C:$C,$B$2,'Allocated Transactions'!$A:$A,"&gt;="&amp;F$19,'Allocated Transactions'!$A:$A,"&lt;="&amp;EOMONTH(F$19,0))+SUMIFS('Allocated Transactions'!$J:$J,'Allocated Transactions'!$D:$D,$B30,'Allocated Transactions'!$C:$C,$B$4,'Allocated Transactions'!$A:$A,"&gt;="&amp;F$19,'Allocated Transactions'!$A:$A,"&lt;="&amp;EOMONTH(F$19,0))+SUMIFS('Allocated Transactions'!$J:$J,'Allocated Transactions'!$D:$D,$B30,'Allocated Transactions'!$C:$C,$B$3,'Allocated Transactions'!$A:$A,"&gt;="&amp;F$19,'Allocated Transactions'!$A:$A,"&lt;="&amp;EOMONTH(F$19,0))+SUMIFS('Allocated Transactions'!$J:$J,'Allocated Transactions'!$D:$D,$B30,'Allocated Transactions'!$C:$C,$B$5,'Allocated Transactions'!$A:$A,"&gt;="&amp;F$19,'Allocated Transactions'!$A:$A,"&lt;="&amp;EOMONTH(F$19,0))+SUMIFS('Allocated Transactions'!$J:$J,'Allocated Transactions'!$D:$D,$B30,'Allocated Transactions'!$C:$C,$B$6,'Allocated Transactions'!$A:$A,"&gt;="&amp;F$19,'Allocated Transactions'!$A:$A,"&lt;="&amp;EOMONTH(F$19,0)))</f>
        <v>124657.04000000002</v>
      </c>
      <c r="G30" s="84">
        <f>SUMPRODUCT(SUMIFS('Budget Data'!$J:$J,'Budget Data'!$E:$E,$B30,'Budget Data'!$C:$C,$B$7,'Budget Data'!$A:$A,"&gt;="&amp;G$19,'Budget Data'!$A:$A,"&lt;="&amp;EOMONTH(G$19,0))+SUMIFS('Budget Data'!$J:$J,'Budget Data'!$E:$E,$B30,'Budget Data'!$C:$C,$B$9,'Budget Data'!$A:$A,"&gt;="&amp;G$19,'Budget Data'!$A:$A,"&lt;="&amp;EOMONTH(G$19,0))+SUMIFS('Budget Data'!$J:$J,'Budget Data'!$E:$E,$B30,'Budget Data'!$C:$C,$B$8,'Budget Data'!$A:$A,"&gt;="&amp;G$19,'Budget Data'!$A:$A,"&lt;="&amp;EOMONTH(G$19,0))+SUMIFS('Budget Data'!$J:$J,'Budget Data'!$E:$E,$B30,'Budget Data'!$C:$C,$B$10,'Budget Data'!$A:$A,"&gt;="&amp;G$19,'Budget Data'!$A:$A,"&lt;="&amp;EOMONTH(G$19,0))+SUMIFS('Budget Data'!$J:$J,'Budget Data'!$E:$E,$B30,'Budget Data'!$C:$C,$B$11,'Budget Data'!$A:$A,"&gt;="&amp;G$19,'Budget Data'!$A:$A,"&lt;="&amp;EOMONTH(G$19,0))+SUMIFS('Budget Data'!$J:$J,'Budget Data'!$E:$E,$B30,'Budget Data'!$C:$C,$B$2,'Budget Data'!$A:$A,"&gt;="&amp;G$19,'Budget Data'!$A:$A,"&lt;="&amp;EOMONTH(G$19,0))+SUMIFS('Budget Data'!$J:$J,'Budget Data'!$E:$E,$B30,'Budget Data'!$C:$C,$B$4,'Budget Data'!$A:$A,"&gt;="&amp;G$19,'Budget Data'!$A:$A,"&lt;="&amp;EOMONTH(G$19,0))+SUMIFS('Budget Data'!$J:$J,'Budget Data'!$E:$E,$B30,'Budget Data'!$C:$C,$B$3,'Budget Data'!$A:$A,"&gt;="&amp;G$19,'Budget Data'!$A:$A,"&lt;="&amp;EOMONTH(G$19,0))+SUMIFS('Budget Data'!$J:$J,'Budget Data'!$E:$E,$B30,'Budget Data'!$C:$C,$B$5,'Budget Data'!$A:$A,"&gt;="&amp;G$19,'Budget Data'!$A:$A,"&lt;="&amp;EOMONTH(G$19,0))+SUMIFS('Budget Data'!$J:$J,'Budget Data'!$E:$E,$B30,'Budget Data'!$C:$C,$B$6,'Budget Data'!$A:$A,"&gt;="&amp;G$19,'Budget Data'!$A:$A,"&lt;="&amp;EOMONTH(G$19,0)))</f>
        <v>123400</v>
      </c>
      <c r="H30" s="86">
        <f>SUMPRODUCT(SUMIFS('Allocated Transactions'!$J:$J,'Allocated Transactions'!$D:$D,$B30,'Allocated Transactions'!$C:$C,$B$7,'Allocated Transactions'!$A:$A,"&gt;="&amp;H$19,'Allocated Transactions'!$A:$A,"&lt;="&amp;EOMONTH(H$19,0))+SUMIFS('Allocated Transactions'!$J:$J,'Allocated Transactions'!$D:$D,$B30,'Allocated Transactions'!$C:$C,$B$9,'Allocated Transactions'!$A:$A,"&gt;="&amp;H$19,'Allocated Transactions'!$A:$A,"&lt;="&amp;EOMONTH(H$19,0))+SUMIFS('Allocated Transactions'!$J:$J,'Allocated Transactions'!$D:$D,$B30,'Allocated Transactions'!$C:$C,$B$8,'Allocated Transactions'!$A:$A,"&gt;="&amp;H$19,'Allocated Transactions'!$A:$A,"&lt;="&amp;EOMONTH(H$19,0))+SUMIFS('Allocated Transactions'!$J:$J,'Allocated Transactions'!$D:$D,$B30,'Allocated Transactions'!$C:$C,$B$10,'Allocated Transactions'!$A:$A,"&gt;="&amp;H$19,'Allocated Transactions'!$A:$A,"&lt;="&amp;EOMONTH(H$19,0))+SUMIFS('Allocated Transactions'!$J:$J,'Allocated Transactions'!$D:$D,$B30,'Allocated Transactions'!$C:$C,$B$11,'Allocated Transactions'!$A:$A,"&gt;="&amp;H$19,'Allocated Transactions'!$A:$A,"&lt;="&amp;EOMONTH(H$19,0))+SUMIFS('Allocated Transactions'!$J:$J,'Allocated Transactions'!$D:$D,$B30,'Allocated Transactions'!$C:$C,$B$2,'Allocated Transactions'!$A:$A,"&gt;="&amp;H$19,'Allocated Transactions'!$A:$A,"&lt;="&amp;EOMONTH(H$19,0))+SUMIFS('Allocated Transactions'!$J:$J,'Allocated Transactions'!$D:$D,$B30,'Allocated Transactions'!$C:$C,$B$4,'Allocated Transactions'!$A:$A,"&gt;="&amp;H$19,'Allocated Transactions'!$A:$A,"&lt;="&amp;EOMONTH(H$19,0))+SUMIFS('Allocated Transactions'!$J:$J,'Allocated Transactions'!$D:$D,$B30,'Allocated Transactions'!$C:$C,$B$3,'Allocated Transactions'!$A:$A,"&gt;="&amp;H$19,'Allocated Transactions'!$A:$A,"&lt;="&amp;EOMONTH(H$19,0))+SUMIFS('Allocated Transactions'!$J:$J,'Allocated Transactions'!$D:$D,$B30,'Allocated Transactions'!$C:$C,$B$5,'Allocated Transactions'!$A:$A,"&gt;="&amp;H$19,'Allocated Transactions'!$A:$A,"&lt;="&amp;EOMONTH(H$19,0))+SUMIFS('Allocated Transactions'!$J:$J,'Allocated Transactions'!$D:$D,$B30,'Allocated Transactions'!$C:$C,$B$6,'Allocated Transactions'!$A:$A,"&gt;="&amp;H$19,'Allocated Transactions'!$A:$A,"&lt;="&amp;EOMONTH(H$19,0)))</f>
        <v>128036.33000000002</v>
      </c>
      <c r="I30" s="84">
        <f>SUMPRODUCT(SUMIFS('Budget Data'!$J:$J,'Budget Data'!$E:$E,$B30,'Budget Data'!$C:$C,$B$7,'Budget Data'!$A:$A,"&gt;="&amp;I$19,'Budget Data'!$A:$A,"&lt;="&amp;EOMONTH(I$19,0))+SUMIFS('Budget Data'!$J:$J,'Budget Data'!$E:$E,$B30,'Budget Data'!$C:$C,$B$9,'Budget Data'!$A:$A,"&gt;="&amp;I$19,'Budget Data'!$A:$A,"&lt;="&amp;EOMONTH(I$19,0))+SUMIFS('Budget Data'!$J:$J,'Budget Data'!$E:$E,$B30,'Budget Data'!$C:$C,$B$8,'Budget Data'!$A:$A,"&gt;="&amp;I$19,'Budget Data'!$A:$A,"&lt;="&amp;EOMONTH(I$19,0))+SUMIFS('Budget Data'!$J:$J,'Budget Data'!$E:$E,$B30,'Budget Data'!$C:$C,$B$10,'Budget Data'!$A:$A,"&gt;="&amp;I$19,'Budget Data'!$A:$A,"&lt;="&amp;EOMONTH(I$19,0))+SUMIFS('Budget Data'!$J:$J,'Budget Data'!$E:$E,$B30,'Budget Data'!$C:$C,$B$11,'Budget Data'!$A:$A,"&gt;="&amp;I$19,'Budget Data'!$A:$A,"&lt;="&amp;EOMONTH(I$19,0))+SUMIFS('Budget Data'!$J:$J,'Budget Data'!$E:$E,$B30,'Budget Data'!$C:$C,$B$2,'Budget Data'!$A:$A,"&gt;="&amp;I$19,'Budget Data'!$A:$A,"&lt;="&amp;EOMONTH(I$19,0))+SUMIFS('Budget Data'!$J:$J,'Budget Data'!$E:$E,$B30,'Budget Data'!$C:$C,$B$4,'Budget Data'!$A:$A,"&gt;="&amp;I$19,'Budget Data'!$A:$A,"&lt;="&amp;EOMONTH(I$19,0))+SUMIFS('Budget Data'!$J:$J,'Budget Data'!$E:$E,$B30,'Budget Data'!$C:$C,$B$3,'Budget Data'!$A:$A,"&gt;="&amp;I$19,'Budget Data'!$A:$A,"&lt;="&amp;EOMONTH(I$19,0))+SUMIFS('Budget Data'!$J:$J,'Budget Data'!$E:$E,$B30,'Budget Data'!$C:$C,$B$5,'Budget Data'!$A:$A,"&gt;="&amp;I$19,'Budget Data'!$A:$A,"&lt;="&amp;EOMONTH(I$19,0))+SUMIFS('Budget Data'!$J:$J,'Budget Data'!$E:$E,$B30,'Budget Data'!$C:$C,$B$6,'Budget Data'!$A:$A,"&gt;="&amp;I$19,'Budget Data'!$A:$A,"&lt;="&amp;EOMONTH(I$19,0)))</f>
        <v>126600</v>
      </c>
      <c r="J30" s="86">
        <f>SUMPRODUCT(SUMIFS('Allocated Transactions'!$J:$J,'Allocated Transactions'!$D:$D,$B30,'Allocated Transactions'!$C:$C,$B$7,'Allocated Transactions'!$A:$A,"&gt;="&amp;J$19,'Allocated Transactions'!$A:$A,"&lt;="&amp;EOMONTH(J$19,0))+SUMIFS('Allocated Transactions'!$J:$J,'Allocated Transactions'!$D:$D,$B30,'Allocated Transactions'!$C:$C,$B$9,'Allocated Transactions'!$A:$A,"&gt;="&amp;J$19,'Allocated Transactions'!$A:$A,"&lt;="&amp;EOMONTH(J$19,0))+SUMIFS('Allocated Transactions'!$J:$J,'Allocated Transactions'!$D:$D,$B30,'Allocated Transactions'!$C:$C,$B$8,'Allocated Transactions'!$A:$A,"&gt;="&amp;J$19,'Allocated Transactions'!$A:$A,"&lt;="&amp;EOMONTH(J$19,0))+SUMIFS('Allocated Transactions'!$J:$J,'Allocated Transactions'!$D:$D,$B30,'Allocated Transactions'!$C:$C,$B$10,'Allocated Transactions'!$A:$A,"&gt;="&amp;J$19,'Allocated Transactions'!$A:$A,"&lt;="&amp;EOMONTH(J$19,0))+SUMIFS('Allocated Transactions'!$J:$J,'Allocated Transactions'!$D:$D,$B30,'Allocated Transactions'!$C:$C,$B$11,'Allocated Transactions'!$A:$A,"&gt;="&amp;J$19,'Allocated Transactions'!$A:$A,"&lt;="&amp;EOMONTH(J$19,0))+SUMIFS('Allocated Transactions'!$J:$J,'Allocated Transactions'!$D:$D,$B30,'Allocated Transactions'!$C:$C,$B$2,'Allocated Transactions'!$A:$A,"&gt;="&amp;J$19,'Allocated Transactions'!$A:$A,"&lt;="&amp;EOMONTH(J$19,0))+SUMIFS('Allocated Transactions'!$J:$J,'Allocated Transactions'!$D:$D,$B30,'Allocated Transactions'!$C:$C,$B$4,'Allocated Transactions'!$A:$A,"&gt;="&amp;J$19,'Allocated Transactions'!$A:$A,"&lt;="&amp;EOMONTH(J$19,0))+SUMIFS('Allocated Transactions'!$J:$J,'Allocated Transactions'!$D:$D,$B30,'Allocated Transactions'!$C:$C,$B$3,'Allocated Transactions'!$A:$A,"&gt;="&amp;J$19,'Allocated Transactions'!$A:$A,"&lt;="&amp;EOMONTH(J$19,0))+SUMIFS('Allocated Transactions'!$J:$J,'Allocated Transactions'!$D:$D,$B30,'Allocated Transactions'!$C:$C,$B$5,'Allocated Transactions'!$A:$A,"&gt;="&amp;J$19,'Allocated Transactions'!$A:$A,"&lt;="&amp;EOMONTH(J$19,0))+SUMIFS('Allocated Transactions'!$J:$J,'Allocated Transactions'!$D:$D,$B30,'Allocated Transactions'!$C:$C,$B$6,'Allocated Transactions'!$A:$A,"&gt;="&amp;J$19,'Allocated Transactions'!$A:$A,"&lt;="&amp;EOMONTH(J$19,0)))</f>
        <v>129101.80000000002</v>
      </c>
      <c r="K30" s="84">
        <f>SUMPRODUCT(SUMIFS('Budget Data'!$J:$J,'Budget Data'!$E:$E,$B30,'Budget Data'!$C:$C,$B$7,'Budget Data'!$A:$A,"&gt;="&amp;K$19,'Budget Data'!$A:$A,"&lt;="&amp;EOMONTH(K$19,0))+SUMIFS('Budget Data'!$J:$J,'Budget Data'!$E:$E,$B30,'Budget Data'!$C:$C,$B$9,'Budget Data'!$A:$A,"&gt;="&amp;K$19,'Budget Data'!$A:$A,"&lt;="&amp;EOMONTH(K$19,0))+SUMIFS('Budget Data'!$J:$J,'Budget Data'!$E:$E,$B30,'Budget Data'!$C:$C,$B$8,'Budget Data'!$A:$A,"&gt;="&amp;K$19,'Budget Data'!$A:$A,"&lt;="&amp;EOMONTH(K$19,0))+SUMIFS('Budget Data'!$J:$J,'Budget Data'!$E:$E,$B30,'Budget Data'!$C:$C,$B$10,'Budget Data'!$A:$A,"&gt;="&amp;K$19,'Budget Data'!$A:$A,"&lt;="&amp;EOMONTH(K$19,0))+SUMIFS('Budget Data'!$J:$J,'Budget Data'!$E:$E,$B30,'Budget Data'!$C:$C,$B$11,'Budget Data'!$A:$A,"&gt;="&amp;K$19,'Budget Data'!$A:$A,"&lt;="&amp;EOMONTH(K$19,0))+SUMIFS('Budget Data'!$J:$J,'Budget Data'!$E:$E,$B30,'Budget Data'!$C:$C,$B$2,'Budget Data'!$A:$A,"&gt;="&amp;K$19,'Budget Data'!$A:$A,"&lt;="&amp;EOMONTH(K$19,0))+SUMIFS('Budget Data'!$J:$J,'Budget Data'!$E:$E,$B30,'Budget Data'!$C:$C,$B$4,'Budget Data'!$A:$A,"&gt;="&amp;K$19,'Budget Data'!$A:$A,"&lt;="&amp;EOMONTH(K$19,0))+SUMIFS('Budget Data'!$J:$J,'Budget Data'!$E:$E,$B30,'Budget Data'!$C:$C,$B$3,'Budget Data'!$A:$A,"&gt;="&amp;K$19,'Budget Data'!$A:$A,"&lt;="&amp;EOMONTH(K$19,0))+SUMIFS('Budget Data'!$J:$J,'Budget Data'!$E:$E,$B30,'Budget Data'!$C:$C,$B$5,'Budget Data'!$A:$A,"&gt;="&amp;K$19,'Budget Data'!$A:$A,"&lt;="&amp;EOMONTH(K$19,0))+SUMIFS('Budget Data'!$J:$J,'Budget Data'!$E:$E,$B30,'Budget Data'!$C:$C,$B$6,'Budget Data'!$A:$A,"&gt;="&amp;K$19,'Budget Data'!$A:$A,"&lt;="&amp;EOMONTH(K$19,0)))</f>
        <v>127600</v>
      </c>
      <c r="L30" s="86">
        <f>SUMPRODUCT(SUMIFS('Allocated Transactions'!$J:$J,'Allocated Transactions'!$D:$D,$B30,'Allocated Transactions'!$C:$C,$B$7,'Allocated Transactions'!$A:$A,"&gt;="&amp;L$19,'Allocated Transactions'!$A:$A,"&lt;="&amp;EOMONTH(L$19,0))+SUMIFS('Allocated Transactions'!$J:$J,'Allocated Transactions'!$D:$D,$B30,'Allocated Transactions'!$C:$C,$B$9,'Allocated Transactions'!$A:$A,"&gt;="&amp;L$19,'Allocated Transactions'!$A:$A,"&lt;="&amp;EOMONTH(L$19,0))+SUMIFS('Allocated Transactions'!$J:$J,'Allocated Transactions'!$D:$D,$B30,'Allocated Transactions'!$C:$C,$B$8,'Allocated Transactions'!$A:$A,"&gt;="&amp;L$19,'Allocated Transactions'!$A:$A,"&lt;="&amp;EOMONTH(L$19,0))+SUMIFS('Allocated Transactions'!$J:$J,'Allocated Transactions'!$D:$D,$B30,'Allocated Transactions'!$C:$C,$B$10,'Allocated Transactions'!$A:$A,"&gt;="&amp;L$19,'Allocated Transactions'!$A:$A,"&lt;="&amp;EOMONTH(L$19,0))+SUMIFS('Allocated Transactions'!$J:$J,'Allocated Transactions'!$D:$D,$B30,'Allocated Transactions'!$C:$C,$B$11,'Allocated Transactions'!$A:$A,"&gt;="&amp;L$19,'Allocated Transactions'!$A:$A,"&lt;="&amp;EOMONTH(L$19,0))+SUMIFS('Allocated Transactions'!$J:$J,'Allocated Transactions'!$D:$D,$B30,'Allocated Transactions'!$C:$C,$B$2,'Allocated Transactions'!$A:$A,"&gt;="&amp;L$19,'Allocated Transactions'!$A:$A,"&lt;="&amp;EOMONTH(L$19,0))+SUMIFS('Allocated Transactions'!$J:$J,'Allocated Transactions'!$D:$D,$B30,'Allocated Transactions'!$C:$C,$B$4,'Allocated Transactions'!$A:$A,"&gt;="&amp;L$19,'Allocated Transactions'!$A:$A,"&lt;="&amp;EOMONTH(L$19,0))+SUMIFS('Allocated Transactions'!$J:$J,'Allocated Transactions'!$D:$D,$B30,'Allocated Transactions'!$C:$C,$B$3,'Allocated Transactions'!$A:$A,"&gt;="&amp;L$19,'Allocated Transactions'!$A:$A,"&lt;="&amp;EOMONTH(L$19,0))+SUMIFS('Allocated Transactions'!$J:$J,'Allocated Transactions'!$D:$D,$B30,'Allocated Transactions'!$C:$C,$B$5,'Allocated Transactions'!$A:$A,"&gt;="&amp;L$19,'Allocated Transactions'!$A:$A,"&lt;="&amp;EOMONTH(L$19,0))+SUMIFS('Allocated Transactions'!$J:$J,'Allocated Transactions'!$D:$D,$B30,'Allocated Transactions'!$C:$C,$B$6,'Allocated Transactions'!$A:$A,"&gt;="&amp;L$19,'Allocated Transactions'!$A:$A,"&lt;="&amp;EOMONTH(L$19,0)))</f>
        <v>124722.61000000018</v>
      </c>
      <c r="M30" s="84">
        <f>SUMPRODUCT(SUMIFS('Budget Data'!$J:$J,'Budget Data'!$E:$E,$B30,'Budget Data'!$C:$C,$B$7,'Budget Data'!$A:$A,"&gt;="&amp;M$19,'Budget Data'!$A:$A,"&lt;="&amp;EOMONTH(M$19,0))+SUMIFS('Budget Data'!$J:$J,'Budget Data'!$E:$E,$B30,'Budget Data'!$C:$C,$B$9,'Budget Data'!$A:$A,"&gt;="&amp;M$19,'Budget Data'!$A:$A,"&lt;="&amp;EOMONTH(M$19,0))+SUMIFS('Budget Data'!$J:$J,'Budget Data'!$E:$E,$B30,'Budget Data'!$C:$C,$B$8,'Budget Data'!$A:$A,"&gt;="&amp;M$19,'Budget Data'!$A:$A,"&lt;="&amp;EOMONTH(M$19,0))+SUMIFS('Budget Data'!$J:$J,'Budget Data'!$E:$E,$B30,'Budget Data'!$C:$C,$B$10,'Budget Data'!$A:$A,"&gt;="&amp;M$19,'Budget Data'!$A:$A,"&lt;="&amp;EOMONTH(M$19,0))+SUMIFS('Budget Data'!$J:$J,'Budget Data'!$E:$E,$B30,'Budget Data'!$C:$C,$B$11,'Budget Data'!$A:$A,"&gt;="&amp;M$19,'Budget Data'!$A:$A,"&lt;="&amp;EOMONTH(M$19,0))+SUMIFS('Budget Data'!$J:$J,'Budget Data'!$E:$E,$B30,'Budget Data'!$C:$C,$B$2,'Budget Data'!$A:$A,"&gt;="&amp;M$19,'Budget Data'!$A:$A,"&lt;="&amp;EOMONTH(M$19,0))+SUMIFS('Budget Data'!$J:$J,'Budget Data'!$E:$E,$B30,'Budget Data'!$C:$C,$B$4,'Budget Data'!$A:$A,"&gt;="&amp;M$19,'Budget Data'!$A:$A,"&lt;="&amp;EOMONTH(M$19,0))+SUMIFS('Budget Data'!$J:$J,'Budget Data'!$E:$E,$B30,'Budget Data'!$C:$C,$B$3,'Budget Data'!$A:$A,"&gt;="&amp;M$19,'Budget Data'!$A:$A,"&lt;="&amp;EOMONTH(M$19,0))+SUMIFS('Budget Data'!$J:$J,'Budget Data'!$E:$E,$B30,'Budget Data'!$C:$C,$B$5,'Budget Data'!$A:$A,"&gt;="&amp;M$19,'Budget Data'!$A:$A,"&lt;="&amp;EOMONTH(M$19,0))+SUMIFS('Budget Data'!$J:$J,'Budget Data'!$E:$E,$B30,'Budget Data'!$C:$C,$B$6,'Budget Data'!$A:$A,"&gt;="&amp;M$19,'Budget Data'!$A:$A,"&lt;="&amp;EOMONTH(M$19,0)))</f>
        <v>123400</v>
      </c>
      <c r="N30" s="86">
        <f>SUMPRODUCT(SUMIFS('Allocated Transactions'!$J:$J,'Allocated Transactions'!$D:$D,$B30,'Allocated Transactions'!$C:$C,$B$7,'Allocated Transactions'!$A:$A,"&gt;="&amp;N$19,'Allocated Transactions'!$A:$A,"&lt;="&amp;EOMONTH(N$19,0))+SUMIFS('Allocated Transactions'!$J:$J,'Allocated Transactions'!$D:$D,$B30,'Allocated Transactions'!$C:$C,$B$9,'Allocated Transactions'!$A:$A,"&gt;="&amp;N$19,'Allocated Transactions'!$A:$A,"&lt;="&amp;EOMONTH(N$19,0))+SUMIFS('Allocated Transactions'!$J:$J,'Allocated Transactions'!$D:$D,$B30,'Allocated Transactions'!$C:$C,$B$8,'Allocated Transactions'!$A:$A,"&gt;="&amp;N$19,'Allocated Transactions'!$A:$A,"&lt;="&amp;EOMONTH(N$19,0))+SUMIFS('Allocated Transactions'!$J:$J,'Allocated Transactions'!$D:$D,$B30,'Allocated Transactions'!$C:$C,$B$10,'Allocated Transactions'!$A:$A,"&gt;="&amp;N$19,'Allocated Transactions'!$A:$A,"&lt;="&amp;EOMONTH(N$19,0))+SUMIFS('Allocated Transactions'!$J:$J,'Allocated Transactions'!$D:$D,$B30,'Allocated Transactions'!$C:$C,$B$11,'Allocated Transactions'!$A:$A,"&gt;="&amp;N$19,'Allocated Transactions'!$A:$A,"&lt;="&amp;EOMONTH(N$19,0))+SUMIFS('Allocated Transactions'!$J:$J,'Allocated Transactions'!$D:$D,$B30,'Allocated Transactions'!$C:$C,$B$2,'Allocated Transactions'!$A:$A,"&gt;="&amp;N$19,'Allocated Transactions'!$A:$A,"&lt;="&amp;EOMONTH(N$19,0))+SUMIFS('Allocated Transactions'!$J:$J,'Allocated Transactions'!$D:$D,$B30,'Allocated Transactions'!$C:$C,$B$4,'Allocated Transactions'!$A:$A,"&gt;="&amp;N$19,'Allocated Transactions'!$A:$A,"&lt;="&amp;EOMONTH(N$19,0))+SUMIFS('Allocated Transactions'!$J:$J,'Allocated Transactions'!$D:$D,$B30,'Allocated Transactions'!$C:$C,$B$3,'Allocated Transactions'!$A:$A,"&gt;="&amp;N$19,'Allocated Transactions'!$A:$A,"&lt;="&amp;EOMONTH(N$19,0))+SUMIFS('Allocated Transactions'!$J:$J,'Allocated Transactions'!$D:$D,$B30,'Allocated Transactions'!$C:$C,$B$5,'Allocated Transactions'!$A:$A,"&gt;="&amp;N$19,'Allocated Transactions'!$A:$A,"&lt;="&amp;EOMONTH(N$19,0))+SUMIFS('Allocated Transactions'!$J:$J,'Allocated Transactions'!$D:$D,$B30,'Allocated Transactions'!$C:$C,$B$6,'Allocated Transactions'!$A:$A,"&gt;="&amp;N$19,'Allocated Transactions'!$A:$A,"&lt;="&amp;EOMONTH(N$19,0)))</f>
        <v>126875.50999999989</v>
      </c>
      <c r="O30" s="84">
        <f>SUMPRODUCT(SUMIFS('Budget Data'!$J:$J,'Budget Data'!$E:$E,$B30,'Budget Data'!$C:$C,$B$7,'Budget Data'!$A:$A,"&gt;="&amp;O$19,'Budget Data'!$A:$A,"&lt;="&amp;EOMONTH(O$19,0))+SUMIFS('Budget Data'!$J:$J,'Budget Data'!$E:$E,$B30,'Budget Data'!$C:$C,$B$9,'Budget Data'!$A:$A,"&gt;="&amp;O$19,'Budget Data'!$A:$A,"&lt;="&amp;EOMONTH(O$19,0))+SUMIFS('Budget Data'!$J:$J,'Budget Data'!$E:$E,$B30,'Budget Data'!$C:$C,$B$8,'Budget Data'!$A:$A,"&gt;="&amp;O$19,'Budget Data'!$A:$A,"&lt;="&amp;EOMONTH(O$19,0))+SUMIFS('Budget Data'!$J:$J,'Budget Data'!$E:$E,$B30,'Budget Data'!$C:$C,$B$10,'Budget Data'!$A:$A,"&gt;="&amp;O$19,'Budget Data'!$A:$A,"&lt;="&amp;EOMONTH(O$19,0))+SUMIFS('Budget Data'!$J:$J,'Budget Data'!$E:$E,$B30,'Budget Data'!$C:$C,$B$11,'Budget Data'!$A:$A,"&gt;="&amp;O$19,'Budget Data'!$A:$A,"&lt;="&amp;EOMONTH(O$19,0))+SUMIFS('Budget Data'!$J:$J,'Budget Data'!$E:$E,$B30,'Budget Data'!$C:$C,$B$2,'Budget Data'!$A:$A,"&gt;="&amp;O$19,'Budget Data'!$A:$A,"&lt;="&amp;EOMONTH(O$19,0))+SUMIFS('Budget Data'!$J:$J,'Budget Data'!$E:$E,$B30,'Budget Data'!$C:$C,$B$4,'Budget Data'!$A:$A,"&gt;="&amp;O$19,'Budget Data'!$A:$A,"&lt;="&amp;EOMONTH(O$19,0))+SUMIFS('Budget Data'!$J:$J,'Budget Data'!$E:$E,$B30,'Budget Data'!$C:$C,$B$3,'Budget Data'!$A:$A,"&gt;="&amp;O$19,'Budget Data'!$A:$A,"&lt;="&amp;EOMONTH(O$19,0))+SUMIFS('Budget Data'!$J:$J,'Budget Data'!$E:$E,$B30,'Budget Data'!$C:$C,$B$5,'Budget Data'!$A:$A,"&gt;="&amp;O$19,'Budget Data'!$A:$A,"&lt;="&amp;EOMONTH(O$19,0))+SUMIFS('Budget Data'!$J:$J,'Budget Data'!$E:$E,$B30,'Budget Data'!$C:$C,$B$6,'Budget Data'!$A:$A,"&gt;="&amp;O$19,'Budget Data'!$A:$A,"&lt;="&amp;EOMONTH(O$19,0)))</f>
        <v>125600</v>
      </c>
      <c r="P30" s="86">
        <f>SUMPRODUCT(SUMIFS('Allocated Transactions'!$J:$J,'Allocated Transactions'!$D:$D,$B30,'Allocated Transactions'!$C:$C,$B$7,'Allocated Transactions'!$A:$A,"&gt;="&amp;P$19,'Allocated Transactions'!$A:$A,"&lt;="&amp;EOMONTH(P$19,0))+SUMIFS('Allocated Transactions'!$J:$J,'Allocated Transactions'!$D:$D,$B30,'Allocated Transactions'!$C:$C,$B$9,'Allocated Transactions'!$A:$A,"&gt;="&amp;P$19,'Allocated Transactions'!$A:$A,"&lt;="&amp;EOMONTH(P$19,0))+SUMIFS('Allocated Transactions'!$J:$J,'Allocated Transactions'!$D:$D,$B30,'Allocated Transactions'!$C:$C,$B$8,'Allocated Transactions'!$A:$A,"&gt;="&amp;P$19,'Allocated Transactions'!$A:$A,"&lt;="&amp;EOMONTH(P$19,0))+SUMIFS('Allocated Transactions'!$J:$J,'Allocated Transactions'!$D:$D,$B30,'Allocated Transactions'!$C:$C,$B$10,'Allocated Transactions'!$A:$A,"&gt;="&amp;P$19,'Allocated Transactions'!$A:$A,"&lt;="&amp;EOMONTH(P$19,0))+SUMIFS('Allocated Transactions'!$J:$J,'Allocated Transactions'!$D:$D,$B30,'Allocated Transactions'!$C:$C,$B$11,'Allocated Transactions'!$A:$A,"&gt;="&amp;P$19,'Allocated Transactions'!$A:$A,"&lt;="&amp;EOMONTH(P$19,0))+SUMIFS('Allocated Transactions'!$J:$J,'Allocated Transactions'!$D:$D,$B30,'Allocated Transactions'!$C:$C,$B$2,'Allocated Transactions'!$A:$A,"&gt;="&amp;P$19,'Allocated Transactions'!$A:$A,"&lt;="&amp;EOMONTH(P$19,0))+SUMIFS('Allocated Transactions'!$J:$J,'Allocated Transactions'!$D:$D,$B30,'Allocated Transactions'!$C:$C,$B$4,'Allocated Transactions'!$A:$A,"&gt;="&amp;P$19,'Allocated Transactions'!$A:$A,"&lt;="&amp;EOMONTH(P$19,0))+SUMIFS('Allocated Transactions'!$J:$J,'Allocated Transactions'!$D:$D,$B30,'Allocated Transactions'!$C:$C,$B$3,'Allocated Transactions'!$A:$A,"&gt;="&amp;P$19,'Allocated Transactions'!$A:$A,"&lt;="&amp;EOMONTH(P$19,0))+SUMIFS('Allocated Transactions'!$J:$J,'Allocated Transactions'!$D:$D,$B30,'Allocated Transactions'!$C:$C,$B$5,'Allocated Transactions'!$A:$A,"&gt;="&amp;P$19,'Allocated Transactions'!$A:$A,"&lt;="&amp;EOMONTH(P$19,0))+SUMIFS('Allocated Transactions'!$J:$J,'Allocated Transactions'!$D:$D,$B30,'Allocated Transactions'!$C:$C,$B$6,'Allocated Transactions'!$A:$A,"&gt;="&amp;P$19,'Allocated Transactions'!$A:$A,"&lt;="&amp;EOMONTH(P$19,0)))</f>
        <v>125556.76000000001</v>
      </c>
      <c r="Q30" s="84">
        <f>SUMPRODUCT(SUMIFS('Budget Data'!$J:$J,'Budget Data'!$E:$E,$B30,'Budget Data'!$C:$C,$B$7,'Budget Data'!$A:$A,"&gt;="&amp;Q$19,'Budget Data'!$A:$A,"&lt;="&amp;EOMONTH(Q$19,0))+SUMIFS('Budget Data'!$J:$J,'Budget Data'!$E:$E,$B30,'Budget Data'!$C:$C,$B$9,'Budget Data'!$A:$A,"&gt;="&amp;Q$19,'Budget Data'!$A:$A,"&lt;="&amp;EOMONTH(Q$19,0))+SUMIFS('Budget Data'!$J:$J,'Budget Data'!$E:$E,$B30,'Budget Data'!$C:$C,$B$8,'Budget Data'!$A:$A,"&gt;="&amp;Q$19,'Budget Data'!$A:$A,"&lt;="&amp;EOMONTH(Q$19,0))+SUMIFS('Budget Data'!$J:$J,'Budget Data'!$E:$E,$B30,'Budget Data'!$C:$C,$B$10,'Budget Data'!$A:$A,"&gt;="&amp;Q$19,'Budget Data'!$A:$A,"&lt;="&amp;EOMONTH(Q$19,0))+SUMIFS('Budget Data'!$J:$J,'Budget Data'!$E:$E,$B30,'Budget Data'!$C:$C,$B$11,'Budget Data'!$A:$A,"&gt;="&amp;Q$19,'Budget Data'!$A:$A,"&lt;="&amp;EOMONTH(Q$19,0))+SUMIFS('Budget Data'!$J:$J,'Budget Data'!$E:$E,$B30,'Budget Data'!$C:$C,$B$2,'Budget Data'!$A:$A,"&gt;="&amp;Q$19,'Budget Data'!$A:$A,"&lt;="&amp;EOMONTH(Q$19,0))+SUMIFS('Budget Data'!$J:$J,'Budget Data'!$E:$E,$B30,'Budget Data'!$C:$C,$B$4,'Budget Data'!$A:$A,"&gt;="&amp;Q$19,'Budget Data'!$A:$A,"&lt;="&amp;EOMONTH(Q$19,0))+SUMIFS('Budget Data'!$J:$J,'Budget Data'!$E:$E,$B30,'Budget Data'!$C:$C,$B$3,'Budget Data'!$A:$A,"&gt;="&amp;Q$19,'Budget Data'!$A:$A,"&lt;="&amp;EOMONTH(Q$19,0))+SUMIFS('Budget Data'!$J:$J,'Budget Data'!$E:$E,$B30,'Budget Data'!$C:$C,$B$5,'Budget Data'!$A:$A,"&gt;="&amp;Q$19,'Budget Data'!$A:$A,"&lt;="&amp;EOMONTH(Q$19,0))+SUMIFS('Budget Data'!$J:$J,'Budget Data'!$E:$E,$B30,'Budget Data'!$C:$C,$B$6,'Budget Data'!$A:$A,"&gt;="&amp;Q$19,'Budget Data'!$A:$A,"&lt;="&amp;EOMONTH(Q$19,0)))</f>
        <v>124200</v>
      </c>
      <c r="R30" s="86">
        <f>SUMPRODUCT(SUMIFS('Allocated Transactions'!$J:$J,'Allocated Transactions'!$D:$D,$B30,'Allocated Transactions'!$C:$C,$B$7,'Allocated Transactions'!$A:$A,"&gt;="&amp;R$19,'Allocated Transactions'!$A:$A,"&lt;="&amp;EOMONTH(R$19,0))+SUMIFS('Allocated Transactions'!$J:$J,'Allocated Transactions'!$D:$D,$B30,'Allocated Transactions'!$C:$C,$B$9,'Allocated Transactions'!$A:$A,"&gt;="&amp;R$19,'Allocated Transactions'!$A:$A,"&lt;="&amp;EOMONTH(R$19,0))+SUMIFS('Allocated Transactions'!$J:$J,'Allocated Transactions'!$D:$D,$B30,'Allocated Transactions'!$C:$C,$B$8,'Allocated Transactions'!$A:$A,"&gt;="&amp;R$19,'Allocated Transactions'!$A:$A,"&lt;="&amp;EOMONTH(R$19,0))+SUMIFS('Allocated Transactions'!$J:$J,'Allocated Transactions'!$D:$D,$B30,'Allocated Transactions'!$C:$C,$B$10,'Allocated Transactions'!$A:$A,"&gt;="&amp;R$19,'Allocated Transactions'!$A:$A,"&lt;="&amp;EOMONTH(R$19,0))+SUMIFS('Allocated Transactions'!$J:$J,'Allocated Transactions'!$D:$D,$B30,'Allocated Transactions'!$C:$C,$B$11,'Allocated Transactions'!$A:$A,"&gt;="&amp;R$19,'Allocated Transactions'!$A:$A,"&lt;="&amp;EOMONTH(R$19,0))+SUMIFS('Allocated Transactions'!$J:$J,'Allocated Transactions'!$D:$D,$B30,'Allocated Transactions'!$C:$C,$B$2,'Allocated Transactions'!$A:$A,"&gt;="&amp;R$19,'Allocated Transactions'!$A:$A,"&lt;="&amp;EOMONTH(R$19,0))+SUMIFS('Allocated Transactions'!$J:$J,'Allocated Transactions'!$D:$D,$B30,'Allocated Transactions'!$C:$C,$B$4,'Allocated Transactions'!$A:$A,"&gt;="&amp;R$19,'Allocated Transactions'!$A:$A,"&lt;="&amp;EOMONTH(R$19,0))+SUMIFS('Allocated Transactions'!$J:$J,'Allocated Transactions'!$D:$D,$B30,'Allocated Transactions'!$C:$C,$B$3,'Allocated Transactions'!$A:$A,"&gt;="&amp;R$19,'Allocated Transactions'!$A:$A,"&lt;="&amp;EOMONTH(R$19,0))+SUMIFS('Allocated Transactions'!$J:$J,'Allocated Transactions'!$D:$D,$B30,'Allocated Transactions'!$C:$C,$B$5,'Allocated Transactions'!$A:$A,"&gt;="&amp;R$19,'Allocated Transactions'!$A:$A,"&lt;="&amp;EOMONTH(R$19,0))+SUMIFS('Allocated Transactions'!$J:$J,'Allocated Transactions'!$D:$D,$B30,'Allocated Transactions'!$C:$C,$B$6,'Allocated Transactions'!$A:$A,"&gt;="&amp;R$19,'Allocated Transactions'!$A:$A,"&lt;="&amp;EOMONTH(R$19,0)))</f>
        <v>128749.3900000002</v>
      </c>
      <c r="S30" s="84">
        <f>SUMPRODUCT(SUMIFS('Budget Data'!$J:$J,'Budget Data'!$E:$E,$B30,'Budget Data'!$C:$C,$B$7,'Budget Data'!$A:$A,"&gt;="&amp;S$19,'Budget Data'!$A:$A,"&lt;="&amp;EOMONTH(S$19,0))+SUMIFS('Budget Data'!$J:$J,'Budget Data'!$E:$E,$B30,'Budget Data'!$C:$C,$B$9,'Budget Data'!$A:$A,"&gt;="&amp;S$19,'Budget Data'!$A:$A,"&lt;="&amp;EOMONTH(S$19,0))+SUMIFS('Budget Data'!$J:$J,'Budget Data'!$E:$E,$B30,'Budget Data'!$C:$C,$B$8,'Budget Data'!$A:$A,"&gt;="&amp;S$19,'Budget Data'!$A:$A,"&lt;="&amp;EOMONTH(S$19,0))+SUMIFS('Budget Data'!$J:$J,'Budget Data'!$E:$E,$B30,'Budget Data'!$C:$C,$B$10,'Budget Data'!$A:$A,"&gt;="&amp;S$19,'Budget Data'!$A:$A,"&lt;="&amp;EOMONTH(S$19,0))+SUMIFS('Budget Data'!$J:$J,'Budget Data'!$E:$E,$B30,'Budget Data'!$C:$C,$B$11,'Budget Data'!$A:$A,"&gt;="&amp;S$19,'Budget Data'!$A:$A,"&lt;="&amp;EOMONTH(S$19,0))+SUMIFS('Budget Data'!$J:$J,'Budget Data'!$E:$E,$B30,'Budget Data'!$C:$C,$B$2,'Budget Data'!$A:$A,"&gt;="&amp;S$19,'Budget Data'!$A:$A,"&lt;="&amp;EOMONTH(S$19,0))+SUMIFS('Budget Data'!$J:$J,'Budget Data'!$E:$E,$B30,'Budget Data'!$C:$C,$B$4,'Budget Data'!$A:$A,"&gt;="&amp;S$19,'Budget Data'!$A:$A,"&lt;="&amp;EOMONTH(S$19,0))+SUMIFS('Budget Data'!$J:$J,'Budget Data'!$E:$E,$B30,'Budget Data'!$C:$C,$B$3,'Budget Data'!$A:$A,"&gt;="&amp;S$19,'Budget Data'!$A:$A,"&lt;="&amp;EOMONTH(S$19,0))+SUMIFS('Budget Data'!$J:$J,'Budget Data'!$E:$E,$B30,'Budget Data'!$C:$C,$B$5,'Budget Data'!$A:$A,"&gt;="&amp;S$19,'Budget Data'!$A:$A,"&lt;="&amp;EOMONTH(S$19,0))+SUMIFS('Budget Data'!$J:$J,'Budget Data'!$E:$E,$B30,'Budget Data'!$C:$C,$B$6,'Budget Data'!$A:$A,"&gt;="&amp;S$19,'Budget Data'!$A:$A,"&lt;="&amp;EOMONTH(S$19,0)))</f>
        <v>127500</v>
      </c>
      <c r="T30" s="86">
        <f>SUMPRODUCT(SUMIFS('Allocated Transactions'!$J:$J,'Allocated Transactions'!$D:$D,$B30,'Allocated Transactions'!$C:$C,$B$7,'Allocated Transactions'!$A:$A,"&gt;="&amp;T$19,'Allocated Transactions'!$A:$A,"&lt;="&amp;EOMONTH(T$19,0))+SUMIFS('Allocated Transactions'!$J:$J,'Allocated Transactions'!$D:$D,$B30,'Allocated Transactions'!$C:$C,$B$9,'Allocated Transactions'!$A:$A,"&gt;="&amp;T$19,'Allocated Transactions'!$A:$A,"&lt;="&amp;EOMONTH(T$19,0))+SUMIFS('Allocated Transactions'!$J:$J,'Allocated Transactions'!$D:$D,$B30,'Allocated Transactions'!$C:$C,$B$8,'Allocated Transactions'!$A:$A,"&gt;="&amp;T$19,'Allocated Transactions'!$A:$A,"&lt;="&amp;EOMONTH(T$19,0))+SUMIFS('Allocated Transactions'!$J:$J,'Allocated Transactions'!$D:$D,$B30,'Allocated Transactions'!$C:$C,$B$10,'Allocated Transactions'!$A:$A,"&gt;="&amp;T$19,'Allocated Transactions'!$A:$A,"&lt;="&amp;EOMONTH(T$19,0))+SUMIFS('Allocated Transactions'!$J:$J,'Allocated Transactions'!$D:$D,$B30,'Allocated Transactions'!$C:$C,$B$11,'Allocated Transactions'!$A:$A,"&gt;="&amp;T$19,'Allocated Transactions'!$A:$A,"&lt;="&amp;EOMONTH(T$19,0))+SUMIFS('Allocated Transactions'!$J:$J,'Allocated Transactions'!$D:$D,$B30,'Allocated Transactions'!$C:$C,$B$2,'Allocated Transactions'!$A:$A,"&gt;="&amp;T$19,'Allocated Transactions'!$A:$A,"&lt;="&amp;EOMONTH(T$19,0))+SUMIFS('Allocated Transactions'!$J:$J,'Allocated Transactions'!$D:$D,$B30,'Allocated Transactions'!$C:$C,$B$4,'Allocated Transactions'!$A:$A,"&gt;="&amp;T$19,'Allocated Transactions'!$A:$A,"&lt;="&amp;EOMONTH(T$19,0))+SUMIFS('Allocated Transactions'!$J:$J,'Allocated Transactions'!$D:$D,$B30,'Allocated Transactions'!$C:$C,$B$3,'Allocated Transactions'!$A:$A,"&gt;="&amp;T$19,'Allocated Transactions'!$A:$A,"&lt;="&amp;EOMONTH(T$19,0))+SUMIFS('Allocated Transactions'!$J:$J,'Allocated Transactions'!$D:$D,$B30,'Allocated Transactions'!$C:$C,$B$5,'Allocated Transactions'!$A:$A,"&gt;="&amp;T$19,'Allocated Transactions'!$A:$A,"&lt;="&amp;EOMONTH(T$19,0))+SUMIFS('Allocated Transactions'!$J:$J,'Allocated Transactions'!$D:$D,$B30,'Allocated Transactions'!$C:$C,$B$6,'Allocated Transactions'!$A:$A,"&gt;="&amp;T$19,'Allocated Transactions'!$A:$A,"&lt;="&amp;EOMONTH(T$19,0)))</f>
        <v>126150.07000000014</v>
      </c>
      <c r="U30" s="84">
        <f>SUMPRODUCT(SUMIFS('Budget Data'!$J:$J,'Budget Data'!$E:$E,$B30,'Budget Data'!$C:$C,$B$7,'Budget Data'!$A:$A,"&gt;="&amp;U$19,'Budget Data'!$A:$A,"&lt;="&amp;EOMONTH(U$19,0))+SUMIFS('Budget Data'!$J:$J,'Budget Data'!$E:$E,$B30,'Budget Data'!$C:$C,$B$9,'Budget Data'!$A:$A,"&gt;="&amp;U$19,'Budget Data'!$A:$A,"&lt;="&amp;EOMONTH(U$19,0))+SUMIFS('Budget Data'!$J:$J,'Budget Data'!$E:$E,$B30,'Budget Data'!$C:$C,$B$8,'Budget Data'!$A:$A,"&gt;="&amp;U$19,'Budget Data'!$A:$A,"&lt;="&amp;EOMONTH(U$19,0))+SUMIFS('Budget Data'!$J:$J,'Budget Data'!$E:$E,$B30,'Budget Data'!$C:$C,$B$10,'Budget Data'!$A:$A,"&gt;="&amp;U$19,'Budget Data'!$A:$A,"&lt;="&amp;EOMONTH(U$19,0))+SUMIFS('Budget Data'!$J:$J,'Budget Data'!$E:$E,$B30,'Budget Data'!$C:$C,$B$11,'Budget Data'!$A:$A,"&gt;="&amp;U$19,'Budget Data'!$A:$A,"&lt;="&amp;EOMONTH(U$19,0))+SUMIFS('Budget Data'!$J:$J,'Budget Data'!$E:$E,$B30,'Budget Data'!$C:$C,$B$2,'Budget Data'!$A:$A,"&gt;="&amp;U$19,'Budget Data'!$A:$A,"&lt;="&amp;EOMONTH(U$19,0))+SUMIFS('Budget Data'!$J:$J,'Budget Data'!$E:$E,$B30,'Budget Data'!$C:$C,$B$4,'Budget Data'!$A:$A,"&gt;="&amp;U$19,'Budget Data'!$A:$A,"&lt;="&amp;EOMONTH(U$19,0))+SUMIFS('Budget Data'!$J:$J,'Budget Data'!$E:$E,$B30,'Budget Data'!$C:$C,$B$3,'Budget Data'!$A:$A,"&gt;="&amp;U$19,'Budget Data'!$A:$A,"&lt;="&amp;EOMONTH(U$19,0))+SUMIFS('Budget Data'!$J:$J,'Budget Data'!$E:$E,$B30,'Budget Data'!$C:$C,$B$5,'Budget Data'!$A:$A,"&gt;="&amp;U$19,'Budget Data'!$A:$A,"&lt;="&amp;EOMONTH(U$19,0))+SUMIFS('Budget Data'!$J:$J,'Budget Data'!$E:$E,$B30,'Budget Data'!$C:$C,$B$6,'Budget Data'!$A:$A,"&gt;="&amp;U$19,'Budget Data'!$A:$A,"&lt;="&amp;EOMONTH(U$19,0)))</f>
        <v>124800</v>
      </c>
      <c r="V30" s="86">
        <f>SUMPRODUCT(SUMIFS('Allocated Transactions'!$J:$J,'Allocated Transactions'!$D:$D,$B30,'Allocated Transactions'!$C:$C,$B$7,'Allocated Transactions'!$A:$A,"&gt;="&amp;V$19,'Allocated Transactions'!$A:$A,"&lt;="&amp;EOMONTH(V$19,0))+SUMIFS('Allocated Transactions'!$J:$J,'Allocated Transactions'!$D:$D,$B30,'Allocated Transactions'!$C:$C,$B$9,'Allocated Transactions'!$A:$A,"&gt;="&amp;V$19,'Allocated Transactions'!$A:$A,"&lt;="&amp;EOMONTH(V$19,0))+SUMIFS('Allocated Transactions'!$J:$J,'Allocated Transactions'!$D:$D,$B30,'Allocated Transactions'!$C:$C,$B$8,'Allocated Transactions'!$A:$A,"&gt;="&amp;V$19,'Allocated Transactions'!$A:$A,"&lt;="&amp;EOMONTH(V$19,0))+SUMIFS('Allocated Transactions'!$J:$J,'Allocated Transactions'!$D:$D,$B30,'Allocated Transactions'!$C:$C,$B$10,'Allocated Transactions'!$A:$A,"&gt;="&amp;V$19,'Allocated Transactions'!$A:$A,"&lt;="&amp;EOMONTH(V$19,0))+SUMIFS('Allocated Transactions'!$J:$J,'Allocated Transactions'!$D:$D,$B30,'Allocated Transactions'!$C:$C,$B$11,'Allocated Transactions'!$A:$A,"&gt;="&amp;V$19,'Allocated Transactions'!$A:$A,"&lt;="&amp;EOMONTH(V$19,0))+SUMIFS('Allocated Transactions'!$J:$J,'Allocated Transactions'!$D:$D,$B30,'Allocated Transactions'!$C:$C,$B$2,'Allocated Transactions'!$A:$A,"&gt;="&amp;V$19,'Allocated Transactions'!$A:$A,"&lt;="&amp;EOMONTH(V$19,0))+SUMIFS('Allocated Transactions'!$J:$J,'Allocated Transactions'!$D:$D,$B30,'Allocated Transactions'!$C:$C,$B$4,'Allocated Transactions'!$A:$A,"&gt;="&amp;V$19,'Allocated Transactions'!$A:$A,"&lt;="&amp;EOMONTH(V$19,0))+SUMIFS('Allocated Transactions'!$J:$J,'Allocated Transactions'!$D:$D,$B30,'Allocated Transactions'!$C:$C,$B$3,'Allocated Transactions'!$A:$A,"&gt;="&amp;V$19,'Allocated Transactions'!$A:$A,"&lt;="&amp;EOMONTH(V$19,0))+SUMIFS('Allocated Transactions'!$J:$J,'Allocated Transactions'!$D:$D,$B30,'Allocated Transactions'!$C:$C,$B$5,'Allocated Transactions'!$A:$A,"&gt;="&amp;V$19,'Allocated Transactions'!$A:$A,"&lt;="&amp;EOMONTH(V$19,0))+SUMIFS('Allocated Transactions'!$J:$J,'Allocated Transactions'!$D:$D,$B30,'Allocated Transactions'!$C:$C,$B$6,'Allocated Transactions'!$A:$A,"&gt;="&amp;V$19,'Allocated Transactions'!$A:$A,"&lt;="&amp;EOMONTH(V$19,0)))</f>
        <v>127182.12</v>
      </c>
      <c r="W30" s="84">
        <f>SUMPRODUCT(SUMIFS('Budget Data'!$J:$J,'Budget Data'!$E:$E,$B30,'Budget Data'!$C:$C,$B$7,'Budget Data'!$A:$A,"&gt;="&amp;W$19,'Budget Data'!$A:$A,"&lt;="&amp;EOMONTH(W$19,0))+SUMIFS('Budget Data'!$J:$J,'Budget Data'!$E:$E,$B30,'Budget Data'!$C:$C,$B$9,'Budget Data'!$A:$A,"&gt;="&amp;W$19,'Budget Data'!$A:$A,"&lt;="&amp;EOMONTH(W$19,0))+SUMIFS('Budget Data'!$J:$J,'Budget Data'!$E:$E,$B30,'Budget Data'!$C:$C,$B$8,'Budget Data'!$A:$A,"&gt;="&amp;W$19,'Budget Data'!$A:$A,"&lt;="&amp;EOMONTH(W$19,0))+SUMIFS('Budget Data'!$J:$J,'Budget Data'!$E:$E,$B30,'Budget Data'!$C:$C,$B$10,'Budget Data'!$A:$A,"&gt;="&amp;W$19,'Budget Data'!$A:$A,"&lt;="&amp;EOMONTH(W$19,0))+SUMIFS('Budget Data'!$J:$J,'Budget Data'!$E:$E,$B30,'Budget Data'!$C:$C,$B$11,'Budget Data'!$A:$A,"&gt;="&amp;W$19,'Budget Data'!$A:$A,"&lt;="&amp;EOMONTH(W$19,0))+SUMIFS('Budget Data'!$J:$J,'Budget Data'!$E:$E,$B30,'Budget Data'!$C:$C,$B$2,'Budget Data'!$A:$A,"&gt;="&amp;W$19,'Budget Data'!$A:$A,"&lt;="&amp;EOMONTH(W$19,0))+SUMIFS('Budget Data'!$J:$J,'Budget Data'!$E:$E,$B30,'Budget Data'!$C:$C,$B$4,'Budget Data'!$A:$A,"&gt;="&amp;W$19,'Budget Data'!$A:$A,"&lt;="&amp;EOMONTH(W$19,0))+SUMIFS('Budget Data'!$J:$J,'Budget Data'!$E:$E,$B30,'Budget Data'!$C:$C,$B$3,'Budget Data'!$A:$A,"&gt;="&amp;W$19,'Budget Data'!$A:$A,"&lt;="&amp;EOMONTH(W$19,0))+SUMIFS('Budget Data'!$J:$J,'Budget Data'!$E:$E,$B30,'Budget Data'!$C:$C,$B$5,'Budget Data'!$A:$A,"&gt;="&amp;W$19,'Budget Data'!$A:$A,"&lt;="&amp;EOMONTH(W$19,0))+SUMIFS('Budget Data'!$J:$J,'Budget Data'!$E:$E,$B30,'Budget Data'!$C:$C,$B$6,'Budget Data'!$A:$A,"&gt;="&amp;W$19,'Budget Data'!$A:$A,"&lt;="&amp;EOMONTH(W$19,0)))</f>
        <v>125900</v>
      </c>
      <c r="X30" s="86">
        <f>SUMPRODUCT(SUMIFS('Allocated Transactions'!$J:$J,'Allocated Transactions'!$D:$D,$B30,'Allocated Transactions'!$C:$C,$B$7,'Allocated Transactions'!$A:$A,"&gt;="&amp;X$19,'Allocated Transactions'!$A:$A,"&lt;="&amp;EOMONTH(X$19,0))+SUMIFS('Allocated Transactions'!$J:$J,'Allocated Transactions'!$D:$D,$B30,'Allocated Transactions'!$C:$C,$B$9,'Allocated Transactions'!$A:$A,"&gt;="&amp;X$19,'Allocated Transactions'!$A:$A,"&lt;="&amp;EOMONTH(X$19,0))+SUMIFS('Allocated Transactions'!$J:$J,'Allocated Transactions'!$D:$D,$B30,'Allocated Transactions'!$C:$C,$B$8,'Allocated Transactions'!$A:$A,"&gt;="&amp;X$19,'Allocated Transactions'!$A:$A,"&lt;="&amp;EOMONTH(X$19,0))+SUMIFS('Allocated Transactions'!$J:$J,'Allocated Transactions'!$D:$D,$B30,'Allocated Transactions'!$C:$C,$B$10,'Allocated Transactions'!$A:$A,"&gt;="&amp;X$19,'Allocated Transactions'!$A:$A,"&lt;="&amp;EOMONTH(X$19,0))+SUMIFS('Allocated Transactions'!$J:$J,'Allocated Transactions'!$D:$D,$B30,'Allocated Transactions'!$C:$C,$B$11,'Allocated Transactions'!$A:$A,"&gt;="&amp;X$19,'Allocated Transactions'!$A:$A,"&lt;="&amp;EOMONTH(X$19,0))+SUMIFS('Allocated Transactions'!$J:$J,'Allocated Transactions'!$D:$D,$B30,'Allocated Transactions'!$C:$C,$B$2,'Allocated Transactions'!$A:$A,"&gt;="&amp;X$19,'Allocated Transactions'!$A:$A,"&lt;="&amp;EOMONTH(X$19,0))+SUMIFS('Allocated Transactions'!$J:$J,'Allocated Transactions'!$D:$D,$B30,'Allocated Transactions'!$C:$C,$B$4,'Allocated Transactions'!$A:$A,"&gt;="&amp;X$19,'Allocated Transactions'!$A:$A,"&lt;="&amp;EOMONTH(X$19,0))+SUMIFS('Allocated Transactions'!$J:$J,'Allocated Transactions'!$D:$D,$B30,'Allocated Transactions'!$C:$C,$B$3,'Allocated Transactions'!$A:$A,"&gt;="&amp;X$19,'Allocated Transactions'!$A:$A,"&lt;="&amp;EOMONTH(X$19,0))+SUMIFS('Allocated Transactions'!$J:$J,'Allocated Transactions'!$D:$D,$B30,'Allocated Transactions'!$C:$C,$B$5,'Allocated Transactions'!$A:$A,"&gt;="&amp;X$19,'Allocated Transactions'!$A:$A,"&lt;="&amp;EOMONTH(X$19,0))+SUMIFS('Allocated Transactions'!$J:$J,'Allocated Transactions'!$D:$D,$B30,'Allocated Transactions'!$C:$C,$B$6,'Allocated Transactions'!$A:$A,"&gt;="&amp;X$19,'Allocated Transactions'!$A:$A,"&lt;="&amp;EOMONTH(X$19,0)))</f>
        <v>118864.15000000001</v>
      </c>
      <c r="Y30" s="84">
        <f>SUMPRODUCT(SUMIFS('Budget Data'!$J:$J,'Budget Data'!$E:$E,$B30,'Budget Data'!$C:$C,$B$7,'Budget Data'!$A:$A,"&gt;="&amp;Y$19,'Budget Data'!$A:$A,"&lt;="&amp;EOMONTH(Y$19,0))+SUMIFS('Budget Data'!$J:$J,'Budget Data'!$E:$E,$B30,'Budget Data'!$C:$C,$B$9,'Budget Data'!$A:$A,"&gt;="&amp;Y$19,'Budget Data'!$A:$A,"&lt;="&amp;EOMONTH(Y$19,0))+SUMIFS('Budget Data'!$J:$J,'Budget Data'!$E:$E,$B30,'Budget Data'!$C:$C,$B$8,'Budget Data'!$A:$A,"&gt;="&amp;Y$19,'Budget Data'!$A:$A,"&lt;="&amp;EOMONTH(Y$19,0))+SUMIFS('Budget Data'!$J:$J,'Budget Data'!$E:$E,$B30,'Budget Data'!$C:$C,$B$10,'Budget Data'!$A:$A,"&gt;="&amp;Y$19,'Budget Data'!$A:$A,"&lt;="&amp;EOMONTH(Y$19,0))+SUMIFS('Budget Data'!$J:$J,'Budget Data'!$E:$E,$B30,'Budget Data'!$C:$C,$B$11,'Budget Data'!$A:$A,"&gt;="&amp;Y$19,'Budget Data'!$A:$A,"&lt;="&amp;EOMONTH(Y$19,0))+SUMIFS('Budget Data'!$J:$J,'Budget Data'!$E:$E,$B30,'Budget Data'!$C:$C,$B$2,'Budget Data'!$A:$A,"&gt;="&amp;Y$19,'Budget Data'!$A:$A,"&lt;="&amp;EOMONTH(Y$19,0))+SUMIFS('Budget Data'!$J:$J,'Budget Data'!$E:$E,$B30,'Budget Data'!$C:$C,$B$4,'Budget Data'!$A:$A,"&gt;="&amp;Y$19,'Budget Data'!$A:$A,"&lt;="&amp;EOMONTH(Y$19,0))+SUMIFS('Budget Data'!$J:$J,'Budget Data'!$E:$E,$B30,'Budget Data'!$C:$C,$B$3,'Budget Data'!$A:$A,"&gt;="&amp;Y$19,'Budget Data'!$A:$A,"&lt;="&amp;EOMONTH(Y$19,0))+SUMIFS('Budget Data'!$J:$J,'Budget Data'!$E:$E,$B30,'Budget Data'!$C:$C,$B$5,'Budget Data'!$A:$A,"&gt;="&amp;Y$19,'Budget Data'!$A:$A,"&lt;="&amp;EOMONTH(Y$19,0))+SUMIFS('Budget Data'!$J:$J,'Budget Data'!$E:$E,$B30,'Budget Data'!$C:$C,$B$6,'Budget Data'!$A:$A,"&gt;="&amp;Y$19,'Budget Data'!$A:$A,"&lt;="&amp;EOMONTH(Y$19,0)))</f>
        <v>117700</v>
      </c>
      <c r="Z30" s="86">
        <f>SUMPRODUCT(SUMIFS('Allocated Transactions'!$J:$J,'Allocated Transactions'!$D:$D,$B30,'Allocated Transactions'!$C:$C,$B$7,'Allocated Transactions'!$A:$A,"&gt;="&amp;Z$19,'Allocated Transactions'!$A:$A,"&lt;="&amp;EOMONTH(Z$19,0))+SUMIFS('Allocated Transactions'!$J:$J,'Allocated Transactions'!$D:$D,$B30,'Allocated Transactions'!$C:$C,$B$9,'Allocated Transactions'!$A:$A,"&gt;="&amp;Z$19,'Allocated Transactions'!$A:$A,"&lt;="&amp;EOMONTH(Z$19,0))+SUMIFS('Allocated Transactions'!$J:$J,'Allocated Transactions'!$D:$D,$B30,'Allocated Transactions'!$C:$C,$B$8,'Allocated Transactions'!$A:$A,"&gt;="&amp;Z$19,'Allocated Transactions'!$A:$A,"&lt;="&amp;EOMONTH(Z$19,0))+SUMIFS('Allocated Transactions'!$J:$J,'Allocated Transactions'!$D:$D,$B30,'Allocated Transactions'!$C:$C,$B$10,'Allocated Transactions'!$A:$A,"&gt;="&amp;Z$19,'Allocated Transactions'!$A:$A,"&lt;="&amp;EOMONTH(Z$19,0))+SUMIFS('Allocated Transactions'!$J:$J,'Allocated Transactions'!$D:$D,$B30,'Allocated Transactions'!$C:$C,$B$11,'Allocated Transactions'!$A:$A,"&gt;="&amp;Z$19,'Allocated Transactions'!$A:$A,"&lt;="&amp;EOMONTH(Z$19,0))+SUMIFS('Allocated Transactions'!$J:$J,'Allocated Transactions'!$D:$D,$B30,'Allocated Transactions'!$C:$C,$B$2,'Allocated Transactions'!$A:$A,"&gt;="&amp;Z$19,'Allocated Transactions'!$A:$A,"&lt;="&amp;EOMONTH(Z$19,0))+SUMIFS('Allocated Transactions'!$J:$J,'Allocated Transactions'!$D:$D,$B30,'Allocated Transactions'!$C:$C,$B$4,'Allocated Transactions'!$A:$A,"&gt;="&amp;Z$19,'Allocated Transactions'!$A:$A,"&lt;="&amp;EOMONTH(Z$19,0))+SUMIFS('Allocated Transactions'!$J:$J,'Allocated Transactions'!$D:$D,$B30,'Allocated Transactions'!$C:$C,$B$3,'Allocated Transactions'!$A:$A,"&gt;="&amp;Z$19,'Allocated Transactions'!$A:$A,"&lt;="&amp;EOMONTH(Z$19,0))+SUMIFS('Allocated Transactions'!$J:$J,'Allocated Transactions'!$D:$D,$B30,'Allocated Transactions'!$C:$C,$B$5,'Allocated Transactions'!$A:$A,"&gt;="&amp;Z$19,'Allocated Transactions'!$A:$A,"&lt;="&amp;EOMONTH(Z$19,0))+SUMIFS('Allocated Transactions'!$J:$J,'Allocated Transactions'!$D:$D,$B30,'Allocated Transactions'!$C:$C,$B$6,'Allocated Transactions'!$A:$A,"&gt;="&amp;Z$19,'Allocated Transactions'!$A:$A,"&lt;="&amp;EOMONTH(Z$19,0)))</f>
        <v>124378.35000000011</v>
      </c>
      <c r="AA30" s="84">
        <f>SUMPRODUCT(SUMIFS('Budget Data'!$J:$J,'Budget Data'!$E:$E,$B30,'Budget Data'!$C:$C,$B$7,'Budget Data'!$A:$A,"&gt;="&amp;AA$19,'Budget Data'!$A:$A,"&lt;="&amp;EOMONTH(AA$19,0))+SUMIFS('Budget Data'!$J:$J,'Budget Data'!$E:$E,$B30,'Budget Data'!$C:$C,$B$9,'Budget Data'!$A:$A,"&gt;="&amp;AA$19,'Budget Data'!$A:$A,"&lt;="&amp;EOMONTH(AA$19,0))+SUMIFS('Budget Data'!$J:$J,'Budget Data'!$E:$E,$B30,'Budget Data'!$C:$C,$B$8,'Budget Data'!$A:$A,"&gt;="&amp;AA$19,'Budget Data'!$A:$A,"&lt;="&amp;EOMONTH(AA$19,0))+SUMIFS('Budget Data'!$J:$J,'Budget Data'!$E:$E,$B30,'Budget Data'!$C:$C,$B$10,'Budget Data'!$A:$A,"&gt;="&amp;AA$19,'Budget Data'!$A:$A,"&lt;="&amp;EOMONTH(AA$19,0))+SUMIFS('Budget Data'!$J:$J,'Budget Data'!$E:$E,$B30,'Budget Data'!$C:$C,$B$11,'Budget Data'!$A:$A,"&gt;="&amp;AA$19,'Budget Data'!$A:$A,"&lt;="&amp;EOMONTH(AA$19,0))+SUMIFS('Budget Data'!$J:$J,'Budget Data'!$E:$E,$B30,'Budget Data'!$C:$C,$B$2,'Budget Data'!$A:$A,"&gt;="&amp;AA$19,'Budget Data'!$A:$A,"&lt;="&amp;EOMONTH(AA$19,0))+SUMIFS('Budget Data'!$J:$J,'Budget Data'!$E:$E,$B30,'Budget Data'!$C:$C,$B$4,'Budget Data'!$A:$A,"&gt;="&amp;AA$19,'Budget Data'!$A:$A,"&lt;="&amp;EOMONTH(AA$19,0))+SUMIFS('Budget Data'!$J:$J,'Budget Data'!$E:$E,$B30,'Budget Data'!$C:$C,$B$3,'Budget Data'!$A:$A,"&gt;="&amp;AA$19,'Budget Data'!$A:$A,"&lt;="&amp;EOMONTH(AA$19,0))+SUMIFS('Budget Data'!$J:$J,'Budget Data'!$E:$E,$B30,'Budget Data'!$C:$C,$B$5,'Budget Data'!$A:$A,"&gt;="&amp;AA$19,'Budget Data'!$A:$A,"&lt;="&amp;EOMONTH(AA$19,0))+SUMIFS('Budget Data'!$J:$J,'Budget Data'!$E:$E,$B30,'Budget Data'!$C:$C,$B$6,'Budget Data'!$A:$A,"&gt;="&amp;AA$19,'Budget Data'!$A:$A,"&lt;="&amp;EOMONTH(AA$19,0)))</f>
        <v>123100</v>
      </c>
      <c r="AC30" s="87">
        <f t="shared" ref="AC30:AD47" si="2">SUMIF($D$18:$AA$18,AC$18,$D30:$AA30)</f>
        <v>1506918.5100000007</v>
      </c>
      <c r="AD30" s="84">
        <f t="shared" si="2"/>
        <v>1491200</v>
      </c>
    </row>
    <row r="31" spans="2:30" ht="15" customHeight="1">
      <c r="B31" s="12" t="str">
        <v>5010</v>
      </c>
      <c r="C31" s="160" t="str">
        <f>_xlfn.XLOOKUP(B31,'Allocated Transactions'!D:D,'Allocated Transactions'!E:E,"")</f>
        <v>Payroll Taxes</v>
      </c>
      <c r="D31" s="86">
        <f>SUMPRODUCT(SUMIFS('Allocated Transactions'!$J:$J,'Allocated Transactions'!$D:$D,$B31,'Allocated Transactions'!$C:$C,$B$7,'Allocated Transactions'!$A:$A,"&gt;="&amp;D$19,'Allocated Transactions'!$A:$A,"&lt;="&amp;EOMONTH(D$19,0))+SUMIFS('Allocated Transactions'!$J:$J,'Allocated Transactions'!$D:$D,$B31,'Allocated Transactions'!$C:$C,$B$9,'Allocated Transactions'!$A:$A,"&gt;="&amp;D$19,'Allocated Transactions'!$A:$A,"&lt;="&amp;EOMONTH(D$19,0))+SUMIFS('Allocated Transactions'!$J:$J,'Allocated Transactions'!$D:$D,$B31,'Allocated Transactions'!$C:$C,$B$8,'Allocated Transactions'!$A:$A,"&gt;="&amp;D$19,'Allocated Transactions'!$A:$A,"&lt;="&amp;EOMONTH(D$19,0))+SUMIFS('Allocated Transactions'!$J:$J,'Allocated Transactions'!$D:$D,$B31,'Allocated Transactions'!$C:$C,$B$10,'Allocated Transactions'!$A:$A,"&gt;="&amp;D$19,'Allocated Transactions'!$A:$A,"&lt;="&amp;EOMONTH(D$19,0))+SUMIFS('Allocated Transactions'!$J:$J,'Allocated Transactions'!$D:$D,$B31,'Allocated Transactions'!$C:$C,$B$11,'Allocated Transactions'!$A:$A,"&gt;="&amp;D$19,'Allocated Transactions'!$A:$A,"&lt;="&amp;EOMONTH(D$19,0))+SUMIFS('Allocated Transactions'!$J:$J,'Allocated Transactions'!$D:$D,$B31,'Allocated Transactions'!$C:$C,$B$2,'Allocated Transactions'!$A:$A,"&gt;="&amp;D$19,'Allocated Transactions'!$A:$A,"&lt;="&amp;EOMONTH(D$19,0))+SUMIFS('Allocated Transactions'!$J:$J,'Allocated Transactions'!$D:$D,$B31,'Allocated Transactions'!$C:$C,$B$4,'Allocated Transactions'!$A:$A,"&gt;="&amp;D$19,'Allocated Transactions'!$A:$A,"&lt;="&amp;EOMONTH(D$19,0))+SUMIFS('Allocated Transactions'!$J:$J,'Allocated Transactions'!$D:$D,$B31,'Allocated Transactions'!$C:$C,$B$3,'Allocated Transactions'!$A:$A,"&gt;="&amp;D$19,'Allocated Transactions'!$A:$A,"&lt;="&amp;EOMONTH(D$19,0))+SUMIFS('Allocated Transactions'!$J:$J,'Allocated Transactions'!$D:$D,$B31,'Allocated Transactions'!$C:$C,$B$5,'Allocated Transactions'!$A:$A,"&gt;="&amp;D$19,'Allocated Transactions'!$A:$A,"&lt;="&amp;EOMONTH(D$19,0))+SUMIFS('Allocated Transactions'!$J:$J,'Allocated Transactions'!$D:$D,$B31,'Allocated Transactions'!$C:$C,$B$6,'Allocated Transactions'!$A:$A,"&gt;="&amp;D$19,'Allocated Transactions'!$A:$A,"&lt;="&amp;EOMONTH(D$19,0)))</f>
        <v>9382.2900000000009</v>
      </c>
      <c r="E31" s="84">
        <f>SUMPRODUCT(SUMIFS('Budget Data'!$J:$J,'Budget Data'!$E:$E,$B31,'Budget Data'!$C:$C,$B$7,'Budget Data'!$A:$A,"&gt;="&amp;E$19,'Budget Data'!$A:$A,"&lt;="&amp;EOMONTH(E$19,0))+SUMIFS('Budget Data'!$J:$J,'Budget Data'!$E:$E,$B31,'Budget Data'!$C:$C,$B$9,'Budget Data'!$A:$A,"&gt;="&amp;E$19,'Budget Data'!$A:$A,"&lt;="&amp;EOMONTH(E$19,0))+SUMIFS('Budget Data'!$J:$J,'Budget Data'!$E:$E,$B31,'Budget Data'!$C:$C,$B$8,'Budget Data'!$A:$A,"&gt;="&amp;E$19,'Budget Data'!$A:$A,"&lt;="&amp;EOMONTH(E$19,0))+SUMIFS('Budget Data'!$J:$J,'Budget Data'!$E:$E,$B31,'Budget Data'!$C:$C,$B$10,'Budget Data'!$A:$A,"&gt;="&amp;E$19,'Budget Data'!$A:$A,"&lt;="&amp;EOMONTH(E$19,0))+SUMIFS('Budget Data'!$J:$J,'Budget Data'!$E:$E,$B31,'Budget Data'!$C:$C,$B$11,'Budget Data'!$A:$A,"&gt;="&amp;E$19,'Budget Data'!$A:$A,"&lt;="&amp;EOMONTH(E$19,0))+SUMIFS('Budget Data'!$J:$J,'Budget Data'!$E:$E,$B31,'Budget Data'!$C:$C,$B$2,'Budget Data'!$A:$A,"&gt;="&amp;E$19,'Budget Data'!$A:$A,"&lt;="&amp;EOMONTH(E$19,0))+SUMIFS('Budget Data'!$J:$J,'Budget Data'!$E:$E,$B31,'Budget Data'!$C:$C,$B$4,'Budget Data'!$A:$A,"&gt;="&amp;E$19,'Budget Data'!$A:$A,"&lt;="&amp;EOMONTH(E$19,0))+SUMIFS('Budget Data'!$J:$J,'Budget Data'!$E:$E,$B31,'Budget Data'!$C:$C,$B$3,'Budget Data'!$A:$A,"&gt;="&amp;E$19,'Budget Data'!$A:$A,"&lt;="&amp;EOMONTH(E$19,0))+SUMIFS('Budget Data'!$J:$J,'Budget Data'!$E:$E,$B31,'Budget Data'!$C:$C,$B$5,'Budget Data'!$A:$A,"&gt;="&amp;E$19,'Budget Data'!$A:$A,"&lt;="&amp;EOMONTH(E$19,0))+SUMIFS('Budget Data'!$J:$J,'Budget Data'!$E:$E,$B31,'Budget Data'!$C:$C,$B$6,'Budget Data'!$A:$A,"&gt;="&amp;E$19,'Budget Data'!$A:$A,"&lt;="&amp;EOMONTH(E$19,0)))</f>
        <v>9200</v>
      </c>
      <c r="F31" s="86">
        <f>SUMPRODUCT(SUMIFS('Allocated Transactions'!$J:$J,'Allocated Transactions'!$D:$D,$B31,'Allocated Transactions'!$C:$C,$B$7,'Allocated Transactions'!$A:$A,"&gt;="&amp;F$19,'Allocated Transactions'!$A:$A,"&lt;="&amp;EOMONTH(F$19,0))+SUMIFS('Allocated Transactions'!$J:$J,'Allocated Transactions'!$D:$D,$B31,'Allocated Transactions'!$C:$C,$B$9,'Allocated Transactions'!$A:$A,"&gt;="&amp;F$19,'Allocated Transactions'!$A:$A,"&lt;="&amp;EOMONTH(F$19,0))+SUMIFS('Allocated Transactions'!$J:$J,'Allocated Transactions'!$D:$D,$B31,'Allocated Transactions'!$C:$C,$B$8,'Allocated Transactions'!$A:$A,"&gt;="&amp;F$19,'Allocated Transactions'!$A:$A,"&lt;="&amp;EOMONTH(F$19,0))+SUMIFS('Allocated Transactions'!$J:$J,'Allocated Transactions'!$D:$D,$B31,'Allocated Transactions'!$C:$C,$B$10,'Allocated Transactions'!$A:$A,"&gt;="&amp;F$19,'Allocated Transactions'!$A:$A,"&lt;="&amp;EOMONTH(F$19,0))+SUMIFS('Allocated Transactions'!$J:$J,'Allocated Transactions'!$D:$D,$B31,'Allocated Transactions'!$C:$C,$B$11,'Allocated Transactions'!$A:$A,"&gt;="&amp;F$19,'Allocated Transactions'!$A:$A,"&lt;="&amp;EOMONTH(F$19,0))+SUMIFS('Allocated Transactions'!$J:$J,'Allocated Transactions'!$D:$D,$B31,'Allocated Transactions'!$C:$C,$B$2,'Allocated Transactions'!$A:$A,"&gt;="&amp;F$19,'Allocated Transactions'!$A:$A,"&lt;="&amp;EOMONTH(F$19,0))+SUMIFS('Allocated Transactions'!$J:$J,'Allocated Transactions'!$D:$D,$B31,'Allocated Transactions'!$C:$C,$B$4,'Allocated Transactions'!$A:$A,"&gt;="&amp;F$19,'Allocated Transactions'!$A:$A,"&lt;="&amp;EOMONTH(F$19,0))+SUMIFS('Allocated Transactions'!$J:$J,'Allocated Transactions'!$D:$D,$B31,'Allocated Transactions'!$C:$C,$B$3,'Allocated Transactions'!$A:$A,"&gt;="&amp;F$19,'Allocated Transactions'!$A:$A,"&lt;="&amp;EOMONTH(F$19,0))+SUMIFS('Allocated Transactions'!$J:$J,'Allocated Transactions'!$D:$D,$B31,'Allocated Transactions'!$C:$C,$B$5,'Allocated Transactions'!$A:$A,"&gt;="&amp;F$19,'Allocated Transactions'!$A:$A,"&lt;="&amp;EOMONTH(F$19,0))+SUMIFS('Allocated Transactions'!$J:$J,'Allocated Transactions'!$D:$D,$B31,'Allocated Transactions'!$C:$C,$B$6,'Allocated Transactions'!$A:$A,"&gt;="&amp;F$19,'Allocated Transactions'!$A:$A,"&lt;="&amp;EOMONTH(F$19,0)))</f>
        <v>9536.26</v>
      </c>
      <c r="G31" s="84">
        <f>SUMPRODUCT(SUMIFS('Budget Data'!$J:$J,'Budget Data'!$E:$E,$B31,'Budget Data'!$C:$C,$B$7,'Budget Data'!$A:$A,"&gt;="&amp;G$19,'Budget Data'!$A:$A,"&lt;="&amp;EOMONTH(G$19,0))+SUMIFS('Budget Data'!$J:$J,'Budget Data'!$E:$E,$B31,'Budget Data'!$C:$C,$B$9,'Budget Data'!$A:$A,"&gt;="&amp;G$19,'Budget Data'!$A:$A,"&lt;="&amp;EOMONTH(G$19,0))+SUMIFS('Budget Data'!$J:$J,'Budget Data'!$E:$E,$B31,'Budget Data'!$C:$C,$B$8,'Budget Data'!$A:$A,"&gt;="&amp;G$19,'Budget Data'!$A:$A,"&lt;="&amp;EOMONTH(G$19,0))+SUMIFS('Budget Data'!$J:$J,'Budget Data'!$E:$E,$B31,'Budget Data'!$C:$C,$B$10,'Budget Data'!$A:$A,"&gt;="&amp;G$19,'Budget Data'!$A:$A,"&lt;="&amp;EOMONTH(G$19,0))+SUMIFS('Budget Data'!$J:$J,'Budget Data'!$E:$E,$B31,'Budget Data'!$C:$C,$B$11,'Budget Data'!$A:$A,"&gt;="&amp;G$19,'Budget Data'!$A:$A,"&lt;="&amp;EOMONTH(G$19,0))+SUMIFS('Budget Data'!$J:$J,'Budget Data'!$E:$E,$B31,'Budget Data'!$C:$C,$B$2,'Budget Data'!$A:$A,"&gt;="&amp;G$19,'Budget Data'!$A:$A,"&lt;="&amp;EOMONTH(G$19,0))+SUMIFS('Budget Data'!$J:$J,'Budget Data'!$E:$E,$B31,'Budget Data'!$C:$C,$B$4,'Budget Data'!$A:$A,"&gt;="&amp;G$19,'Budget Data'!$A:$A,"&lt;="&amp;EOMONTH(G$19,0))+SUMIFS('Budget Data'!$J:$J,'Budget Data'!$E:$E,$B31,'Budget Data'!$C:$C,$B$3,'Budget Data'!$A:$A,"&gt;="&amp;G$19,'Budget Data'!$A:$A,"&lt;="&amp;EOMONTH(G$19,0))+SUMIFS('Budget Data'!$J:$J,'Budget Data'!$E:$E,$B31,'Budget Data'!$C:$C,$B$5,'Budget Data'!$A:$A,"&gt;="&amp;G$19,'Budget Data'!$A:$A,"&lt;="&amp;EOMONTH(G$19,0))+SUMIFS('Budget Data'!$J:$J,'Budget Data'!$E:$E,$B31,'Budget Data'!$C:$C,$B$6,'Budget Data'!$A:$A,"&gt;="&amp;G$19,'Budget Data'!$A:$A,"&lt;="&amp;EOMONTH(G$19,0)))</f>
        <v>9500</v>
      </c>
      <c r="H31" s="86">
        <f>SUMPRODUCT(SUMIFS('Allocated Transactions'!$J:$J,'Allocated Transactions'!$D:$D,$B31,'Allocated Transactions'!$C:$C,$B$7,'Allocated Transactions'!$A:$A,"&gt;="&amp;H$19,'Allocated Transactions'!$A:$A,"&lt;="&amp;EOMONTH(H$19,0))+SUMIFS('Allocated Transactions'!$J:$J,'Allocated Transactions'!$D:$D,$B31,'Allocated Transactions'!$C:$C,$B$9,'Allocated Transactions'!$A:$A,"&gt;="&amp;H$19,'Allocated Transactions'!$A:$A,"&lt;="&amp;EOMONTH(H$19,0))+SUMIFS('Allocated Transactions'!$J:$J,'Allocated Transactions'!$D:$D,$B31,'Allocated Transactions'!$C:$C,$B$8,'Allocated Transactions'!$A:$A,"&gt;="&amp;H$19,'Allocated Transactions'!$A:$A,"&lt;="&amp;EOMONTH(H$19,0))+SUMIFS('Allocated Transactions'!$J:$J,'Allocated Transactions'!$D:$D,$B31,'Allocated Transactions'!$C:$C,$B$10,'Allocated Transactions'!$A:$A,"&gt;="&amp;H$19,'Allocated Transactions'!$A:$A,"&lt;="&amp;EOMONTH(H$19,0))+SUMIFS('Allocated Transactions'!$J:$J,'Allocated Transactions'!$D:$D,$B31,'Allocated Transactions'!$C:$C,$B$11,'Allocated Transactions'!$A:$A,"&gt;="&amp;H$19,'Allocated Transactions'!$A:$A,"&lt;="&amp;EOMONTH(H$19,0))+SUMIFS('Allocated Transactions'!$J:$J,'Allocated Transactions'!$D:$D,$B31,'Allocated Transactions'!$C:$C,$B$2,'Allocated Transactions'!$A:$A,"&gt;="&amp;H$19,'Allocated Transactions'!$A:$A,"&lt;="&amp;EOMONTH(H$19,0))+SUMIFS('Allocated Transactions'!$J:$J,'Allocated Transactions'!$D:$D,$B31,'Allocated Transactions'!$C:$C,$B$4,'Allocated Transactions'!$A:$A,"&gt;="&amp;H$19,'Allocated Transactions'!$A:$A,"&lt;="&amp;EOMONTH(H$19,0))+SUMIFS('Allocated Transactions'!$J:$J,'Allocated Transactions'!$D:$D,$B31,'Allocated Transactions'!$C:$C,$B$3,'Allocated Transactions'!$A:$A,"&gt;="&amp;H$19,'Allocated Transactions'!$A:$A,"&lt;="&amp;EOMONTH(H$19,0))+SUMIFS('Allocated Transactions'!$J:$J,'Allocated Transactions'!$D:$D,$B31,'Allocated Transactions'!$C:$C,$B$5,'Allocated Transactions'!$A:$A,"&gt;="&amp;H$19,'Allocated Transactions'!$A:$A,"&lt;="&amp;EOMONTH(H$19,0))+SUMIFS('Allocated Transactions'!$J:$J,'Allocated Transactions'!$D:$D,$B31,'Allocated Transactions'!$C:$C,$B$6,'Allocated Transactions'!$A:$A,"&gt;="&amp;H$19,'Allocated Transactions'!$A:$A,"&lt;="&amp;EOMONTH(H$19,0)))</f>
        <v>9794.779999999997</v>
      </c>
      <c r="I31" s="84">
        <f>SUMPRODUCT(SUMIFS('Budget Data'!$J:$J,'Budget Data'!$E:$E,$B31,'Budget Data'!$C:$C,$B$7,'Budget Data'!$A:$A,"&gt;="&amp;I$19,'Budget Data'!$A:$A,"&lt;="&amp;EOMONTH(I$19,0))+SUMIFS('Budget Data'!$J:$J,'Budget Data'!$E:$E,$B31,'Budget Data'!$C:$C,$B$9,'Budget Data'!$A:$A,"&gt;="&amp;I$19,'Budget Data'!$A:$A,"&lt;="&amp;EOMONTH(I$19,0))+SUMIFS('Budget Data'!$J:$J,'Budget Data'!$E:$E,$B31,'Budget Data'!$C:$C,$B$8,'Budget Data'!$A:$A,"&gt;="&amp;I$19,'Budget Data'!$A:$A,"&lt;="&amp;EOMONTH(I$19,0))+SUMIFS('Budget Data'!$J:$J,'Budget Data'!$E:$E,$B31,'Budget Data'!$C:$C,$B$10,'Budget Data'!$A:$A,"&gt;="&amp;I$19,'Budget Data'!$A:$A,"&lt;="&amp;EOMONTH(I$19,0))+SUMIFS('Budget Data'!$J:$J,'Budget Data'!$E:$E,$B31,'Budget Data'!$C:$C,$B$11,'Budget Data'!$A:$A,"&gt;="&amp;I$19,'Budget Data'!$A:$A,"&lt;="&amp;EOMONTH(I$19,0))+SUMIFS('Budget Data'!$J:$J,'Budget Data'!$E:$E,$B31,'Budget Data'!$C:$C,$B$2,'Budget Data'!$A:$A,"&gt;="&amp;I$19,'Budget Data'!$A:$A,"&lt;="&amp;EOMONTH(I$19,0))+SUMIFS('Budget Data'!$J:$J,'Budget Data'!$E:$E,$B31,'Budget Data'!$C:$C,$B$4,'Budget Data'!$A:$A,"&gt;="&amp;I$19,'Budget Data'!$A:$A,"&lt;="&amp;EOMONTH(I$19,0))+SUMIFS('Budget Data'!$J:$J,'Budget Data'!$E:$E,$B31,'Budget Data'!$C:$C,$B$3,'Budget Data'!$A:$A,"&gt;="&amp;I$19,'Budget Data'!$A:$A,"&lt;="&amp;EOMONTH(I$19,0))+SUMIFS('Budget Data'!$J:$J,'Budget Data'!$E:$E,$B31,'Budget Data'!$C:$C,$B$5,'Budget Data'!$A:$A,"&gt;="&amp;I$19,'Budget Data'!$A:$A,"&lt;="&amp;EOMONTH(I$19,0))+SUMIFS('Budget Data'!$J:$J,'Budget Data'!$E:$E,$B31,'Budget Data'!$C:$C,$B$6,'Budget Data'!$A:$A,"&gt;="&amp;I$19,'Budget Data'!$A:$A,"&lt;="&amp;EOMONTH(I$19,0)))</f>
        <v>10000</v>
      </c>
      <c r="J31" s="86">
        <f>SUMPRODUCT(SUMIFS('Allocated Transactions'!$J:$J,'Allocated Transactions'!$D:$D,$B31,'Allocated Transactions'!$C:$C,$B$7,'Allocated Transactions'!$A:$A,"&gt;="&amp;J$19,'Allocated Transactions'!$A:$A,"&lt;="&amp;EOMONTH(J$19,0))+SUMIFS('Allocated Transactions'!$J:$J,'Allocated Transactions'!$D:$D,$B31,'Allocated Transactions'!$C:$C,$B$9,'Allocated Transactions'!$A:$A,"&gt;="&amp;J$19,'Allocated Transactions'!$A:$A,"&lt;="&amp;EOMONTH(J$19,0))+SUMIFS('Allocated Transactions'!$J:$J,'Allocated Transactions'!$D:$D,$B31,'Allocated Transactions'!$C:$C,$B$8,'Allocated Transactions'!$A:$A,"&gt;="&amp;J$19,'Allocated Transactions'!$A:$A,"&lt;="&amp;EOMONTH(J$19,0))+SUMIFS('Allocated Transactions'!$J:$J,'Allocated Transactions'!$D:$D,$B31,'Allocated Transactions'!$C:$C,$B$10,'Allocated Transactions'!$A:$A,"&gt;="&amp;J$19,'Allocated Transactions'!$A:$A,"&lt;="&amp;EOMONTH(J$19,0))+SUMIFS('Allocated Transactions'!$J:$J,'Allocated Transactions'!$D:$D,$B31,'Allocated Transactions'!$C:$C,$B$11,'Allocated Transactions'!$A:$A,"&gt;="&amp;J$19,'Allocated Transactions'!$A:$A,"&lt;="&amp;EOMONTH(J$19,0))+SUMIFS('Allocated Transactions'!$J:$J,'Allocated Transactions'!$D:$D,$B31,'Allocated Transactions'!$C:$C,$B$2,'Allocated Transactions'!$A:$A,"&gt;="&amp;J$19,'Allocated Transactions'!$A:$A,"&lt;="&amp;EOMONTH(J$19,0))+SUMIFS('Allocated Transactions'!$J:$J,'Allocated Transactions'!$D:$D,$B31,'Allocated Transactions'!$C:$C,$B$4,'Allocated Transactions'!$A:$A,"&gt;="&amp;J$19,'Allocated Transactions'!$A:$A,"&lt;="&amp;EOMONTH(J$19,0))+SUMIFS('Allocated Transactions'!$J:$J,'Allocated Transactions'!$D:$D,$B31,'Allocated Transactions'!$C:$C,$B$3,'Allocated Transactions'!$A:$A,"&gt;="&amp;J$19,'Allocated Transactions'!$A:$A,"&lt;="&amp;EOMONTH(J$19,0))+SUMIFS('Allocated Transactions'!$J:$J,'Allocated Transactions'!$D:$D,$B31,'Allocated Transactions'!$C:$C,$B$5,'Allocated Transactions'!$A:$A,"&gt;="&amp;J$19,'Allocated Transactions'!$A:$A,"&lt;="&amp;EOMONTH(J$19,0))+SUMIFS('Allocated Transactions'!$J:$J,'Allocated Transactions'!$D:$D,$B31,'Allocated Transactions'!$C:$C,$B$6,'Allocated Transactions'!$A:$A,"&gt;="&amp;J$19,'Allocated Transactions'!$A:$A,"&lt;="&amp;EOMONTH(J$19,0)))</f>
        <v>9876.2899999999991</v>
      </c>
      <c r="K31" s="84">
        <f>SUMPRODUCT(SUMIFS('Budget Data'!$J:$J,'Budget Data'!$E:$E,$B31,'Budget Data'!$C:$C,$B$7,'Budget Data'!$A:$A,"&gt;="&amp;K$19,'Budget Data'!$A:$A,"&lt;="&amp;EOMONTH(K$19,0))+SUMIFS('Budget Data'!$J:$J,'Budget Data'!$E:$E,$B31,'Budget Data'!$C:$C,$B$9,'Budget Data'!$A:$A,"&gt;="&amp;K$19,'Budget Data'!$A:$A,"&lt;="&amp;EOMONTH(K$19,0))+SUMIFS('Budget Data'!$J:$J,'Budget Data'!$E:$E,$B31,'Budget Data'!$C:$C,$B$8,'Budget Data'!$A:$A,"&gt;="&amp;K$19,'Budget Data'!$A:$A,"&lt;="&amp;EOMONTH(K$19,0))+SUMIFS('Budget Data'!$J:$J,'Budget Data'!$E:$E,$B31,'Budget Data'!$C:$C,$B$10,'Budget Data'!$A:$A,"&gt;="&amp;K$19,'Budget Data'!$A:$A,"&lt;="&amp;EOMONTH(K$19,0))+SUMIFS('Budget Data'!$J:$J,'Budget Data'!$E:$E,$B31,'Budget Data'!$C:$C,$B$11,'Budget Data'!$A:$A,"&gt;="&amp;K$19,'Budget Data'!$A:$A,"&lt;="&amp;EOMONTH(K$19,0))+SUMIFS('Budget Data'!$J:$J,'Budget Data'!$E:$E,$B31,'Budget Data'!$C:$C,$B$2,'Budget Data'!$A:$A,"&gt;="&amp;K$19,'Budget Data'!$A:$A,"&lt;="&amp;EOMONTH(K$19,0))+SUMIFS('Budget Data'!$J:$J,'Budget Data'!$E:$E,$B31,'Budget Data'!$C:$C,$B$4,'Budget Data'!$A:$A,"&gt;="&amp;K$19,'Budget Data'!$A:$A,"&lt;="&amp;EOMONTH(K$19,0))+SUMIFS('Budget Data'!$J:$J,'Budget Data'!$E:$E,$B31,'Budget Data'!$C:$C,$B$3,'Budget Data'!$A:$A,"&gt;="&amp;K$19,'Budget Data'!$A:$A,"&lt;="&amp;EOMONTH(K$19,0))+SUMIFS('Budget Data'!$J:$J,'Budget Data'!$E:$E,$B31,'Budget Data'!$C:$C,$B$5,'Budget Data'!$A:$A,"&gt;="&amp;K$19,'Budget Data'!$A:$A,"&lt;="&amp;EOMONTH(K$19,0))+SUMIFS('Budget Data'!$J:$J,'Budget Data'!$E:$E,$B31,'Budget Data'!$C:$C,$B$6,'Budget Data'!$A:$A,"&gt;="&amp;K$19,'Budget Data'!$A:$A,"&lt;="&amp;EOMONTH(K$19,0)))</f>
        <v>10000</v>
      </c>
      <c r="L31" s="86">
        <f>SUMPRODUCT(SUMIFS('Allocated Transactions'!$J:$J,'Allocated Transactions'!$D:$D,$B31,'Allocated Transactions'!$C:$C,$B$7,'Allocated Transactions'!$A:$A,"&gt;="&amp;L$19,'Allocated Transactions'!$A:$A,"&lt;="&amp;EOMONTH(L$19,0))+SUMIFS('Allocated Transactions'!$J:$J,'Allocated Transactions'!$D:$D,$B31,'Allocated Transactions'!$C:$C,$B$9,'Allocated Transactions'!$A:$A,"&gt;="&amp;L$19,'Allocated Transactions'!$A:$A,"&lt;="&amp;EOMONTH(L$19,0))+SUMIFS('Allocated Transactions'!$J:$J,'Allocated Transactions'!$D:$D,$B31,'Allocated Transactions'!$C:$C,$B$8,'Allocated Transactions'!$A:$A,"&gt;="&amp;L$19,'Allocated Transactions'!$A:$A,"&lt;="&amp;EOMONTH(L$19,0))+SUMIFS('Allocated Transactions'!$J:$J,'Allocated Transactions'!$D:$D,$B31,'Allocated Transactions'!$C:$C,$B$10,'Allocated Transactions'!$A:$A,"&gt;="&amp;L$19,'Allocated Transactions'!$A:$A,"&lt;="&amp;EOMONTH(L$19,0))+SUMIFS('Allocated Transactions'!$J:$J,'Allocated Transactions'!$D:$D,$B31,'Allocated Transactions'!$C:$C,$B$11,'Allocated Transactions'!$A:$A,"&gt;="&amp;L$19,'Allocated Transactions'!$A:$A,"&lt;="&amp;EOMONTH(L$19,0))+SUMIFS('Allocated Transactions'!$J:$J,'Allocated Transactions'!$D:$D,$B31,'Allocated Transactions'!$C:$C,$B$2,'Allocated Transactions'!$A:$A,"&gt;="&amp;L$19,'Allocated Transactions'!$A:$A,"&lt;="&amp;EOMONTH(L$19,0))+SUMIFS('Allocated Transactions'!$J:$J,'Allocated Transactions'!$D:$D,$B31,'Allocated Transactions'!$C:$C,$B$4,'Allocated Transactions'!$A:$A,"&gt;="&amp;L$19,'Allocated Transactions'!$A:$A,"&lt;="&amp;EOMONTH(L$19,0))+SUMIFS('Allocated Transactions'!$J:$J,'Allocated Transactions'!$D:$D,$B31,'Allocated Transactions'!$C:$C,$B$3,'Allocated Transactions'!$A:$A,"&gt;="&amp;L$19,'Allocated Transactions'!$A:$A,"&lt;="&amp;EOMONTH(L$19,0))+SUMIFS('Allocated Transactions'!$J:$J,'Allocated Transactions'!$D:$D,$B31,'Allocated Transactions'!$C:$C,$B$5,'Allocated Transactions'!$A:$A,"&gt;="&amp;L$19,'Allocated Transactions'!$A:$A,"&lt;="&amp;EOMONTH(L$19,0))+SUMIFS('Allocated Transactions'!$J:$J,'Allocated Transactions'!$D:$D,$B31,'Allocated Transactions'!$C:$C,$B$6,'Allocated Transactions'!$A:$A,"&gt;="&amp;L$19,'Allocated Transactions'!$A:$A,"&lt;="&amp;EOMONTH(L$19,0)))</f>
        <v>9541.279999999997</v>
      </c>
      <c r="M31" s="84">
        <f>SUMPRODUCT(SUMIFS('Budget Data'!$J:$J,'Budget Data'!$E:$E,$B31,'Budget Data'!$C:$C,$B$7,'Budget Data'!$A:$A,"&gt;="&amp;M$19,'Budget Data'!$A:$A,"&lt;="&amp;EOMONTH(M$19,0))+SUMIFS('Budget Data'!$J:$J,'Budget Data'!$E:$E,$B31,'Budget Data'!$C:$C,$B$9,'Budget Data'!$A:$A,"&gt;="&amp;M$19,'Budget Data'!$A:$A,"&lt;="&amp;EOMONTH(M$19,0))+SUMIFS('Budget Data'!$J:$J,'Budget Data'!$E:$E,$B31,'Budget Data'!$C:$C,$B$8,'Budget Data'!$A:$A,"&gt;="&amp;M$19,'Budget Data'!$A:$A,"&lt;="&amp;EOMONTH(M$19,0))+SUMIFS('Budget Data'!$J:$J,'Budget Data'!$E:$E,$B31,'Budget Data'!$C:$C,$B$10,'Budget Data'!$A:$A,"&gt;="&amp;M$19,'Budget Data'!$A:$A,"&lt;="&amp;EOMONTH(M$19,0))+SUMIFS('Budget Data'!$J:$J,'Budget Data'!$E:$E,$B31,'Budget Data'!$C:$C,$B$11,'Budget Data'!$A:$A,"&gt;="&amp;M$19,'Budget Data'!$A:$A,"&lt;="&amp;EOMONTH(M$19,0))+SUMIFS('Budget Data'!$J:$J,'Budget Data'!$E:$E,$B31,'Budget Data'!$C:$C,$B$2,'Budget Data'!$A:$A,"&gt;="&amp;M$19,'Budget Data'!$A:$A,"&lt;="&amp;EOMONTH(M$19,0))+SUMIFS('Budget Data'!$J:$J,'Budget Data'!$E:$E,$B31,'Budget Data'!$C:$C,$B$4,'Budget Data'!$A:$A,"&gt;="&amp;M$19,'Budget Data'!$A:$A,"&lt;="&amp;EOMONTH(M$19,0))+SUMIFS('Budget Data'!$J:$J,'Budget Data'!$E:$E,$B31,'Budget Data'!$C:$C,$B$3,'Budget Data'!$A:$A,"&gt;="&amp;M$19,'Budget Data'!$A:$A,"&lt;="&amp;EOMONTH(M$19,0))+SUMIFS('Budget Data'!$J:$J,'Budget Data'!$E:$E,$B31,'Budget Data'!$C:$C,$B$5,'Budget Data'!$A:$A,"&gt;="&amp;M$19,'Budget Data'!$A:$A,"&lt;="&amp;EOMONTH(M$19,0))+SUMIFS('Budget Data'!$J:$J,'Budget Data'!$E:$E,$B31,'Budget Data'!$C:$C,$B$6,'Budget Data'!$A:$A,"&gt;="&amp;M$19,'Budget Data'!$A:$A,"&lt;="&amp;EOMONTH(M$19,0)))</f>
        <v>9500</v>
      </c>
      <c r="N31" s="86">
        <f>SUMPRODUCT(SUMIFS('Allocated Transactions'!$J:$J,'Allocated Transactions'!$D:$D,$B31,'Allocated Transactions'!$C:$C,$B$7,'Allocated Transactions'!$A:$A,"&gt;="&amp;N$19,'Allocated Transactions'!$A:$A,"&lt;="&amp;EOMONTH(N$19,0))+SUMIFS('Allocated Transactions'!$J:$J,'Allocated Transactions'!$D:$D,$B31,'Allocated Transactions'!$C:$C,$B$9,'Allocated Transactions'!$A:$A,"&gt;="&amp;N$19,'Allocated Transactions'!$A:$A,"&lt;="&amp;EOMONTH(N$19,0))+SUMIFS('Allocated Transactions'!$J:$J,'Allocated Transactions'!$D:$D,$B31,'Allocated Transactions'!$C:$C,$B$8,'Allocated Transactions'!$A:$A,"&gt;="&amp;N$19,'Allocated Transactions'!$A:$A,"&lt;="&amp;EOMONTH(N$19,0))+SUMIFS('Allocated Transactions'!$J:$J,'Allocated Transactions'!$D:$D,$B31,'Allocated Transactions'!$C:$C,$B$10,'Allocated Transactions'!$A:$A,"&gt;="&amp;N$19,'Allocated Transactions'!$A:$A,"&lt;="&amp;EOMONTH(N$19,0))+SUMIFS('Allocated Transactions'!$J:$J,'Allocated Transactions'!$D:$D,$B31,'Allocated Transactions'!$C:$C,$B$11,'Allocated Transactions'!$A:$A,"&gt;="&amp;N$19,'Allocated Transactions'!$A:$A,"&lt;="&amp;EOMONTH(N$19,0))+SUMIFS('Allocated Transactions'!$J:$J,'Allocated Transactions'!$D:$D,$B31,'Allocated Transactions'!$C:$C,$B$2,'Allocated Transactions'!$A:$A,"&gt;="&amp;N$19,'Allocated Transactions'!$A:$A,"&lt;="&amp;EOMONTH(N$19,0))+SUMIFS('Allocated Transactions'!$J:$J,'Allocated Transactions'!$D:$D,$B31,'Allocated Transactions'!$C:$C,$B$4,'Allocated Transactions'!$A:$A,"&gt;="&amp;N$19,'Allocated Transactions'!$A:$A,"&lt;="&amp;EOMONTH(N$19,0))+SUMIFS('Allocated Transactions'!$J:$J,'Allocated Transactions'!$D:$D,$B31,'Allocated Transactions'!$C:$C,$B$3,'Allocated Transactions'!$A:$A,"&gt;="&amp;N$19,'Allocated Transactions'!$A:$A,"&lt;="&amp;EOMONTH(N$19,0))+SUMIFS('Allocated Transactions'!$J:$J,'Allocated Transactions'!$D:$D,$B31,'Allocated Transactions'!$C:$C,$B$5,'Allocated Transactions'!$A:$A,"&gt;="&amp;N$19,'Allocated Transactions'!$A:$A,"&lt;="&amp;EOMONTH(N$19,0))+SUMIFS('Allocated Transactions'!$J:$J,'Allocated Transactions'!$D:$D,$B31,'Allocated Transactions'!$C:$C,$B$6,'Allocated Transactions'!$A:$A,"&gt;="&amp;N$19,'Allocated Transactions'!$A:$A,"&lt;="&amp;EOMONTH(N$19,0)))</f>
        <v>9705.9699999999975</v>
      </c>
      <c r="O31" s="84">
        <f>SUMPRODUCT(SUMIFS('Budget Data'!$J:$J,'Budget Data'!$E:$E,$B31,'Budget Data'!$C:$C,$B$7,'Budget Data'!$A:$A,"&gt;="&amp;O$19,'Budget Data'!$A:$A,"&lt;="&amp;EOMONTH(O$19,0))+SUMIFS('Budget Data'!$J:$J,'Budget Data'!$E:$E,$B31,'Budget Data'!$C:$C,$B$9,'Budget Data'!$A:$A,"&gt;="&amp;O$19,'Budget Data'!$A:$A,"&lt;="&amp;EOMONTH(O$19,0))+SUMIFS('Budget Data'!$J:$J,'Budget Data'!$E:$E,$B31,'Budget Data'!$C:$C,$B$8,'Budget Data'!$A:$A,"&gt;="&amp;O$19,'Budget Data'!$A:$A,"&lt;="&amp;EOMONTH(O$19,0))+SUMIFS('Budget Data'!$J:$J,'Budget Data'!$E:$E,$B31,'Budget Data'!$C:$C,$B$10,'Budget Data'!$A:$A,"&gt;="&amp;O$19,'Budget Data'!$A:$A,"&lt;="&amp;EOMONTH(O$19,0))+SUMIFS('Budget Data'!$J:$J,'Budget Data'!$E:$E,$B31,'Budget Data'!$C:$C,$B$11,'Budget Data'!$A:$A,"&gt;="&amp;O$19,'Budget Data'!$A:$A,"&lt;="&amp;EOMONTH(O$19,0))+SUMIFS('Budget Data'!$J:$J,'Budget Data'!$E:$E,$B31,'Budget Data'!$C:$C,$B$2,'Budget Data'!$A:$A,"&gt;="&amp;O$19,'Budget Data'!$A:$A,"&lt;="&amp;EOMONTH(O$19,0))+SUMIFS('Budget Data'!$J:$J,'Budget Data'!$E:$E,$B31,'Budget Data'!$C:$C,$B$4,'Budget Data'!$A:$A,"&gt;="&amp;O$19,'Budget Data'!$A:$A,"&lt;="&amp;EOMONTH(O$19,0))+SUMIFS('Budget Data'!$J:$J,'Budget Data'!$E:$E,$B31,'Budget Data'!$C:$C,$B$3,'Budget Data'!$A:$A,"&gt;="&amp;O$19,'Budget Data'!$A:$A,"&lt;="&amp;EOMONTH(O$19,0))+SUMIFS('Budget Data'!$J:$J,'Budget Data'!$E:$E,$B31,'Budget Data'!$C:$C,$B$5,'Budget Data'!$A:$A,"&gt;="&amp;O$19,'Budget Data'!$A:$A,"&lt;="&amp;EOMONTH(O$19,0))+SUMIFS('Budget Data'!$J:$J,'Budget Data'!$E:$E,$B31,'Budget Data'!$C:$C,$B$6,'Budget Data'!$A:$A,"&gt;="&amp;O$19,'Budget Data'!$A:$A,"&lt;="&amp;EOMONTH(O$19,0)))</f>
        <v>9600</v>
      </c>
      <c r="P31" s="86">
        <f>SUMPRODUCT(SUMIFS('Allocated Transactions'!$J:$J,'Allocated Transactions'!$D:$D,$B31,'Allocated Transactions'!$C:$C,$B$7,'Allocated Transactions'!$A:$A,"&gt;="&amp;P$19,'Allocated Transactions'!$A:$A,"&lt;="&amp;EOMONTH(P$19,0))+SUMIFS('Allocated Transactions'!$J:$J,'Allocated Transactions'!$D:$D,$B31,'Allocated Transactions'!$C:$C,$B$9,'Allocated Transactions'!$A:$A,"&gt;="&amp;P$19,'Allocated Transactions'!$A:$A,"&lt;="&amp;EOMONTH(P$19,0))+SUMIFS('Allocated Transactions'!$J:$J,'Allocated Transactions'!$D:$D,$B31,'Allocated Transactions'!$C:$C,$B$8,'Allocated Transactions'!$A:$A,"&gt;="&amp;P$19,'Allocated Transactions'!$A:$A,"&lt;="&amp;EOMONTH(P$19,0))+SUMIFS('Allocated Transactions'!$J:$J,'Allocated Transactions'!$D:$D,$B31,'Allocated Transactions'!$C:$C,$B$10,'Allocated Transactions'!$A:$A,"&gt;="&amp;P$19,'Allocated Transactions'!$A:$A,"&lt;="&amp;EOMONTH(P$19,0))+SUMIFS('Allocated Transactions'!$J:$J,'Allocated Transactions'!$D:$D,$B31,'Allocated Transactions'!$C:$C,$B$11,'Allocated Transactions'!$A:$A,"&gt;="&amp;P$19,'Allocated Transactions'!$A:$A,"&lt;="&amp;EOMONTH(P$19,0))+SUMIFS('Allocated Transactions'!$J:$J,'Allocated Transactions'!$D:$D,$B31,'Allocated Transactions'!$C:$C,$B$2,'Allocated Transactions'!$A:$A,"&gt;="&amp;P$19,'Allocated Transactions'!$A:$A,"&lt;="&amp;EOMONTH(P$19,0))+SUMIFS('Allocated Transactions'!$J:$J,'Allocated Transactions'!$D:$D,$B31,'Allocated Transactions'!$C:$C,$B$4,'Allocated Transactions'!$A:$A,"&gt;="&amp;P$19,'Allocated Transactions'!$A:$A,"&lt;="&amp;EOMONTH(P$19,0))+SUMIFS('Allocated Transactions'!$J:$J,'Allocated Transactions'!$D:$D,$B31,'Allocated Transactions'!$C:$C,$B$3,'Allocated Transactions'!$A:$A,"&gt;="&amp;P$19,'Allocated Transactions'!$A:$A,"&lt;="&amp;EOMONTH(P$19,0))+SUMIFS('Allocated Transactions'!$J:$J,'Allocated Transactions'!$D:$D,$B31,'Allocated Transactions'!$C:$C,$B$5,'Allocated Transactions'!$A:$A,"&gt;="&amp;P$19,'Allocated Transactions'!$A:$A,"&lt;="&amp;EOMONTH(P$19,0))+SUMIFS('Allocated Transactions'!$J:$J,'Allocated Transactions'!$D:$D,$B31,'Allocated Transactions'!$C:$C,$B$6,'Allocated Transactions'!$A:$A,"&gt;="&amp;P$19,'Allocated Transactions'!$A:$A,"&lt;="&amp;EOMONTH(P$19,0)))</f>
        <v>9605.1</v>
      </c>
      <c r="Q31" s="84">
        <f>SUMPRODUCT(SUMIFS('Budget Data'!$J:$J,'Budget Data'!$E:$E,$B31,'Budget Data'!$C:$C,$B$7,'Budget Data'!$A:$A,"&gt;="&amp;Q$19,'Budget Data'!$A:$A,"&lt;="&amp;EOMONTH(Q$19,0))+SUMIFS('Budget Data'!$J:$J,'Budget Data'!$E:$E,$B31,'Budget Data'!$C:$C,$B$9,'Budget Data'!$A:$A,"&gt;="&amp;Q$19,'Budget Data'!$A:$A,"&lt;="&amp;EOMONTH(Q$19,0))+SUMIFS('Budget Data'!$J:$J,'Budget Data'!$E:$E,$B31,'Budget Data'!$C:$C,$B$8,'Budget Data'!$A:$A,"&gt;="&amp;Q$19,'Budget Data'!$A:$A,"&lt;="&amp;EOMONTH(Q$19,0))+SUMIFS('Budget Data'!$J:$J,'Budget Data'!$E:$E,$B31,'Budget Data'!$C:$C,$B$10,'Budget Data'!$A:$A,"&gt;="&amp;Q$19,'Budget Data'!$A:$A,"&lt;="&amp;EOMONTH(Q$19,0))+SUMIFS('Budget Data'!$J:$J,'Budget Data'!$E:$E,$B31,'Budget Data'!$C:$C,$B$11,'Budget Data'!$A:$A,"&gt;="&amp;Q$19,'Budget Data'!$A:$A,"&lt;="&amp;EOMONTH(Q$19,0))+SUMIFS('Budget Data'!$J:$J,'Budget Data'!$E:$E,$B31,'Budget Data'!$C:$C,$B$2,'Budget Data'!$A:$A,"&gt;="&amp;Q$19,'Budget Data'!$A:$A,"&lt;="&amp;EOMONTH(Q$19,0))+SUMIFS('Budget Data'!$J:$J,'Budget Data'!$E:$E,$B31,'Budget Data'!$C:$C,$B$4,'Budget Data'!$A:$A,"&gt;="&amp;Q$19,'Budget Data'!$A:$A,"&lt;="&amp;EOMONTH(Q$19,0))+SUMIFS('Budget Data'!$J:$J,'Budget Data'!$E:$E,$B31,'Budget Data'!$C:$C,$B$3,'Budget Data'!$A:$A,"&gt;="&amp;Q$19,'Budget Data'!$A:$A,"&lt;="&amp;EOMONTH(Q$19,0))+SUMIFS('Budget Data'!$J:$J,'Budget Data'!$E:$E,$B31,'Budget Data'!$C:$C,$B$5,'Budget Data'!$A:$A,"&gt;="&amp;Q$19,'Budget Data'!$A:$A,"&lt;="&amp;EOMONTH(Q$19,0))+SUMIFS('Budget Data'!$J:$J,'Budget Data'!$E:$E,$B31,'Budget Data'!$C:$C,$B$6,'Budget Data'!$A:$A,"&gt;="&amp;Q$19,'Budget Data'!$A:$A,"&lt;="&amp;EOMONTH(Q$19,0)))</f>
        <v>9500</v>
      </c>
      <c r="R31" s="86">
        <f>SUMPRODUCT(SUMIFS('Allocated Transactions'!$J:$J,'Allocated Transactions'!$D:$D,$B31,'Allocated Transactions'!$C:$C,$B$7,'Allocated Transactions'!$A:$A,"&gt;="&amp;R$19,'Allocated Transactions'!$A:$A,"&lt;="&amp;EOMONTH(R$19,0))+SUMIFS('Allocated Transactions'!$J:$J,'Allocated Transactions'!$D:$D,$B31,'Allocated Transactions'!$C:$C,$B$9,'Allocated Transactions'!$A:$A,"&gt;="&amp;R$19,'Allocated Transactions'!$A:$A,"&lt;="&amp;EOMONTH(R$19,0))+SUMIFS('Allocated Transactions'!$J:$J,'Allocated Transactions'!$D:$D,$B31,'Allocated Transactions'!$C:$C,$B$8,'Allocated Transactions'!$A:$A,"&gt;="&amp;R$19,'Allocated Transactions'!$A:$A,"&lt;="&amp;EOMONTH(R$19,0))+SUMIFS('Allocated Transactions'!$J:$J,'Allocated Transactions'!$D:$D,$B31,'Allocated Transactions'!$C:$C,$B$10,'Allocated Transactions'!$A:$A,"&gt;="&amp;R$19,'Allocated Transactions'!$A:$A,"&lt;="&amp;EOMONTH(R$19,0))+SUMIFS('Allocated Transactions'!$J:$J,'Allocated Transactions'!$D:$D,$B31,'Allocated Transactions'!$C:$C,$B$11,'Allocated Transactions'!$A:$A,"&gt;="&amp;R$19,'Allocated Transactions'!$A:$A,"&lt;="&amp;EOMONTH(R$19,0))+SUMIFS('Allocated Transactions'!$J:$J,'Allocated Transactions'!$D:$D,$B31,'Allocated Transactions'!$C:$C,$B$2,'Allocated Transactions'!$A:$A,"&gt;="&amp;R$19,'Allocated Transactions'!$A:$A,"&lt;="&amp;EOMONTH(R$19,0))+SUMIFS('Allocated Transactions'!$J:$J,'Allocated Transactions'!$D:$D,$B31,'Allocated Transactions'!$C:$C,$B$4,'Allocated Transactions'!$A:$A,"&gt;="&amp;R$19,'Allocated Transactions'!$A:$A,"&lt;="&amp;EOMONTH(R$19,0))+SUMIFS('Allocated Transactions'!$J:$J,'Allocated Transactions'!$D:$D,$B31,'Allocated Transactions'!$C:$C,$B$3,'Allocated Transactions'!$A:$A,"&gt;="&amp;R$19,'Allocated Transactions'!$A:$A,"&lt;="&amp;EOMONTH(R$19,0))+SUMIFS('Allocated Transactions'!$J:$J,'Allocated Transactions'!$D:$D,$B31,'Allocated Transactions'!$C:$C,$B$5,'Allocated Transactions'!$A:$A,"&gt;="&amp;R$19,'Allocated Transactions'!$A:$A,"&lt;="&amp;EOMONTH(R$19,0))+SUMIFS('Allocated Transactions'!$J:$J,'Allocated Transactions'!$D:$D,$B31,'Allocated Transactions'!$C:$C,$B$6,'Allocated Transactions'!$A:$A,"&gt;="&amp;R$19,'Allocated Transactions'!$A:$A,"&lt;="&amp;EOMONTH(R$19,0)))</f>
        <v>9849.3300000000054</v>
      </c>
      <c r="S31" s="84">
        <f>SUMPRODUCT(SUMIFS('Budget Data'!$J:$J,'Budget Data'!$E:$E,$B31,'Budget Data'!$C:$C,$B$7,'Budget Data'!$A:$A,"&gt;="&amp;S$19,'Budget Data'!$A:$A,"&lt;="&amp;EOMONTH(S$19,0))+SUMIFS('Budget Data'!$J:$J,'Budget Data'!$E:$E,$B31,'Budget Data'!$C:$C,$B$9,'Budget Data'!$A:$A,"&gt;="&amp;S$19,'Budget Data'!$A:$A,"&lt;="&amp;EOMONTH(S$19,0))+SUMIFS('Budget Data'!$J:$J,'Budget Data'!$E:$E,$B31,'Budget Data'!$C:$C,$B$8,'Budget Data'!$A:$A,"&gt;="&amp;S$19,'Budget Data'!$A:$A,"&lt;="&amp;EOMONTH(S$19,0))+SUMIFS('Budget Data'!$J:$J,'Budget Data'!$E:$E,$B31,'Budget Data'!$C:$C,$B$10,'Budget Data'!$A:$A,"&gt;="&amp;S$19,'Budget Data'!$A:$A,"&lt;="&amp;EOMONTH(S$19,0))+SUMIFS('Budget Data'!$J:$J,'Budget Data'!$E:$E,$B31,'Budget Data'!$C:$C,$B$11,'Budget Data'!$A:$A,"&gt;="&amp;S$19,'Budget Data'!$A:$A,"&lt;="&amp;EOMONTH(S$19,0))+SUMIFS('Budget Data'!$J:$J,'Budget Data'!$E:$E,$B31,'Budget Data'!$C:$C,$B$2,'Budget Data'!$A:$A,"&gt;="&amp;S$19,'Budget Data'!$A:$A,"&lt;="&amp;EOMONTH(S$19,0))+SUMIFS('Budget Data'!$J:$J,'Budget Data'!$E:$E,$B31,'Budget Data'!$C:$C,$B$4,'Budget Data'!$A:$A,"&gt;="&amp;S$19,'Budget Data'!$A:$A,"&lt;="&amp;EOMONTH(S$19,0))+SUMIFS('Budget Data'!$J:$J,'Budget Data'!$E:$E,$B31,'Budget Data'!$C:$C,$B$3,'Budget Data'!$A:$A,"&gt;="&amp;S$19,'Budget Data'!$A:$A,"&lt;="&amp;EOMONTH(S$19,0))+SUMIFS('Budget Data'!$J:$J,'Budget Data'!$E:$E,$B31,'Budget Data'!$C:$C,$B$5,'Budget Data'!$A:$A,"&gt;="&amp;S$19,'Budget Data'!$A:$A,"&lt;="&amp;EOMONTH(S$19,0))+SUMIFS('Budget Data'!$J:$J,'Budget Data'!$E:$E,$B31,'Budget Data'!$C:$C,$B$6,'Budget Data'!$A:$A,"&gt;="&amp;S$19,'Budget Data'!$A:$A,"&lt;="&amp;EOMONTH(S$19,0)))</f>
        <v>9900</v>
      </c>
      <c r="T31" s="86">
        <f>SUMPRODUCT(SUMIFS('Allocated Transactions'!$J:$J,'Allocated Transactions'!$D:$D,$B31,'Allocated Transactions'!$C:$C,$B$7,'Allocated Transactions'!$A:$A,"&gt;="&amp;T$19,'Allocated Transactions'!$A:$A,"&lt;="&amp;EOMONTH(T$19,0))+SUMIFS('Allocated Transactions'!$J:$J,'Allocated Transactions'!$D:$D,$B31,'Allocated Transactions'!$C:$C,$B$9,'Allocated Transactions'!$A:$A,"&gt;="&amp;T$19,'Allocated Transactions'!$A:$A,"&lt;="&amp;EOMONTH(T$19,0))+SUMIFS('Allocated Transactions'!$J:$J,'Allocated Transactions'!$D:$D,$B31,'Allocated Transactions'!$C:$C,$B$8,'Allocated Transactions'!$A:$A,"&gt;="&amp;T$19,'Allocated Transactions'!$A:$A,"&lt;="&amp;EOMONTH(T$19,0))+SUMIFS('Allocated Transactions'!$J:$J,'Allocated Transactions'!$D:$D,$B31,'Allocated Transactions'!$C:$C,$B$10,'Allocated Transactions'!$A:$A,"&gt;="&amp;T$19,'Allocated Transactions'!$A:$A,"&lt;="&amp;EOMONTH(T$19,0))+SUMIFS('Allocated Transactions'!$J:$J,'Allocated Transactions'!$D:$D,$B31,'Allocated Transactions'!$C:$C,$B$11,'Allocated Transactions'!$A:$A,"&gt;="&amp;T$19,'Allocated Transactions'!$A:$A,"&lt;="&amp;EOMONTH(T$19,0))+SUMIFS('Allocated Transactions'!$J:$J,'Allocated Transactions'!$D:$D,$B31,'Allocated Transactions'!$C:$C,$B$2,'Allocated Transactions'!$A:$A,"&gt;="&amp;T$19,'Allocated Transactions'!$A:$A,"&lt;="&amp;EOMONTH(T$19,0))+SUMIFS('Allocated Transactions'!$J:$J,'Allocated Transactions'!$D:$D,$B31,'Allocated Transactions'!$C:$C,$B$4,'Allocated Transactions'!$A:$A,"&gt;="&amp;T$19,'Allocated Transactions'!$A:$A,"&lt;="&amp;EOMONTH(T$19,0))+SUMIFS('Allocated Transactions'!$J:$J,'Allocated Transactions'!$D:$D,$B31,'Allocated Transactions'!$C:$C,$B$3,'Allocated Transactions'!$A:$A,"&gt;="&amp;T$19,'Allocated Transactions'!$A:$A,"&lt;="&amp;EOMONTH(T$19,0))+SUMIFS('Allocated Transactions'!$J:$J,'Allocated Transactions'!$D:$D,$B31,'Allocated Transactions'!$C:$C,$B$5,'Allocated Transactions'!$A:$A,"&gt;="&amp;T$19,'Allocated Transactions'!$A:$A,"&lt;="&amp;EOMONTH(T$19,0))+SUMIFS('Allocated Transactions'!$J:$J,'Allocated Transactions'!$D:$D,$B31,'Allocated Transactions'!$C:$C,$B$6,'Allocated Transactions'!$A:$A,"&gt;="&amp;T$19,'Allocated Transactions'!$A:$A,"&lt;="&amp;EOMONTH(T$19,0)))</f>
        <v>9650.48</v>
      </c>
      <c r="U31" s="84">
        <f>SUMPRODUCT(SUMIFS('Budget Data'!$J:$J,'Budget Data'!$E:$E,$B31,'Budget Data'!$C:$C,$B$7,'Budget Data'!$A:$A,"&gt;="&amp;U$19,'Budget Data'!$A:$A,"&lt;="&amp;EOMONTH(U$19,0))+SUMIFS('Budget Data'!$J:$J,'Budget Data'!$E:$E,$B31,'Budget Data'!$C:$C,$B$9,'Budget Data'!$A:$A,"&gt;="&amp;U$19,'Budget Data'!$A:$A,"&lt;="&amp;EOMONTH(U$19,0))+SUMIFS('Budget Data'!$J:$J,'Budget Data'!$E:$E,$B31,'Budget Data'!$C:$C,$B$8,'Budget Data'!$A:$A,"&gt;="&amp;U$19,'Budget Data'!$A:$A,"&lt;="&amp;EOMONTH(U$19,0))+SUMIFS('Budget Data'!$J:$J,'Budget Data'!$E:$E,$B31,'Budget Data'!$C:$C,$B$10,'Budget Data'!$A:$A,"&gt;="&amp;U$19,'Budget Data'!$A:$A,"&lt;="&amp;EOMONTH(U$19,0))+SUMIFS('Budget Data'!$J:$J,'Budget Data'!$E:$E,$B31,'Budget Data'!$C:$C,$B$11,'Budget Data'!$A:$A,"&gt;="&amp;U$19,'Budget Data'!$A:$A,"&lt;="&amp;EOMONTH(U$19,0))+SUMIFS('Budget Data'!$J:$J,'Budget Data'!$E:$E,$B31,'Budget Data'!$C:$C,$B$2,'Budget Data'!$A:$A,"&gt;="&amp;U$19,'Budget Data'!$A:$A,"&lt;="&amp;EOMONTH(U$19,0))+SUMIFS('Budget Data'!$J:$J,'Budget Data'!$E:$E,$B31,'Budget Data'!$C:$C,$B$4,'Budget Data'!$A:$A,"&gt;="&amp;U$19,'Budget Data'!$A:$A,"&lt;="&amp;EOMONTH(U$19,0))+SUMIFS('Budget Data'!$J:$J,'Budget Data'!$E:$E,$B31,'Budget Data'!$C:$C,$B$3,'Budget Data'!$A:$A,"&gt;="&amp;U$19,'Budget Data'!$A:$A,"&lt;="&amp;EOMONTH(U$19,0))+SUMIFS('Budget Data'!$J:$J,'Budget Data'!$E:$E,$B31,'Budget Data'!$C:$C,$B$5,'Budget Data'!$A:$A,"&gt;="&amp;U$19,'Budget Data'!$A:$A,"&lt;="&amp;EOMONTH(U$19,0))+SUMIFS('Budget Data'!$J:$J,'Budget Data'!$E:$E,$B31,'Budget Data'!$C:$C,$B$6,'Budget Data'!$A:$A,"&gt;="&amp;U$19,'Budget Data'!$A:$A,"&lt;="&amp;EOMONTH(U$19,0)))</f>
        <v>9600</v>
      </c>
      <c r="V31" s="86">
        <f>SUMPRODUCT(SUMIFS('Allocated Transactions'!$J:$J,'Allocated Transactions'!$D:$D,$B31,'Allocated Transactions'!$C:$C,$B$7,'Allocated Transactions'!$A:$A,"&gt;="&amp;V$19,'Allocated Transactions'!$A:$A,"&lt;="&amp;EOMONTH(V$19,0))+SUMIFS('Allocated Transactions'!$J:$J,'Allocated Transactions'!$D:$D,$B31,'Allocated Transactions'!$C:$C,$B$9,'Allocated Transactions'!$A:$A,"&gt;="&amp;V$19,'Allocated Transactions'!$A:$A,"&lt;="&amp;EOMONTH(V$19,0))+SUMIFS('Allocated Transactions'!$J:$J,'Allocated Transactions'!$D:$D,$B31,'Allocated Transactions'!$C:$C,$B$8,'Allocated Transactions'!$A:$A,"&gt;="&amp;V$19,'Allocated Transactions'!$A:$A,"&lt;="&amp;EOMONTH(V$19,0))+SUMIFS('Allocated Transactions'!$J:$J,'Allocated Transactions'!$D:$D,$B31,'Allocated Transactions'!$C:$C,$B$10,'Allocated Transactions'!$A:$A,"&gt;="&amp;V$19,'Allocated Transactions'!$A:$A,"&lt;="&amp;EOMONTH(V$19,0))+SUMIFS('Allocated Transactions'!$J:$J,'Allocated Transactions'!$D:$D,$B31,'Allocated Transactions'!$C:$C,$B$11,'Allocated Transactions'!$A:$A,"&gt;="&amp;V$19,'Allocated Transactions'!$A:$A,"&lt;="&amp;EOMONTH(V$19,0))+SUMIFS('Allocated Transactions'!$J:$J,'Allocated Transactions'!$D:$D,$B31,'Allocated Transactions'!$C:$C,$B$2,'Allocated Transactions'!$A:$A,"&gt;="&amp;V$19,'Allocated Transactions'!$A:$A,"&lt;="&amp;EOMONTH(V$19,0))+SUMIFS('Allocated Transactions'!$J:$J,'Allocated Transactions'!$D:$D,$B31,'Allocated Transactions'!$C:$C,$B$4,'Allocated Transactions'!$A:$A,"&gt;="&amp;V$19,'Allocated Transactions'!$A:$A,"&lt;="&amp;EOMONTH(V$19,0))+SUMIFS('Allocated Transactions'!$J:$J,'Allocated Transactions'!$D:$D,$B31,'Allocated Transactions'!$C:$C,$B$3,'Allocated Transactions'!$A:$A,"&gt;="&amp;V$19,'Allocated Transactions'!$A:$A,"&lt;="&amp;EOMONTH(V$19,0))+SUMIFS('Allocated Transactions'!$J:$J,'Allocated Transactions'!$D:$D,$B31,'Allocated Transactions'!$C:$C,$B$5,'Allocated Transactions'!$A:$A,"&gt;="&amp;V$19,'Allocated Transactions'!$A:$A,"&lt;="&amp;EOMONTH(V$19,0))+SUMIFS('Allocated Transactions'!$J:$J,'Allocated Transactions'!$D:$D,$B31,'Allocated Transactions'!$C:$C,$B$6,'Allocated Transactions'!$A:$A,"&gt;="&amp;V$19,'Allocated Transactions'!$A:$A,"&lt;="&amp;EOMONTH(V$19,0)))</f>
        <v>9729.439999999986</v>
      </c>
      <c r="W31" s="84">
        <f>SUMPRODUCT(SUMIFS('Budget Data'!$J:$J,'Budget Data'!$E:$E,$B31,'Budget Data'!$C:$C,$B$7,'Budget Data'!$A:$A,"&gt;="&amp;W$19,'Budget Data'!$A:$A,"&lt;="&amp;EOMONTH(W$19,0))+SUMIFS('Budget Data'!$J:$J,'Budget Data'!$E:$E,$B31,'Budget Data'!$C:$C,$B$9,'Budget Data'!$A:$A,"&gt;="&amp;W$19,'Budget Data'!$A:$A,"&lt;="&amp;EOMONTH(W$19,0))+SUMIFS('Budget Data'!$J:$J,'Budget Data'!$E:$E,$B31,'Budget Data'!$C:$C,$B$8,'Budget Data'!$A:$A,"&gt;="&amp;W$19,'Budget Data'!$A:$A,"&lt;="&amp;EOMONTH(W$19,0))+SUMIFS('Budget Data'!$J:$J,'Budget Data'!$E:$E,$B31,'Budget Data'!$C:$C,$B$10,'Budget Data'!$A:$A,"&gt;="&amp;W$19,'Budget Data'!$A:$A,"&lt;="&amp;EOMONTH(W$19,0))+SUMIFS('Budget Data'!$J:$J,'Budget Data'!$E:$E,$B31,'Budget Data'!$C:$C,$B$11,'Budget Data'!$A:$A,"&gt;="&amp;W$19,'Budget Data'!$A:$A,"&lt;="&amp;EOMONTH(W$19,0))+SUMIFS('Budget Data'!$J:$J,'Budget Data'!$E:$E,$B31,'Budget Data'!$C:$C,$B$2,'Budget Data'!$A:$A,"&gt;="&amp;W$19,'Budget Data'!$A:$A,"&lt;="&amp;EOMONTH(W$19,0))+SUMIFS('Budget Data'!$J:$J,'Budget Data'!$E:$E,$B31,'Budget Data'!$C:$C,$B$4,'Budget Data'!$A:$A,"&gt;="&amp;W$19,'Budget Data'!$A:$A,"&lt;="&amp;EOMONTH(W$19,0))+SUMIFS('Budget Data'!$J:$J,'Budget Data'!$E:$E,$B31,'Budget Data'!$C:$C,$B$3,'Budget Data'!$A:$A,"&gt;="&amp;W$19,'Budget Data'!$A:$A,"&lt;="&amp;EOMONTH(W$19,0))+SUMIFS('Budget Data'!$J:$J,'Budget Data'!$E:$E,$B31,'Budget Data'!$C:$C,$B$5,'Budget Data'!$A:$A,"&gt;="&amp;W$19,'Budget Data'!$A:$A,"&lt;="&amp;EOMONTH(W$19,0))+SUMIFS('Budget Data'!$J:$J,'Budget Data'!$E:$E,$B31,'Budget Data'!$C:$C,$B$6,'Budget Data'!$A:$A,"&gt;="&amp;W$19,'Budget Data'!$A:$A,"&lt;="&amp;EOMONTH(W$19,0)))</f>
        <v>9700</v>
      </c>
      <c r="X31" s="86">
        <f>SUMPRODUCT(SUMIFS('Allocated Transactions'!$J:$J,'Allocated Transactions'!$D:$D,$B31,'Allocated Transactions'!$C:$C,$B$7,'Allocated Transactions'!$A:$A,"&gt;="&amp;X$19,'Allocated Transactions'!$A:$A,"&lt;="&amp;EOMONTH(X$19,0))+SUMIFS('Allocated Transactions'!$J:$J,'Allocated Transactions'!$D:$D,$B31,'Allocated Transactions'!$C:$C,$B$9,'Allocated Transactions'!$A:$A,"&gt;="&amp;X$19,'Allocated Transactions'!$A:$A,"&lt;="&amp;EOMONTH(X$19,0))+SUMIFS('Allocated Transactions'!$J:$J,'Allocated Transactions'!$D:$D,$B31,'Allocated Transactions'!$C:$C,$B$8,'Allocated Transactions'!$A:$A,"&gt;="&amp;X$19,'Allocated Transactions'!$A:$A,"&lt;="&amp;EOMONTH(X$19,0))+SUMIFS('Allocated Transactions'!$J:$J,'Allocated Transactions'!$D:$D,$B31,'Allocated Transactions'!$C:$C,$B$10,'Allocated Transactions'!$A:$A,"&gt;="&amp;X$19,'Allocated Transactions'!$A:$A,"&lt;="&amp;EOMONTH(X$19,0))+SUMIFS('Allocated Transactions'!$J:$J,'Allocated Transactions'!$D:$D,$B31,'Allocated Transactions'!$C:$C,$B$11,'Allocated Transactions'!$A:$A,"&gt;="&amp;X$19,'Allocated Transactions'!$A:$A,"&lt;="&amp;EOMONTH(X$19,0))+SUMIFS('Allocated Transactions'!$J:$J,'Allocated Transactions'!$D:$D,$B31,'Allocated Transactions'!$C:$C,$B$2,'Allocated Transactions'!$A:$A,"&gt;="&amp;X$19,'Allocated Transactions'!$A:$A,"&lt;="&amp;EOMONTH(X$19,0))+SUMIFS('Allocated Transactions'!$J:$J,'Allocated Transactions'!$D:$D,$B31,'Allocated Transactions'!$C:$C,$B$4,'Allocated Transactions'!$A:$A,"&gt;="&amp;X$19,'Allocated Transactions'!$A:$A,"&lt;="&amp;EOMONTH(X$19,0))+SUMIFS('Allocated Transactions'!$J:$J,'Allocated Transactions'!$D:$D,$B31,'Allocated Transactions'!$C:$C,$B$3,'Allocated Transactions'!$A:$A,"&gt;="&amp;X$19,'Allocated Transactions'!$A:$A,"&lt;="&amp;EOMONTH(X$19,0))+SUMIFS('Allocated Transactions'!$J:$J,'Allocated Transactions'!$D:$D,$B31,'Allocated Transactions'!$C:$C,$B$5,'Allocated Transactions'!$A:$A,"&gt;="&amp;X$19,'Allocated Transactions'!$A:$A,"&lt;="&amp;EOMONTH(X$19,0))+SUMIFS('Allocated Transactions'!$J:$J,'Allocated Transactions'!$D:$D,$B31,'Allocated Transactions'!$C:$C,$B$6,'Allocated Transactions'!$A:$A,"&gt;="&amp;X$19,'Allocated Transactions'!$A:$A,"&lt;="&amp;EOMONTH(X$19,0)))</f>
        <v>9093.1</v>
      </c>
      <c r="Y31" s="84">
        <f>SUMPRODUCT(SUMIFS('Budget Data'!$J:$J,'Budget Data'!$E:$E,$B31,'Budget Data'!$C:$C,$B$7,'Budget Data'!$A:$A,"&gt;="&amp;Y$19,'Budget Data'!$A:$A,"&lt;="&amp;EOMONTH(Y$19,0))+SUMIFS('Budget Data'!$J:$J,'Budget Data'!$E:$E,$B31,'Budget Data'!$C:$C,$B$9,'Budget Data'!$A:$A,"&gt;="&amp;Y$19,'Budget Data'!$A:$A,"&lt;="&amp;EOMONTH(Y$19,0))+SUMIFS('Budget Data'!$J:$J,'Budget Data'!$E:$E,$B31,'Budget Data'!$C:$C,$B$8,'Budget Data'!$A:$A,"&gt;="&amp;Y$19,'Budget Data'!$A:$A,"&lt;="&amp;EOMONTH(Y$19,0))+SUMIFS('Budget Data'!$J:$J,'Budget Data'!$E:$E,$B31,'Budget Data'!$C:$C,$B$10,'Budget Data'!$A:$A,"&gt;="&amp;Y$19,'Budget Data'!$A:$A,"&lt;="&amp;EOMONTH(Y$19,0))+SUMIFS('Budget Data'!$J:$J,'Budget Data'!$E:$E,$B31,'Budget Data'!$C:$C,$B$11,'Budget Data'!$A:$A,"&gt;="&amp;Y$19,'Budget Data'!$A:$A,"&lt;="&amp;EOMONTH(Y$19,0))+SUMIFS('Budget Data'!$J:$J,'Budget Data'!$E:$E,$B31,'Budget Data'!$C:$C,$B$2,'Budget Data'!$A:$A,"&gt;="&amp;Y$19,'Budget Data'!$A:$A,"&lt;="&amp;EOMONTH(Y$19,0))+SUMIFS('Budget Data'!$J:$J,'Budget Data'!$E:$E,$B31,'Budget Data'!$C:$C,$B$4,'Budget Data'!$A:$A,"&gt;="&amp;Y$19,'Budget Data'!$A:$A,"&lt;="&amp;EOMONTH(Y$19,0))+SUMIFS('Budget Data'!$J:$J,'Budget Data'!$E:$E,$B31,'Budget Data'!$C:$C,$B$3,'Budget Data'!$A:$A,"&gt;="&amp;Y$19,'Budget Data'!$A:$A,"&lt;="&amp;EOMONTH(Y$19,0))+SUMIFS('Budget Data'!$J:$J,'Budget Data'!$E:$E,$B31,'Budget Data'!$C:$C,$B$5,'Budget Data'!$A:$A,"&gt;="&amp;Y$19,'Budget Data'!$A:$A,"&lt;="&amp;EOMONTH(Y$19,0))+SUMIFS('Budget Data'!$J:$J,'Budget Data'!$E:$E,$B31,'Budget Data'!$C:$C,$B$6,'Budget Data'!$A:$A,"&gt;="&amp;Y$19,'Budget Data'!$A:$A,"&lt;="&amp;EOMONTH(Y$19,0)))</f>
        <v>8900</v>
      </c>
      <c r="Z31" s="86">
        <f>SUMPRODUCT(SUMIFS('Allocated Transactions'!$J:$J,'Allocated Transactions'!$D:$D,$B31,'Allocated Transactions'!$C:$C,$B$7,'Allocated Transactions'!$A:$A,"&gt;="&amp;Z$19,'Allocated Transactions'!$A:$A,"&lt;="&amp;EOMONTH(Z$19,0))+SUMIFS('Allocated Transactions'!$J:$J,'Allocated Transactions'!$D:$D,$B31,'Allocated Transactions'!$C:$C,$B$9,'Allocated Transactions'!$A:$A,"&gt;="&amp;Z$19,'Allocated Transactions'!$A:$A,"&lt;="&amp;EOMONTH(Z$19,0))+SUMIFS('Allocated Transactions'!$J:$J,'Allocated Transactions'!$D:$D,$B31,'Allocated Transactions'!$C:$C,$B$8,'Allocated Transactions'!$A:$A,"&gt;="&amp;Z$19,'Allocated Transactions'!$A:$A,"&lt;="&amp;EOMONTH(Z$19,0))+SUMIFS('Allocated Transactions'!$J:$J,'Allocated Transactions'!$D:$D,$B31,'Allocated Transactions'!$C:$C,$B$10,'Allocated Transactions'!$A:$A,"&gt;="&amp;Z$19,'Allocated Transactions'!$A:$A,"&lt;="&amp;EOMONTH(Z$19,0))+SUMIFS('Allocated Transactions'!$J:$J,'Allocated Transactions'!$D:$D,$B31,'Allocated Transactions'!$C:$C,$B$11,'Allocated Transactions'!$A:$A,"&gt;="&amp;Z$19,'Allocated Transactions'!$A:$A,"&lt;="&amp;EOMONTH(Z$19,0))+SUMIFS('Allocated Transactions'!$J:$J,'Allocated Transactions'!$D:$D,$B31,'Allocated Transactions'!$C:$C,$B$2,'Allocated Transactions'!$A:$A,"&gt;="&amp;Z$19,'Allocated Transactions'!$A:$A,"&lt;="&amp;EOMONTH(Z$19,0))+SUMIFS('Allocated Transactions'!$J:$J,'Allocated Transactions'!$D:$D,$B31,'Allocated Transactions'!$C:$C,$B$4,'Allocated Transactions'!$A:$A,"&gt;="&amp;Z$19,'Allocated Transactions'!$A:$A,"&lt;="&amp;EOMONTH(Z$19,0))+SUMIFS('Allocated Transactions'!$J:$J,'Allocated Transactions'!$D:$D,$B31,'Allocated Transactions'!$C:$C,$B$3,'Allocated Transactions'!$A:$A,"&gt;="&amp;Z$19,'Allocated Transactions'!$A:$A,"&lt;="&amp;EOMONTH(Z$19,0))+SUMIFS('Allocated Transactions'!$J:$J,'Allocated Transactions'!$D:$D,$B31,'Allocated Transactions'!$C:$C,$B$5,'Allocated Transactions'!$A:$A,"&gt;="&amp;Z$19,'Allocated Transactions'!$A:$A,"&lt;="&amp;EOMONTH(Z$19,0))+SUMIFS('Allocated Transactions'!$J:$J,'Allocated Transactions'!$D:$D,$B31,'Allocated Transactions'!$C:$C,$B$6,'Allocated Transactions'!$A:$A,"&gt;="&amp;Z$19,'Allocated Transactions'!$A:$A,"&lt;="&amp;EOMONTH(Z$19,0)))</f>
        <v>9514.9399999999878</v>
      </c>
      <c r="AA31" s="84">
        <f>SUMPRODUCT(SUMIFS('Budget Data'!$J:$J,'Budget Data'!$E:$E,$B31,'Budget Data'!$C:$C,$B$7,'Budget Data'!$A:$A,"&gt;="&amp;AA$19,'Budget Data'!$A:$A,"&lt;="&amp;EOMONTH(AA$19,0))+SUMIFS('Budget Data'!$J:$J,'Budget Data'!$E:$E,$B31,'Budget Data'!$C:$C,$B$9,'Budget Data'!$A:$A,"&gt;="&amp;AA$19,'Budget Data'!$A:$A,"&lt;="&amp;EOMONTH(AA$19,0))+SUMIFS('Budget Data'!$J:$J,'Budget Data'!$E:$E,$B31,'Budget Data'!$C:$C,$B$8,'Budget Data'!$A:$A,"&gt;="&amp;AA$19,'Budget Data'!$A:$A,"&lt;="&amp;EOMONTH(AA$19,0))+SUMIFS('Budget Data'!$J:$J,'Budget Data'!$E:$E,$B31,'Budget Data'!$C:$C,$B$10,'Budget Data'!$A:$A,"&gt;="&amp;AA$19,'Budget Data'!$A:$A,"&lt;="&amp;EOMONTH(AA$19,0))+SUMIFS('Budget Data'!$J:$J,'Budget Data'!$E:$E,$B31,'Budget Data'!$C:$C,$B$11,'Budget Data'!$A:$A,"&gt;="&amp;AA$19,'Budget Data'!$A:$A,"&lt;="&amp;EOMONTH(AA$19,0))+SUMIFS('Budget Data'!$J:$J,'Budget Data'!$E:$E,$B31,'Budget Data'!$C:$C,$B$2,'Budget Data'!$A:$A,"&gt;="&amp;AA$19,'Budget Data'!$A:$A,"&lt;="&amp;EOMONTH(AA$19,0))+SUMIFS('Budget Data'!$J:$J,'Budget Data'!$E:$E,$B31,'Budget Data'!$C:$C,$B$4,'Budget Data'!$A:$A,"&gt;="&amp;AA$19,'Budget Data'!$A:$A,"&lt;="&amp;EOMONTH(AA$19,0))+SUMIFS('Budget Data'!$J:$J,'Budget Data'!$E:$E,$B31,'Budget Data'!$C:$C,$B$3,'Budget Data'!$A:$A,"&gt;="&amp;AA$19,'Budget Data'!$A:$A,"&lt;="&amp;EOMONTH(AA$19,0))+SUMIFS('Budget Data'!$J:$J,'Budget Data'!$E:$E,$B31,'Budget Data'!$C:$C,$B$5,'Budget Data'!$A:$A,"&gt;="&amp;AA$19,'Budget Data'!$A:$A,"&lt;="&amp;EOMONTH(AA$19,0))+SUMIFS('Budget Data'!$J:$J,'Budget Data'!$E:$E,$B31,'Budget Data'!$C:$C,$B$6,'Budget Data'!$A:$A,"&gt;="&amp;AA$19,'Budget Data'!$A:$A,"&lt;="&amp;EOMONTH(AA$19,0)))</f>
        <v>9300</v>
      </c>
      <c r="AC31" s="87">
        <f t="shared" si="2"/>
        <v>115279.25999999998</v>
      </c>
      <c r="AD31" s="84">
        <f t="shared" si="2"/>
        <v>114700</v>
      </c>
    </row>
    <row r="32" spans="2:30" ht="15" customHeight="1">
      <c r="B32" s="12" t="str">
        <v>5020</v>
      </c>
      <c r="C32" s="160" t="str">
        <f>_xlfn.XLOOKUP(B32,'Allocated Transactions'!D:D,'Allocated Transactions'!E:E,"")</f>
        <v>Employee Benefits</v>
      </c>
      <c r="D32" s="86">
        <f>SUMPRODUCT(SUMIFS('Allocated Transactions'!$J:$J,'Allocated Transactions'!$D:$D,$B32,'Allocated Transactions'!$C:$C,$B$7,'Allocated Transactions'!$A:$A,"&gt;="&amp;D$19,'Allocated Transactions'!$A:$A,"&lt;="&amp;EOMONTH(D$19,0))+SUMIFS('Allocated Transactions'!$J:$J,'Allocated Transactions'!$D:$D,$B32,'Allocated Transactions'!$C:$C,$B$9,'Allocated Transactions'!$A:$A,"&gt;="&amp;D$19,'Allocated Transactions'!$A:$A,"&lt;="&amp;EOMONTH(D$19,0))+SUMIFS('Allocated Transactions'!$J:$J,'Allocated Transactions'!$D:$D,$B32,'Allocated Transactions'!$C:$C,$B$8,'Allocated Transactions'!$A:$A,"&gt;="&amp;D$19,'Allocated Transactions'!$A:$A,"&lt;="&amp;EOMONTH(D$19,0))+SUMIFS('Allocated Transactions'!$J:$J,'Allocated Transactions'!$D:$D,$B32,'Allocated Transactions'!$C:$C,$B$10,'Allocated Transactions'!$A:$A,"&gt;="&amp;D$19,'Allocated Transactions'!$A:$A,"&lt;="&amp;EOMONTH(D$19,0))+SUMIFS('Allocated Transactions'!$J:$J,'Allocated Transactions'!$D:$D,$B32,'Allocated Transactions'!$C:$C,$B$11,'Allocated Transactions'!$A:$A,"&gt;="&amp;D$19,'Allocated Transactions'!$A:$A,"&lt;="&amp;EOMONTH(D$19,0))+SUMIFS('Allocated Transactions'!$J:$J,'Allocated Transactions'!$D:$D,$B32,'Allocated Transactions'!$C:$C,$B$2,'Allocated Transactions'!$A:$A,"&gt;="&amp;D$19,'Allocated Transactions'!$A:$A,"&lt;="&amp;EOMONTH(D$19,0))+SUMIFS('Allocated Transactions'!$J:$J,'Allocated Transactions'!$D:$D,$B32,'Allocated Transactions'!$C:$C,$B$4,'Allocated Transactions'!$A:$A,"&gt;="&amp;D$19,'Allocated Transactions'!$A:$A,"&lt;="&amp;EOMONTH(D$19,0))+SUMIFS('Allocated Transactions'!$J:$J,'Allocated Transactions'!$D:$D,$B32,'Allocated Transactions'!$C:$C,$B$3,'Allocated Transactions'!$A:$A,"&gt;="&amp;D$19,'Allocated Transactions'!$A:$A,"&lt;="&amp;EOMONTH(D$19,0))+SUMIFS('Allocated Transactions'!$J:$J,'Allocated Transactions'!$D:$D,$B32,'Allocated Transactions'!$C:$C,$B$5,'Allocated Transactions'!$A:$A,"&gt;="&amp;D$19,'Allocated Transactions'!$A:$A,"&lt;="&amp;EOMONTH(D$19,0))+SUMIFS('Allocated Transactions'!$J:$J,'Allocated Transactions'!$D:$D,$B32,'Allocated Transactions'!$C:$C,$B$6,'Allocated Transactions'!$A:$A,"&gt;="&amp;D$19,'Allocated Transactions'!$A:$A,"&lt;="&amp;EOMONTH(D$19,0)))</f>
        <v>31446.283850217395</v>
      </c>
      <c r="E32" s="84">
        <f>SUMPRODUCT(SUMIFS('Budget Data'!$J:$J,'Budget Data'!$E:$E,$B32,'Budget Data'!$C:$C,$B$7,'Budget Data'!$A:$A,"&gt;="&amp;E$19,'Budget Data'!$A:$A,"&lt;="&amp;EOMONTH(E$19,0))+SUMIFS('Budget Data'!$J:$J,'Budget Data'!$E:$E,$B32,'Budget Data'!$C:$C,$B$9,'Budget Data'!$A:$A,"&gt;="&amp;E$19,'Budget Data'!$A:$A,"&lt;="&amp;EOMONTH(E$19,0))+SUMIFS('Budget Data'!$J:$J,'Budget Data'!$E:$E,$B32,'Budget Data'!$C:$C,$B$8,'Budget Data'!$A:$A,"&gt;="&amp;E$19,'Budget Data'!$A:$A,"&lt;="&amp;EOMONTH(E$19,0))+SUMIFS('Budget Data'!$J:$J,'Budget Data'!$E:$E,$B32,'Budget Data'!$C:$C,$B$10,'Budget Data'!$A:$A,"&gt;="&amp;E$19,'Budget Data'!$A:$A,"&lt;="&amp;EOMONTH(E$19,0))+SUMIFS('Budget Data'!$J:$J,'Budget Data'!$E:$E,$B32,'Budget Data'!$C:$C,$B$11,'Budget Data'!$A:$A,"&gt;="&amp;E$19,'Budget Data'!$A:$A,"&lt;="&amp;EOMONTH(E$19,0))+SUMIFS('Budget Data'!$J:$J,'Budget Data'!$E:$E,$B32,'Budget Data'!$C:$C,$B$2,'Budget Data'!$A:$A,"&gt;="&amp;E$19,'Budget Data'!$A:$A,"&lt;="&amp;EOMONTH(E$19,0))+SUMIFS('Budget Data'!$J:$J,'Budget Data'!$E:$E,$B32,'Budget Data'!$C:$C,$B$4,'Budget Data'!$A:$A,"&gt;="&amp;E$19,'Budget Data'!$A:$A,"&lt;="&amp;EOMONTH(E$19,0))+SUMIFS('Budget Data'!$J:$J,'Budget Data'!$E:$E,$B32,'Budget Data'!$C:$C,$B$3,'Budget Data'!$A:$A,"&gt;="&amp;E$19,'Budget Data'!$A:$A,"&lt;="&amp;EOMONTH(E$19,0))+SUMIFS('Budget Data'!$J:$J,'Budget Data'!$E:$E,$B32,'Budget Data'!$C:$C,$B$5,'Budget Data'!$A:$A,"&gt;="&amp;E$19,'Budget Data'!$A:$A,"&lt;="&amp;EOMONTH(E$19,0))+SUMIFS('Budget Data'!$J:$J,'Budget Data'!$E:$E,$B32,'Budget Data'!$C:$C,$B$6,'Budget Data'!$A:$A,"&gt;="&amp;E$19,'Budget Data'!$A:$A,"&lt;="&amp;EOMONTH(E$19,0)))</f>
        <v>31100</v>
      </c>
      <c r="F32" s="86">
        <f>SUMPRODUCT(SUMIFS('Allocated Transactions'!$J:$J,'Allocated Transactions'!$D:$D,$B32,'Allocated Transactions'!$C:$C,$B$7,'Allocated Transactions'!$A:$A,"&gt;="&amp;F$19,'Allocated Transactions'!$A:$A,"&lt;="&amp;EOMONTH(F$19,0))+SUMIFS('Allocated Transactions'!$J:$J,'Allocated Transactions'!$D:$D,$B32,'Allocated Transactions'!$C:$C,$B$9,'Allocated Transactions'!$A:$A,"&gt;="&amp;F$19,'Allocated Transactions'!$A:$A,"&lt;="&amp;EOMONTH(F$19,0))+SUMIFS('Allocated Transactions'!$J:$J,'Allocated Transactions'!$D:$D,$B32,'Allocated Transactions'!$C:$C,$B$8,'Allocated Transactions'!$A:$A,"&gt;="&amp;F$19,'Allocated Transactions'!$A:$A,"&lt;="&amp;EOMONTH(F$19,0))+SUMIFS('Allocated Transactions'!$J:$J,'Allocated Transactions'!$D:$D,$B32,'Allocated Transactions'!$C:$C,$B$10,'Allocated Transactions'!$A:$A,"&gt;="&amp;F$19,'Allocated Transactions'!$A:$A,"&lt;="&amp;EOMONTH(F$19,0))+SUMIFS('Allocated Transactions'!$J:$J,'Allocated Transactions'!$D:$D,$B32,'Allocated Transactions'!$C:$C,$B$11,'Allocated Transactions'!$A:$A,"&gt;="&amp;F$19,'Allocated Transactions'!$A:$A,"&lt;="&amp;EOMONTH(F$19,0))+SUMIFS('Allocated Transactions'!$J:$J,'Allocated Transactions'!$D:$D,$B32,'Allocated Transactions'!$C:$C,$B$2,'Allocated Transactions'!$A:$A,"&gt;="&amp;F$19,'Allocated Transactions'!$A:$A,"&lt;="&amp;EOMONTH(F$19,0))+SUMIFS('Allocated Transactions'!$J:$J,'Allocated Transactions'!$D:$D,$B32,'Allocated Transactions'!$C:$C,$B$4,'Allocated Transactions'!$A:$A,"&gt;="&amp;F$19,'Allocated Transactions'!$A:$A,"&lt;="&amp;EOMONTH(F$19,0))+SUMIFS('Allocated Transactions'!$J:$J,'Allocated Transactions'!$D:$D,$B32,'Allocated Transactions'!$C:$C,$B$3,'Allocated Transactions'!$A:$A,"&gt;="&amp;F$19,'Allocated Transactions'!$A:$A,"&lt;="&amp;EOMONTH(F$19,0))+SUMIFS('Allocated Transactions'!$J:$J,'Allocated Transactions'!$D:$D,$B32,'Allocated Transactions'!$C:$C,$B$5,'Allocated Transactions'!$A:$A,"&gt;="&amp;F$19,'Allocated Transactions'!$A:$A,"&lt;="&amp;EOMONTH(F$19,0))+SUMIFS('Allocated Transactions'!$J:$J,'Allocated Transactions'!$D:$D,$B32,'Allocated Transactions'!$C:$C,$B$6,'Allocated Transactions'!$A:$A,"&gt;="&amp;F$19,'Allocated Transactions'!$A:$A,"&lt;="&amp;EOMONTH(F$19,0)))</f>
        <v>35347.686501904762</v>
      </c>
      <c r="G32" s="84">
        <f>SUMPRODUCT(SUMIFS('Budget Data'!$J:$J,'Budget Data'!$E:$E,$B32,'Budget Data'!$C:$C,$B$7,'Budget Data'!$A:$A,"&gt;="&amp;G$19,'Budget Data'!$A:$A,"&lt;="&amp;EOMONTH(G$19,0))+SUMIFS('Budget Data'!$J:$J,'Budget Data'!$E:$E,$B32,'Budget Data'!$C:$C,$B$9,'Budget Data'!$A:$A,"&gt;="&amp;G$19,'Budget Data'!$A:$A,"&lt;="&amp;EOMONTH(G$19,0))+SUMIFS('Budget Data'!$J:$J,'Budget Data'!$E:$E,$B32,'Budget Data'!$C:$C,$B$8,'Budget Data'!$A:$A,"&gt;="&amp;G$19,'Budget Data'!$A:$A,"&lt;="&amp;EOMONTH(G$19,0))+SUMIFS('Budget Data'!$J:$J,'Budget Data'!$E:$E,$B32,'Budget Data'!$C:$C,$B$10,'Budget Data'!$A:$A,"&gt;="&amp;G$19,'Budget Data'!$A:$A,"&lt;="&amp;EOMONTH(G$19,0))+SUMIFS('Budget Data'!$J:$J,'Budget Data'!$E:$E,$B32,'Budget Data'!$C:$C,$B$11,'Budget Data'!$A:$A,"&gt;="&amp;G$19,'Budget Data'!$A:$A,"&lt;="&amp;EOMONTH(G$19,0))+SUMIFS('Budget Data'!$J:$J,'Budget Data'!$E:$E,$B32,'Budget Data'!$C:$C,$B$2,'Budget Data'!$A:$A,"&gt;="&amp;G$19,'Budget Data'!$A:$A,"&lt;="&amp;EOMONTH(G$19,0))+SUMIFS('Budget Data'!$J:$J,'Budget Data'!$E:$E,$B32,'Budget Data'!$C:$C,$B$4,'Budget Data'!$A:$A,"&gt;="&amp;G$19,'Budget Data'!$A:$A,"&lt;="&amp;EOMONTH(G$19,0))+SUMIFS('Budget Data'!$J:$J,'Budget Data'!$E:$E,$B32,'Budget Data'!$C:$C,$B$3,'Budget Data'!$A:$A,"&gt;="&amp;G$19,'Budget Data'!$A:$A,"&lt;="&amp;EOMONTH(G$19,0))+SUMIFS('Budget Data'!$J:$J,'Budget Data'!$E:$E,$B32,'Budget Data'!$C:$C,$B$5,'Budget Data'!$A:$A,"&gt;="&amp;G$19,'Budget Data'!$A:$A,"&lt;="&amp;EOMONTH(G$19,0))+SUMIFS('Budget Data'!$J:$J,'Budget Data'!$E:$E,$B32,'Budget Data'!$C:$C,$B$6,'Budget Data'!$A:$A,"&gt;="&amp;G$19,'Budget Data'!$A:$A,"&lt;="&amp;EOMONTH(G$19,0)))</f>
        <v>35000</v>
      </c>
      <c r="H32" s="86">
        <f>SUMPRODUCT(SUMIFS('Allocated Transactions'!$J:$J,'Allocated Transactions'!$D:$D,$B32,'Allocated Transactions'!$C:$C,$B$7,'Allocated Transactions'!$A:$A,"&gt;="&amp;H$19,'Allocated Transactions'!$A:$A,"&lt;="&amp;EOMONTH(H$19,0))+SUMIFS('Allocated Transactions'!$J:$J,'Allocated Transactions'!$D:$D,$B32,'Allocated Transactions'!$C:$C,$B$9,'Allocated Transactions'!$A:$A,"&gt;="&amp;H$19,'Allocated Transactions'!$A:$A,"&lt;="&amp;EOMONTH(H$19,0))+SUMIFS('Allocated Transactions'!$J:$J,'Allocated Transactions'!$D:$D,$B32,'Allocated Transactions'!$C:$C,$B$8,'Allocated Transactions'!$A:$A,"&gt;="&amp;H$19,'Allocated Transactions'!$A:$A,"&lt;="&amp;EOMONTH(H$19,0))+SUMIFS('Allocated Transactions'!$J:$J,'Allocated Transactions'!$D:$D,$B32,'Allocated Transactions'!$C:$C,$B$10,'Allocated Transactions'!$A:$A,"&gt;="&amp;H$19,'Allocated Transactions'!$A:$A,"&lt;="&amp;EOMONTH(H$19,0))+SUMIFS('Allocated Transactions'!$J:$J,'Allocated Transactions'!$D:$D,$B32,'Allocated Transactions'!$C:$C,$B$11,'Allocated Transactions'!$A:$A,"&gt;="&amp;H$19,'Allocated Transactions'!$A:$A,"&lt;="&amp;EOMONTH(H$19,0))+SUMIFS('Allocated Transactions'!$J:$J,'Allocated Transactions'!$D:$D,$B32,'Allocated Transactions'!$C:$C,$B$2,'Allocated Transactions'!$A:$A,"&gt;="&amp;H$19,'Allocated Transactions'!$A:$A,"&lt;="&amp;EOMONTH(H$19,0))+SUMIFS('Allocated Transactions'!$J:$J,'Allocated Transactions'!$D:$D,$B32,'Allocated Transactions'!$C:$C,$B$4,'Allocated Transactions'!$A:$A,"&gt;="&amp;H$19,'Allocated Transactions'!$A:$A,"&lt;="&amp;EOMONTH(H$19,0))+SUMIFS('Allocated Transactions'!$J:$J,'Allocated Transactions'!$D:$D,$B32,'Allocated Transactions'!$C:$C,$B$3,'Allocated Transactions'!$A:$A,"&gt;="&amp;H$19,'Allocated Transactions'!$A:$A,"&lt;="&amp;EOMONTH(H$19,0))+SUMIFS('Allocated Transactions'!$J:$J,'Allocated Transactions'!$D:$D,$B32,'Allocated Transactions'!$C:$C,$B$5,'Allocated Transactions'!$A:$A,"&gt;="&amp;H$19,'Allocated Transactions'!$A:$A,"&lt;="&amp;EOMONTH(H$19,0))+SUMIFS('Allocated Transactions'!$J:$J,'Allocated Transactions'!$D:$D,$B32,'Allocated Transactions'!$C:$C,$B$6,'Allocated Transactions'!$A:$A,"&gt;="&amp;H$19,'Allocated Transactions'!$A:$A,"&lt;="&amp;EOMONTH(H$19,0)))</f>
        <v>36369.59621147727</v>
      </c>
      <c r="I32" s="84">
        <f>SUMPRODUCT(SUMIFS('Budget Data'!$J:$J,'Budget Data'!$E:$E,$B32,'Budget Data'!$C:$C,$B$7,'Budget Data'!$A:$A,"&gt;="&amp;I$19,'Budget Data'!$A:$A,"&lt;="&amp;EOMONTH(I$19,0))+SUMIFS('Budget Data'!$J:$J,'Budget Data'!$E:$E,$B32,'Budget Data'!$C:$C,$B$9,'Budget Data'!$A:$A,"&gt;="&amp;I$19,'Budget Data'!$A:$A,"&lt;="&amp;EOMONTH(I$19,0))+SUMIFS('Budget Data'!$J:$J,'Budget Data'!$E:$E,$B32,'Budget Data'!$C:$C,$B$8,'Budget Data'!$A:$A,"&gt;="&amp;I$19,'Budget Data'!$A:$A,"&lt;="&amp;EOMONTH(I$19,0))+SUMIFS('Budget Data'!$J:$J,'Budget Data'!$E:$E,$B32,'Budget Data'!$C:$C,$B$10,'Budget Data'!$A:$A,"&gt;="&amp;I$19,'Budget Data'!$A:$A,"&lt;="&amp;EOMONTH(I$19,0))+SUMIFS('Budget Data'!$J:$J,'Budget Data'!$E:$E,$B32,'Budget Data'!$C:$C,$B$11,'Budget Data'!$A:$A,"&gt;="&amp;I$19,'Budget Data'!$A:$A,"&lt;="&amp;EOMONTH(I$19,0))+SUMIFS('Budget Data'!$J:$J,'Budget Data'!$E:$E,$B32,'Budget Data'!$C:$C,$B$2,'Budget Data'!$A:$A,"&gt;="&amp;I$19,'Budget Data'!$A:$A,"&lt;="&amp;EOMONTH(I$19,0))+SUMIFS('Budget Data'!$J:$J,'Budget Data'!$E:$E,$B32,'Budget Data'!$C:$C,$B$4,'Budget Data'!$A:$A,"&gt;="&amp;I$19,'Budget Data'!$A:$A,"&lt;="&amp;EOMONTH(I$19,0))+SUMIFS('Budget Data'!$J:$J,'Budget Data'!$E:$E,$B32,'Budget Data'!$C:$C,$B$3,'Budget Data'!$A:$A,"&gt;="&amp;I$19,'Budget Data'!$A:$A,"&lt;="&amp;EOMONTH(I$19,0))+SUMIFS('Budget Data'!$J:$J,'Budget Data'!$E:$E,$B32,'Budget Data'!$C:$C,$B$5,'Budget Data'!$A:$A,"&gt;="&amp;I$19,'Budget Data'!$A:$A,"&lt;="&amp;EOMONTH(I$19,0))+SUMIFS('Budget Data'!$J:$J,'Budget Data'!$E:$E,$B32,'Budget Data'!$C:$C,$B$6,'Budget Data'!$A:$A,"&gt;="&amp;I$19,'Budget Data'!$A:$A,"&lt;="&amp;EOMONTH(I$19,0)))</f>
        <v>36000</v>
      </c>
      <c r="J32" s="86">
        <f>SUMPRODUCT(SUMIFS('Allocated Transactions'!$J:$J,'Allocated Transactions'!$D:$D,$B32,'Allocated Transactions'!$C:$C,$B$7,'Allocated Transactions'!$A:$A,"&gt;="&amp;J$19,'Allocated Transactions'!$A:$A,"&lt;="&amp;EOMONTH(J$19,0))+SUMIFS('Allocated Transactions'!$J:$J,'Allocated Transactions'!$D:$D,$B32,'Allocated Transactions'!$C:$C,$B$9,'Allocated Transactions'!$A:$A,"&gt;="&amp;J$19,'Allocated Transactions'!$A:$A,"&lt;="&amp;EOMONTH(J$19,0))+SUMIFS('Allocated Transactions'!$J:$J,'Allocated Transactions'!$D:$D,$B32,'Allocated Transactions'!$C:$C,$B$8,'Allocated Transactions'!$A:$A,"&gt;="&amp;J$19,'Allocated Transactions'!$A:$A,"&lt;="&amp;EOMONTH(J$19,0))+SUMIFS('Allocated Transactions'!$J:$J,'Allocated Transactions'!$D:$D,$B32,'Allocated Transactions'!$C:$C,$B$10,'Allocated Transactions'!$A:$A,"&gt;="&amp;J$19,'Allocated Transactions'!$A:$A,"&lt;="&amp;EOMONTH(J$19,0))+SUMIFS('Allocated Transactions'!$J:$J,'Allocated Transactions'!$D:$D,$B32,'Allocated Transactions'!$C:$C,$B$11,'Allocated Transactions'!$A:$A,"&gt;="&amp;J$19,'Allocated Transactions'!$A:$A,"&lt;="&amp;EOMONTH(J$19,0))+SUMIFS('Allocated Transactions'!$J:$J,'Allocated Transactions'!$D:$D,$B32,'Allocated Transactions'!$C:$C,$B$2,'Allocated Transactions'!$A:$A,"&gt;="&amp;J$19,'Allocated Transactions'!$A:$A,"&lt;="&amp;EOMONTH(J$19,0))+SUMIFS('Allocated Transactions'!$J:$J,'Allocated Transactions'!$D:$D,$B32,'Allocated Transactions'!$C:$C,$B$4,'Allocated Transactions'!$A:$A,"&gt;="&amp;J$19,'Allocated Transactions'!$A:$A,"&lt;="&amp;EOMONTH(J$19,0))+SUMIFS('Allocated Transactions'!$J:$J,'Allocated Transactions'!$D:$D,$B32,'Allocated Transactions'!$C:$C,$B$3,'Allocated Transactions'!$A:$A,"&gt;="&amp;J$19,'Allocated Transactions'!$A:$A,"&lt;="&amp;EOMONTH(J$19,0))+SUMIFS('Allocated Transactions'!$J:$J,'Allocated Transactions'!$D:$D,$B32,'Allocated Transactions'!$C:$C,$B$5,'Allocated Transactions'!$A:$A,"&gt;="&amp;J$19,'Allocated Transactions'!$A:$A,"&lt;="&amp;EOMONTH(J$19,0))+SUMIFS('Allocated Transactions'!$J:$J,'Allocated Transactions'!$D:$D,$B32,'Allocated Transactions'!$C:$C,$B$6,'Allocated Transactions'!$A:$A,"&gt;="&amp;J$19,'Allocated Transactions'!$A:$A,"&lt;="&amp;EOMONTH(J$19,0)))</f>
        <v>37701.937441304355</v>
      </c>
      <c r="K32" s="84">
        <f>SUMPRODUCT(SUMIFS('Budget Data'!$J:$J,'Budget Data'!$E:$E,$B32,'Budget Data'!$C:$C,$B$7,'Budget Data'!$A:$A,"&gt;="&amp;K$19,'Budget Data'!$A:$A,"&lt;="&amp;EOMONTH(K$19,0))+SUMIFS('Budget Data'!$J:$J,'Budget Data'!$E:$E,$B32,'Budget Data'!$C:$C,$B$9,'Budget Data'!$A:$A,"&gt;="&amp;K$19,'Budget Data'!$A:$A,"&lt;="&amp;EOMONTH(K$19,0))+SUMIFS('Budget Data'!$J:$J,'Budget Data'!$E:$E,$B32,'Budget Data'!$C:$C,$B$8,'Budget Data'!$A:$A,"&gt;="&amp;K$19,'Budget Data'!$A:$A,"&lt;="&amp;EOMONTH(K$19,0))+SUMIFS('Budget Data'!$J:$J,'Budget Data'!$E:$E,$B32,'Budget Data'!$C:$C,$B$10,'Budget Data'!$A:$A,"&gt;="&amp;K$19,'Budget Data'!$A:$A,"&lt;="&amp;EOMONTH(K$19,0))+SUMIFS('Budget Data'!$J:$J,'Budget Data'!$E:$E,$B32,'Budget Data'!$C:$C,$B$11,'Budget Data'!$A:$A,"&gt;="&amp;K$19,'Budget Data'!$A:$A,"&lt;="&amp;EOMONTH(K$19,0))+SUMIFS('Budget Data'!$J:$J,'Budget Data'!$E:$E,$B32,'Budget Data'!$C:$C,$B$2,'Budget Data'!$A:$A,"&gt;="&amp;K$19,'Budget Data'!$A:$A,"&lt;="&amp;EOMONTH(K$19,0))+SUMIFS('Budget Data'!$J:$J,'Budget Data'!$E:$E,$B32,'Budget Data'!$C:$C,$B$4,'Budget Data'!$A:$A,"&gt;="&amp;K$19,'Budget Data'!$A:$A,"&lt;="&amp;EOMONTH(K$19,0))+SUMIFS('Budget Data'!$J:$J,'Budget Data'!$E:$E,$B32,'Budget Data'!$C:$C,$B$3,'Budget Data'!$A:$A,"&gt;="&amp;K$19,'Budget Data'!$A:$A,"&lt;="&amp;EOMONTH(K$19,0))+SUMIFS('Budget Data'!$J:$J,'Budget Data'!$E:$E,$B32,'Budget Data'!$C:$C,$B$5,'Budget Data'!$A:$A,"&gt;="&amp;K$19,'Budget Data'!$A:$A,"&lt;="&amp;EOMONTH(K$19,0))+SUMIFS('Budget Data'!$J:$J,'Budget Data'!$E:$E,$B32,'Budget Data'!$C:$C,$B$6,'Budget Data'!$A:$A,"&gt;="&amp;K$19,'Budget Data'!$A:$A,"&lt;="&amp;EOMONTH(K$19,0)))</f>
        <v>37400</v>
      </c>
      <c r="L32" s="86">
        <f>SUMPRODUCT(SUMIFS('Allocated Transactions'!$J:$J,'Allocated Transactions'!$D:$D,$B32,'Allocated Transactions'!$C:$C,$B$7,'Allocated Transactions'!$A:$A,"&gt;="&amp;L$19,'Allocated Transactions'!$A:$A,"&lt;="&amp;EOMONTH(L$19,0))+SUMIFS('Allocated Transactions'!$J:$J,'Allocated Transactions'!$D:$D,$B32,'Allocated Transactions'!$C:$C,$B$9,'Allocated Transactions'!$A:$A,"&gt;="&amp;L$19,'Allocated Transactions'!$A:$A,"&lt;="&amp;EOMONTH(L$19,0))+SUMIFS('Allocated Transactions'!$J:$J,'Allocated Transactions'!$D:$D,$B32,'Allocated Transactions'!$C:$C,$B$8,'Allocated Transactions'!$A:$A,"&gt;="&amp;L$19,'Allocated Transactions'!$A:$A,"&lt;="&amp;EOMONTH(L$19,0))+SUMIFS('Allocated Transactions'!$J:$J,'Allocated Transactions'!$D:$D,$B32,'Allocated Transactions'!$C:$C,$B$10,'Allocated Transactions'!$A:$A,"&gt;="&amp;L$19,'Allocated Transactions'!$A:$A,"&lt;="&amp;EOMONTH(L$19,0))+SUMIFS('Allocated Transactions'!$J:$J,'Allocated Transactions'!$D:$D,$B32,'Allocated Transactions'!$C:$C,$B$11,'Allocated Transactions'!$A:$A,"&gt;="&amp;L$19,'Allocated Transactions'!$A:$A,"&lt;="&amp;EOMONTH(L$19,0))+SUMIFS('Allocated Transactions'!$J:$J,'Allocated Transactions'!$D:$D,$B32,'Allocated Transactions'!$C:$C,$B$2,'Allocated Transactions'!$A:$A,"&gt;="&amp;L$19,'Allocated Transactions'!$A:$A,"&lt;="&amp;EOMONTH(L$19,0))+SUMIFS('Allocated Transactions'!$J:$J,'Allocated Transactions'!$D:$D,$B32,'Allocated Transactions'!$C:$C,$B$4,'Allocated Transactions'!$A:$A,"&gt;="&amp;L$19,'Allocated Transactions'!$A:$A,"&lt;="&amp;EOMONTH(L$19,0))+SUMIFS('Allocated Transactions'!$J:$J,'Allocated Transactions'!$D:$D,$B32,'Allocated Transactions'!$C:$C,$B$3,'Allocated Transactions'!$A:$A,"&gt;="&amp;L$19,'Allocated Transactions'!$A:$A,"&lt;="&amp;EOMONTH(L$19,0))+SUMIFS('Allocated Transactions'!$J:$J,'Allocated Transactions'!$D:$D,$B32,'Allocated Transactions'!$C:$C,$B$5,'Allocated Transactions'!$A:$A,"&gt;="&amp;L$19,'Allocated Transactions'!$A:$A,"&lt;="&amp;EOMONTH(L$19,0))+SUMIFS('Allocated Transactions'!$J:$J,'Allocated Transactions'!$D:$D,$B32,'Allocated Transactions'!$C:$C,$B$6,'Allocated Transactions'!$A:$A,"&gt;="&amp;L$19,'Allocated Transactions'!$A:$A,"&lt;="&amp;EOMONTH(L$19,0)))</f>
        <v>42826.928922716404</v>
      </c>
      <c r="M32" s="84">
        <f>SUMPRODUCT(SUMIFS('Budget Data'!$J:$J,'Budget Data'!$E:$E,$B32,'Budget Data'!$C:$C,$B$7,'Budget Data'!$A:$A,"&gt;="&amp;M$19,'Budget Data'!$A:$A,"&lt;="&amp;EOMONTH(M$19,0))+SUMIFS('Budget Data'!$J:$J,'Budget Data'!$E:$E,$B32,'Budget Data'!$C:$C,$B$9,'Budget Data'!$A:$A,"&gt;="&amp;M$19,'Budget Data'!$A:$A,"&lt;="&amp;EOMONTH(M$19,0))+SUMIFS('Budget Data'!$J:$J,'Budget Data'!$E:$E,$B32,'Budget Data'!$C:$C,$B$8,'Budget Data'!$A:$A,"&gt;="&amp;M$19,'Budget Data'!$A:$A,"&lt;="&amp;EOMONTH(M$19,0))+SUMIFS('Budget Data'!$J:$J,'Budget Data'!$E:$E,$B32,'Budget Data'!$C:$C,$B$10,'Budget Data'!$A:$A,"&gt;="&amp;M$19,'Budget Data'!$A:$A,"&lt;="&amp;EOMONTH(M$19,0))+SUMIFS('Budget Data'!$J:$J,'Budget Data'!$E:$E,$B32,'Budget Data'!$C:$C,$B$11,'Budget Data'!$A:$A,"&gt;="&amp;M$19,'Budget Data'!$A:$A,"&lt;="&amp;EOMONTH(M$19,0))+SUMIFS('Budget Data'!$J:$J,'Budget Data'!$E:$E,$B32,'Budget Data'!$C:$C,$B$2,'Budget Data'!$A:$A,"&gt;="&amp;M$19,'Budget Data'!$A:$A,"&lt;="&amp;EOMONTH(M$19,0))+SUMIFS('Budget Data'!$J:$J,'Budget Data'!$E:$E,$B32,'Budget Data'!$C:$C,$B$4,'Budget Data'!$A:$A,"&gt;="&amp;M$19,'Budget Data'!$A:$A,"&lt;="&amp;EOMONTH(M$19,0))+SUMIFS('Budget Data'!$J:$J,'Budget Data'!$E:$E,$B32,'Budget Data'!$C:$C,$B$3,'Budget Data'!$A:$A,"&gt;="&amp;M$19,'Budget Data'!$A:$A,"&lt;="&amp;EOMONTH(M$19,0))+SUMIFS('Budget Data'!$J:$J,'Budget Data'!$E:$E,$B32,'Budget Data'!$C:$C,$B$5,'Budget Data'!$A:$A,"&gt;="&amp;M$19,'Budget Data'!$A:$A,"&lt;="&amp;EOMONTH(M$19,0))+SUMIFS('Budget Data'!$J:$J,'Budget Data'!$E:$E,$B32,'Budget Data'!$C:$C,$B$6,'Budget Data'!$A:$A,"&gt;="&amp;M$19,'Budget Data'!$A:$A,"&lt;="&amp;EOMONTH(M$19,0)))</f>
        <v>42400</v>
      </c>
      <c r="N32" s="86">
        <f>SUMPRODUCT(SUMIFS('Allocated Transactions'!$J:$J,'Allocated Transactions'!$D:$D,$B32,'Allocated Transactions'!$C:$C,$B$7,'Allocated Transactions'!$A:$A,"&gt;="&amp;N$19,'Allocated Transactions'!$A:$A,"&lt;="&amp;EOMONTH(N$19,0))+SUMIFS('Allocated Transactions'!$J:$J,'Allocated Transactions'!$D:$D,$B32,'Allocated Transactions'!$C:$C,$B$9,'Allocated Transactions'!$A:$A,"&gt;="&amp;N$19,'Allocated Transactions'!$A:$A,"&lt;="&amp;EOMONTH(N$19,0))+SUMIFS('Allocated Transactions'!$J:$J,'Allocated Transactions'!$D:$D,$B32,'Allocated Transactions'!$C:$C,$B$8,'Allocated Transactions'!$A:$A,"&gt;="&amp;N$19,'Allocated Transactions'!$A:$A,"&lt;="&amp;EOMONTH(N$19,0))+SUMIFS('Allocated Transactions'!$J:$J,'Allocated Transactions'!$D:$D,$B32,'Allocated Transactions'!$C:$C,$B$10,'Allocated Transactions'!$A:$A,"&gt;="&amp;N$19,'Allocated Transactions'!$A:$A,"&lt;="&amp;EOMONTH(N$19,0))+SUMIFS('Allocated Transactions'!$J:$J,'Allocated Transactions'!$D:$D,$B32,'Allocated Transactions'!$C:$C,$B$11,'Allocated Transactions'!$A:$A,"&gt;="&amp;N$19,'Allocated Transactions'!$A:$A,"&lt;="&amp;EOMONTH(N$19,0))+SUMIFS('Allocated Transactions'!$J:$J,'Allocated Transactions'!$D:$D,$B32,'Allocated Transactions'!$C:$C,$B$2,'Allocated Transactions'!$A:$A,"&gt;="&amp;N$19,'Allocated Transactions'!$A:$A,"&lt;="&amp;EOMONTH(N$19,0))+SUMIFS('Allocated Transactions'!$J:$J,'Allocated Transactions'!$D:$D,$B32,'Allocated Transactions'!$C:$C,$B$4,'Allocated Transactions'!$A:$A,"&gt;="&amp;N$19,'Allocated Transactions'!$A:$A,"&lt;="&amp;EOMONTH(N$19,0))+SUMIFS('Allocated Transactions'!$J:$J,'Allocated Transactions'!$D:$D,$B32,'Allocated Transactions'!$C:$C,$B$3,'Allocated Transactions'!$A:$A,"&gt;="&amp;N$19,'Allocated Transactions'!$A:$A,"&lt;="&amp;EOMONTH(N$19,0))+SUMIFS('Allocated Transactions'!$J:$J,'Allocated Transactions'!$D:$D,$B32,'Allocated Transactions'!$C:$C,$B$5,'Allocated Transactions'!$A:$A,"&gt;="&amp;N$19,'Allocated Transactions'!$A:$A,"&lt;="&amp;EOMONTH(N$19,0))+SUMIFS('Allocated Transactions'!$J:$J,'Allocated Transactions'!$D:$D,$B32,'Allocated Transactions'!$C:$C,$B$6,'Allocated Transactions'!$A:$A,"&gt;="&amp;N$19,'Allocated Transactions'!$A:$A,"&lt;="&amp;EOMONTH(N$19,0)))</f>
        <v>42555.015311141302</v>
      </c>
      <c r="O32" s="84">
        <f>SUMPRODUCT(SUMIFS('Budget Data'!$J:$J,'Budget Data'!$E:$E,$B32,'Budget Data'!$C:$C,$B$7,'Budget Data'!$A:$A,"&gt;="&amp;O$19,'Budget Data'!$A:$A,"&lt;="&amp;EOMONTH(O$19,0))+SUMIFS('Budget Data'!$J:$J,'Budget Data'!$E:$E,$B32,'Budget Data'!$C:$C,$B$9,'Budget Data'!$A:$A,"&gt;="&amp;O$19,'Budget Data'!$A:$A,"&lt;="&amp;EOMONTH(O$19,0))+SUMIFS('Budget Data'!$J:$J,'Budget Data'!$E:$E,$B32,'Budget Data'!$C:$C,$B$8,'Budget Data'!$A:$A,"&gt;="&amp;O$19,'Budget Data'!$A:$A,"&lt;="&amp;EOMONTH(O$19,0))+SUMIFS('Budget Data'!$J:$J,'Budget Data'!$E:$E,$B32,'Budget Data'!$C:$C,$B$10,'Budget Data'!$A:$A,"&gt;="&amp;O$19,'Budget Data'!$A:$A,"&lt;="&amp;EOMONTH(O$19,0))+SUMIFS('Budget Data'!$J:$J,'Budget Data'!$E:$E,$B32,'Budget Data'!$C:$C,$B$11,'Budget Data'!$A:$A,"&gt;="&amp;O$19,'Budget Data'!$A:$A,"&lt;="&amp;EOMONTH(O$19,0))+SUMIFS('Budget Data'!$J:$J,'Budget Data'!$E:$E,$B32,'Budget Data'!$C:$C,$B$2,'Budget Data'!$A:$A,"&gt;="&amp;O$19,'Budget Data'!$A:$A,"&lt;="&amp;EOMONTH(O$19,0))+SUMIFS('Budget Data'!$J:$J,'Budget Data'!$E:$E,$B32,'Budget Data'!$C:$C,$B$4,'Budget Data'!$A:$A,"&gt;="&amp;O$19,'Budget Data'!$A:$A,"&lt;="&amp;EOMONTH(O$19,0))+SUMIFS('Budget Data'!$J:$J,'Budget Data'!$E:$E,$B32,'Budget Data'!$C:$C,$B$3,'Budget Data'!$A:$A,"&gt;="&amp;O$19,'Budget Data'!$A:$A,"&lt;="&amp;EOMONTH(O$19,0))+SUMIFS('Budget Data'!$J:$J,'Budget Data'!$E:$E,$B32,'Budget Data'!$C:$C,$B$5,'Budget Data'!$A:$A,"&gt;="&amp;O$19,'Budget Data'!$A:$A,"&lt;="&amp;EOMONTH(O$19,0))+SUMIFS('Budget Data'!$J:$J,'Budget Data'!$E:$E,$B32,'Budget Data'!$C:$C,$B$6,'Budget Data'!$A:$A,"&gt;="&amp;O$19,'Budget Data'!$A:$A,"&lt;="&amp;EOMONTH(O$19,0)))</f>
        <v>42100</v>
      </c>
      <c r="P32" s="86">
        <f>SUMPRODUCT(SUMIFS('Allocated Transactions'!$J:$J,'Allocated Transactions'!$D:$D,$B32,'Allocated Transactions'!$C:$C,$B$7,'Allocated Transactions'!$A:$A,"&gt;="&amp;P$19,'Allocated Transactions'!$A:$A,"&lt;="&amp;EOMONTH(P$19,0))+SUMIFS('Allocated Transactions'!$J:$J,'Allocated Transactions'!$D:$D,$B32,'Allocated Transactions'!$C:$C,$B$9,'Allocated Transactions'!$A:$A,"&gt;="&amp;P$19,'Allocated Transactions'!$A:$A,"&lt;="&amp;EOMONTH(P$19,0))+SUMIFS('Allocated Transactions'!$J:$J,'Allocated Transactions'!$D:$D,$B32,'Allocated Transactions'!$C:$C,$B$8,'Allocated Transactions'!$A:$A,"&gt;="&amp;P$19,'Allocated Transactions'!$A:$A,"&lt;="&amp;EOMONTH(P$19,0))+SUMIFS('Allocated Transactions'!$J:$J,'Allocated Transactions'!$D:$D,$B32,'Allocated Transactions'!$C:$C,$B$10,'Allocated Transactions'!$A:$A,"&gt;="&amp;P$19,'Allocated Transactions'!$A:$A,"&lt;="&amp;EOMONTH(P$19,0))+SUMIFS('Allocated Transactions'!$J:$J,'Allocated Transactions'!$D:$D,$B32,'Allocated Transactions'!$C:$C,$B$11,'Allocated Transactions'!$A:$A,"&gt;="&amp;P$19,'Allocated Transactions'!$A:$A,"&lt;="&amp;EOMONTH(P$19,0))+SUMIFS('Allocated Transactions'!$J:$J,'Allocated Transactions'!$D:$D,$B32,'Allocated Transactions'!$C:$C,$B$2,'Allocated Transactions'!$A:$A,"&gt;="&amp;P$19,'Allocated Transactions'!$A:$A,"&lt;="&amp;EOMONTH(P$19,0))+SUMIFS('Allocated Transactions'!$J:$J,'Allocated Transactions'!$D:$D,$B32,'Allocated Transactions'!$C:$C,$B$4,'Allocated Transactions'!$A:$A,"&gt;="&amp;P$19,'Allocated Transactions'!$A:$A,"&lt;="&amp;EOMONTH(P$19,0))+SUMIFS('Allocated Transactions'!$J:$J,'Allocated Transactions'!$D:$D,$B32,'Allocated Transactions'!$C:$C,$B$3,'Allocated Transactions'!$A:$A,"&gt;="&amp;P$19,'Allocated Transactions'!$A:$A,"&lt;="&amp;EOMONTH(P$19,0))+SUMIFS('Allocated Transactions'!$J:$J,'Allocated Transactions'!$D:$D,$B32,'Allocated Transactions'!$C:$C,$B$5,'Allocated Transactions'!$A:$A,"&gt;="&amp;P$19,'Allocated Transactions'!$A:$A,"&lt;="&amp;EOMONTH(P$19,0))+SUMIFS('Allocated Transactions'!$J:$J,'Allocated Transactions'!$D:$D,$B32,'Allocated Transactions'!$C:$C,$B$6,'Allocated Transactions'!$A:$A,"&gt;="&amp;P$19,'Allocated Transactions'!$A:$A,"&lt;="&amp;EOMONTH(P$19,0)))</f>
        <v>47812.866676818179</v>
      </c>
      <c r="Q32" s="84">
        <f>SUMPRODUCT(SUMIFS('Budget Data'!$J:$J,'Budget Data'!$E:$E,$B32,'Budget Data'!$C:$C,$B$7,'Budget Data'!$A:$A,"&gt;="&amp;Q$19,'Budget Data'!$A:$A,"&lt;="&amp;EOMONTH(Q$19,0))+SUMIFS('Budget Data'!$J:$J,'Budget Data'!$E:$E,$B32,'Budget Data'!$C:$C,$B$9,'Budget Data'!$A:$A,"&gt;="&amp;Q$19,'Budget Data'!$A:$A,"&lt;="&amp;EOMONTH(Q$19,0))+SUMIFS('Budget Data'!$J:$J,'Budget Data'!$E:$E,$B32,'Budget Data'!$C:$C,$B$8,'Budget Data'!$A:$A,"&gt;="&amp;Q$19,'Budget Data'!$A:$A,"&lt;="&amp;EOMONTH(Q$19,0))+SUMIFS('Budget Data'!$J:$J,'Budget Data'!$E:$E,$B32,'Budget Data'!$C:$C,$B$10,'Budget Data'!$A:$A,"&gt;="&amp;Q$19,'Budget Data'!$A:$A,"&lt;="&amp;EOMONTH(Q$19,0))+SUMIFS('Budget Data'!$J:$J,'Budget Data'!$E:$E,$B32,'Budget Data'!$C:$C,$B$11,'Budget Data'!$A:$A,"&gt;="&amp;Q$19,'Budget Data'!$A:$A,"&lt;="&amp;EOMONTH(Q$19,0))+SUMIFS('Budget Data'!$J:$J,'Budget Data'!$E:$E,$B32,'Budget Data'!$C:$C,$B$2,'Budget Data'!$A:$A,"&gt;="&amp;Q$19,'Budget Data'!$A:$A,"&lt;="&amp;EOMONTH(Q$19,0))+SUMIFS('Budget Data'!$J:$J,'Budget Data'!$E:$E,$B32,'Budget Data'!$C:$C,$B$4,'Budget Data'!$A:$A,"&gt;="&amp;Q$19,'Budget Data'!$A:$A,"&lt;="&amp;EOMONTH(Q$19,0))+SUMIFS('Budget Data'!$J:$J,'Budget Data'!$E:$E,$B32,'Budget Data'!$C:$C,$B$3,'Budget Data'!$A:$A,"&gt;="&amp;Q$19,'Budget Data'!$A:$A,"&lt;="&amp;EOMONTH(Q$19,0))+SUMIFS('Budget Data'!$J:$J,'Budget Data'!$E:$E,$B32,'Budget Data'!$C:$C,$B$5,'Budget Data'!$A:$A,"&gt;="&amp;Q$19,'Budget Data'!$A:$A,"&lt;="&amp;EOMONTH(Q$19,0))+SUMIFS('Budget Data'!$J:$J,'Budget Data'!$E:$E,$B32,'Budget Data'!$C:$C,$B$6,'Budget Data'!$A:$A,"&gt;="&amp;Q$19,'Budget Data'!$A:$A,"&lt;="&amp;EOMONTH(Q$19,0)))</f>
        <v>47400</v>
      </c>
      <c r="R32" s="86">
        <f>SUMPRODUCT(SUMIFS('Allocated Transactions'!$J:$J,'Allocated Transactions'!$D:$D,$B32,'Allocated Transactions'!$C:$C,$B$7,'Allocated Transactions'!$A:$A,"&gt;="&amp;R$19,'Allocated Transactions'!$A:$A,"&lt;="&amp;EOMONTH(R$19,0))+SUMIFS('Allocated Transactions'!$J:$J,'Allocated Transactions'!$D:$D,$B32,'Allocated Transactions'!$C:$C,$B$9,'Allocated Transactions'!$A:$A,"&gt;="&amp;R$19,'Allocated Transactions'!$A:$A,"&lt;="&amp;EOMONTH(R$19,0))+SUMIFS('Allocated Transactions'!$J:$J,'Allocated Transactions'!$D:$D,$B32,'Allocated Transactions'!$C:$C,$B$8,'Allocated Transactions'!$A:$A,"&gt;="&amp;R$19,'Allocated Transactions'!$A:$A,"&lt;="&amp;EOMONTH(R$19,0))+SUMIFS('Allocated Transactions'!$J:$J,'Allocated Transactions'!$D:$D,$B32,'Allocated Transactions'!$C:$C,$B$10,'Allocated Transactions'!$A:$A,"&gt;="&amp;R$19,'Allocated Transactions'!$A:$A,"&lt;="&amp;EOMONTH(R$19,0))+SUMIFS('Allocated Transactions'!$J:$J,'Allocated Transactions'!$D:$D,$B32,'Allocated Transactions'!$C:$C,$B$11,'Allocated Transactions'!$A:$A,"&gt;="&amp;R$19,'Allocated Transactions'!$A:$A,"&lt;="&amp;EOMONTH(R$19,0))+SUMIFS('Allocated Transactions'!$J:$J,'Allocated Transactions'!$D:$D,$B32,'Allocated Transactions'!$C:$C,$B$2,'Allocated Transactions'!$A:$A,"&gt;="&amp;R$19,'Allocated Transactions'!$A:$A,"&lt;="&amp;EOMONTH(R$19,0))+SUMIFS('Allocated Transactions'!$J:$J,'Allocated Transactions'!$D:$D,$B32,'Allocated Transactions'!$C:$C,$B$4,'Allocated Transactions'!$A:$A,"&gt;="&amp;R$19,'Allocated Transactions'!$A:$A,"&lt;="&amp;EOMONTH(R$19,0))+SUMIFS('Allocated Transactions'!$J:$J,'Allocated Transactions'!$D:$D,$B32,'Allocated Transactions'!$C:$C,$B$3,'Allocated Transactions'!$A:$A,"&gt;="&amp;R$19,'Allocated Transactions'!$A:$A,"&lt;="&amp;EOMONTH(R$19,0))+SUMIFS('Allocated Transactions'!$J:$J,'Allocated Transactions'!$D:$D,$B32,'Allocated Transactions'!$C:$C,$B$5,'Allocated Transactions'!$A:$A,"&gt;="&amp;R$19,'Allocated Transactions'!$A:$A,"&lt;="&amp;EOMONTH(R$19,0))+SUMIFS('Allocated Transactions'!$J:$J,'Allocated Transactions'!$D:$D,$B32,'Allocated Transactions'!$C:$C,$B$6,'Allocated Transactions'!$A:$A,"&gt;="&amp;R$19,'Allocated Transactions'!$A:$A,"&lt;="&amp;EOMONTH(R$19,0)))</f>
        <v>52686.661539062567</v>
      </c>
      <c r="S32" s="84">
        <f>SUMPRODUCT(SUMIFS('Budget Data'!$J:$J,'Budget Data'!$E:$E,$B32,'Budget Data'!$C:$C,$B$7,'Budget Data'!$A:$A,"&gt;="&amp;S$19,'Budget Data'!$A:$A,"&lt;="&amp;EOMONTH(S$19,0))+SUMIFS('Budget Data'!$J:$J,'Budget Data'!$E:$E,$B32,'Budget Data'!$C:$C,$B$9,'Budget Data'!$A:$A,"&gt;="&amp;S$19,'Budget Data'!$A:$A,"&lt;="&amp;EOMONTH(S$19,0))+SUMIFS('Budget Data'!$J:$J,'Budget Data'!$E:$E,$B32,'Budget Data'!$C:$C,$B$8,'Budget Data'!$A:$A,"&gt;="&amp;S$19,'Budget Data'!$A:$A,"&lt;="&amp;EOMONTH(S$19,0))+SUMIFS('Budget Data'!$J:$J,'Budget Data'!$E:$E,$B32,'Budget Data'!$C:$C,$B$10,'Budget Data'!$A:$A,"&gt;="&amp;S$19,'Budget Data'!$A:$A,"&lt;="&amp;EOMONTH(S$19,0))+SUMIFS('Budget Data'!$J:$J,'Budget Data'!$E:$E,$B32,'Budget Data'!$C:$C,$B$11,'Budget Data'!$A:$A,"&gt;="&amp;S$19,'Budget Data'!$A:$A,"&lt;="&amp;EOMONTH(S$19,0))+SUMIFS('Budget Data'!$J:$J,'Budget Data'!$E:$E,$B32,'Budget Data'!$C:$C,$B$2,'Budget Data'!$A:$A,"&gt;="&amp;S$19,'Budget Data'!$A:$A,"&lt;="&amp;EOMONTH(S$19,0))+SUMIFS('Budget Data'!$J:$J,'Budget Data'!$E:$E,$B32,'Budget Data'!$C:$C,$B$4,'Budget Data'!$A:$A,"&gt;="&amp;S$19,'Budget Data'!$A:$A,"&lt;="&amp;EOMONTH(S$19,0))+SUMIFS('Budget Data'!$J:$J,'Budget Data'!$E:$E,$B32,'Budget Data'!$C:$C,$B$3,'Budget Data'!$A:$A,"&gt;="&amp;S$19,'Budget Data'!$A:$A,"&lt;="&amp;EOMONTH(S$19,0))+SUMIFS('Budget Data'!$J:$J,'Budget Data'!$E:$E,$B32,'Budget Data'!$C:$C,$B$5,'Budget Data'!$A:$A,"&gt;="&amp;S$19,'Budget Data'!$A:$A,"&lt;="&amp;EOMONTH(S$19,0))+SUMIFS('Budget Data'!$J:$J,'Budget Data'!$E:$E,$B32,'Budget Data'!$C:$C,$B$6,'Budget Data'!$A:$A,"&gt;="&amp;S$19,'Budget Data'!$A:$A,"&lt;="&amp;EOMONTH(S$19,0)))</f>
        <v>52100</v>
      </c>
      <c r="T32" s="86">
        <f>SUMPRODUCT(SUMIFS('Allocated Transactions'!$J:$J,'Allocated Transactions'!$D:$D,$B32,'Allocated Transactions'!$C:$C,$B$7,'Allocated Transactions'!$A:$A,"&gt;="&amp;T$19,'Allocated Transactions'!$A:$A,"&lt;="&amp;EOMONTH(T$19,0))+SUMIFS('Allocated Transactions'!$J:$J,'Allocated Transactions'!$D:$D,$B32,'Allocated Transactions'!$C:$C,$B$9,'Allocated Transactions'!$A:$A,"&gt;="&amp;T$19,'Allocated Transactions'!$A:$A,"&lt;="&amp;EOMONTH(T$19,0))+SUMIFS('Allocated Transactions'!$J:$J,'Allocated Transactions'!$D:$D,$B32,'Allocated Transactions'!$C:$C,$B$8,'Allocated Transactions'!$A:$A,"&gt;="&amp;T$19,'Allocated Transactions'!$A:$A,"&lt;="&amp;EOMONTH(T$19,0))+SUMIFS('Allocated Transactions'!$J:$J,'Allocated Transactions'!$D:$D,$B32,'Allocated Transactions'!$C:$C,$B$10,'Allocated Transactions'!$A:$A,"&gt;="&amp;T$19,'Allocated Transactions'!$A:$A,"&lt;="&amp;EOMONTH(T$19,0))+SUMIFS('Allocated Transactions'!$J:$J,'Allocated Transactions'!$D:$D,$B32,'Allocated Transactions'!$C:$C,$B$11,'Allocated Transactions'!$A:$A,"&gt;="&amp;T$19,'Allocated Transactions'!$A:$A,"&lt;="&amp;EOMONTH(T$19,0))+SUMIFS('Allocated Transactions'!$J:$J,'Allocated Transactions'!$D:$D,$B32,'Allocated Transactions'!$C:$C,$B$2,'Allocated Transactions'!$A:$A,"&gt;="&amp;T$19,'Allocated Transactions'!$A:$A,"&lt;="&amp;EOMONTH(T$19,0))+SUMIFS('Allocated Transactions'!$J:$J,'Allocated Transactions'!$D:$D,$B32,'Allocated Transactions'!$C:$C,$B$4,'Allocated Transactions'!$A:$A,"&gt;="&amp;T$19,'Allocated Transactions'!$A:$A,"&lt;="&amp;EOMONTH(T$19,0))+SUMIFS('Allocated Transactions'!$J:$J,'Allocated Transactions'!$D:$D,$B32,'Allocated Transactions'!$C:$C,$B$3,'Allocated Transactions'!$A:$A,"&gt;="&amp;T$19,'Allocated Transactions'!$A:$A,"&lt;="&amp;EOMONTH(T$19,0))+SUMIFS('Allocated Transactions'!$J:$J,'Allocated Transactions'!$D:$D,$B32,'Allocated Transactions'!$C:$C,$B$5,'Allocated Transactions'!$A:$A,"&gt;="&amp;T$19,'Allocated Transactions'!$A:$A,"&lt;="&amp;EOMONTH(T$19,0))+SUMIFS('Allocated Transactions'!$J:$J,'Allocated Transactions'!$D:$D,$B32,'Allocated Transactions'!$C:$C,$B$6,'Allocated Transactions'!$A:$A,"&gt;="&amp;T$19,'Allocated Transactions'!$A:$A,"&lt;="&amp;EOMONTH(T$19,0)))</f>
        <v>50658.793849978189</v>
      </c>
      <c r="U32" s="84">
        <f>SUMPRODUCT(SUMIFS('Budget Data'!$J:$J,'Budget Data'!$E:$E,$B32,'Budget Data'!$C:$C,$B$7,'Budget Data'!$A:$A,"&gt;="&amp;U$19,'Budget Data'!$A:$A,"&lt;="&amp;EOMONTH(U$19,0))+SUMIFS('Budget Data'!$J:$J,'Budget Data'!$E:$E,$B32,'Budget Data'!$C:$C,$B$9,'Budget Data'!$A:$A,"&gt;="&amp;U$19,'Budget Data'!$A:$A,"&lt;="&amp;EOMONTH(U$19,0))+SUMIFS('Budget Data'!$J:$J,'Budget Data'!$E:$E,$B32,'Budget Data'!$C:$C,$B$8,'Budget Data'!$A:$A,"&gt;="&amp;U$19,'Budget Data'!$A:$A,"&lt;="&amp;EOMONTH(U$19,0))+SUMIFS('Budget Data'!$J:$J,'Budget Data'!$E:$E,$B32,'Budget Data'!$C:$C,$B$10,'Budget Data'!$A:$A,"&gt;="&amp;U$19,'Budget Data'!$A:$A,"&lt;="&amp;EOMONTH(U$19,0))+SUMIFS('Budget Data'!$J:$J,'Budget Data'!$E:$E,$B32,'Budget Data'!$C:$C,$B$11,'Budget Data'!$A:$A,"&gt;="&amp;U$19,'Budget Data'!$A:$A,"&lt;="&amp;EOMONTH(U$19,0))+SUMIFS('Budget Data'!$J:$J,'Budget Data'!$E:$E,$B32,'Budget Data'!$C:$C,$B$2,'Budget Data'!$A:$A,"&gt;="&amp;U$19,'Budget Data'!$A:$A,"&lt;="&amp;EOMONTH(U$19,0))+SUMIFS('Budget Data'!$J:$J,'Budget Data'!$E:$E,$B32,'Budget Data'!$C:$C,$B$4,'Budget Data'!$A:$A,"&gt;="&amp;U$19,'Budget Data'!$A:$A,"&lt;="&amp;EOMONTH(U$19,0))+SUMIFS('Budget Data'!$J:$J,'Budget Data'!$E:$E,$B32,'Budget Data'!$C:$C,$B$3,'Budget Data'!$A:$A,"&gt;="&amp;U$19,'Budget Data'!$A:$A,"&lt;="&amp;EOMONTH(U$19,0))+SUMIFS('Budget Data'!$J:$J,'Budget Data'!$E:$E,$B32,'Budget Data'!$C:$C,$B$5,'Budget Data'!$A:$A,"&gt;="&amp;U$19,'Budget Data'!$A:$A,"&lt;="&amp;EOMONTH(U$19,0))+SUMIFS('Budget Data'!$J:$J,'Budget Data'!$E:$E,$B32,'Budget Data'!$C:$C,$B$6,'Budget Data'!$A:$A,"&gt;="&amp;U$19,'Budget Data'!$A:$A,"&lt;="&amp;EOMONTH(U$19,0)))</f>
        <v>50100</v>
      </c>
      <c r="V32" s="86">
        <f>SUMPRODUCT(SUMIFS('Allocated Transactions'!$J:$J,'Allocated Transactions'!$D:$D,$B32,'Allocated Transactions'!$C:$C,$B$7,'Allocated Transactions'!$A:$A,"&gt;="&amp;V$19,'Allocated Transactions'!$A:$A,"&lt;="&amp;EOMONTH(V$19,0))+SUMIFS('Allocated Transactions'!$J:$J,'Allocated Transactions'!$D:$D,$B32,'Allocated Transactions'!$C:$C,$B$9,'Allocated Transactions'!$A:$A,"&gt;="&amp;V$19,'Allocated Transactions'!$A:$A,"&lt;="&amp;EOMONTH(V$19,0))+SUMIFS('Allocated Transactions'!$J:$J,'Allocated Transactions'!$D:$D,$B32,'Allocated Transactions'!$C:$C,$B$8,'Allocated Transactions'!$A:$A,"&gt;="&amp;V$19,'Allocated Transactions'!$A:$A,"&lt;="&amp;EOMONTH(V$19,0))+SUMIFS('Allocated Transactions'!$J:$J,'Allocated Transactions'!$D:$D,$B32,'Allocated Transactions'!$C:$C,$B$10,'Allocated Transactions'!$A:$A,"&gt;="&amp;V$19,'Allocated Transactions'!$A:$A,"&lt;="&amp;EOMONTH(V$19,0))+SUMIFS('Allocated Transactions'!$J:$J,'Allocated Transactions'!$D:$D,$B32,'Allocated Transactions'!$C:$C,$B$11,'Allocated Transactions'!$A:$A,"&gt;="&amp;V$19,'Allocated Transactions'!$A:$A,"&lt;="&amp;EOMONTH(V$19,0))+SUMIFS('Allocated Transactions'!$J:$J,'Allocated Transactions'!$D:$D,$B32,'Allocated Transactions'!$C:$C,$B$2,'Allocated Transactions'!$A:$A,"&gt;="&amp;V$19,'Allocated Transactions'!$A:$A,"&lt;="&amp;EOMONTH(V$19,0))+SUMIFS('Allocated Transactions'!$J:$J,'Allocated Transactions'!$D:$D,$B32,'Allocated Transactions'!$C:$C,$B$4,'Allocated Transactions'!$A:$A,"&gt;="&amp;V$19,'Allocated Transactions'!$A:$A,"&lt;="&amp;EOMONTH(V$19,0))+SUMIFS('Allocated Transactions'!$J:$J,'Allocated Transactions'!$D:$D,$B32,'Allocated Transactions'!$C:$C,$B$3,'Allocated Transactions'!$A:$A,"&gt;="&amp;V$19,'Allocated Transactions'!$A:$A,"&lt;="&amp;EOMONTH(V$19,0))+SUMIFS('Allocated Transactions'!$J:$J,'Allocated Transactions'!$D:$D,$B32,'Allocated Transactions'!$C:$C,$B$5,'Allocated Transactions'!$A:$A,"&gt;="&amp;V$19,'Allocated Transactions'!$A:$A,"&lt;="&amp;EOMONTH(V$19,0))+SUMIFS('Allocated Transactions'!$J:$J,'Allocated Transactions'!$D:$D,$B32,'Allocated Transactions'!$C:$C,$B$6,'Allocated Transactions'!$A:$A,"&gt;="&amp;V$19,'Allocated Transactions'!$A:$A,"&lt;="&amp;EOMONTH(V$19,0)))</f>
        <v>52204.431585227285</v>
      </c>
      <c r="W32" s="84">
        <f>SUMPRODUCT(SUMIFS('Budget Data'!$J:$J,'Budget Data'!$E:$E,$B32,'Budget Data'!$C:$C,$B$7,'Budget Data'!$A:$A,"&gt;="&amp;W$19,'Budget Data'!$A:$A,"&lt;="&amp;EOMONTH(W$19,0))+SUMIFS('Budget Data'!$J:$J,'Budget Data'!$E:$E,$B32,'Budget Data'!$C:$C,$B$9,'Budget Data'!$A:$A,"&gt;="&amp;W$19,'Budget Data'!$A:$A,"&lt;="&amp;EOMONTH(W$19,0))+SUMIFS('Budget Data'!$J:$J,'Budget Data'!$E:$E,$B32,'Budget Data'!$C:$C,$B$8,'Budget Data'!$A:$A,"&gt;="&amp;W$19,'Budget Data'!$A:$A,"&lt;="&amp;EOMONTH(W$19,0))+SUMIFS('Budget Data'!$J:$J,'Budget Data'!$E:$E,$B32,'Budget Data'!$C:$C,$B$10,'Budget Data'!$A:$A,"&gt;="&amp;W$19,'Budget Data'!$A:$A,"&lt;="&amp;EOMONTH(W$19,0))+SUMIFS('Budget Data'!$J:$J,'Budget Data'!$E:$E,$B32,'Budget Data'!$C:$C,$B$11,'Budget Data'!$A:$A,"&gt;="&amp;W$19,'Budget Data'!$A:$A,"&lt;="&amp;EOMONTH(W$19,0))+SUMIFS('Budget Data'!$J:$J,'Budget Data'!$E:$E,$B32,'Budget Data'!$C:$C,$B$2,'Budget Data'!$A:$A,"&gt;="&amp;W$19,'Budget Data'!$A:$A,"&lt;="&amp;EOMONTH(W$19,0))+SUMIFS('Budget Data'!$J:$J,'Budget Data'!$E:$E,$B32,'Budget Data'!$C:$C,$B$4,'Budget Data'!$A:$A,"&gt;="&amp;W$19,'Budget Data'!$A:$A,"&lt;="&amp;EOMONTH(W$19,0))+SUMIFS('Budget Data'!$J:$J,'Budget Data'!$E:$E,$B32,'Budget Data'!$C:$C,$B$3,'Budget Data'!$A:$A,"&gt;="&amp;W$19,'Budget Data'!$A:$A,"&lt;="&amp;EOMONTH(W$19,0))+SUMIFS('Budget Data'!$J:$J,'Budget Data'!$E:$E,$B32,'Budget Data'!$C:$C,$B$5,'Budget Data'!$A:$A,"&gt;="&amp;W$19,'Budget Data'!$A:$A,"&lt;="&amp;EOMONTH(W$19,0))+SUMIFS('Budget Data'!$J:$J,'Budget Data'!$E:$E,$B32,'Budget Data'!$C:$C,$B$6,'Budget Data'!$A:$A,"&gt;="&amp;W$19,'Budget Data'!$A:$A,"&lt;="&amp;EOMONTH(W$19,0)))</f>
        <v>51600</v>
      </c>
      <c r="X32" s="86">
        <f>SUMPRODUCT(SUMIFS('Allocated Transactions'!$J:$J,'Allocated Transactions'!$D:$D,$B32,'Allocated Transactions'!$C:$C,$B$7,'Allocated Transactions'!$A:$A,"&gt;="&amp;X$19,'Allocated Transactions'!$A:$A,"&lt;="&amp;EOMONTH(X$19,0))+SUMIFS('Allocated Transactions'!$J:$J,'Allocated Transactions'!$D:$D,$B32,'Allocated Transactions'!$C:$C,$B$9,'Allocated Transactions'!$A:$A,"&gt;="&amp;X$19,'Allocated Transactions'!$A:$A,"&lt;="&amp;EOMONTH(X$19,0))+SUMIFS('Allocated Transactions'!$J:$J,'Allocated Transactions'!$D:$D,$B32,'Allocated Transactions'!$C:$C,$B$8,'Allocated Transactions'!$A:$A,"&gt;="&amp;X$19,'Allocated Transactions'!$A:$A,"&lt;="&amp;EOMONTH(X$19,0))+SUMIFS('Allocated Transactions'!$J:$J,'Allocated Transactions'!$D:$D,$B32,'Allocated Transactions'!$C:$C,$B$10,'Allocated Transactions'!$A:$A,"&gt;="&amp;X$19,'Allocated Transactions'!$A:$A,"&lt;="&amp;EOMONTH(X$19,0))+SUMIFS('Allocated Transactions'!$J:$J,'Allocated Transactions'!$D:$D,$B32,'Allocated Transactions'!$C:$C,$B$11,'Allocated Transactions'!$A:$A,"&gt;="&amp;X$19,'Allocated Transactions'!$A:$A,"&lt;="&amp;EOMONTH(X$19,0))+SUMIFS('Allocated Transactions'!$J:$J,'Allocated Transactions'!$D:$D,$B32,'Allocated Transactions'!$C:$C,$B$2,'Allocated Transactions'!$A:$A,"&gt;="&amp;X$19,'Allocated Transactions'!$A:$A,"&lt;="&amp;EOMONTH(X$19,0))+SUMIFS('Allocated Transactions'!$J:$J,'Allocated Transactions'!$D:$D,$B32,'Allocated Transactions'!$C:$C,$B$4,'Allocated Transactions'!$A:$A,"&gt;="&amp;X$19,'Allocated Transactions'!$A:$A,"&lt;="&amp;EOMONTH(X$19,0))+SUMIFS('Allocated Transactions'!$J:$J,'Allocated Transactions'!$D:$D,$B32,'Allocated Transactions'!$C:$C,$B$3,'Allocated Transactions'!$A:$A,"&gt;="&amp;X$19,'Allocated Transactions'!$A:$A,"&lt;="&amp;EOMONTH(X$19,0))+SUMIFS('Allocated Transactions'!$J:$J,'Allocated Transactions'!$D:$D,$B32,'Allocated Transactions'!$C:$C,$B$5,'Allocated Transactions'!$A:$A,"&gt;="&amp;X$19,'Allocated Transactions'!$A:$A,"&lt;="&amp;EOMONTH(X$19,0))+SUMIFS('Allocated Transactions'!$J:$J,'Allocated Transactions'!$D:$D,$B32,'Allocated Transactions'!$C:$C,$B$6,'Allocated Transactions'!$A:$A,"&gt;="&amp;X$19,'Allocated Transactions'!$A:$A,"&lt;="&amp;EOMONTH(X$19,0)))</f>
        <v>50749.389777358076</v>
      </c>
      <c r="Y32" s="84">
        <f>SUMPRODUCT(SUMIFS('Budget Data'!$J:$J,'Budget Data'!$E:$E,$B32,'Budget Data'!$C:$C,$B$7,'Budget Data'!$A:$A,"&gt;="&amp;Y$19,'Budget Data'!$A:$A,"&lt;="&amp;EOMONTH(Y$19,0))+SUMIFS('Budget Data'!$J:$J,'Budget Data'!$E:$E,$B32,'Budget Data'!$C:$C,$B$9,'Budget Data'!$A:$A,"&gt;="&amp;Y$19,'Budget Data'!$A:$A,"&lt;="&amp;EOMONTH(Y$19,0))+SUMIFS('Budget Data'!$J:$J,'Budget Data'!$E:$E,$B32,'Budget Data'!$C:$C,$B$8,'Budget Data'!$A:$A,"&gt;="&amp;Y$19,'Budget Data'!$A:$A,"&lt;="&amp;EOMONTH(Y$19,0))+SUMIFS('Budget Data'!$J:$J,'Budget Data'!$E:$E,$B32,'Budget Data'!$C:$C,$B$10,'Budget Data'!$A:$A,"&gt;="&amp;Y$19,'Budget Data'!$A:$A,"&lt;="&amp;EOMONTH(Y$19,0))+SUMIFS('Budget Data'!$J:$J,'Budget Data'!$E:$E,$B32,'Budget Data'!$C:$C,$B$11,'Budget Data'!$A:$A,"&gt;="&amp;Y$19,'Budget Data'!$A:$A,"&lt;="&amp;EOMONTH(Y$19,0))+SUMIFS('Budget Data'!$J:$J,'Budget Data'!$E:$E,$B32,'Budget Data'!$C:$C,$B$2,'Budget Data'!$A:$A,"&gt;="&amp;Y$19,'Budget Data'!$A:$A,"&lt;="&amp;EOMONTH(Y$19,0))+SUMIFS('Budget Data'!$J:$J,'Budget Data'!$E:$E,$B32,'Budget Data'!$C:$C,$B$4,'Budget Data'!$A:$A,"&gt;="&amp;Y$19,'Budget Data'!$A:$A,"&lt;="&amp;EOMONTH(Y$19,0))+SUMIFS('Budget Data'!$J:$J,'Budget Data'!$E:$E,$B32,'Budget Data'!$C:$C,$B$3,'Budget Data'!$A:$A,"&gt;="&amp;Y$19,'Budget Data'!$A:$A,"&lt;="&amp;EOMONTH(Y$19,0))+SUMIFS('Budget Data'!$J:$J,'Budget Data'!$E:$E,$B32,'Budget Data'!$C:$C,$B$5,'Budget Data'!$A:$A,"&gt;="&amp;Y$19,'Budget Data'!$A:$A,"&lt;="&amp;EOMONTH(Y$19,0))+SUMIFS('Budget Data'!$J:$J,'Budget Data'!$E:$E,$B32,'Budget Data'!$C:$C,$B$6,'Budget Data'!$A:$A,"&gt;="&amp;Y$19,'Budget Data'!$A:$A,"&lt;="&amp;EOMONTH(Y$19,0)))</f>
        <v>50200</v>
      </c>
      <c r="Z32" s="86">
        <f>SUMPRODUCT(SUMIFS('Allocated Transactions'!$J:$J,'Allocated Transactions'!$D:$D,$B32,'Allocated Transactions'!$C:$C,$B$7,'Allocated Transactions'!$A:$A,"&gt;="&amp;Z$19,'Allocated Transactions'!$A:$A,"&lt;="&amp;EOMONTH(Z$19,0))+SUMIFS('Allocated Transactions'!$J:$J,'Allocated Transactions'!$D:$D,$B32,'Allocated Transactions'!$C:$C,$B$9,'Allocated Transactions'!$A:$A,"&gt;="&amp;Z$19,'Allocated Transactions'!$A:$A,"&lt;="&amp;EOMONTH(Z$19,0))+SUMIFS('Allocated Transactions'!$J:$J,'Allocated Transactions'!$D:$D,$B32,'Allocated Transactions'!$C:$C,$B$8,'Allocated Transactions'!$A:$A,"&gt;="&amp;Z$19,'Allocated Transactions'!$A:$A,"&lt;="&amp;EOMONTH(Z$19,0))+SUMIFS('Allocated Transactions'!$J:$J,'Allocated Transactions'!$D:$D,$B32,'Allocated Transactions'!$C:$C,$B$10,'Allocated Transactions'!$A:$A,"&gt;="&amp;Z$19,'Allocated Transactions'!$A:$A,"&lt;="&amp;EOMONTH(Z$19,0))+SUMIFS('Allocated Transactions'!$J:$J,'Allocated Transactions'!$D:$D,$B32,'Allocated Transactions'!$C:$C,$B$11,'Allocated Transactions'!$A:$A,"&gt;="&amp;Z$19,'Allocated Transactions'!$A:$A,"&lt;="&amp;EOMONTH(Z$19,0))+SUMIFS('Allocated Transactions'!$J:$J,'Allocated Transactions'!$D:$D,$B32,'Allocated Transactions'!$C:$C,$B$2,'Allocated Transactions'!$A:$A,"&gt;="&amp;Z$19,'Allocated Transactions'!$A:$A,"&lt;="&amp;EOMONTH(Z$19,0))+SUMIFS('Allocated Transactions'!$J:$J,'Allocated Transactions'!$D:$D,$B32,'Allocated Transactions'!$C:$C,$B$4,'Allocated Transactions'!$A:$A,"&gt;="&amp;Z$19,'Allocated Transactions'!$A:$A,"&lt;="&amp;EOMONTH(Z$19,0))+SUMIFS('Allocated Transactions'!$J:$J,'Allocated Transactions'!$D:$D,$B32,'Allocated Transactions'!$C:$C,$B$3,'Allocated Transactions'!$A:$A,"&gt;="&amp;Z$19,'Allocated Transactions'!$A:$A,"&lt;="&amp;EOMONTH(Z$19,0))+SUMIFS('Allocated Transactions'!$J:$J,'Allocated Transactions'!$D:$D,$B32,'Allocated Transactions'!$C:$C,$B$5,'Allocated Transactions'!$A:$A,"&gt;="&amp;Z$19,'Allocated Transactions'!$A:$A,"&lt;="&amp;EOMONTH(Z$19,0))+SUMIFS('Allocated Transactions'!$J:$J,'Allocated Transactions'!$D:$D,$B32,'Allocated Transactions'!$C:$C,$B$6,'Allocated Transactions'!$A:$A,"&gt;="&amp;Z$19,'Allocated Transactions'!$A:$A,"&lt;="&amp;EOMONTH(Z$19,0)))</f>
        <v>55013.774267373301</v>
      </c>
      <c r="AA32" s="84">
        <f>SUMPRODUCT(SUMIFS('Budget Data'!$J:$J,'Budget Data'!$E:$E,$B32,'Budget Data'!$C:$C,$B$7,'Budget Data'!$A:$A,"&gt;="&amp;AA$19,'Budget Data'!$A:$A,"&lt;="&amp;EOMONTH(AA$19,0))+SUMIFS('Budget Data'!$J:$J,'Budget Data'!$E:$E,$B32,'Budget Data'!$C:$C,$B$9,'Budget Data'!$A:$A,"&gt;="&amp;AA$19,'Budget Data'!$A:$A,"&lt;="&amp;EOMONTH(AA$19,0))+SUMIFS('Budget Data'!$J:$J,'Budget Data'!$E:$E,$B32,'Budget Data'!$C:$C,$B$8,'Budget Data'!$A:$A,"&gt;="&amp;AA$19,'Budget Data'!$A:$A,"&lt;="&amp;EOMONTH(AA$19,0))+SUMIFS('Budget Data'!$J:$J,'Budget Data'!$E:$E,$B32,'Budget Data'!$C:$C,$B$10,'Budget Data'!$A:$A,"&gt;="&amp;AA$19,'Budget Data'!$A:$A,"&lt;="&amp;EOMONTH(AA$19,0))+SUMIFS('Budget Data'!$J:$J,'Budget Data'!$E:$E,$B32,'Budget Data'!$C:$C,$B$11,'Budget Data'!$A:$A,"&gt;="&amp;AA$19,'Budget Data'!$A:$A,"&lt;="&amp;EOMONTH(AA$19,0))+SUMIFS('Budget Data'!$J:$J,'Budget Data'!$E:$E,$B32,'Budget Data'!$C:$C,$B$2,'Budget Data'!$A:$A,"&gt;="&amp;AA$19,'Budget Data'!$A:$A,"&lt;="&amp;EOMONTH(AA$19,0))+SUMIFS('Budget Data'!$J:$J,'Budget Data'!$E:$E,$B32,'Budget Data'!$C:$C,$B$4,'Budget Data'!$A:$A,"&gt;="&amp;AA$19,'Budget Data'!$A:$A,"&lt;="&amp;EOMONTH(AA$19,0))+SUMIFS('Budget Data'!$J:$J,'Budget Data'!$E:$E,$B32,'Budget Data'!$C:$C,$B$3,'Budget Data'!$A:$A,"&gt;="&amp;AA$19,'Budget Data'!$A:$A,"&lt;="&amp;EOMONTH(AA$19,0))+SUMIFS('Budget Data'!$J:$J,'Budget Data'!$E:$E,$B32,'Budget Data'!$C:$C,$B$5,'Budget Data'!$A:$A,"&gt;="&amp;AA$19,'Budget Data'!$A:$A,"&lt;="&amp;EOMONTH(AA$19,0))+SUMIFS('Budget Data'!$J:$J,'Budget Data'!$E:$E,$B32,'Budget Data'!$C:$C,$B$6,'Budget Data'!$A:$A,"&gt;="&amp;AA$19,'Budget Data'!$A:$A,"&lt;="&amp;EOMONTH(AA$19,0)))</f>
        <v>54500</v>
      </c>
      <c r="AC32" s="87">
        <f t="shared" si="2"/>
        <v>535373.36593457917</v>
      </c>
      <c r="AD32" s="84">
        <f t="shared" si="2"/>
        <v>529900</v>
      </c>
    </row>
    <row r="33" spans="2:30" ht="15" customHeight="1">
      <c r="B33" s="12" t="str">
        <v>5030</v>
      </c>
      <c r="C33" s="160" t="str">
        <f>_xlfn.XLOOKUP(B33,'Allocated Transactions'!D:D,'Allocated Transactions'!E:E,"")</f>
        <v>Retirement Contributions</v>
      </c>
      <c r="D33" s="86">
        <f>SUMPRODUCT(SUMIFS('Allocated Transactions'!$J:$J,'Allocated Transactions'!$D:$D,$B33,'Allocated Transactions'!$C:$C,$B$7,'Allocated Transactions'!$A:$A,"&gt;="&amp;D$19,'Allocated Transactions'!$A:$A,"&lt;="&amp;EOMONTH(D$19,0))+SUMIFS('Allocated Transactions'!$J:$J,'Allocated Transactions'!$D:$D,$B33,'Allocated Transactions'!$C:$C,$B$9,'Allocated Transactions'!$A:$A,"&gt;="&amp;D$19,'Allocated Transactions'!$A:$A,"&lt;="&amp;EOMONTH(D$19,0))+SUMIFS('Allocated Transactions'!$J:$J,'Allocated Transactions'!$D:$D,$B33,'Allocated Transactions'!$C:$C,$B$8,'Allocated Transactions'!$A:$A,"&gt;="&amp;D$19,'Allocated Transactions'!$A:$A,"&lt;="&amp;EOMONTH(D$19,0))+SUMIFS('Allocated Transactions'!$J:$J,'Allocated Transactions'!$D:$D,$B33,'Allocated Transactions'!$C:$C,$B$10,'Allocated Transactions'!$A:$A,"&gt;="&amp;D$19,'Allocated Transactions'!$A:$A,"&lt;="&amp;EOMONTH(D$19,0))+SUMIFS('Allocated Transactions'!$J:$J,'Allocated Transactions'!$D:$D,$B33,'Allocated Transactions'!$C:$C,$B$11,'Allocated Transactions'!$A:$A,"&gt;="&amp;D$19,'Allocated Transactions'!$A:$A,"&lt;="&amp;EOMONTH(D$19,0))+SUMIFS('Allocated Transactions'!$J:$J,'Allocated Transactions'!$D:$D,$B33,'Allocated Transactions'!$C:$C,$B$2,'Allocated Transactions'!$A:$A,"&gt;="&amp;D$19,'Allocated Transactions'!$A:$A,"&lt;="&amp;EOMONTH(D$19,0))+SUMIFS('Allocated Transactions'!$J:$J,'Allocated Transactions'!$D:$D,$B33,'Allocated Transactions'!$C:$C,$B$4,'Allocated Transactions'!$A:$A,"&gt;="&amp;D$19,'Allocated Transactions'!$A:$A,"&lt;="&amp;EOMONTH(D$19,0))+SUMIFS('Allocated Transactions'!$J:$J,'Allocated Transactions'!$D:$D,$B33,'Allocated Transactions'!$C:$C,$B$3,'Allocated Transactions'!$A:$A,"&gt;="&amp;D$19,'Allocated Transactions'!$A:$A,"&lt;="&amp;EOMONTH(D$19,0))+SUMIFS('Allocated Transactions'!$J:$J,'Allocated Transactions'!$D:$D,$B33,'Allocated Transactions'!$C:$C,$B$5,'Allocated Transactions'!$A:$A,"&gt;="&amp;D$19,'Allocated Transactions'!$A:$A,"&lt;="&amp;EOMONTH(D$19,0))+SUMIFS('Allocated Transactions'!$J:$J,'Allocated Transactions'!$D:$D,$B33,'Allocated Transactions'!$C:$C,$B$6,'Allocated Transactions'!$A:$A,"&gt;="&amp;D$19,'Allocated Transactions'!$A:$A,"&lt;="&amp;EOMONTH(D$19,0)))</f>
        <v>3679.3299999999995</v>
      </c>
      <c r="E33" s="84">
        <f>SUMPRODUCT(SUMIFS('Budget Data'!$J:$J,'Budget Data'!$E:$E,$B33,'Budget Data'!$C:$C,$B$7,'Budget Data'!$A:$A,"&gt;="&amp;E$19,'Budget Data'!$A:$A,"&lt;="&amp;EOMONTH(E$19,0))+SUMIFS('Budget Data'!$J:$J,'Budget Data'!$E:$E,$B33,'Budget Data'!$C:$C,$B$9,'Budget Data'!$A:$A,"&gt;="&amp;E$19,'Budget Data'!$A:$A,"&lt;="&amp;EOMONTH(E$19,0))+SUMIFS('Budget Data'!$J:$J,'Budget Data'!$E:$E,$B33,'Budget Data'!$C:$C,$B$8,'Budget Data'!$A:$A,"&gt;="&amp;E$19,'Budget Data'!$A:$A,"&lt;="&amp;EOMONTH(E$19,0))+SUMIFS('Budget Data'!$J:$J,'Budget Data'!$E:$E,$B33,'Budget Data'!$C:$C,$B$10,'Budget Data'!$A:$A,"&gt;="&amp;E$19,'Budget Data'!$A:$A,"&lt;="&amp;EOMONTH(E$19,0))+SUMIFS('Budget Data'!$J:$J,'Budget Data'!$E:$E,$B33,'Budget Data'!$C:$C,$B$11,'Budget Data'!$A:$A,"&gt;="&amp;E$19,'Budget Data'!$A:$A,"&lt;="&amp;EOMONTH(E$19,0))+SUMIFS('Budget Data'!$J:$J,'Budget Data'!$E:$E,$B33,'Budget Data'!$C:$C,$B$2,'Budget Data'!$A:$A,"&gt;="&amp;E$19,'Budget Data'!$A:$A,"&lt;="&amp;EOMONTH(E$19,0))+SUMIFS('Budget Data'!$J:$J,'Budget Data'!$E:$E,$B33,'Budget Data'!$C:$C,$B$4,'Budget Data'!$A:$A,"&gt;="&amp;E$19,'Budget Data'!$A:$A,"&lt;="&amp;EOMONTH(E$19,0))+SUMIFS('Budget Data'!$J:$J,'Budget Data'!$E:$E,$B33,'Budget Data'!$C:$C,$B$3,'Budget Data'!$A:$A,"&gt;="&amp;E$19,'Budget Data'!$A:$A,"&lt;="&amp;EOMONTH(E$19,0))+SUMIFS('Budget Data'!$J:$J,'Budget Data'!$E:$E,$B33,'Budget Data'!$C:$C,$B$5,'Budget Data'!$A:$A,"&gt;="&amp;E$19,'Budget Data'!$A:$A,"&lt;="&amp;EOMONTH(E$19,0))+SUMIFS('Budget Data'!$J:$J,'Budget Data'!$E:$E,$B33,'Budget Data'!$C:$C,$B$6,'Budget Data'!$A:$A,"&gt;="&amp;E$19,'Budget Data'!$A:$A,"&lt;="&amp;EOMONTH(E$19,0)))</f>
        <v>3600</v>
      </c>
      <c r="F33" s="86">
        <f>SUMPRODUCT(SUMIFS('Allocated Transactions'!$J:$J,'Allocated Transactions'!$D:$D,$B33,'Allocated Transactions'!$C:$C,$B$7,'Allocated Transactions'!$A:$A,"&gt;="&amp;F$19,'Allocated Transactions'!$A:$A,"&lt;="&amp;EOMONTH(F$19,0))+SUMIFS('Allocated Transactions'!$J:$J,'Allocated Transactions'!$D:$D,$B33,'Allocated Transactions'!$C:$C,$B$9,'Allocated Transactions'!$A:$A,"&gt;="&amp;F$19,'Allocated Transactions'!$A:$A,"&lt;="&amp;EOMONTH(F$19,0))+SUMIFS('Allocated Transactions'!$J:$J,'Allocated Transactions'!$D:$D,$B33,'Allocated Transactions'!$C:$C,$B$8,'Allocated Transactions'!$A:$A,"&gt;="&amp;F$19,'Allocated Transactions'!$A:$A,"&lt;="&amp;EOMONTH(F$19,0))+SUMIFS('Allocated Transactions'!$J:$J,'Allocated Transactions'!$D:$D,$B33,'Allocated Transactions'!$C:$C,$B$10,'Allocated Transactions'!$A:$A,"&gt;="&amp;F$19,'Allocated Transactions'!$A:$A,"&lt;="&amp;EOMONTH(F$19,0))+SUMIFS('Allocated Transactions'!$J:$J,'Allocated Transactions'!$D:$D,$B33,'Allocated Transactions'!$C:$C,$B$11,'Allocated Transactions'!$A:$A,"&gt;="&amp;F$19,'Allocated Transactions'!$A:$A,"&lt;="&amp;EOMONTH(F$19,0))+SUMIFS('Allocated Transactions'!$J:$J,'Allocated Transactions'!$D:$D,$B33,'Allocated Transactions'!$C:$C,$B$2,'Allocated Transactions'!$A:$A,"&gt;="&amp;F$19,'Allocated Transactions'!$A:$A,"&lt;="&amp;EOMONTH(F$19,0))+SUMIFS('Allocated Transactions'!$J:$J,'Allocated Transactions'!$D:$D,$B33,'Allocated Transactions'!$C:$C,$B$4,'Allocated Transactions'!$A:$A,"&gt;="&amp;F$19,'Allocated Transactions'!$A:$A,"&lt;="&amp;EOMONTH(F$19,0))+SUMIFS('Allocated Transactions'!$J:$J,'Allocated Transactions'!$D:$D,$B33,'Allocated Transactions'!$C:$C,$B$3,'Allocated Transactions'!$A:$A,"&gt;="&amp;F$19,'Allocated Transactions'!$A:$A,"&lt;="&amp;EOMONTH(F$19,0))+SUMIFS('Allocated Transactions'!$J:$J,'Allocated Transactions'!$D:$D,$B33,'Allocated Transactions'!$C:$C,$B$5,'Allocated Transactions'!$A:$A,"&gt;="&amp;F$19,'Allocated Transactions'!$A:$A,"&lt;="&amp;EOMONTH(F$19,0))+SUMIFS('Allocated Transactions'!$J:$J,'Allocated Transactions'!$D:$D,$B33,'Allocated Transactions'!$C:$C,$B$6,'Allocated Transactions'!$A:$A,"&gt;="&amp;F$19,'Allocated Transactions'!$A:$A,"&lt;="&amp;EOMONTH(F$19,0)))</f>
        <v>3739.7100000000005</v>
      </c>
      <c r="G33" s="84">
        <f>SUMPRODUCT(SUMIFS('Budget Data'!$J:$J,'Budget Data'!$E:$E,$B33,'Budget Data'!$C:$C,$B$7,'Budget Data'!$A:$A,"&gt;="&amp;G$19,'Budget Data'!$A:$A,"&lt;="&amp;EOMONTH(G$19,0))+SUMIFS('Budget Data'!$J:$J,'Budget Data'!$E:$E,$B33,'Budget Data'!$C:$C,$B$9,'Budget Data'!$A:$A,"&gt;="&amp;G$19,'Budget Data'!$A:$A,"&lt;="&amp;EOMONTH(G$19,0))+SUMIFS('Budget Data'!$J:$J,'Budget Data'!$E:$E,$B33,'Budget Data'!$C:$C,$B$8,'Budget Data'!$A:$A,"&gt;="&amp;G$19,'Budget Data'!$A:$A,"&lt;="&amp;EOMONTH(G$19,0))+SUMIFS('Budget Data'!$J:$J,'Budget Data'!$E:$E,$B33,'Budget Data'!$C:$C,$B$10,'Budget Data'!$A:$A,"&gt;="&amp;G$19,'Budget Data'!$A:$A,"&lt;="&amp;EOMONTH(G$19,0))+SUMIFS('Budget Data'!$J:$J,'Budget Data'!$E:$E,$B33,'Budget Data'!$C:$C,$B$11,'Budget Data'!$A:$A,"&gt;="&amp;G$19,'Budget Data'!$A:$A,"&lt;="&amp;EOMONTH(G$19,0))+SUMIFS('Budget Data'!$J:$J,'Budget Data'!$E:$E,$B33,'Budget Data'!$C:$C,$B$2,'Budget Data'!$A:$A,"&gt;="&amp;G$19,'Budget Data'!$A:$A,"&lt;="&amp;EOMONTH(G$19,0))+SUMIFS('Budget Data'!$J:$J,'Budget Data'!$E:$E,$B33,'Budget Data'!$C:$C,$B$4,'Budget Data'!$A:$A,"&gt;="&amp;G$19,'Budget Data'!$A:$A,"&lt;="&amp;EOMONTH(G$19,0))+SUMIFS('Budget Data'!$J:$J,'Budget Data'!$E:$E,$B33,'Budget Data'!$C:$C,$B$3,'Budget Data'!$A:$A,"&gt;="&amp;G$19,'Budget Data'!$A:$A,"&lt;="&amp;EOMONTH(G$19,0))+SUMIFS('Budget Data'!$J:$J,'Budget Data'!$E:$E,$B33,'Budget Data'!$C:$C,$B$5,'Budget Data'!$A:$A,"&gt;="&amp;G$19,'Budget Data'!$A:$A,"&lt;="&amp;EOMONTH(G$19,0))+SUMIFS('Budget Data'!$J:$J,'Budget Data'!$E:$E,$B33,'Budget Data'!$C:$C,$B$6,'Budget Data'!$A:$A,"&gt;="&amp;G$19,'Budget Data'!$A:$A,"&lt;="&amp;EOMONTH(G$19,0)))</f>
        <v>3600</v>
      </c>
      <c r="H33" s="86">
        <f>SUMPRODUCT(SUMIFS('Allocated Transactions'!$J:$J,'Allocated Transactions'!$D:$D,$B33,'Allocated Transactions'!$C:$C,$B$7,'Allocated Transactions'!$A:$A,"&gt;="&amp;H$19,'Allocated Transactions'!$A:$A,"&lt;="&amp;EOMONTH(H$19,0))+SUMIFS('Allocated Transactions'!$J:$J,'Allocated Transactions'!$D:$D,$B33,'Allocated Transactions'!$C:$C,$B$9,'Allocated Transactions'!$A:$A,"&gt;="&amp;H$19,'Allocated Transactions'!$A:$A,"&lt;="&amp;EOMONTH(H$19,0))+SUMIFS('Allocated Transactions'!$J:$J,'Allocated Transactions'!$D:$D,$B33,'Allocated Transactions'!$C:$C,$B$8,'Allocated Transactions'!$A:$A,"&gt;="&amp;H$19,'Allocated Transactions'!$A:$A,"&lt;="&amp;EOMONTH(H$19,0))+SUMIFS('Allocated Transactions'!$J:$J,'Allocated Transactions'!$D:$D,$B33,'Allocated Transactions'!$C:$C,$B$10,'Allocated Transactions'!$A:$A,"&gt;="&amp;H$19,'Allocated Transactions'!$A:$A,"&lt;="&amp;EOMONTH(H$19,0))+SUMIFS('Allocated Transactions'!$J:$J,'Allocated Transactions'!$D:$D,$B33,'Allocated Transactions'!$C:$C,$B$11,'Allocated Transactions'!$A:$A,"&gt;="&amp;H$19,'Allocated Transactions'!$A:$A,"&lt;="&amp;EOMONTH(H$19,0))+SUMIFS('Allocated Transactions'!$J:$J,'Allocated Transactions'!$D:$D,$B33,'Allocated Transactions'!$C:$C,$B$2,'Allocated Transactions'!$A:$A,"&gt;="&amp;H$19,'Allocated Transactions'!$A:$A,"&lt;="&amp;EOMONTH(H$19,0))+SUMIFS('Allocated Transactions'!$J:$J,'Allocated Transactions'!$D:$D,$B33,'Allocated Transactions'!$C:$C,$B$4,'Allocated Transactions'!$A:$A,"&gt;="&amp;H$19,'Allocated Transactions'!$A:$A,"&lt;="&amp;EOMONTH(H$19,0))+SUMIFS('Allocated Transactions'!$J:$J,'Allocated Transactions'!$D:$D,$B33,'Allocated Transactions'!$C:$C,$B$3,'Allocated Transactions'!$A:$A,"&gt;="&amp;H$19,'Allocated Transactions'!$A:$A,"&lt;="&amp;EOMONTH(H$19,0))+SUMIFS('Allocated Transactions'!$J:$J,'Allocated Transactions'!$D:$D,$B33,'Allocated Transactions'!$C:$C,$B$5,'Allocated Transactions'!$A:$A,"&gt;="&amp;H$19,'Allocated Transactions'!$A:$A,"&lt;="&amp;EOMONTH(H$19,0))+SUMIFS('Allocated Transactions'!$J:$J,'Allocated Transactions'!$D:$D,$B33,'Allocated Transactions'!$C:$C,$B$6,'Allocated Transactions'!$A:$A,"&gt;="&amp;H$19,'Allocated Transactions'!$A:$A,"&lt;="&amp;EOMONTH(H$19,0)))</f>
        <v>3841.0899999999992</v>
      </c>
      <c r="I33" s="84">
        <f>SUMPRODUCT(SUMIFS('Budget Data'!$J:$J,'Budget Data'!$E:$E,$B33,'Budget Data'!$C:$C,$B$7,'Budget Data'!$A:$A,"&gt;="&amp;I$19,'Budget Data'!$A:$A,"&lt;="&amp;EOMONTH(I$19,0))+SUMIFS('Budget Data'!$J:$J,'Budget Data'!$E:$E,$B33,'Budget Data'!$C:$C,$B$9,'Budget Data'!$A:$A,"&gt;="&amp;I$19,'Budget Data'!$A:$A,"&lt;="&amp;EOMONTH(I$19,0))+SUMIFS('Budget Data'!$J:$J,'Budget Data'!$E:$E,$B33,'Budget Data'!$C:$C,$B$8,'Budget Data'!$A:$A,"&gt;="&amp;I$19,'Budget Data'!$A:$A,"&lt;="&amp;EOMONTH(I$19,0))+SUMIFS('Budget Data'!$J:$J,'Budget Data'!$E:$E,$B33,'Budget Data'!$C:$C,$B$10,'Budget Data'!$A:$A,"&gt;="&amp;I$19,'Budget Data'!$A:$A,"&lt;="&amp;EOMONTH(I$19,0))+SUMIFS('Budget Data'!$J:$J,'Budget Data'!$E:$E,$B33,'Budget Data'!$C:$C,$B$11,'Budget Data'!$A:$A,"&gt;="&amp;I$19,'Budget Data'!$A:$A,"&lt;="&amp;EOMONTH(I$19,0))+SUMIFS('Budget Data'!$J:$J,'Budget Data'!$E:$E,$B33,'Budget Data'!$C:$C,$B$2,'Budget Data'!$A:$A,"&gt;="&amp;I$19,'Budget Data'!$A:$A,"&lt;="&amp;EOMONTH(I$19,0))+SUMIFS('Budget Data'!$J:$J,'Budget Data'!$E:$E,$B33,'Budget Data'!$C:$C,$B$4,'Budget Data'!$A:$A,"&gt;="&amp;I$19,'Budget Data'!$A:$A,"&lt;="&amp;EOMONTH(I$19,0))+SUMIFS('Budget Data'!$J:$J,'Budget Data'!$E:$E,$B33,'Budget Data'!$C:$C,$B$3,'Budget Data'!$A:$A,"&gt;="&amp;I$19,'Budget Data'!$A:$A,"&lt;="&amp;EOMONTH(I$19,0))+SUMIFS('Budget Data'!$J:$J,'Budget Data'!$E:$E,$B33,'Budget Data'!$C:$C,$B$5,'Budget Data'!$A:$A,"&gt;="&amp;I$19,'Budget Data'!$A:$A,"&lt;="&amp;EOMONTH(I$19,0))+SUMIFS('Budget Data'!$J:$J,'Budget Data'!$E:$E,$B33,'Budget Data'!$C:$C,$B$6,'Budget Data'!$A:$A,"&gt;="&amp;I$19,'Budget Data'!$A:$A,"&lt;="&amp;EOMONTH(I$19,0)))</f>
        <v>3800</v>
      </c>
      <c r="J33" s="86">
        <f>SUMPRODUCT(SUMIFS('Allocated Transactions'!$J:$J,'Allocated Transactions'!$D:$D,$B33,'Allocated Transactions'!$C:$C,$B$7,'Allocated Transactions'!$A:$A,"&gt;="&amp;J$19,'Allocated Transactions'!$A:$A,"&lt;="&amp;EOMONTH(J$19,0))+SUMIFS('Allocated Transactions'!$J:$J,'Allocated Transactions'!$D:$D,$B33,'Allocated Transactions'!$C:$C,$B$9,'Allocated Transactions'!$A:$A,"&gt;="&amp;J$19,'Allocated Transactions'!$A:$A,"&lt;="&amp;EOMONTH(J$19,0))+SUMIFS('Allocated Transactions'!$J:$J,'Allocated Transactions'!$D:$D,$B33,'Allocated Transactions'!$C:$C,$B$8,'Allocated Transactions'!$A:$A,"&gt;="&amp;J$19,'Allocated Transactions'!$A:$A,"&lt;="&amp;EOMONTH(J$19,0))+SUMIFS('Allocated Transactions'!$J:$J,'Allocated Transactions'!$D:$D,$B33,'Allocated Transactions'!$C:$C,$B$10,'Allocated Transactions'!$A:$A,"&gt;="&amp;J$19,'Allocated Transactions'!$A:$A,"&lt;="&amp;EOMONTH(J$19,0))+SUMIFS('Allocated Transactions'!$J:$J,'Allocated Transactions'!$D:$D,$B33,'Allocated Transactions'!$C:$C,$B$11,'Allocated Transactions'!$A:$A,"&gt;="&amp;J$19,'Allocated Transactions'!$A:$A,"&lt;="&amp;EOMONTH(J$19,0))+SUMIFS('Allocated Transactions'!$J:$J,'Allocated Transactions'!$D:$D,$B33,'Allocated Transactions'!$C:$C,$B$2,'Allocated Transactions'!$A:$A,"&gt;="&amp;J$19,'Allocated Transactions'!$A:$A,"&lt;="&amp;EOMONTH(J$19,0))+SUMIFS('Allocated Transactions'!$J:$J,'Allocated Transactions'!$D:$D,$B33,'Allocated Transactions'!$C:$C,$B$4,'Allocated Transactions'!$A:$A,"&gt;="&amp;J$19,'Allocated Transactions'!$A:$A,"&lt;="&amp;EOMONTH(J$19,0))+SUMIFS('Allocated Transactions'!$J:$J,'Allocated Transactions'!$D:$D,$B33,'Allocated Transactions'!$C:$C,$B$3,'Allocated Transactions'!$A:$A,"&gt;="&amp;J$19,'Allocated Transactions'!$A:$A,"&lt;="&amp;EOMONTH(J$19,0))+SUMIFS('Allocated Transactions'!$J:$J,'Allocated Transactions'!$D:$D,$B33,'Allocated Transactions'!$C:$C,$B$5,'Allocated Transactions'!$A:$A,"&gt;="&amp;J$19,'Allocated Transactions'!$A:$A,"&lt;="&amp;EOMONTH(J$19,0))+SUMIFS('Allocated Transactions'!$J:$J,'Allocated Transactions'!$D:$D,$B33,'Allocated Transactions'!$C:$C,$B$6,'Allocated Transactions'!$A:$A,"&gt;="&amp;J$19,'Allocated Transactions'!$A:$A,"&lt;="&amp;EOMONTH(J$19,0)))</f>
        <v>3873.05</v>
      </c>
      <c r="K33" s="84">
        <f>SUMPRODUCT(SUMIFS('Budget Data'!$J:$J,'Budget Data'!$E:$E,$B33,'Budget Data'!$C:$C,$B$7,'Budget Data'!$A:$A,"&gt;="&amp;K$19,'Budget Data'!$A:$A,"&lt;="&amp;EOMONTH(K$19,0))+SUMIFS('Budget Data'!$J:$J,'Budget Data'!$E:$E,$B33,'Budget Data'!$C:$C,$B$9,'Budget Data'!$A:$A,"&gt;="&amp;K$19,'Budget Data'!$A:$A,"&lt;="&amp;EOMONTH(K$19,0))+SUMIFS('Budget Data'!$J:$J,'Budget Data'!$E:$E,$B33,'Budget Data'!$C:$C,$B$8,'Budget Data'!$A:$A,"&gt;="&amp;K$19,'Budget Data'!$A:$A,"&lt;="&amp;EOMONTH(K$19,0))+SUMIFS('Budget Data'!$J:$J,'Budget Data'!$E:$E,$B33,'Budget Data'!$C:$C,$B$10,'Budget Data'!$A:$A,"&gt;="&amp;K$19,'Budget Data'!$A:$A,"&lt;="&amp;EOMONTH(K$19,0))+SUMIFS('Budget Data'!$J:$J,'Budget Data'!$E:$E,$B33,'Budget Data'!$C:$C,$B$11,'Budget Data'!$A:$A,"&gt;="&amp;K$19,'Budget Data'!$A:$A,"&lt;="&amp;EOMONTH(K$19,0))+SUMIFS('Budget Data'!$J:$J,'Budget Data'!$E:$E,$B33,'Budget Data'!$C:$C,$B$2,'Budget Data'!$A:$A,"&gt;="&amp;K$19,'Budget Data'!$A:$A,"&lt;="&amp;EOMONTH(K$19,0))+SUMIFS('Budget Data'!$J:$J,'Budget Data'!$E:$E,$B33,'Budget Data'!$C:$C,$B$4,'Budget Data'!$A:$A,"&gt;="&amp;K$19,'Budget Data'!$A:$A,"&lt;="&amp;EOMONTH(K$19,0))+SUMIFS('Budget Data'!$J:$J,'Budget Data'!$E:$E,$B33,'Budget Data'!$C:$C,$B$3,'Budget Data'!$A:$A,"&gt;="&amp;K$19,'Budget Data'!$A:$A,"&lt;="&amp;EOMONTH(K$19,0))+SUMIFS('Budget Data'!$J:$J,'Budget Data'!$E:$E,$B33,'Budget Data'!$C:$C,$B$5,'Budget Data'!$A:$A,"&gt;="&amp;K$19,'Budget Data'!$A:$A,"&lt;="&amp;EOMONTH(K$19,0))+SUMIFS('Budget Data'!$J:$J,'Budget Data'!$E:$E,$B33,'Budget Data'!$C:$C,$B$6,'Budget Data'!$A:$A,"&gt;="&amp;K$19,'Budget Data'!$A:$A,"&lt;="&amp;EOMONTH(K$19,0)))</f>
        <v>3800</v>
      </c>
      <c r="L33" s="86">
        <f>SUMPRODUCT(SUMIFS('Allocated Transactions'!$J:$J,'Allocated Transactions'!$D:$D,$B33,'Allocated Transactions'!$C:$C,$B$7,'Allocated Transactions'!$A:$A,"&gt;="&amp;L$19,'Allocated Transactions'!$A:$A,"&lt;="&amp;EOMONTH(L$19,0))+SUMIFS('Allocated Transactions'!$J:$J,'Allocated Transactions'!$D:$D,$B33,'Allocated Transactions'!$C:$C,$B$9,'Allocated Transactions'!$A:$A,"&gt;="&amp;L$19,'Allocated Transactions'!$A:$A,"&lt;="&amp;EOMONTH(L$19,0))+SUMIFS('Allocated Transactions'!$J:$J,'Allocated Transactions'!$D:$D,$B33,'Allocated Transactions'!$C:$C,$B$8,'Allocated Transactions'!$A:$A,"&gt;="&amp;L$19,'Allocated Transactions'!$A:$A,"&lt;="&amp;EOMONTH(L$19,0))+SUMIFS('Allocated Transactions'!$J:$J,'Allocated Transactions'!$D:$D,$B33,'Allocated Transactions'!$C:$C,$B$10,'Allocated Transactions'!$A:$A,"&gt;="&amp;L$19,'Allocated Transactions'!$A:$A,"&lt;="&amp;EOMONTH(L$19,0))+SUMIFS('Allocated Transactions'!$J:$J,'Allocated Transactions'!$D:$D,$B33,'Allocated Transactions'!$C:$C,$B$11,'Allocated Transactions'!$A:$A,"&gt;="&amp;L$19,'Allocated Transactions'!$A:$A,"&lt;="&amp;EOMONTH(L$19,0))+SUMIFS('Allocated Transactions'!$J:$J,'Allocated Transactions'!$D:$D,$B33,'Allocated Transactions'!$C:$C,$B$2,'Allocated Transactions'!$A:$A,"&gt;="&amp;L$19,'Allocated Transactions'!$A:$A,"&lt;="&amp;EOMONTH(L$19,0))+SUMIFS('Allocated Transactions'!$J:$J,'Allocated Transactions'!$D:$D,$B33,'Allocated Transactions'!$C:$C,$B$4,'Allocated Transactions'!$A:$A,"&gt;="&amp;L$19,'Allocated Transactions'!$A:$A,"&lt;="&amp;EOMONTH(L$19,0))+SUMIFS('Allocated Transactions'!$J:$J,'Allocated Transactions'!$D:$D,$B33,'Allocated Transactions'!$C:$C,$B$3,'Allocated Transactions'!$A:$A,"&gt;="&amp;L$19,'Allocated Transactions'!$A:$A,"&lt;="&amp;EOMONTH(L$19,0))+SUMIFS('Allocated Transactions'!$J:$J,'Allocated Transactions'!$D:$D,$B33,'Allocated Transactions'!$C:$C,$B$5,'Allocated Transactions'!$A:$A,"&gt;="&amp;L$19,'Allocated Transactions'!$A:$A,"&lt;="&amp;EOMONTH(L$19,0))+SUMIFS('Allocated Transactions'!$J:$J,'Allocated Transactions'!$D:$D,$B33,'Allocated Transactions'!$C:$C,$B$6,'Allocated Transactions'!$A:$A,"&gt;="&amp;L$19,'Allocated Transactions'!$A:$A,"&lt;="&amp;EOMONTH(L$19,0)))</f>
        <v>3741.67</v>
      </c>
      <c r="M33" s="84">
        <f>SUMPRODUCT(SUMIFS('Budget Data'!$J:$J,'Budget Data'!$E:$E,$B33,'Budget Data'!$C:$C,$B$7,'Budget Data'!$A:$A,"&gt;="&amp;M$19,'Budget Data'!$A:$A,"&lt;="&amp;EOMONTH(M$19,0))+SUMIFS('Budget Data'!$J:$J,'Budget Data'!$E:$E,$B33,'Budget Data'!$C:$C,$B$9,'Budget Data'!$A:$A,"&gt;="&amp;M$19,'Budget Data'!$A:$A,"&lt;="&amp;EOMONTH(M$19,0))+SUMIFS('Budget Data'!$J:$J,'Budget Data'!$E:$E,$B33,'Budget Data'!$C:$C,$B$8,'Budget Data'!$A:$A,"&gt;="&amp;M$19,'Budget Data'!$A:$A,"&lt;="&amp;EOMONTH(M$19,0))+SUMIFS('Budget Data'!$J:$J,'Budget Data'!$E:$E,$B33,'Budget Data'!$C:$C,$B$10,'Budget Data'!$A:$A,"&gt;="&amp;M$19,'Budget Data'!$A:$A,"&lt;="&amp;EOMONTH(M$19,0))+SUMIFS('Budget Data'!$J:$J,'Budget Data'!$E:$E,$B33,'Budget Data'!$C:$C,$B$11,'Budget Data'!$A:$A,"&gt;="&amp;M$19,'Budget Data'!$A:$A,"&lt;="&amp;EOMONTH(M$19,0))+SUMIFS('Budget Data'!$J:$J,'Budget Data'!$E:$E,$B33,'Budget Data'!$C:$C,$B$2,'Budget Data'!$A:$A,"&gt;="&amp;M$19,'Budget Data'!$A:$A,"&lt;="&amp;EOMONTH(M$19,0))+SUMIFS('Budget Data'!$J:$J,'Budget Data'!$E:$E,$B33,'Budget Data'!$C:$C,$B$4,'Budget Data'!$A:$A,"&gt;="&amp;M$19,'Budget Data'!$A:$A,"&lt;="&amp;EOMONTH(M$19,0))+SUMIFS('Budget Data'!$J:$J,'Budget Data'!$E:$E,$B33,'Budget Data'!$C:$C,$B$3,'Budget Data'!$A:$A,"&gt;="&amp;M$19,'Budget Data'!$A:$A,"&lt;="&amp;EOMONTH(M$19,0))+SUMIFS('Budget Data'!$J:$J,'Budget Data'!$E:$E,$B33,'Budget Data'!$C:$C,$B$5,'Budget Data'!$A:$A,"&gt;="&amp;M$19,'Budget Data'!$A:$A,"&lt;="&amp;EOMONTH(M$19,0))+SUMIFS('Budget Data'!$J:$J,'Budget Data'!$E:$E,$B33,'Budget Data'!$C:$C,$B$6,'Budget Data'!$A:$A,"&gt;="&amp;M$19,'Budget Data'!$A:$A,"&lt;="&amp;EOMONTH(M$19,0)))</f>
        <v>3800</v>
      </c>
      <c r="N33" s="86">
        <f>SUMPRODUCT(SUMIFS('Allocated Transactions'!$J:$J,'Allocated Transactions'!$D:$D,$B33,'Allocated Transactions'!$C:$C,$B$7,'Allocated Transactions'!$A:$A,"&gt;="&amp;N$19,'Allocated Transactions'!$A:$A,"&lt;="&amp;EOMONTH(N$19,0))+SUMIFS('Allocated Transactions'!$J:$J,'Allocated Transactions'!$D:$D,$B33,'Allocated Transactions'!$C:$C,$B$9,'Allocated Transactions'!$A:$A,"&gt;="&amp;N$19,'Allocated Transactions'!$A:$A,"&lt;="&amp;EOMONTH(N$19,0))+SUMIFS('Allocated Transactions'!$J:$J,'Allocated Transactions'!$D:$D,$B33,'Allocated Transactions'!$C:$C,$B$8,'Allocated Transactions'!$A:$A,"&gt;="&amp;N$19,'Allocated Transactions'!$A:$A,"&lt;="&amp;EOMONTH(N$19,0))+SUMIFS('Allocated Transactions'!$J:$J,'Allocated Transactions'!$D:$D,$B33,'Allocated Transactions'!$C:$C,$B$10,'Allocated Transactions'!$A:$A,"&gt;="&amp;N$19,'Allocated Transactions'!$A:$A,"&lt;="&amp;EOMONTH(N$19,0))+SUMIFS('Allocated Transactions'!$J:$J,'Allocated Transactions'!$D:$D,$B33,'Allocated Transactions'!$C:$C,$B$11,'Allocated Transactions'!$A:$A,"&gt;="&amp;N$19,'Allocated Transactions'!$A:$A,"&lt;="&amp;EOMONTH(N$19,0))+SUMIFS('Allocated Transactions'!$J:$J,'Allocated Transactions'!$D:$D,$B33,'Allocated Transactions'!$C:$C,$B$2,'Allocated Transactions'!$A:$A,"&gt;="&amp;N$19,'Allocated Transactions'!$A:$A,"&lt;="&amp;EOMONTH(N$19,0))+SUMIFS('Allocated Transactions'!$J:$J,'Allocated Transactions'!$D:$D,$B33,'Allocated Transactions'!$C:$C,$B$4,'Allocated Transactions'!$A:$A,"&gt;="&amp;N$19,'Allocated Transactions'!$A:$A,"&lt;="&amp;EOMONTH(N$19,0))+SUMIFS('Allocated Transactions'!$J:$J,'Allocated Transactions'!$D:$D,$B33,'Allocated Transactions'!$C:$C,$B$3,'Allocated Transactions'!$A:$A,"&gt;="&amp;N$19,'Allocated Transactions'!$A:$A,"&lt;="&amp;EOMONTH(N$19,0))+SUMIFS('Allocated Transactions'!$J:$J,'Allocated Transactions'!$D:$D,$B33,'Allocated Transactions'!$C:$C,$B$5,'Allocated Transactions'!$A:$A,"&gt;="&amp;N$19,'Allocated Transactions'!$A:$A,"&lt;="&amp;EOMONTH(N$19,0))+SUMIFS('Allocated Transactions'!$J:$J,'Allocated Transactions'!$D:$D,$B33,'Allocated Transactions'!$C:$C,$B$6,'Allocated Transactions'!$A:$A,"&gt;="&amp;N$19,'Allocated Transactions'!$A:$A,"&lt;="&amp;EOMONTH(N$19,0)))</f>
        <v>3806.2600000000016</v>
      </c>
      <c r="O33" s="84">
        <f>SUMPRODUCT(SUMIFS('Budget Data'!$J:$J,'Budget Data'!$E:$E,$B33,'Budget Data'!$C:$C,$B$7,'Budget Data'!$A:$A,"&gt;="&amp;O$19,'Budget Data'!$A:$A,"&lt;="&amp;EOMONTH(O$19,0))+SUMIFS('Budget Data'!$J:$J,'Budget Data'!$E:$E,$B33,'Budget Data'!$C:$C,$B$9,'Budget Data'!$A:$A,"&gt;="&amp;O$19,'Budget Data'!$A:$A,"&lt;="&amp;EOMONTH(O$19,0))+SUMIFS('Budget Data'!$J:$J,'Budget Data'!$E:$E,$B33,'Budget Data'!$C:$C,$B$8,'Budget Data'!$A:$A,"&gt;="&amp;O$19,'Budget Data'!$A:$A,"&lt;="&amp;EOMONTH(O$19,0))+SUMIFS('Budget Data'!$J:$J,'Budget Data'!$E:$E,$B33,'Budget Data'!$C:$C,$B$10,'Budget Data'!$A:$A,"&gt;="&amp;O$19,'Budget Data'!$A:$A,"&lt;="&amp;EOMONTH(O$19,0))+SUMIFS('Budget Data'!$J:$J,'Budget Data'!$E:$E,$B33,'Budget Data'!$C:$C,$B$11,'Budget Data'!$A:$A,"&gt;="&amp;O$19,'Budget Data'!$A:$A,"&lt;="&amp;EOMONTH(O$19,0))+SUMIFS('Budget Data'!$J:$J,'Budget Data'!$E:$E,$B33,'Budget Data'!$C:$C,$B$2,'Budget Data'!$A:$A,"&gt;="&amp;O$19,'Budget Data'!$A:$A,"&lt;="&amp;EOMONTH(O$19,0))+SUMIFS('Budget Data'!$J:$J,'Budget Data'!$E:$E,$B33,'Budget Data'!$C:$C,$B$4,'Budget Data'!$A:$A,"&gt;="&amp;O$19,'Budget Data'!$A:$A,"&lt;="&amp;EOMONTH(O$19,0))+SUMIFS('Budget Data'!$J:$J,'Budget Data'!$E:$E,$B33,'Budget Data'!$C:$C,$B$3,'Budget Data'!$A:$A,"&gt;="&amp;O$19,'Budget Data'!$A:$A,"&lt;="&amp;EOMONTH(O$19,0))+SUMIFS('Budget Data'!$J:$J,'Budget Data'!$E:$E,$B33,'Budget Data'!$C:$C,$B$5,'Budget Data'!$A:$A,"&gt;="&amp;O$19,'Budget Data'!$A:$A,"&lt;="&amp;EOMONTH(O$19,0))+SUMIFS('Budget Data'!$J:$J,'Budget Data'!$E:$E,$B33,'Budget Data'!$C:$C,$B$6,'Budget Data'!$A:$A,"&gt;="&amp;O$19,'Budget Data'!$A:$A,"&lt;="&amp;EOMONTH(O$19,0)))</f>
        <v>3800</v>
      </c>
      <c r="P33" s="86">
        <f>SUMPRODUCT(SUMIFS('Allocated Transactions'!$J:$J,'Allocated Transactions'!$D:$D,$B33,'Allocated Transactions'!$C:$C,$B$7,'Allocated Transactions'!$A:$A,"&gt;="&amp;P$19,'Allocated Transactions'!$A:$A,"&lt;="&amp;EOMONTH(P$19,0))+SUMIFS('Allocated Transactions'!$J:$J,'Allocated Transactions'!$D:$D,$B33,'Allocated Transactions'!$C:$C,$B$9,'Allocated Transactions'!$A:$A,"&gt;="&amp;P$19,'Allocated Transactions'!$A:$A,"&lt;="&amp;EOMONTH(P$19,0))+SUMIFS('Allocated Transactions'!$J:$J,'Allocated Transactions'!$D:$D,$B33,'Allocated Transactions'!$C:$C,$B$8,'Allocated Transactions'!$A:$A,"&gt;="&amp;P$19,'Allocated Transactions'!$A:$A,"&lt;="&amp;EOMONTH(P$19,0))+SUMIFS('Allocated Transactions'!$J:$J,'Allocated Transactions'!$D:$D,$B33,'Allocated Transactions'!$C:$C,$B$10,'Allocated Transactions'!$A:$A,"&gt;="&amp;P$19,'Allocated Transactions'!$A:$A,"&lt;="&amp;EOMONTH(P$19,0))+SUMIFS('Allocated Transactions'!$J:$J,'Allocated Transactions'!$D:$D,$B33,'Allocated Transactions'!$C:$C,$B$11,'Allocated Transactions'!$A:$A,"&gt;="&amp;P$19,'Allocated Transactions'!$A:$A,"&lt;="&amp;EOMONTH(P$19,0))+SUMIFS('Allocated Transactions'!$J:$J,'Allocated Transactions'!$D:$D,$B33,'Allocated Transactions'!$C:$C,$B$2,'Allocated Transactions'!$A:$A,"&gt;="&amp;P$19,'Allocated Transactions'!$A:$A,"&lt;="&amp;EOMONTH(P$19,0))+SUMIFS('Allocated Transactions'!$J:$J,'Allocated Transactions'!$D:$D,$B33,'Allocated Transactions'!$C:$C,$B$4,'Allocated Transactions'!$A:$A,"&gt;="&amp;P$19,'Allocated Transactions'!$A:$A,"&lt;="&amp;EOMONTH(P$19,0))+SUMIFS('Allocated Transactions'!$J:$J,'Allocated Transactions'!$D:$D,$B33,'Allocated Transactions'!$C:$C,$B$3,'Allocated Transactions'!$A:$A,"&gt;="&amp;P$19,'Allocated Transactions'!$A:$A,"&lt;="&amp;EOMONTH(P$19,0))+SUMIFS('Allocated Transactions'!$J:$J,'Allocated Transactions'!$D:$D,$B33,'Allocated Transactions'!$C:$C,$B$5,'Allocated Transactions'!$A:$A,"&gt;="&amp;P$19,'Allocated Transactions'!$A:$A,"&lt;="&amp;EOMONTH(P$19,0))+SUMIFS('Allocated Transactions'!$J:$J,'Allocated Transactions'!$D:$D,$B33,'Allocated Transactions'!$C:$C,$B$6,'Allocated Transactions'!$A:$A,"&gt;="&amp;P$19,'Allocated Transactions'!$A:$A,"&lt;="&amp;EOMONTH(P$19,0)))</f>
        <v>3766.7000000000007</v>
      </c>
      <c r="Q33" s="84">
        <f>SUMPRODUCT(SUMIFS('Budget Data'!$J:$J,'Budget Data'!$E:$E,$B33,'Budget Data'!$C:$C,$B$7,'Budget Data'!$A:$A,"&gt;="&amp;Q$19,'Budget Data'!$A:$A,"&lt;="&amp;EOMONTH(Q$19,0))+SUMIFS('Budget Data'!$J:$J,'Budget Data'!$E:$E,$B33,'Budget Data'!$C:$C,$B$9,'Budget Data'!$A:$A,"&gt;="&amp;Q$19,'Budget Data'!$A:$A,"&lt;="&amp;EOMONTH(Q$19,0))+SUMIFS('Budget Data'!$J:$J,'Budget Data'!$E:$E,$B33,'Budget Data'!$C:$C,$B$8,'Budget Data'!$A:$A,"&gt;="&amp;Q$19,'Budget Data'!$A:$A,"&lt;="&amp;EOMONTH(Q$19,0))+SUMIFS('Budget Data'!$J:$J,'Budget Data'!$E:$E,$B33,'Budget Data'!$C:$C,$B$10,'Budget Data'!$A:$A,"&gt;="&amp;Q$19,'Budget Data'!$A:$A,"&lt;="&amp;EOMONTH(Q$19,0))+SUMIFS('Budget Data'!$J:$J,'Budget Data'!$E:$E,$B33,'Budget Data'!$C:$C,$B$11,'Budget Data'!$A:$A,"&gt;="&amp;Q$19,'Budget Data'!$A:$A,"&lt;="&amp;EOMONTH(Q$19,0))+SUMIFS('Budget Data'!$J:$J,'Budget Data'!$E:$E,$B33,'Budget Data'!$C:$C,$B$2,'Budget Data'!$A:$A,"&gt;="&amp;Q$19,'Budget Data'!$A:$A,"&lt;="&amp;EOMONTH(Q$19,0))+SUMIFS('Budget Data'!$J:$J,'Budget Data'!$E:$E,$B33,'Budget Data'!$C:$C,$B$4,'Budget Data'!$A:$A,"&gt;="&amp;Q$19,'Budget Data'!$A:$A,"&lt;="&amp;EOMONTH(Q$19,0))+SUMIFS('Budget Data'!$J:$J,'Budget Data'!$E:$E,$B33,'Budget Data'!$C:$C,$B$3,'Budget Data'!$A:$A,"&gt;="&amp;Q$19,'Budget Data'!$A:$A,"&lt;="&amp;EOMONTH(Q$19,0))+SUMIFS('Budget Data'!$J:$J,'Budget Data'!$E:$E,$B33,'Budget Data'!$C:$C,$B$5,'Budget Data'!$A:$A,"&gt;="&amp;Q$19,'Budget Data'!$A:$A,"&lt;="&amp;EOMONTH(Q$19,0))+SUMIFS('Budget Data'!$J:$J,'Budget Data'!$E:$E,$B33,'Budget Data'!$C:$C,$B$6,'Budget Data'!$A:$A,"&gt;="&amp;Q$19,'Budget Data'!$A:$A,"&lt;="&amp;EOMONTH(Q$19,0)))</f>
        <v>3600</v>
      </c>
      <c r="R33" s="86">
        <f>SUMPRODUCT(SUMIFS('Allocated Transactions'!$J:$J,'Allocated Transactions'!$D:$D,$B33,'Allocated Transactions'!$C:$C,$B$7,'Allocated Transactions'!$A:$A,"&gt;="&amp;R$19,'Allocated Transactions'!$A:$A,"&lt;="&amp;EOMONTH(R$19,0))+SUMIFS('Allocated Transactions'!$J:$J,'Allocated Transactions'!$D:$D,$B33,'Allocated Transactions'!$C:$C,$B$9,'Allocated Transactions'!$A:$A,"&gt;="&amp;R$19,'Allocated Transactions'!$A:$A,"&lt;="&amp;EOMONTH(R$19,0))+SUMIFS('Allocated Transactions'!$J:$J,'Allocated Transactions'!$D:$D,$B33,'Allocated Transactions'!$C:$C,$B$8,'Allocated Transactions'!$A:$A,"&gt;="&amp;R$19,'Allocated Transactions'!$A:$A,"&lt;="&amp;EOMONTH(R$19,0))+SUMIFS('Allocated Transactions'!$J:$J,'Allocated Transactions'!$D:$D,$B33,'Allocated Transactions'!$C:$C,$B$10,'Allocated Transactions'!$A:$A,"&gt;="&amp;R$19,'Allocated Transactions'!$A:$A,"&lt;="&amp;EOMONTH(R$19,0))+SUMIFS('Allocated Transactions'!$J:$J,'Allocated Transactions'!$D:$D,$B33,'Allocated Transactions'!$C:$C,$B$11,'Allocated Transactions'!$A:$A,"&gt;="&amp;R$19,'Allocated Transactions'!$A:$A,"&lt;="&amp;EOMONTH(R$19,0))+SUMIFS('Allocated Transactions'!$J:$J,'Allocated Transactions'!$D:$D,$B33,'Allocated Transactions'!$C:$C,$B$2,'Allocated Transactions'!$A:$A,"&gt;="&amp;R$19,'Allocated Transactions'!$A:$A,"&lt;="&amp;EOMONTH(R$19,0))+SUMIFS('Allocated Transactions'!$J:$J,'Allocated Transactions'!$D:$D,$B33,'Allocated Transactions'!$C:$C,$B$4,'Allocated Transactions'!$A:$A,"&gt;="&amp;R$19,'Allocated Transactions'!$A:$A,"&lt;="&amp;EOMONTH(R$19,0))+SUMIFS('Allocated Transactions'!$J:$J,'Allocated Transactions'!$D:$D,$B33,'Allocated Transactions'!$C:$C,$B$3,'Allocated Transactions'!$A:$A,"&gt;="&amp;R$19,'Allocated Transactions'!$A:$A,"&lt;="&amp;EOMONTH(R$19,0))+SUMIFS('Allocated Transactions'!$J:$J,'Allocated Transactions'!$D:$D,$B33,'Allocated Transactions'!$C:$C,$B$5,'Allocated Transactions'!$A:$A,"&gt;="&amp;R$19,'Allocated Transactions'!$A:$A,"&lt;="&amp;EOMONTH(R$19,0))+SUMIFS('Allocated Transactions'!$J:$J,'Allocated Transactions'!$D:$D,$B33,'Allocated Transactions'!$C:$C,$B$6,'Allocated Transactions'!$A:$A,"&gt;="&amp;R$19,'Allocated Transactions'!$A:$A,"&lt;="&amp;EOMONTH(R$19,0)))</f>
        <v>3862.4799999999987</v>
      </c>
      <c r="S33" s="84">
        <f>SUMPRODUCT(SUMIFS('Budget Data'!$J:$J,'Budget Data'!$E:$E,$B33,'Budget Data'!$C:$C,$B$7,'Budget Data'!$A:$A,"&gt;="&amp;S$19,'Budget Data'!$A:$A,"&lt;="&amp;EOMONTH(S$19,0))+SUMIFS('Budget Data'!$J:$J,'Budget Data'!$E:$E,$B33,'Budget Data'!$C:$C,$B$9,'Budget Data'!$A:$A,"&gt;="&amp;S$19,'Budget Data'!$A:$A,"&lt;="&amp;EOMONTH(S$19,0))+SUMIFS('Budget Data'!$J:$J,'Budget Data'!$E:$E,$B33,'Budget Data'!$C:$C,$B$8,'Budget Data'!$A:$A,"&gt;="&amp;S$19,'Budget Data'!$A:$A,"&lt;="&amp;EOMONTH(S$19,0))+SUMIFS('Budget Data'!$J:$J,'Budget Data'!$E:$E,$B33,'Budget Data'!$C:$C,$B$10,'Budget Data'!$A:$A,"&gt;="&amp;S$19,'Budget Data'!$A:$A,"&lt;="&amp;EOMONTH(S$19,0))+SUMIFS('Budget Data'!$J:$J,'Budget Data'!$E:$E,$B33,'Budget Data'!$C:$C,$B$11,'Budget Data'!$A:$A,"&gt;="&amp;S$19,'Budget Data'!$A:$A,"&lt;="&amp;EOMONTH(S$19,0))+SUMIFS('Budget Data'!$J:$J,'Budget Data'!$E:$E,$B33,'Budget Data'!$C:$C,$B$2,'Budget Data'!$A:$A,"&gt;="&amp;S$19,'Budget Data'!$A:$A,"&lt;="&amp;EOMONTH(S$19,0))+SUMIFS('Budget Data'!$J:$J,'Budget Data'!$E:$E,$B33,'Budget Data'!$C:$C,$B$4,'Budget Data'!$A:$A,"&gt;="&amp;S$19,'Budget Data'!$A:$A,"&lt;="&amp;EOMONTH(S$19,0))+SUMIFS('Budget Data'!$J:$J,'Budget Data'!$E:$E,$B33,'Budget Data'!$C:$C,$B$3,'Budget Data'!$A:$A,"&gt;="&amp;S$19,'Budget Data'!$A:$A,"&lt;="&amp;EOMONTH(S$19,0))+SUMIFS('Budget Data'!$J:$J,'Budget Data'!$E:$E,$B33,'Budget Data'!$C:$C,$B$5,'Budget Data'!$A:$A,"&gt;="&amp;S$19,'Budget Data'!$A:$A,"&lt;="&amp;EOMONTH(S$19,0))+SUMIFS('Budget Data'!$J:$J,'Budget Data'!$E:$E,$B33,'Budget Data'!$C:$C,$B$6,'Budget Data'!$A:$A,"&gt;="&amp;S$19,'Budget Data'!$A:$A,"&lt;="&amp;EOMONTH(S$19,0)))</f>
        <v>3800</v>
      </c>
      <c r="T33" s="86">
        <f>SUMPRODUCT(SUMIFS('Allocated Transactions'!$J:$J,'Allocated Transactions'!$D:$D,$B33,'Allocated Transactions'!$C:$C,$B$7,'Allocated Transactions'!$A:$A,"&gt;="&amp;T$19,'Allocated Transactions'!$A:$A,"&lt;="&amp;EOMONTH(T$19,0))+SUMIFS('Allocated Transactions'!$J:$J,'Allocated Transactions'!$D:$D,$B33,'Allocated Transactions'!$C:$C,$B$9,'Allocated Transactions'!$A:$A,"&gt;="&amp;T$19,'Allocated Transactions'!$A:$A,"&lt;="&amp;EOMONTH(T$19,0))+SUMIFS('Allocated Transactions'!$J:$J,'Allocated Transactions'!$D:$D,$B33,'Allocated Transactions'!$C:$C,$B$8,'Allocated Transactions'!$A:$A,"&gt;="&amp;T$19,'Allocated Transactions'!$A:$A,"&lt;="&amp;EOMONTH(T$19,0))+SUMIFS('Allocated Transactions'!$J:$J,'Allocated Transactions'!$D:$D,$B33,'Allocated Transactions'!$C:$C,$B$10,'Allocated Transactions'!$A:$A,"&gt;="&amp;T$19,'Allocated Transactions'!$A:$A,"&lt;="&amp;EOMONTH(T$19,0))+SUMIFS('Allocated Transactions'!$J:$J,'Allocated Transactions'!$D:$D,$B33,'Allocated Transactions'!$C:$C,$B$11,'Allocated Transactions'!$A:$A,"&gt;="&amp;T$19,'Allocated Transactions'!$A:$A,"&lt;="&amp;EOMONTH(T$19,0))+SUMIFS('Allocated Transactions'!$J:$J,'Allocated Transactions'!$D:$D,$B33,'Allocated Transactions'!$C:$C,$B$2,'Allocated Transactions'!$A:$A,"&gt;="&amp;T$19,'Allocated Transactions'!$A:$A,"&lt;="&amp;EOMONTH(T$19,0))+SUMIFS('Allocated Transactions'!$J:$J,'Allocated Transactions'!$D:$D,$B33,'Allocated Transactions'!$C:$C,$B$4,'Allocated Transactions'!$A:$A,"&gt;="&amp;T$19,'Allocated Transactions'!$A:$A,"&lt;="&amp;EOMONTH(T$19,0))+SUMIFS('Allocated Transactions'!$J:$J,'Allocated Transactions'!$D:$D,$B33,'Allocated Transactions'!$C:$C,$B$3,'Allocated Transactions'!$A:$A,"&gt;="&amp;T$19,'Allocated Transactions'!$A:$A,"&lt;="&amp;EOMONTH(T$19,0))+SUMIFS('Allocated Transactions'!$J:$J,'Allocated Transactions'!$D:$D,$B33,'Allocated Transactions'!$C:$C,$B$5,'Allocated Transactions'!$A:$A,"&gt;="&amp;T$19,'Allocated Transactions'!$A:$A,"&lt;="&amp;EOMONTH(T$19,0))+SUMIFS('Allocated Transactions'!$J:$J,'Allocated Transactions'!$D:$D,$B33,'Allocated Transactions'!$C:$C,$B$6,'Allocated Transactions'!$A:$A,"&gt;="&amp;T$19,'Allocated Transactions'!$A:$A,"&lt;="&amp;EOMONTH(T$19,0)))</f>
        <v>3784.5000000000005</v>
      </c>
      <c r="U33" s="84">
        <f>SUMPRODUCT(SUMIFS('Budget Data'!$J:$J,'Budget Data'!$E:$E,$B33,'Budget Data'!$C:$C,$B$7,'Budget Data'!$A:$A,"&gt;="&amp;U$19,'Budget Data'!$A:$A,"&lt;="&amp;EOMONTH(U$19,0))+SUMIFS('Budget Data'!$J:$J,'Budget Data'!$E:$E,$B33,'Budget Data'!$C:$C,$B$9,'Budget Data'!$A:$A,"&gt;="&amp;U$19,'Budget Data'!$A:$A,"&lt;="&amp;EOMONTH(U$19,0))+SUMIFS('Budget Data'!$J:$J,'Budget Data'!$E:$E,$B33,'Budget Data'!$C:$C,$B$8,'Budget Data'!$A:$A,"&gt;="&amp;U$19,'Budget Data'!$A:$A,"&lt;="&amp;EOMONTH(U$19,0))+SUMIFS('Budget Data'!$J:$J,'Budget Data'!$E:$E,$B33,'Budget Data'!$C:$C,$B$10,'Budget Data'!$A:$A,"&gt;="&amp;U$19,'Budget Data'!$A:$A,"&lt;="&amp;EOMONTH(U$19,0))+SUMIFS('Budget Data'!$J:$J,'Budget Data'!$E:$E,$B33,'Budget Data'!$C:$C,$B$11,'Budget Data'!$A:$A,"&gt;="&amp;U$19,'Budget Data'!$A:$A,"&lt;="&amp;EOMONTH(U$19,0))+SUMIFS('Budget Data'!$J:$J,'Budget Data'!$E:$E,$B33,'Budget Data'!$C:$C,$B$2,'Budget Data'!$A:$A,"&gt;="&amp;U$19,'Budget Data'!$A:$A,"&lt;="&amp;EOMONTH(U$19,0))+SUMIFS('Budget Data'!$J:$J,'Budget Data'!$E:$E,$B33,'Budget Data'!$C:$C,$B$4,'Budget Data'!$A:$A,"&gt;="&amp;U$19,'Budget Data'!$A:$A,"&lt;="&amp;EOMONTH(U$19,0))+SUMIFS('Budget Data'!$J:$J,'Budget Data'!$E:$E,$B33,'Budget Data'!$C:$C,$B$3,'Budget Data'!$A:$A,"&gt;="&amp;U$19,'Budget Data'!$A:$A,"&lt;="&amp;EOMONTH(U$19,0))+SUMIFS('Budget Data'!$J:$J,'Budget Data'!$E:$E,$B33,'Budget Data'!$C:$C,$B$5,'Budget Data'!$A:$A,"&gt;="&amp;U$19,'Budget Data'!$A:$A,"&lt;="&amp;EOMONTH(U$19,0))+SUMIFS('Budget Data'!$J:$J,'Budget Data'!$E:$E,$B33,'Budget Data'!$C:$C,$B$6,'Budget Data'!$A:$A,"&gt;="&amp;U$19,'Budget Data'!$A:$A,"&lt;="&amp;EOMONTH(U$19,0)))</f>
        <v>3700</v>
      </c>
      <c r="V33" s="86">
        <f>SUMPRODUCT(SUMIFS('Allocated Transactions'!$J:$J,'Allocated Transactions'!$D:$D,$B33,'Allocated Transactions'!$C:$C,$B$7,'Allocated Transactions'!$A:$A,"&gt;="&amp;V$19,'Allocated Transactions'!$A:$A,"&lt;="&amp;EOMONTH(V$19,0))+SUMIFS('Allocated Transactions'!$J:$J,'Allocated Transactions'!$D:$D,$B33,'Allocated Transactions'!$C:$C,$B$9,'Allocated Transactions'!$A:$A,"&gt;="&amp;V$19,'Allocated Transactions'!$A:$A,"&lt;="&amp;EOMONTH(V$19,0))+SUMIFS('Allocated Transactions'!$J:$J,'Allocated Transactions'!$D:$D,$B33,'Allocated Transactions'!$C:$C,$B$8,'Allocated Transactions'!$A:$A,"&gt;="&amp;V$19,'Allocated Transactions'!$A:$A,"&lt;="&amp;EOMONTH(V$19,0))+SUMIFS('Allocated Transactions'!$J:$J,'Allocated Transactions'!$D:$D,$B33,'Allocated Transactions'!$C:$C,$B$10,'Allocated Transactions'!$A:$A,"&gt;="&amp;V$19,'Allocated Transactions'!$A:$A,"&lt;="&amp;EOMONTH(V$19,0))+SUMIFS('Allocated Transactions'!$J:$J,'Allocated Transactions'!$D:$D,$B33,'Allocated Transactions'!$C:$C,$B$11,'Allocated Transactions'!$A:$A,"&gt;="&amp;V$19,'Allocated Transactions'!$A:$A,"&lt;="&amp;EOMONTH(V$19,0))+SUMIFS('Allocated Transactions'!$J:$J,'Allocated Transactions'!$D:$D,$B33,'Allocated Transactions'!$C:$C,$B$2,'Allocated Transactions'!$A:$A,"&gt;="&amp;V$19,'Allocated Transactions'!$A:$A,"&lt;="&amp;EOMONTH(V$19,0))+SUMIFS('Allocated Transactions'!$J:$J,'Allocated Transactions'!$D:$D,$B33,'Allocated Transactions'!$C:$C,$B$4,'Allocated Transactions'!$A:$A,"&gt;="&amp;V$19,'Allocated Transactions'!$A:$A,"&lt;="&amp;EOMONTH(V$19,0))+SUMIFS('Allocated Transactions'!$J:$J,'Allocated Transactions'!$D:$D,$B33,'Allocated Transactions'!$C:$C,$B$3,'Allocated Transactions'!$A:$A,"&gt;="&amp;V$19,'Allocated Transactions'!$A:$A,"&lt;="&amp;EOMONTH(V$19,0))+SUMIFS('Allocated Transactions'!$J:$J,'Allocated Transactions'!$D:$D,$B33,'Allocated Transactions'!$C:$C,$B$5,'Allocated Transactions'!$A:$A,"&gt;="&amp;V$19,'Allocated Transactions'!$A:$A,"&lt;="&amp;EOMONTH(V$19,0))+SUMIFS('Allocated Transactions'!$J:$J,'Allocated Transactions'!$D:$D,$B33,'Allocated Transactions'!$C:$C,$B$6,'Allocated Transactions'!$A:$A,"&gt;="&amp;V$19,'Allocated Transactions'!$A:$A,"&lt;="&amp;EOMONTH(V$19,0)))</f>
        <v>3815.46</v>
      </c>
      <c r="W33" s="84">
        <f>SUMPRODUCT(SUMIFS('Budget Data'!$J:$J,'Budget Data'!$E:$E,$B33,'Budget Data'!$C:$C,$B$7,'Budget Data'!$A:$A,"&gt;="&amp;W$19,'Budget Data'!$A:$A,"&lt;="&amp;EOMONTH(W$19,0))+SUMIFS('Budget Data'!$J:$J,'Budget Data'!$E:$E,$B33,'Budget Data'!$C:$C,$B$9,'Budget Data'!$A:$A,"&gt;="&amp;W$19,'Budget Data'!$A:$A,"&lt;="&amp;EOMONTH(W$19,0))+SUMIFS('Budget Data'!$J:$J,'Budget Data'!$E:$E,$B33,'Budget Data'!$C:$C,$B$8,'Budget Data'!$A:$A,"&gt;="&amp;W$19,'Budget Data'!$A:$A,"&lt;="&amp;EOMONTH(W$19,0))+SUMIFS('Budget Data'!$J:$J,'Budget Data'!$E:$E,$B33,'Budget Data'!$C:$C,$B$10,'Budget Data'!$A:$A,"&gt;="&amp;W$19,'Budget Data'!$A:$A,"&lt;="&amp;EOMONTH(W$19,0))+SUMIFS('Budget Data'!$J:$J,'Budget Data'!$E:$E,$B33,'Budget Data'!$C:$C,$B$11,'Budget Data'!$A:$A,"&gt;="&amp;W$19,'Budget Data'!$A:$A,"&lt;="&amp;EOMONTH(W$19,0))+SUMIFS('Budget Data'!$J:$J,'Budget Data'!$E:$E,$B33,'Budget Data'!$C:$C,$B$2,'Budget Data'!$A:$A,"&gt;="&amp;W$19,'Budget Data'!$A:$A,"&lt;="&amp;EOMONTH(W$19,0))+SUMIFS('Budget Data'!$J:$J,'Budget Data'!$E:$E,$B33,'Budget Data'!$C:$C,$B$4,'Budget Data'!$A:$A,"&gt;="&amp;W$19,'Budget Data'!$A:$A,"&lt;="&amp;EOMONTH(W$19,0))+SUMIFS('Budget Data'!$J:$J,'Budget Data'!$E:$E,$B33,'Budget Data'!$C:$C,$B$3,'Budget Data'!$A:$A,"&gt;="&amp;W$19,'Budget Data'!$A:$A,"&lt;="&amp;EOMONTH(W$19,0))+SUMIFS('Budget Data'!$J:$J,'Budget Data'!$E:$E,$B33,'Budget Data'!$C:$C,$B$5,'Budget Data'!$A:$A,"&gt;="&amp;W$19,'Budget Data'!$A:$A,"&lt;="&amp;EOMONTH(W$19,0))+SUMIFS('Budget Data'!$J:$J,'Budget Data'!$E:$E,$B33,'Budget Data'!$C:$C,$B$6,'Budget Data'!$A:$A,"&gt;="&amp;W$19,'Budget Data'!$A:$A,"&lt;="&amp;EOMONTH(W$19,0)))</f>
        <v>3700</v>
      </c>
      <c r="X33" s="86">
        <f>SUMPRODUCT(SUMIFS('Allocated Transactions'!$J:$J,'Allocated Transactions'!$D:$D,$B33,'Allocated Transactions'!$C:$C,$B$7,'Allocated Transactions'!$A:$A,"&gt;="&amp;X$19,'Allocated Transactions'!$A:$A,"&lt;="&amp;EOMONTH(X$19,0))+SUMIFS('Allocated Transactions'!$J:$J,'Allocated Transactions'!$D:$D,$B33,'Allocated Transactions'!$C:$C,$B$9,'Allocated Transactions'!$A:$A,"&gt;="&amp;X$19,'Allocated Transactions'!$A:$A,"&lt;="&amp;EOMONTH(X$19,0))+SUMIFS('Allocated Transactions'!$J:$J,'Allocated Transactions'!$D:$D,$B33,'Allocated Transactions'!$C:$C,$B$8,'Allocated Transactions'!$A:$A,"&gt;="&amp;X$19,'Allocated Transactions'!$A:$A,"&lt;="&amp;EOMONTH(X$19,0))+SUMIFS('Allocated Transactions'!$J:$J,'Allocated Transactions'!$D:$D,$B33,'Allocated Transactions'!$C:$C,$B$10,'Allocated Transactions'!$A:$A,"&gt;="&amp;X$19,'Allocated Transactions'!$A:$A,"&lt;="&amp;EOMONTH(X$19,0))+SUMIFS('Allocated Transactions'!$J:$J,'Allocated Transactions'!$D:$D,$B33,'Allocated Transactions'!$C:$C,$B$11,'Allocated Transactions'!$A:$A,"&gt;="&amp;X$19,'Allocated Transactions'!$A:$A,"&lt;="&amp;EOMONTH(X$19,0))+SUMIFS('Allocated Transactions'!$J:$J,'Allocated Transactions'!$D:$D,$B33,'Allocated Transactions'!$C:$C,$B$2,'Allocated Transactions'!$A:$A,"&gt;="&amp;X$19,'Allocated Transactions'!$A:$A,"&lt;="&amp;EOMONTH(X$19,0))+SUMIFS('Allocated Transactions'!$J:$J,'Allocated Transactions'!$D:$D,$B33,'Allocated Transactions'!$C:$C,$B$4,'Allocated Transactions'!$A:$A,"&gt;="&amp;X$19,'Allocated Transactions'!$A:$A,"&lt;="&amp;EOMONTH(X$19,0))+SUMIFS('Allocated Transactions'!$J:$J,'Allocated Transactions'!$D:$D,$B33,'Allocated Transactions'!$C:$C,$B$3,'Allocated Transactions'!$A:$A,"&gt;="&amp;X$19,'Allocated Transactions'!$A:$A,"&lt;="&amp;EOMONTH(X$19,0))+SUMIFS('Allocated Transactions'!$J:$J,'Allocated Transactions'!$D:$D,$B33,'Allocated Transactions'!$C:$C,$B$5,'Allocated Transactions'!$A:$A,"&gt;="&amp;X$19,'Allocated Transactions'!$A:$A,"&lt;="&amp;EOMONTH(X$19,0))+SUMIFS('Allocated Transactions'!$J:$J,'Allocated Transactions'!$D:$D,$B33,'Allocated Transactions'!$C:$C,$B$6,'Allocated Transactions'!$A:$A,"&gt;="&amp;X$19,'Allocated Transactions'!$A:$A,"&lt;="&amp;EOMONTH(X$19,0)))</f>
        <v>3565.9300000000026</v>
      </c>
      <c r="Y33" s="84">
        <f>SUMPRODUCT(SUMIFS('Budget Data'!$J:$J,'Budget Data'!$E:$E,$B33,'Budget Data'!$C:$C,$B$7,'Budget Data'!$A:$A,"&gt;="&amp;Y$19,'Budget Data'!$A:$A,"&lt;="&amp;EOMONTH(Y$19,0))+SUMIFS('Budget Data'!$J:$J,'Budget Data'!$E:$E,$B33,'Budget Data'!$C:$C,$B$9,'Budget Data'!$A:$A,"&gt;="&amp;Y$19,'Budget Data'!$A:$A,"&lt;="&amp;EOMONTH(Y$19,0))+SUMIFS('Budget Data'!$J:$J,'Budget Data'!$E:$E,$B33,'Budget Data'!$C:$C,$B$8,'Budget Data'!$A:$A,"&gt;="&amp;Y$19,'Budget Data'!$A:$A,"&lt;="&amp;EOMONTH(Y$19,0))+SUMIFS('Budget Data'!$J:$J,'Budget Data'!$E:$E,$B33,'Budget Data'!$C:$C,$B$10,'Budget Data'!$A:$A,"&gt;="&amp;Y$19,'Budget Data'!$A:$A,"&lt;="&amp;EOMONTH(Y$19,0))+SUMIFS('Budget Data'!$J:$J,'Budget Data'!$E:$E,$B33,'Budget Data'!$C:$C,$B$11,'Budget Data'!$A:$A,"&gt;="&amp;Y$19,'Budget Data'!$A:$A,"&lt;="&amp;EOMONTH(Y$19,0))+SUMIFS('Budget Data'!$J:$J,'Budget Data'!$E:$E,$B33,'Budget Data'!$C:$C,$B$2,'Budget Data'!$A:$A,"&gt;="&amp;Y$19,'Budget Data'!$A:$A,"&lt;="&amp;EOMONTH(Y$19,0))+SUMIFS('Budget Data'!$J:$J,'Budget Data'!$E:$E,$B33,'Budget Data'!$C:$C,$B$4,'Budget Data'!$A:$A,"&gt;="&amp;Y$19,'Budget Data'!$A:$A,"&lt;="&amp;EOMONTH(Y$19,0))+SUMIFS('Budget Data'!$J:$J,'Budget Data'!$E:$E,$B33,'Budget Data'!$C:$C,$B$3,'Budget Data'!$A:$A,"&gt;="&amp;Y$19,'Budget Data'!$A:$A,"&lt;="&amp;EOMONTH(Y$19,0))+SUMIFS('Budget Data'!$J:$J,'Budget Data'!$E:$E,$B33,'Budget Data'!$C:$C,$B$5,'Budget Data'!$A:$A,"&gt;="&amp;Y$19,'Budget Data'!$A:$A,"&lt;="&amp;EOMONTH(Y$19,0))+SUMIFS('Budget Data'!$J:$J,'Budget Data'!$E:$E,$B33,'Budget Data'!$C:$C,$B$6,'Budget Data'!$A:$A,"&gt;="&amp;Y$19,'Budget Data'!$A:$A,"&lt;="&amp;EOMONTH(Y$19,0)))</f>
        <v>3500</v>
      </c>
      <c r="Z33" s="86">
        <f>SUMPRODUCT(SUMIFS('Allocated Transactions'!$J:$J,'Allocated Transactions'!$D:$D,$B33,'Allocated Transactions'!$C:$C,$B$7,'Allocated Transactions'!$A:$A,"&gt;="&amp;Z$19,'Allocated Transactions'!$A:$A,"&lt;="&amp;EOMONTH(Z$19,0))+SUMIFS('Allocated Transactions'!$J:$J,'Allocated Transactions'!$D:$D,$B33,'Allocated Transactions'!$C:$C,$B$9,'Allocated Transactions'!$A:$A,"&gt;="&amp;Z$19,'Allocated Transactions'!$A:$A,"&lt;="&amp;EOMONTH(Z$19,0))+SUMIFS('Allocated Transactions'!$J:$J,'Allocated Transactions'!$D:$D,$B33,'Allocated Transactions'!$C:$C,$B$8,'Allocated Transactions'!$A:$A,"&gt;="&amp;Z$19,'Allocated Transactions'!$A:$A,"&lt;="&amp;EOMONTH(Z$19,0))+SUMIFS('Allocated Transactions'!$J:$J,'Allocated Transactions'!$D:$D,$B33,'Allocated Transactions'!$C:$C,$B$10,'Allocated Transactions'!$A:$A,"&gt;="&amp;Z$19,'Allocated Transactions'!$A:$A,"&lt;="&amp;EOMONTH(Z$19,0))+SUMIFS('Allocated Transactions'!$J:$J,'Allocated Transactions'!$D:$D,$B33,'Allocated Transactions'!$C:$C,$B$11,'Allocated Transactions'!$A:$A,"&gt;="&amp;Z$19,'Allocated Transactions'!$A:$A,"&lt;="&amp;EOMONTH(Z$19,0))+SUMIFS('Allocated Transactions'!$J:$J,'Allocated Transactions'!$D:$D,$B33,'Allocated Transactions'!$C:$C,$B$2,'Allocated Transactions'!$A:$A,"&gt;="&amp;Z$19,'Allocated Transactions'!$A:$A,"&lt;="&amp;EOMONTH(Z$19,0))+SUMIFS('Allocated Transactions'!$J:$J,'Allocated Transactions'!$D:$D,$B33,'Allocated Transactions'!$C:$C,$B$4,'Allocated Transactions'!$A:$A,"&gt;="&amp;Z$19,'Allocated Transactions'!$A:$A,"&lt;="&amp;EOMONTH(Z$19,0))+SUMIFS('Allocated Transactions'!$J:$J,'Allocated Transactions'!$D:$D,$B33,'Allocated Transactions'!$C:$C,$B$3,'Allocated Transactions'!$A:$A,"&gt;="&amp;Z$19,'Allocated Transactions'!$A:$A,"&lt;="&amp;EOMONTH(Z$19,0))+SUMIFS('Allocated Transactions'!$J:$J,'Allocated Transactions'!$D:$D,$B33,'Allocated Transactions'!$C:$C,$B$5,'Allocated Transactions'!$A:$A,"&gt;="&amp;Z$19,'Allocated Transactions'!$A:$A,"&lt;="&amp;EOMONTH(Z$19,0))+SUMIFS('Allocated Transactions'!$J:$J,'Allocated Transactions'!$D:$D,$B33,'Allocated Transactions'!$C:$C,$B$6,'Allocated Transactions'!$A:$A,"&gt;="&amp;Z$19,'Allocated Transactions'!$A:$A,"&lt;="&amp;EOMONTH(Z$19,0)))</f>
        <v>3731.35</v>
      </c>
      <c r="AA33" s="84">
        <f>SUMPRODUCT(SUMIFS('Budget Data'!$J:$J,'Budget Data'!$E:$E,$B33,'Budget Data'!$C:$C,$B$7,'Budget Data'!$A:$A,"&gt;="&amp;AA$19,'Budget Data'!$A:$A,"&lt;="&amp;EOMONTH(AA$19,0))+SUMIFS('Budget Data'!$J:$J,'Budget Data'!$E:$E,$B33,'Budget Data'!$C:$C,$B$9,'Budget Data'!$A:$A,"&gt;="&amp;AA$19,'Budget Data'!$A:$A,"&lt;="&amp;EOMONTH(AA$19,0))+SUMIFS('Budget Data'!$J:$J,'Budget Data'!$E:$E,$B33,'Budget Data'!$C:$C,$B$8,'Budget Data'!$A:$A,"&gt;="&amp;AA$19,'Budget Data'!$A:$A,"&lt;="&amp;EOMONTH(AA$19,0))+SUMIFS('Budget Data'!$J:$J,'Budget Data'!$E:$E,$B33,'Budget Data'!$C:$C,$B$10,'Budget Data'!$A:$A,"&gt;="&amp;AA$19,'Budget Data'!$A:$A,"&lt;="&amp;EOMONTH(AA$19,0))+SUMIFS('Budget Data'!$J:$J,'Budget Data'!$E:$E,$B33,'Budget Data'!$C:$C,$B$11,'Budget Data'!$A:$A,"&gt;="&amp;AA$19,'Budget Data'!$A:$A,"&lt;="&amp;EOMONTH(AA$19,0))+SUMIFS('Budget Data'!$J:$J,'Budget Data'!$E:$E,$B33,'Budget Data'!$C:$C,$B$2,'Budget Data'!$A:$A,"&gt;="&amp;AA$19,'Budget Data'!$A:$A,"&lt;="&amp;EOMONTH(AA$19,0))+SUMIFS('Budget Data'!$J:$J,'Budget Data'!$E:$E,$B33,'Budget Data'!$C:$C,$B$4,'Budget Data'!$A:$A,"&gt;="&amp;AA$19,'Budget Data'!$A:$A,"&lt;="&amp;EOMONTH(AA$19,0))+SUMIFS('Budget Data'!$J:$J,'Budget Data'!$E:$E,$B33,'Budget Data'!$C:$C,$B$3,'Budget Data'!$A:$A,"&gt;="&amp;AA$19,'Budget Data'!$A:$A,"&lt;="&amp;EOMONTH(AA$19,0))+SUMIFS('Budget Data'!$J:$J,'Budget Data'!$E:$E,$B33,'Budget Data'!$C:$C,$B$5,'Budget Data'!$A:$A,"&gt;="&amp;AA$19,'Budget Data'!$A:$A,"&lt;="&amp;EOMONTH(AA$19,0))+SUMIFS('Budget Data'!$J:$J,'Budget Data'!$E:$E,$B33,'Budget Data'!$C:$C,$B$6,'Budget Data'!$A:$A,"&gt;="&amp;AA$19,'Budget Data'!$A:$A,"&lt;="&amp;EOMONTH(AA$19,0)))</f>
        <v>3700</v>
      </c>
      <c r="AC33" s="87">
        <f t="shared" si="2"/>
        <v>45207.53</v>
      </c>
      <c r="AD33" s="84">
        <f t="shared" si="2"/>
        <v>44400</v>
      </c>
    </row>
    <row r="34" spans="2:30" ht="15" customHeight="1">
      <c r="B34" s="12" t="str">
        <v>5100</v>
      </c>
      <c r="C34" s="160" t="str">
        <f>_xlfn.XLOOKUP(B34,'Allocated Transactions'!D:D,'Allocated Transactions'!E:E,"")</f>
        <v>Contract Labor / Consultants</v>
      </c>
      <c r="D34" s="86">
        <f>SUMPRODUCT(SUMIFS('Allocated Transactions'!$J:$J,'Allocated Transactions'!$D:$D,$B34,'Allocated Transactions'!$C:$C,$B$7,'Allocated Transactions'!$A:$A,"&gt;="&amp;D$19,'Allocated Transactions'!$A:$A,"&lt;="&amp;EOMONTH(D$19,0))+SUMIFS('Allocated Transactions'!$J:$J,'Allocated Transactions'!$D:$D,$B34,'Allocated Transactions'!$C:$C,$B$9,'Allocated Transactions'!$A:$A,"&gt;="&amp;D$19,'Allocated Transactions'!$A:$A,"&lt;="&amp;EOMONTH(D$19,0))+SUMIFS('Allocated Transactions'!$J:$J,'Allocated Transactions'!$D:$D,$B34,'Allocated Transactions'!$C:$C,$B$8,'Allocated Transactions'!$A:$A,"&gt;="&amp;D$19,'Allocated Transactions'!$A:$A,"&lt;="&amp;EOMONTH(D$19,0))+SUMIFS('Allocated Transactions'!$J:$J,'Allocated Transactions'!$D:$D,$B34,'Allocated Transactions'!$C:$C,$B$10,'Allocated Transactions'!$A:$A,"&gt;="&amp;D$19,'Allocated Transactions'!$A:$A,"&lt;="&amp;EOMONTH(D$19,0))+SUMIFS('Allocated Transactions'!$J:$J,'Allocated Transactions'!$D:$D,$B34,'Allocated Transactions'!$C:$C,$B$11,'Allocated Transactions'!$A:$A,"&gt;="&amp;D$19,'Allocated Transactions'!$A:$A,"&lt;="&amp;EOMONTH(D$19,0))+SUMIFS('Allocated Transactions'!$J:$J,'Allocated Transactions'!$D:$D,$B34,'Allocated Transactions'!$C:$C,$B$2,'Allocated Transactions'!$A:$A,"&gt;="&amp;D$19,'Allocated Transactions'!$A:$A,"&lt;="&amp;EOMONTH(D$19,0))+SUMIFS('Allocated Transactions'!$J:$J,'Allocated Transactions'!$D:$D,$B34,'Allocated Transactions'!$C:$C,$B$4,'Allocated Transactions'!$A:$A,"&gt;="&amp;D$19,'Allocated Transactions'!$A:$A,"&lt;="&amp;EOMONTH(D$19,0))+SUMIFS('Allocated Transactions'!$J:$J,'Allocated Transactions'!$D:$D,$B34,'Allocated Transactions'!$C:$C,$B$3,'Allocated Transactions'!$A:$A,"&gt;="&amp;D$19,'Allocated Transactions'!$A:$A,"&lt;="&amp;EOMONTH(D$19,0))+SUMIFS('Allocated Transactions'!$J:$J,'Allocated Transactions'!$D:$D,$B34,'Allocated Transactions'!$C:$C,$B$5,'Allocated Transactions'!$A:$A,"&gt;="&amp;D$19,'Allocated Transactions'!$A:$A,"&lt;="&amp;EOMONTH(D$19,0))+SUMIFS('Allocated Transactions'!$J:$J,'Allocated Transactions'!$D:$D,$B34,'Allocated Transactions'!$C:$C,$B$6,'Allocated Transactions'!$A:$A,"&gt;="&amp;D$19,'Allocated Transactions'!$A:$A,"&lt;="&amp;EOMONTH(D$19,0)))</f>
        <v>0</v>
      </c>
      <c r="E34" s="84">
        <f>SUMPRODUCT(SUMIFS('Budget Data'!$J:$J,'Budget Data'!$E:$E,$B34,'Budget Data'!$C:$C,$B$7,'Budget Data'!$A:$A,"&gt;="&amp;E$19,'Budget Data'!$A:$A,"&lt;="&amp;EOMONTH(E$19,0))+SUMIFS('Budget Data'!$J:$J,'Budget Data'!$E:$E,$B34,'Budget Data'!$C:$C,$B$9,'Budget Data'!$A:$A,"&gt;="&amp;E$19,'Budget Data'!$A:$A,"&lt;="&amp;EOMONTH(E$19,0))+SUMIFS('Budget Data'!$J:$J,'Budget Data'!$E:$E,$B34,'Budget Data'!$C:$C,$B$8,'Budget Data'!$A:$A,"&gt;="&amp;E$19,'Budget Data'!$A:$A,"&lt;="&amp;EOMONTH(E$19,0))+SUMIFS('Budget Data'!$J:$J,'Budget Data'!$E:$E,$B34,'Budget Data'!$C:$C,$B$10,'Budget Data'!$A:$A,"&gt;="&amp;E$19,'Budget Data'!$A:$A,"&lt;="&amp;EOMONTH(E$19,0))+SUMIFS('Budget Data'!$J:$J,'Budget Data'!$E:$E,$B34,'Budget Data'!$C:$C,$B$11,'Budget Data'!$A:$A,"&gt;="&amp;E$19,'Budget Data'!$A:$A,"&lt;="&amp;EOMONTH(E$19,0))+SUMIFS('Budget Data'!$J:$J,'Budget Data'!$E:$E,$B34,'Budget Data'!$C:$C,$B$2,'Budget Data'!$A:$A,"&gt;="&amp;E$19,'Budget Data'!$A:$A,"&lt;="&amp;EOMONTH(E$19,0))+SUMIFS('Budget Data'!$J:$J,'Budget Data'!$E:$E,$B34,'Budget Data'!$C:$C,$B$4,'Budget Data'!$A:$A,"&gt;="&amp;E$19,'Budget Data'!$A:$A,"&lt;="&amp;EOMONTH(E$19,0))+SUMIFS('Budget Data'!$J:$J,'Budget Data'!$E:$E,$B34,'Budget Data'!$C:$C,$B$3,'Budget Data'!$A:$A,"&gt;="&amp;E$19,'Budget Data'!$A:$A,"&lt;="&amp;EOMONTH(E$19,0))+SUMIFS('Budget Data'!$J:$J,'Budget Data'!$E:$E,$B34,'Budget Data'!$C:$C,$B$5,'Budget Data'!$A:$A,"&gt;="&amp;E$19,'Budget Data'!$A:$A,"&lt;="&amp;EOMONTH(E$19,0))+SUMIFS('Budget Data'!$J:$J,'Budget Data'!$E:$E,$B34,'Budget Data'!$C:$C,$B$6,'Budget Data'!$A:$A,"&gt;="&amp;E$19,'Budget Data'!$A:$A,"&lt;="&amp;EOMONTH(E$19,0)))</f>
        <v>0</v>
      </c>
      <c r="F34" s="86">
        <f>SUMPRODUCT(SUMIFS('Allocated Transactions'!$J:$J,'Allocated Transactions'!$D:$D,$B34,'Allocated Transactions'!$C:$C,$B$7,'Allocated Transactions'!$A:$A,"&gt;="&amp;F$19,'Allocated Transactions'!$A:$A,"&lt;="&amp;EOMONTH(F$19,0))+SUMIFS('Allocated Transactions'!$J:$J,'Allocated Transactions'!$D:$D,$B34,'Allocated Transactions'!$C:$C,$B$9,'Allocated Transactions'!$A:$A,"&gt;="&amp;F$19,'Allocated Transactions'!$A:$A,"&lt;="&amp;EOMONTH(F$19,0))+SUMIFS('Allocated Transactions'!$J:$J,'Allocated Transactions'!$D:$D,$B34,'Allocated Transactions'!$C:$C,$B$8,'Allocated Transactions'!$A:$A,"&gt;="&amp;F$19,'Allocated Transactions'!$A:$A,"&lt;="&amp;EOMONTH(F$19,0))+SUMIFS('Allocated Transactions'!$J:$J,'Allocated Transactions'!$D:$D,$B34,'Allocated Transactions'!$C:$C,$B$10,'Allocated Transactions'!$A:$A,"&gt;="&amp;F$19,'Allocated Transactions'!$A:$A,"&lt;="&amp;EOMONTH(F$19,0))+SUMIFS('Allocated Transactions'!$J:$J,'Allocated Transactions'!$D:$D,$B34,'Allocated Transactions'!$C:$C,$B$11,'Allocated Transactions'!$A:$A,"&gt;="&amp;F$19,'Allocated Transactions'!$A:$A,"&lt;="&amp;EOMONTH(F$19,0))+SUMIFS('Allocated Transactions'!$J:$J,'Allocated Transactions'!$D:$D,$B34,'Allocated Transactions'!$C:$C,$B$2,'Allocated Transactions'!$A:$A,"&gt;="&amp;F$19,'Allocated Transactions'!$A:$A,"&lt;="&amp;EOMONTH(F$19,0))+SUMIFS('Allocated Transactions'!$J:$J,'Allocated Transactions'!$D:$D,$B34,'Allocated Transactions'!$C:$C,$B$4,'Allocated Transactions'!$A:$A,"&gt;="&amp;F$19,'Allocated Transactions'!$A:$A,"&lt;="&amp;EOMONTH(F$19,0))+SUMIFS('Allocated Transactions'!$J:$J,'Allocated Transactions'!$D:$D,$B34,'Allocated Transactions'!$C:$C,$B$3,'Allocated Transactions'!$A:$A,"&gt;="&amp;F$19,'Allocated Transactions'!$A:$A,"&lt;="&amp;EOMONTH(F$19,0))+SUMIFS('Allocated Transactions'!$J:$J,'Allocated Transactions'!$D:$D,$B34,'Allocated Transactions'!$C:$C,$B$5,'Allocated Transactions'!$A:$A,"&gt;="&amp;F$19,'Allocated Transactions'!$A:$A,"&lt;="&amp;EOMONTH(F$19,0))+SUMIFS('Allocated Transactions'!$J:$J,'Allocated Transactions'!$D:$D,$B34,'Allocated Transactions'!$C:$C,$B$6,'Allocated Transactions'!$A:$A,"&gt;="&amp;F$19,'Allocated Transactions'!$A:$A,"&lt;="&amp;EOMONTH(F$19,0)))</f>
        <v>0</v>
      </c>
      <c r="G34" s="84">
        <f>SUMPRODUCT(SUMIFS('Budget Data'!$J:$J,'Budget Data'!$E:$E,$B34,'Budget Data'!$C:$C,$B$7,'Budget Data'!$A:$A,"&gt;="&amp;G$19,'Budget Data'!$A:$A,"&lt;="&amp;EOMONTH(G$19,0))+SUMIFS('Budget Data'!$J:$J,'Budget Data'!$E:$E,$B34,'Budget Data'!$C:$C,$B$9,'Budget Data'!$A:$A,"&gt;="&amp;G$19,'Budget Data'!$A:$A,"&lt;="&amp;EOMONTH(G$19,0))+SUMIFS('Budget Data'!$J:$J,'Budget Data'!$E:$E,$B34,'Budget Data'!$C:$C,$B$8,'Budget Data'!$A:$A,"&gt;="&amp;G$19,'Budget Data'!$A:$A,"&lt;="&amp;EOMONTH(G$19,0))+SUMIFS('Budget Data'!$J:$J,'Budget Data'!$E:$E,$B34,'Budget Data'!$C:$C,$B$10,'Budget Data'!$A:$A,"&gt;="&amp;G$19,'Budget Data'!$A:$A,"&lt;="&amp;EOMONTH(G$19,0))+SUMIFS('Budget Data'!$J:$J,'Budget Data'!$E:$E,$B34,'Budget Data'!$C:$C,$B$11,'Budget Data'!$A:$A,"&gt;="&amp;G$19,'Budget Data'!$A:$A,"&lt;="&amp;EOMONTH(G$19,0))+SUMIFS('Budget Data'!$J:$J,'Budget Data'!$E:$E,$B34,'Budget Data'!$C:$C,$B$2,'Budget Data'!$A:$A,"&gt;="&amp;G$19,'Budget Data'!$A:$A,"&lt;="&amp;EOMONTH(G$19,0))+SUMIFS('Budget Data'!$J:$J,'Budget Data'!$E:$E,$B34,'Budget Data'!$C:$C,$B$4,'Budget Data'!$A:$A,"&gt;="&amp;G$19,'Budget Data'!$A:$A,"&lt;="&amp;EOMONTH(G$19,0))+SUMIFS('Budget Data'!$J:$J,'Budget Data'!$E:$E,$B34,'Budget Data'!$C:$C,$B$3,'Budget Data'!$A:$A,"&gt;="&amp;G$19,'Budget Data'!$A:$A,"&lt;="&amp;EOMONTH(G$19,0))+SUMIFS('Budget Data'!$J:$J,'Budget Data'!$E:$E,$B34,'Budget Data'!$C:$C,$B$5,'Budget Data'!$A:$A,"&gt;="&amp;G$19,'Budget Data'!$A:$A,"&lt;="&amp;EOMONTH(G$19,0))+SUMIFS('Budget Data'!$J:$J,'Budget Data'!$E:$E,$B34,'Budget Data'!$C:$C,$B$6,'Budget Data'!$A:$A,"&gt;="&amp;G$19,'Budget Data'!$A:$A,"&lt;="&amp;EOMONTH(G$19,0)))</f>
        <v>0</v>
      </c>
      <c r="H34" s="86">
        <f>SUMPRODUCT(SUMIFS('Allocated Transactions'!$J:$J,'Allocated Transactions'!$D:$D,$B34,'Allocated Transactions'!$C:$C,$B$7,'Allocated Transactions'!$A:$A,"&gt;="&amp;H$19,'Allocated Transactions'!$A:$A,"&lt;="&amp;EOMONTH(H$19,0))+SUMIFS('Allocated Transactions'!$J:$J,'Allocated Transactions'!$D:$D,$B34,'Allocated Transactions'!$C:$C,$B$9,'Allocated Transactions'!$A:$A,"&gt;="&amp;H$19,'Allocated Transactions'!$A:$A,"&lt;="&amp;EOMONTH(H$19,0))+SUMIFS('Allocated Transactions'!$J:$J,'Allocated Transactions'!$D:$D,$B34,'Allocated Transactions'!$C:$C,$B$8,'Allocated Transactions'!$A:$A,"&gt;="&amp;H$19,'Allocated Transactions'!$A:$A,"&lt;="&amp;EOMONTH(H$19,0))+SUMIFS('Allocated Transactions'!$J:$J,'Allocated Transactions'!$D:$D,$B34,'Allocated Transactions'!$C:$C,$B$10,'Allocated Transactions'!$A:$A,"&gt;="&amp;H$19,'Allocated Transactions'!$A:$A,"&lt;="&amp;EOMONTH(H$19,0))+SUMIFS('Allocated Transactions'!$J:$J,'Allocated Transactions'!$D:$D,$B34,'Allocated Transactions'!$C:$C,$B$11,'Allocated Transactions'!$A:$A,"&gt;="&amp;H$19,'Allocated Transactions'!$A:$A,"&lt;="&amp;EOMONTH(H$19,0))+SUMIFS('Allocated Transactions'!$J:$J,'Allocated Transactions'!$D:$D,$B34,'Allocated Transactions'!$C:$C,$B$2,'Allocated Transactions'!$A:$A,"&gt;="&amp;H$19,'Allocated Transactions'!$A:$A,"&lt;="&amp;EOMONTH(H$19,0))+SUMIFS('Allocated Transactions'!$J:$J,'Allocated Transactions'!$D:$D,$B34,'Allocated Transactions'!$C:$C,$B$4,'Allocated Transactions'!$A:$A,"&gt;="&amp;H$19,'Allocated Transactions'!$A:$A,"&lt;="&amp;EOMONTH(H$19,0))+SUMIFS('Allocated Transactions'!$J:$J,'Allocated Transactions'!$D:$D,$B34,'Allocated Transactions'!$C:$C,$B$3,'Allocated Transactions'!$A:$A,"&gt;="&amp;H$19,'Allocated Transactions'!$A:$A,"&lt;="&amp;EOMONTH(H$19,0))+SUMIFS('Allocated Transactions'!$J:$J,'Allocated Transactions'!$D:$D,$B34,'Allocated Transactions'!$C:$C,$B$5,'Allocated Transactions'!$A:$A,"&gt;="&amp;H$19,'Allocated Transactions'!$A:$A,"&lt;="&amp;EOMONTH(H$19,0))+SUMIFS('Allocated Transactions'!$J:$J,'Allocated Transactions'!$D:$D,$B34,'Allocated Transactions'!$C:$C,$B$6,'Allocated Transactions'!$A:$A,"&gt;="&amp;H$19,'Allocated Transactions'!$A:$A,"&lt;="&amp;EOMONTH(H$19,0)))</f>
        <v>0</v>
      </c>
      <c r="I34" s="84">
        <f>SUMPRODUCT(SUMIFS('Budget Data'!$J:$J,'Budget Data'!$E:$E,$B34,'Budget Data'!$C:$C,$B$7,'Budget Data'!$A:$A,"&gt;="&amp;I$19,'Budget Data'!$A:$A,"&lt;="&amp;EOMONTH(I$19,0))+SUMIFS('Budget Data'!$J:$J,'Budget Data'!$E:$E,$B34,'Budget Data'!$C:$C,$B$9,'Budget Data'!$A:$A,"&gt;="&amp;I$19,'Budget Data'!$A:$A,"&lt;="&amp;EOMONTH(I$19,0))+SUMIFS('Budget Data'!$J:$J,'Budget Data'!$E:$E,$B34,'Budget Data'!$C:$C,$B$8,'Budget Data'!$A:$A,"&gt;="&amp;I$19,'Budget Data'!$A:$A,"&lt;="&amp;EOMONTH(I$19,0))+SUMIFS('Budget Data'!$J:$J,'Budget Data'!$E:$E,$B34,'Budget Data'!$C:$C,$B$10,'Budget Data'!$A:$A,"&gt;="&amp;I$19,'Budget Data'!$A:$A,"&lt;="&amp;EOMONTH(I$19,0))+SUMIFS('Budget Data'!$J:$J,'Budget Data'!$E:$E,$B34,'Budget Data'!$C:$C,$B$11,'Budget Data'!$A:$A,"&gt;="&amp;I$19,'Budget Data'!$A:$A,"&lt;="&amp;EOMONTH(I$19,0))+SUMIFS('Budget Data'!$J:$J,'Budget Data'!$E:$E,$B34,'Budget Data'!$C:$C,$B$2,'Budget Data'!$A:$A,"&gt;="&amp;I$19,'Budget Data'!$A:$A,"&lt;="&amp;EOMONTH(I$19,0))+SUMIFS('Budget Data'!$J:$J,'Budget Data'!$E:$E,$B34,'Budget Data'!$C:$C,$B$4,'Budget Data'!$A:$A,"&gt;="&amp;I$19,'Budget Data'!$A:$A,"&lt;="&amp;EOMONTH(I$19,0))+SUMIFS('Budget Data'!$J:$J,'Budget Data'!$E:$E,$B34,'Budget Data'!$C:$C,$B$3,'Budget Data'!$A:$A,"&gt;="&amp;I$19,'Budget Data'!$A:$A,"&lt;="&amp;EOMONTH(I$19,0))+SUMIFS('Budget Data'!$J:$J,'Budget Data'!$E:$E,$B34,'Budget Data'!$C:$C,$B$5,'Budget Data'!$A:$A,"&gt;="&amp;I$19,'Budget Data'!$A:$A,"&lt;="&amp;EOMONTH(I$19,0))+SUMIFS('Budget Data'!$J:$J,'Budget Data'!$E:$E,$B34,'Budget Data'!$C:$C,$B$6,'Budget Data'!$A:$A,"&gt;="&amp;I$19,'Budget Data'!$A:$A,"&lt;="&amp;EOMONTH(I$19,0)))</f>
        <v>0</v>
      </c>
      <c r="J34" s="86">
        <f>SUMPRODUCT(SUMIFS('Allocated Transactions'!$J:$J,'Allocated Transactions'!$D:$D,$B34,'Allocated Transactions'!$C:$C,$B$7,'Allocated Transactions'!$A:$A,"&gt;="&amp;J$19,'Allocated Transactions'!$A:$A,"&lt;="&amp;EOMONTH(J$19,0))+SUMIFS('Allocated Transactions'!$J:$J,'Allocated Transactions'!$D:$D,$B34,'Allocated Transactions'!$C:$C,$B$9,'Allocated Transactions'!$A:$A,"&gt;="&amp;J$19,'Allocated Transactions'!$A:$A,"&lt;="&amp;EOMONTH(J$19,0))+SUMIFS('Allocated Transactions'!$J:$J,'Allocated Transactions'!$D:$D,$B34,'Allocated Transactions'!$C:$C,$B$8,'Allocated Transactions'!$A:$A,"&gt;="&amp;J$19,'Allocated Transactions'!$A:$A,"&lt;="&amp;EOMONTH(J$19,0))+SUMIFS('Allocated Transactions'!$J:$J,'Allocated Transactions'!$D:$D,$B34,'Allocated Transactions'!$C:$C,$B$10,'Allocated Transactions'!$A:$A,"&gt;="&amp;J$19,'Allocated Transactions'!$A:$A,"&lt;="&amp;EOMONTH(J$19,0))+SUMIFS('Allocated Transactions'!$J:$J,'Allocated Transactions'!$D:$D,$B34,'Allocated Transactions'!$C:$C,$B$11,'Allocated Transactions'!$A:$A,"&gt;="&amp;J$19,'Allocated Transactions'!$A:$A,"&lt;="&amp;EOMONTH(J$19,0))+SUMIFS('Allocated Transactions'!$J:$J,'Allocated Transactions'!$D:$D,$B34,'Allocated Transactions'!$C:$C,$B$2,'Allocated Transactions'!$A:$A,"&gt;="&amp;J$19,'Allocated Transactions'!$A:$A,"&lt;="&amp;EOMONTH(J$19,0))+SUMIFS('Allocated Transactions'!$J:$J,'Allocated Transactions'!$D:$D,$B34,'Allocated Transactions'!$C:$C,$B$4,'Allocated Transactions'!$A:$A,"&gt;="&amp;J$19,'Allocated Transactions'!$A:$A,"&lt;="&amp;EOMONTH(J$19,0))+SUMIFS('Allocated Transactions'!$J:$J,'Allocated Transactions'!$D:$D,$B34,'Allocated Transactions'!$C:$C,$B$3,'Allocated Transactions'!$A:$A,"&gt;="&amp;J$19,'Allocated Transactions'!$A:$A,"&lt;="&amp;EOMONTH(J$19,0))+SUMIFS('Allocated Transactions'!$J:$J,'Allocated Transactions'!$D:$D,$B34,'Allocated Transactions'!$C:$C,$B$5,'Allocated Transactions'!$A:$A,"&gt;="&amp;J$19,'Allocated Transactions'!$A:$A,"&lt;="&amp;EOMONTH(J$19,0))+SUMIFS('Allocated Transactions'!$J:$J,'Allocated Transactions'!$D:$D,$B34,'Allocated Transactions'!$C:$C,$B$6,'Allocated Transactions'!$A:$A,"&gt;="&amp;J$19,'Allocated Transactions'!$A:$A,"&lt;="&amp;EOMONTH(J$19,0)))</f>
        <v>14969.25</v>
      </c>
      <c r="K34" s="84">
        <f>SUMPRODUCT(SUMIFS('Budget Data'!$J:$J,'Budget Data'!$E:$E,$B34,'Budget Data'!$C:$C,$B$7,'Budget Data'!$A:$A,"&gt;="&amp;K$19,'Budget Data'!$A:$A,"&lt;="&amp;EOMONTH(K$19,0))+SUMIFS('Budget Data'!$J:$J,'Budget Data'!$E:$E,$B34,'Budget Data'!$C:$C,$B$9,'Budget Data'!$A:$A,"&gt;="&amp;K$19,'Budget Data'!$A:$A,"&lt;="&amp;EOMONTH(K$19,0))+SUMIFS('Budget Data'!$J:$J,'Budget Data'!$E:$E,$B34,'Budget Data'!$C:$C,$B$8,'Budget Data'!$A:$A,"&gt;="&amp;K$19,'Budget Data'!$A:$A,"&lt;="&amp;EOMONTH(K$19,0))+SUMIFS('Budget Data'!$J:$J,'Budget Data'!$E:$E,$B34,'Budget Data'!$C:$C,$B$10,'Budget Data'!$A:$A,"&gt;="&amp;K$19,'Budget Data'!$A:$A,"&lt;="&amp;EOMONTH(K$19,0))+SUMIFS('Budget Data'!$J:$J,'Budget Data'!$E:$E,$B34,'Budget Data'!$C:$C,$B$11,'Budget Data'!$A:$A,"&gt;="&amp;K$19,'Budget Data'!$A:$A,"&lt;="&amp;EOMONTH(K$19,0))+SUMIFS('Budget Data'!$J:$J,'Budget Data'!$E:$E,$B34,'Budget Data'!$C:$C,$B$2,'Budget Data'!$A:$A,"&gt;="&amp;K$19,'Budget Data'!$A:$A,"&lt;="&amp;EOMONTH(K$19,0))+SUMIFS('Budget Data'!$J:$J,'Budget Data'!$E:$E,$B34,'Budget Data'!$C:$C,$B$4,'Budget Data'!$A:$A,"&gt;="&amp;K$19,'Budget Data'!$A:$A,"&lt;="&amp;EOMONTH(K$19,0))+SUMIFS('Budget Data'!$J:$J,'Budget Data'!$E:$E,$B34,'Budget Data'!$C:$C,$B$3,'Budget Data'!$A:$A,"&gt;="&amp;K$19,'Budget Data'!$A:$A,"&lt;="&amp;EOMONTH(K$19,0))+SUMIFS('Budget Data'!$J:$J,'Budget Data'!$E:$E,$B34,'Budget Data'!$C:$C,$B$5,'Budget Data'!$A:$A,"&gt;="&amp;K$19,'Budget Data'!$A:$A,"&lt;="&amp;EOMONTH(K$19,0))+SUMIFS('Budget Data'!$J:$J,'Budget Data'!$E:$E,$B34,'Budget Data'!$C:$C,$B$6,'Budget Data'!$A:$A,"&gt;="&amp;K$19,'Budget Data'!$A:$A,"&lt;="&amp;EOMONTH(K$19,0)))</f>
        <v>14800</v>
      </c>
      <c r="L34" s="86">
        <f>SUMPRODUCT(SUMIFS('Allocated Transactions'!$J:$J,'Allocated Transactions'!$D:$D,$B34,'Allocated Transactions'!$C:$C,$B$7,'Allocated Transactions'!$A:$A,"&gt;="&amp;L$19,'Allocated Transactions'!$A:$A,"&lt;="&amp;EOMONTH(L$19,0))+SUMIFS('Allocated Transactions'!$J:$J,'Allocated Transactions'!$D:$D,$B34,'Allocated Transactions'!$C:$C,$B$9,'Allocated Transactions'!$A:$A,"&gt;="&amp;L$19,'Allocated Transactions'!$A:$A,"&lt;="&amp;EOMONTH(L$19,0))+SUMIFS('Allocated Transactions'!$J:$J,'Allocated Transactions'!$D:$D,$B34,'Allocated Transactions'!$C:$C,$B$8,'Allocated Transactions'!$A:$A,"&gt;="&amp;L$19,'Allocated Transactions'!$A:$A,"&lt;="&amp;EOMONTH(L$19,0))+SUMIFS('Allocated Transactions'!$J:$J,'Allocated Transactions'!$D:$D,$B34,'Allocated Transactions'!$C:$C,$B$10,'Allocated Transactions'!$A:$A,"&gt;="&amp;L$19,'Allocated Transactions'!$A:$A,"&lt;="&amp;EOMONTH(L$19,0))+SUMIFS('Allocated Transactions'!$J:$J,'Allocated Transactions'!$D:$D,$B34,'Allocated Transactions'!$C:$C,$B$11,'Allocated Transactions'!$A:$A,"&gt;="&amp;L$19,'Allocated Transactions'!$A:$A,"&lt;="&amp;EOMONTH(L$19,0))+SUMIFS('Allocated Transactions'!$J:$J,'Allocated Transactions'!$D:$D,$B34,'Allocated Transactions'!$C:$C,$B$2,'Allocated Transactions'!$A:$A,"&gt;="&amp;L$19,'Allocated Transactions'!$A:$A,"&lt;="&amp;EOMONTH(L$19,0))+SUMIFS('Allocated Transactions'!$J:$J,'Allocated Transactions'!$D:$D,$B34,'Allocated Transactions'!$C:$C,$B$4,'Allocated Transactions'!$A:$A,"&gt;="&amp;L$19,'Allocated Transactions'!$A:$A,"&lt;="&amp;EOMONTH(L$19,0))+SUMIFS('Allocated Transactions'!$J:$J,'Allocated Transactions'!$D:$D,$B34,'Allocated Transactions'!$C:$C,$B$3,'Allocated Transactions'!$A:$A,"&gt;="&amp;L$19,'Allocated Transactions'!$A:$A,"&lt;="&amp;EOMONTH(L$19,0))+SUMIFS('Allocated Transactions'!$J:$J,'Allocated Transactions'!$D:$D,$B34,'Allocated Transactions'!$C:$C,$B$5,'Allocated Transactions'!$A:$A,"&gt;="&amp;L$19,'Allocated Transactions'!$A:$A,"&lt;="&amp;EOMONTH(L$19,0))+SUMIFS('Allocated Transactions'!$J:$J,'Allocated Transactions'!$D:$D,$B34,'Allocated Transactions'!$C:$C,$B$6,'Allocated Transactions'!$A:$A,"&gt;="&amp;L$19,'Allocated Transactions'!$A:$A,"&lt;="&amp;EOMONTH(L$19,0)))</f>
        <v>9256.74</v>
      </c>
      <c r="M34" s="84">
        <f>SUMPRODUCT(SUMIFS('Budget Data'!$J:$J,'Budget Data'!$E:$E,$B34,'Budget Data'!$C:$C,$B$7,'Budget Data'!$A:$A,"&gt;="&amp;M$19,'Budget Data'!$A:$A,"&lt;="&amp;EOMONTH(M$19,0))+SUMIFS('Budget Data'!$J:$J,'Budget Data'!$E:$E,$B34,'Budget Data'!$C:$C,$B$9,'Budget Data'!$A:$A,"&gt;="&amp;M$19,'Budget Data'!$A:$A,"&lt;="&amp;EOMONTH(M$19,0))+SUMIFS('Budget Data'!$J:$J,'Budget Data'!$E:$E,$B34,'Budget Data'!$C:$C,$B$8,'Budget Data'!$A:$A,"&gt;="&amp;M$19,'Budget Data'!$A:$A,"&lt;="&amp;EOMONTH(M$19,0))+SUMIFS('Budget Data'!$J:$J,'Budget Data'!$E:$E,$B34,'Budget Data'!$C:$C,$B$10,'Budget Data'!$A:$A,"&gt;="&amp;M$19,'Budget Data'!$A:$A,"&lt;="&amp;EOMONTH(M$19,0))+SUMIFS('Budget Data'!$J:$J,'Budget Data'!$E:$E,$B34,'Budget Data'!$C:$C,$B$11,'Budget Data'!$A:$A,"&gt;="&amp;M$19,'Budget Data'!$A:$A,"&lt;="&amp;EOMONTH(M$19,0))+SUMIFS('Budget Data'!$J:$J,'Budget Data'!$E:$E,$B34,'Budget Data'!$C:$C,$B$2,'Budget Data'!$A:$A,"&gt;="&amp;M$19,'Budget Data'!$A:$A,"&lt;="&amp;EOMONTH(M$19,0))+SUMIFS('Budget Data'!$J:$J,'Budget Data'!$E:$E,$B34,'Budget Data'!$C:$C,$B$4,'Budget Data'!$A:$A,"&gt;="&amp;M$19,'Budget Data'!$A:$A,"&lt;="&amp;EOMONTH(M$19,0))+SUMIFS('Budget Data'!$J:$J,'Budget Data'!$E:$E,$B34,'Budget Data'!$C:$C,$B$3,'Budget Data'!$A:$A,"&gt;="&amp;M$19,'Budget Data'!$A:$A,"&lt;="&amp;EOMONTH(M$19,0))+SUMIFS('Budget Data'!$J:$J,'Budget Data'!$E:$E,$B34,'Budget Data'!$C:$C,$B$5,'Budget Data'!$A:$A,"&gt;="&amp;M$19,'Budget Data'!$A:$A,"&lt;="&amp;EOMONTH(M$19,0))+SUMIFS('Budget Data'!$J:$J,'Budget Data'!$E:$E,$B34,'Budget Data'!$C:$C,$B$6,'Budget Data'!$A:$A,"&gt;="&amp;M$19,'Budget Data'!$A:$A,"&lt;="&amp;EOMONTH(M$19,0)))</f>
        <v>9200</v>
      </c>
      <c r="N34" s="86">
        <f>SUMPRODUCT(SUMIFS('Allocated Transactions'!$J:$J,'Allocated Transactions'!$D:$D,$B34,'Allocated Transactions'!$C:$C,$B$7,'Allocated Transactions'!$A:$A,"&gt;="&amp;N$19,'Allocated Transactions'!$A:$A,"&lt;="&amp;EOMONTH(N$19,0))+SUMIFS('Allocated Transactions'!$J:$J,'Allocated Transactions'!$D:$D,$B34,'Allocated Transactions'!$C:$C,$B$9,'Allocated Transactions'!$A:$A,"&gt;="&amp;N$19,'Allocated Transactions'!$A:$A,"&lt;="&amp;EOMONTH(N$19,0))+SUMIFS('Allocated Transactions'!$J:$J,'Allocated Transactions'!$D:$D,$B34,'Allocated Transactions'!$C:$C,$B$8,'Allocated Transactions'!$A:$A,"&gt;="&amp;N$19,'Allocated Transactions'!$A:$A,"&lt;="&amp;EOMONTH(N$19,0))+SUMIFS('Allocated Transactions'!$J:$J,'Allocated Transactions'!$D:$D,$B34,'Allocated Transactions'!$C:$C,$B$10,'Allocated Transactions'!$A:$A,"&gt;="&amp;N$19,'Allocated Transactions'!$A:$A,"&lt;="&amp;EOMONTH(N$19,0))+SUMIFS('Allocated Transactions'!$J:$J,'Allocated Transactions'!$D:$D,$B34,'Allocated Transactions'!$C:$C,$B$11,'Allocated Transactions'!$A:$A,"&gt;="&amp;N$19,'Allocated Transactions'!$A:$A,"&lt;="&amp;EOMONTH(N$19,0))+SUMIFS('Allocated Transactions'!$J:$J,'Allocated Transactions'!$D:$D,$B34,'Allocated Transactions'!$C:$C,$B$2,'Allocated Transactions'!$A:$A,"&gt;="&amp;N$19,'Allocated Transactions'!$A:$A,"&lt;="&amp;EOMONTH(N$19,0))+SUMIFS('Allocated Transactions'!$J:$J,'Allocated Transactions'!$D:$D,$B34,'Allocated Transactions'!$C:$C,$B$4,'Allocated Transactions'!$A:$A,"&gt;="&amp;N$19,'Allocated Transactions'!$A:$A,"&lt;="&amp;EOMONTH(N$19,0))+SUMIFS('Allocated Transactions'!$J:$J,'Allocated Transactions'!$D:$D,$B34,'Allocated Transactions'!$C:$C,$B$3,'Allocated Transactions'!$A:$A,"&gt;="&amp;N$19,'Allocated Transactions'!$A:$A,"&lt;="&amp;EOMONTH(N$19,0))+SUMIFS('Allocated Transactions'!$J:$J,'Allocated Transactions'!$D:$D,$B34,'Allocated Transactions'!$C:$C,$B$5,'Allocated Transactions'!$A:$A,"&gt;="&amp;N$19,'Allocated Transactions'!$A:$A,"&lt;="&amp;EOMONTH(N$19,0))+SUMIFS('Allocated Transactions'!$J:$J,'Allocated Transactions'!$D:$D,$B34,'Allocated Transactions'!$C:$C,$B$6,'Allocated Transactions'!$A:$A,"&gt;="&amp;N$19,'Allocated Transactions'!$A:$A,"&lt;="&amp;EOMONTH(N$19,0)))</f>
        <v>11087.13</v>
      </c>
      <c r="O34" s="84">
        <f>SUMPRODUCT(SUMIFS('Budget Data'!$J:$J,'Budget Data'!$E:$E,$B34,'Budget Data'!$C:$C,$B$7,'Budget Data'!$A:$A,"&gt;="&amp;O$19,'Budget Data'!$A:$A,"&lt;="&amp;EOMONTH(O$19,0))+SUMIFS('Budget Data'!$J:$J,'Budget Data'!$E:$E,$B34,'Budget Data'!$C:$C,$B$9,'Budget Data'!$A:$A,"&gt;="&amp;O$19,'Budget Data'!$A:$A,"&lt;="&amp;EOMONTH(O$19,0))+SUMIFS('Budget Data'!$J:$J,'Budget Data'!$E:$E,$B34,'Budget Data'!$C:$C,$B$8,'Budget Data'!$A:$A,"&gt;="&amp;O$19,'Budget Data'!$A:$A,"&lt;="&amp;EOMONTH(O$19,0))+SUMIFS('Budget Data'!$J:$J,'Budget Data'!$E:$E,$B34,'Budget Data'!$C:$C,$B$10,'Budget Data'!$A:$A,"&gt;="&amp;O$19,'Budget Data'!$A:$A,"&lt;="&amp;EOMONTH(O$19,0))+SUMIFS('Budget Data'!$J:$J,'Budget Data'!$E:$E,$B34,'Budget Data'!$C:$C,$B$11,'Budget Data'!$A:$A,"&gt;="&amp;O$19,'Budget Data'!$A:$A,"&lt;="&amp;EOMONTH(O$19,0))+SUMIFS('Budget Data'!$J:$J,'Budget Data'!$E:$E,$B34,'Budget Data'!$C:$C,$B$2,'Budget Data'!$A:$A,"&gt;="&amp;O$19,'Budget Data'!$A:$A,"&lt;="&amp;EOMONTH(O$19,0))+SUMIFS('Budget Data'!$J:$J,'Budget Data'!$E:$E,$B34,'Budget Data'!$C:$C,$B$4,'Budget Data'!$A:$A,"&gt;="&amp;O$19,'Budget Data'!$A:$A,"&lt;="&amp;EOMONTH(O$19,0))+SUMIFS('Budget Data'!$J:$J,'Budget Data'!$E:$E,$B34,'Budget Data'!$C:$C,$B$3,'Budget Data'!$A:$A,"&gt;="&amp;O$19,'Budget Data'!$A:$A,"&lt;="&amp;EOMONTH(O$19,0))+SUMIFS('Budget Data'!$J:$J,'Budget Data'!$E:$E,$B34,'Budget Data'!$C:$C,$B$5,'Budget Data'!$A:$A,"&gt;="&amp;O$19,'Budget Data'!$A:$A,"&lt;="&amp;EOMONTH(O$19,0))+SUMIFS('Budget Data'!$J:$J,'Budget Data'!$E:$E,$B34,'Budget Data'!$C:$C,$B$6,'Budget Data'!$A:$A,"&gt;="&amp;O$19,'Budget Data'!$A:$A,"&lt;="&amp;EOMONTH(O$19,0)))</f>
        <v>11000</v>
      </c>
      <c r="P34" s="86">
        <f>SUMPRODUCT(SUMIFS('Allocated Transactions'!$J:$J,'Allocated Transactions'!$D:$D,$B34,'Allocated Transactions'!$C:$C,$B$7,'Allocated Transactions'!$A:$A,"&gt;="&amp;P$19,'Allocated Transactions'!$A:$A,"&lt;="&amp;EOMONTH(P$19,0))+SUMIFS('Allocated Transactions'!$J:$J,'Allocated Transactions'!$D:$D,$B34,'Allocated Transactions'!$C:$C,$B$9,'Allocated Transactions'!$A:$A,"&gt;="&amp;P$19,'Allocated Transactions'!$A:$A,"&lt;="&amp;EOMONTH(P$19,0))+SUMIFS('Allocated Transactions'!$J:$J,'Allocated Transactions'!$D:$D,$B34,'Allocated Transactions'!$C:$C,$B$8,'Allocated Transactions'!$A:$A,"&gt;="&amp;P$19,'Allocated Transactions'!$A:$A,"&lt;="&amp;EOMONTH(P$19,0))+SUMIFS('Allocated Transactions'!$J:$J,'Allocated Transactions'!$D:$D,$B34,'Allocated Transactions'!$C:$C,$B$10,'Allocated Transactions'!$A:$A,"&gt;="&amp;P$19,'Allocated Transactions'!$A:$A,"&lt;="&amp;EOMONTH(P$19,0))+SUMIFS('Allocated Transactions'!$J:$J,'Allocated Transactions'!$D:$D,$B34,'Allocated Transactions'!$C:$C,$B$11,'Allocated Transactions'!$A:$A,"&gt;="&amp;P$19,'Allocated Transactions'!$A:$A,"&lt;="&amp;EOMONTH(P$19,0))+SUMIFS('Allocated Transactions'!$J:$J,'Allocated Transactions'!$D:$D,$B34,'Allocated Transactions'!$C:$C,$B$2,'Allocated Transactions'!$A:$A,"&gt;="&amp;P$19,'Allocated Transactions'!$A:$A,"&lt;="&amp;EOMONTH(P$19,0))+SUMIFS('Allocated Transactions'!$J:$J,'Allocated Transactions'!$D:$D,$B34,'Allocated Transactions'!$C:$C,$B$4,'Allocated Transactions'!$A:$A,"&gt;="&amp;P$19,'Allocated Transactions'!$A:$A,"&lt;="&amp;EOMONTH(P$19,0))+SUMIFS('Allocated Transactions'!$J:$J,'Allocated Transactions'!$D:$D,$B34,'Allocated Transactions'!$C:$C,$B$3,'Allocated Transactions'!$A:$A,"&gt;="&amp;P$19,'Allocated Transactions'!$A:$A,"&lt;="&amp;EOMONTH(P$19,0))+SUMIFS('Allocated Transactions'!$J:$J,'Allocated Transactions'!$D:$D,$B34,'Allocated Transactions'!$C:$C,$B$5,'Allocated Transactions'!$A:$A,"&gt;="&amp;P$19,'Allocated Transactions'!$A:$A,"&lt;="&amp;EOMONTH(P$19,0))+SUMIFS('Allocated Transactions'!$J:$J,'Allocated Transactions'!$D:$D,$B34,'Allocated Transactions'!$C:$C,$B$6,'Allocated Transactions'!$A:$A,"&gt;="&amp;P$19,'Allocated Transactions'!$A:$A,"&lt;="&amp;EOMONTH(P$19,0)))</f>
        <v>9412.7999999999993</v>
      </c>
      <c r="Q34" s="84">
        <f>SUMPRODUCT(SUMIFS('Budget Data'!$J:$J,'Budget Data'!$E:$E,$B34,'Budget Data'!$C:$C,$B$7,'Budget Data'!$A:$A,"&gt;="&amp;Q$19,'Budget Data'!$A:$A,"&lt;="&amp;EOMONTH(Q$19,0))+SUMIFS('Budget Data'!$J:$J,'Budget Data'!$E:$E,$B34,'Budget Data'!$C:$C,$B$9,'Budget Data'!$A:$A,"&gt;="&amp;Q$19,'Budget Data'!$A:$A,"&lt;="&amp;EOMONTH(Q$19,0))+SUMIFS('Budget Data'!$J:$J,'Budget Data'!$E:$E,$B34,'Budget Data'!$C:$C,$B$8,'Budget Data'!$A:$A,"&gt;="&amp;Q$19,'Budget Data'!$A:$A,"&lt;="&amp;EOMONTH(Q$19,0))+SUMIFS('Budget Data'!$J:$J,'Budget Data'!$E:$E,$B34,'Budget Data'!$C:$C,$B$10,'Budget Data'!$A:$A,"&gt;="&amp;Q$19,'Budget Data'!$A:$A,"&lt;="&amp;EOMONTH(Q$19,0))+SUMIFS('Budget Data'!$J:$J,'Budget Data'!$E:$E,$B34,'Budget Data'!$C:$C,$B$11,'Budget Data'!$A:$A,"&gt;="&amp;Q$19,'Budget Data'!$A:$A,"&lt;="&amp;EOMONTH(Q$19,0))+SUMIFS('Budget Data'!$J:$J,'Budget Data'!$E:$E,$B34,'Budget Data'!$C:$C,$B$2,'Budget Data'!$A:$A,"&gt;="&amp;Q$19,'Budget Data'!$A:$A,"&lt;="&amp;EOMONTH(Q$19,0))+SUMIFS('Budget Data'!$J:$J,'Budget Data'!$E:$E,$B34,'Budget Data'!$C:$C,$B$4,'Budget Data'!$A:$A,"&gt;="&amp;Q$19,'Budget Data'!$A:$A,"&lt;="&amp;EOMONTH(Q$19,0))+SUMIFS('Budget Data'!$J:$J,'Budget Data'!$E:$E,$B34,'Budget Data'!$C:$C,$B$3,'Budget Data'!$A:$A,"&gt;="&amp;Q$19,'Budget Data'!$A:$A,"&lt;="&amp;EOMONTH(Q$19,0))+SUMIFS('Budget Data'!$J:$J,'Budget Data'!$E:$E,$B34,'Budget Data'!$C:$C,$B$5,'Budget Data'!$A:$A,"&gt;="&amp;Q$19,'Budget Data'!$A:$A,"&lt;="&amp;EOMONTH(Q$19,0))+SUMIFS('Budget Data'!$J:$J,'Budget Data'!$E:$E,$B34,'Budget Data'!$C:$C,$B$6,'Budget Data'!$A:$A,"&gt;="&amp;Q$19,'Budget Data'!$A:$A,"&lt;="&amp;EOMONTH(Q$19,0)))</f>
        <v>9300</v>
      </c>
      <c r="R34" s="86">
        <f>SUMPRODUCT(SUMIFS('Allocated Transactions'!$J:$J,'Allocated Transactions'!$D:$D,$B34,'Allocated Transactions'!$C:$C,$B$7,'Allocated Transactions'!$A:$A,"&gt;="&amp;R$19,'Allocated Transactions'!$A:$A,"&lt;="&amp;EOMONTH(R$19,0))+SUMIFS('Allocated Transactions'!$J:$J,'Allocated Transactions'!$D:$D,$B34,'Allocated Transactions'!$C:$C,$B$9,'Allocated Transactions'!$A:$A,"&gt;="&amp;R$19,'Allocated Transactions'!$A:$A,"&lt;="&amp;EOMONTH(R$19,0))+SUMIFS('Allocated Transactions'!$J:$J,'Allocated Transactions'!$D:$D,$B34,'Allocated Transactions'!$C:$C,$B$8,'Allocated Transactions'!$A:$A,"&gt;="&amp;R$19,'Allocated Transactions'!$A:$A,"&lt;="&amp;EOMONTH(R$19,0))+SUMIFS('Allocated Transactions'!$J:$J,'Allocated Transactions'!$D:$D,$B34,'Allocated Transactions'!$C:$C,$B$10,'Allocated Transactions'!$A:$A,"&gt;="&amp;R$19,'Allocated Transactions'!$A:$A,"&lt;="&amp;EOMONTH(R$19,0))+SUMIFS('Allocated Transactions'!$J:$J,'Allocated Transactions'!$D:$D,$B34,'Allocated Transactions'!$C:$C,$B$11,'Allocated Transactions'!$A:$A,"&gt;="&amp;R$19,'Allocated Transactions'!$A:$A,"&lt;="&amp;EOMONTH(R$19,0))+SUMIFS('Allocated Transactions'!$J:$J,'Allocated Transactions'!$D:$D,$B34,'Allocated Transactions'!$C:$C,$B$2,'Allocated Transactions'!$A:$A,"&gt;="&amp;R$19,'Allocated Transactions'!$A:$A,"&lt;="&amp;EOMONTH(R$19,0))+SUMIFS('Allocated Transactions'!$J:$J,'Allocated Transactions'!$D:$D,$B34,'Allocated Transactions'!$C:$C,$B$4,'Allocated Transactions'!$A:$A,"&gt;="&amp;R$19,'Allocated Transactions'!$A:$A,"&lt;="&amp;EOMONTH(R$19,0))+SUMIFS('Allocated Transactions'!$J:$J,'Allocated Transactions'!$D:$D,$B34,'Allocated Transactions'!$C:$C,$B$3,'Allocated Transactions'!$A:$A,"&gt;="&amp;R$19,'Allocated Transactions'!$A:$A,"&lt;="&amp;EOMONTH(R$19,0))+SUMIFS('Allocated Transactions'!$J:$J,'Allocated Transactions'!$D:$D,$B34,'Allocated Transactions'!$C:$C,$B$5,'Allocated Transactions'!$A:$A,"&gt;="&amp;R$19,'Allocated Transactions'!$A:$A,"&lt;="&amp;EOMONTH(R$19,0))+SUMIFS('Allocated Transactions'!$J:$J,'Allocated Transactions'!$D:$D,$B34,'Allocated Transactions'!$C:$C,$B$6,'Allocated Transactions'!$A:$A,"&gt;="&amp;R$19,'Allocated Transactions'!$A:$A,"&lt;="&amp;EOMONTH(R$19,0)))</f>
        <v>0</v>
      </c>
      <c r="S34" s="84">
        <f>SUMPRODUCT(SUMIFS('Budget Data'!$J:$J,'Budget Data'!$E:$E,$B34,'Budget Data'!$C:$C,$B$7,'Budget Data'!$A:$A,"&gt;="&amp;S$19,'Budget Data'!$A:$A,"&lt;="&amp;EOMONTH(S$19,0))+SUMIFS('Budget Data'!$J:$J,'Budget Data'!$E:$E,$B34,'Budget Data'!$C:$C,$B$9,'Budget Data'!$A:$A,"&gt;="&amp;S$19,'Budget Data'!$A:$A,"&lt;="&amp;EOMONTH(S$19,0))+SUMIFS('Budget Data'!$J:$J,'Budget Data'!$E:$E,$B34,'Budget Data'!$C:$C,$B$8,'Budget Data'!$A:$A,"&gt;="&amp;S$19,'Budget Data'!$A:$A,"&lt;="&amp;EOMONTH(S$19,0))+SUMIFS('Budget Data'!$J:$J,'Budget Data'!$E:$E,$B34,'Budget Data'!$C:$C,$B$10,'Budget Data'!$A:$A,"&gt;="&amp;S$19,'Budget Data'!$A:$A,"&lt;="&amp;EOMONTH(S$19,0))+SUMIFS('Budget Data'!$J:$J,'Budget Data'!$E:$E,$B34,'Budget Data'!$C:$C,$B$11,'Budget Data'!$A:$A,"&gt;="&amp;S$19,'Budget Data'!$A:$A,"&lt;="&amp;EOMONTH(S$19,0))+SUMIFS('Budget Data'!$J:$J,'Budget Data'!$E:$E,$B34,'Budget Data'!$C:$C,$B$2,'Budget Data'!$A:$A,"&gt;="&amp;S$19,'Budget Data'!$A:$A,"&lt;="&amp;EOMONTH(S$19,0))+SUMIFS('Budget Data'!$J:$J,'Budget Data'!$E:$E,$B34,'Budget Data'!$C:$C,$B$4,'Budget Data'!$A:$A,"&gt;="&amp;S$19,'Budget Data'!$A:$A,"&lt;="&amp;EOMONTH(S$19,0))+SUMIFS('Budget Data'!$J:$J,'Budget Data'!$E:$E,$B34,'Budget Data'!$C:$C,$B$3,'Budget Data'!$A:$A,"&gt;="&amp;S$19,'Budget Data'!$A:$A,"&lt;="&amp;EOMONTH(S$19,0))+SUMIFS('Budget Data'!$J:$J,'Budget Data'!$E:$E,$B34,'Budget Data'!$C:$C,$B$5,'Budget Data'!$A:$A,"&gt;="&amp;S$19,'Budget Data'!$A:$A,"&lt;="&amp;EOMONTH(S$19,0))+SUMIFS('Budget Data'!$J:$J,'Budget Data'!$E:$E,$B34,'Budget Data'!$C:$C,$B$6,'Budget Data'!$A:$A,"&gt;="&amp;S$19,'Budget Data'!$A:$A,"&lt;="&amp;EOMONTH(S$19,0)))</f>
        <v>0</v>
      </c>
      <c r="T34" s="86">
        <f>SUMPRODUCT(SUMIFS('Allocated Transactions'!$J:$J,'Allocated Transactions'!$D:$D,$B34,'Allocated Transactions'!$C:$C,$B$7,'Allocated Transactions'!$A:$A,"&gt;="&amp;T$19,'Allocated Transactions'!$A:$A,"&lt;="&amp;EOMONTH(T$19,0))+SUMIFS('Allocated Transactions'!$J:$J,'Allocated Transactions'!$D:$D,$B34,'Allocated Transactions'!$C:$C,$B$9,'Allocated Transactions'!$A:$A,"&gt;="&amp;T$19,'Allocated Transactions'!$A:$A,"&lt;="&amp;EOMONTH(T$19,0))+SUMIFS('Allocated Transactions'!$J:$J,'Allocated Transactions'!$D:$D,$B34,'Allocated Transactions'!$C:$C,$B$8,'Allocated Transactions'!$A:$A,"&gt;="&amp;T$19,'Allocated Transactions'!$A:$A,"&lt;="&amp;EOMONTH(T$19,0))+SUMIFS('Allocated Transactions'!$J:$J,'Allocated Transactions'!$D:$D,$B34,'Allocated Transactions'!$C:$C,$B$10,'Allocated Transactions'!$A:$A,"&gt;="&amp;T$19,'Allocated Transactions'!$A:$A,"&lt;="&amp;EOMONTH(T$19,0))+SUMIFS('Allocated Transactions'!$J:$J,'Allocated Transactions'!$D:$D,$B34,'Allocated Transactions'!$C:$C,$B$11,'Allocated Transactions'!$A:$A,"&gt;="&amp;T$19,'Allocated Transactions'!$A:$A,"&lt;="&amp;EOMONTH(T$19,0))+SUMIFS('Allocated Transactions'!$J:$J,'Allocated Transactions'!$D:$D,$B34,'Allocated Transactions'!$C:$C,$B$2,'Allocated Transactions'!$A:$A,"&gt;="&amp;T$19,'Allocated Transactions'!$A:$A,"&lt;="&amp;EOMONTH(T$19,0))+SUMIFS('Allocated Transactions'!$J:$J,'Allocated Transactions'!$D:$D,$B34,'Allocated Transactions'!$C:$C,$B$4,'Allocated Transactions'!$A:$A,"&gt;="&amp;T$19,'Allocated Transactions'!$A:$A,"&lt;="&amp;EOMONTH(T$19,0))+SUMIFS('Allocated Transactions'!$J:$J,'Allocated Transactions'!$D:$D,$B34,'Allocated Transactions'!$C:$C,$B$3,'Allocated Transactions'!$A:$A,"&gt;="&amp;T$19,'Allocated Transactions'!$A:$A,"&lt;="&amp;EOMONTH(T$19,0))+SUMIFS('Allocated Transactions'!$J:$J,'Allocated Transactions'!$D:$D,$B34,'Allocated Transactions'!$C:$C,$B$5,'Allocated Transactions'!$A:$A,"&gt;="&amp;T$19,'Allocated Transactions'!$A:$A,"&lt;="&amp;EOMONTH(T$19,0))+SUMIFS('Allocated Transactions'!$J:$J,'Allocated Transactions'!$D:$D,$B34,'Allocated Transactions'!$C:$C,$B$6,'Allocated Transactions'!$A:$A,"&gt;="&amp;T$19,'Allocated Transactions'!$A:$A,"&lt;="&amp;EOMONTH(T$19,0)))</f>
        <v>0</v>
      </c>
      <c r="U34" s="84">
        <f>SUMPRODUCT(SUMIFS('Budget Data'!$J:$J,'Budget Data'!$E:$E,$B34,'Budget Data'!$C:$C,$B$7,'Budget Data'!$A:$A,"&gt;="&amp;U$19,'Budget Data'!$A:$A,"&lt;="&amp;EOMONTH(U$19,0))+SUMIFS('Budget Data'!$J:$J,'Budget Data'!$E:$E,$B34,'Budget Data'!$C:$C,$B$9,'Budget Data'!$A:$A,"&gt;="&amp;U$19,'Budget Data'!$A:$A,"&lt;="&amp;EOMONTH(U$19,0))+SUMIFS('Budget Data'!$J:$J,'Budget Data'!$E:$E,$B34,'Budget Data'!$C:$C,$B$8,'Budget Data'!$A:$A,"&gt;="&amp;U$19,'Budget Data'!$A:$A,"&lt;="&amp;EOMONTH(U$19,0))+SUMIFS('Budget Data'!$J:$J,'Budget Data'!$E:$E,$B34,'Budget Data'!$C:$C,$B$10,'Budget Data'!$A:$A,"&gt;="&amp;U$19,'Budget Data'!$A:$A,"&lt;="&amp;EOMONTH(U$19,0))+SUMIFS('Budget Data'!$J:$J,'Budget Data'!$E:$E,$B34,'Budget Data'!$C:$C,$B$11,'Budget Data'!$A:$A,"&gt;="&amp;U$19,'Budget Data'!$A:$A,"&lt;="&amp;EOMONTH(U$19,0))+SUMIFS('Budget Data'!$J:$J,'Budget Data'!$E:$E,$B34,'Budget Data'!$C:$C,$B$2,'Budget Data'!$A:$A,"&gt;="&amp;U$19,'Budget Data'!$A:$A,"&lt;="&amp;EOMONTH(U$19,0))+SUMIFS('Budget Data'!$J:$J,'Budget Data'!$E:$E,$B34,'Budget Data'!$C:$C,$B$4,'Budget Data'!$A:$A,"&gt;="&amp;U$19,'Budget Data'!$A:$A,"&lt;="&amp;EOMONTH(U$19,0))+SUMIFS('Budget Data'!$J:$J,'Budget Data'!$E:$E,$B34,'Budget Data'!$C:$C,$B$3,'Budget Data'!$A:$A,"&gt;="&amp;U$19,'Budget Data'!$A:$A,"&lt;="&amp;EOMONTH(U$19,0))+SUMIFS('Budget Data'!$J:$J,'Budget Data'!$E:$E,$B34,'Budget Data'!$C:$C,$B$5,'Budget Data'!$A:$A,"&gt;="&amp;U$19,'Budget Data'!$A:$A,"&lt;="&amp;EOMONTH(U$19,0))+SUMIFS('Budget Data'!$J:$J,'Budget Data'!$E:$E,$B34,'Budget Data'!$C:$C,$B$6,'Budget Data'!$A:$A,"&gt;="&amp;U$19,'Budget Data'!$A:$A,"&lt;="&amp;EOMONTH(U$19,0)))</f>
        <v>0</v>
      </c>
      <c r="V34" s="86">
        <f>SUMPRODUCT(SUMIFS('Allocated Transactions'!$J:$J,'Allocated Transactions'!$D:$D,$B34,'Allocated Transactions'!$C:$C,$B$7,'Allocated Transactions'!$A:$A,"&gt;="&amp;V$19,'Allocated Transactions'!$A:$A,"&lt;="&amp;EOMONTH(V$19,0))+SUMIFS('Allocated Transactions'!$J:$J,'Allocated Transactions'!$D:$D,$B34,'Allocated Transactions'!$C:$C,$B$9,'Allocated Transactions'!$A:$A,"&gt;="&amp;V$19,'Allocated Transactions'!$A:$A,"&lt;="&amp;EOMONTH(V$19,0))+SUMIFS('Allocated Transactions'!$J:$J,'Allocated Transactions'!$D:$D,$B34,'Allocated Transactions'!$C:$C,$B$8,'Allocated Transactions'!$A:$A,"&gt;="&amp;V$19,'Allocated Transactions'!$A:$A,"&lt;="&amp;EOMONTH(V$19,0))+SUMIFS('Allocated Transactions'!$J:$J,'Allocated Transactions'!$D:$D,$B34,'Allocated Transactions'!$C:$C,$B$10,'Allocated Transactions'!$A:$A,"&gt;="&amp;V$19,'Allocated Transactions'!$A:$A,"&lt;="&amp;EOMONTH(V$19,0))+SUMIFS('Allocated Transactions'!$J:$J,'Allocated Transactions'!$D:$D,$B34,'Allocated Transactions'!$C:$C,$B$11,'Allocated Transactions'!$A:$A,"&gt;="&amp;V$19,'Allocated Transactions'!$A:$A,"&lt;="&amp;EOMONTH(V$19,0))+SUMIFS('Allocated Transactions'!$J:$J,'Allocated Transactions'!$D:$D,$B34,'Allocated Transactions'!$C:$C,$B$2,'Allocated Transactions'!$A:$A,"&gt;="&amp;V$19,'Allocated Transactions'!$A:$A,"&lt;="&amp;EOMONTH(V$19,0))+SUMIFS('Allocated Transactions'!$J:$J,'Allocated Transactions'!$D:$D,$B34,'Allocated Transactions'!$C:$C,$B$4,'Allocated Transactions'!$A:$A,"&gt;="&amp;V$19,'Allocated Transactions'!$A:$A,"&lt;="&amp;EOMONTH(V$19,0))+SUMIFS('Allocated Transactions'!$J:$J,'Allocated Transactions'!$D:$D,$B34,'Allocated Transactions'!$C:$C,$B$3,'Allocated Transactions'!$A:$A,"&gt;="&amp;V$19,'Allocated Transactions'!$A:$A,"&lt;="&amp;EOMONTH(V$19,0))+SUMIFS('Allocated Transactions'!$J:$J,'Allocated Transactions'!$D:$D,$B34,'Allocated Transactions'!$C:$C,$B$5,'Allocated Transactions'!$A:$A,"&gt;="&amp;V$19,'Allocated Transactions'!$A:$A,"&lt;="&amp;EOMONTH(V$19,0))+SUMIFS('Allocated Transactions'!$J:$J,'Allocated Transactions'!$D:$D,$B34,'Allocated Transactions'!$C:$C,$B$6,'Allocated Transactions'!$A:$A,"&gt;="&amp;V$19,'Allocated Transactions'!$A:$A,"&lt;="&amp;EOMONTH(V$19,0)))</f>
        <v>11059.79</v>
      </c>
      <c r="W34" s="84">
        <f>SUMPRODUCT(SUMIFS('Budget Data'!$J:$J,'Budget Data'!$E:$E,$B34,'Budget Data'!$C:$C,$B$7,'Budget Data'!$A:$A,"&gt;="&amp;W$19,'Budget Data'!$A:$A,"&lt;="&amp;EOMONTH(W$19,0))+SUMIFS('Budget Data'!$J:$J,'Budget Data'!$E:$E,$B34,'Budget Data'!$C:$C,$B$9,'Budget Data'!$A:$A,"&gt;="&amp;W$19,'Budget Data'!$A:$A,"&lt;="&amp;EOMONTH(W$19,0))+SUMIFS('Budget Data'!$J:$J,'Budget Data'!$E:$E,$B34,'Budget Data'!$C:$C,$B$8,'Budget Data'!$A:$A,"&gt;="&amp;W$19,'Budget Data'!$A:$A,"&lt;="&amp;EOMONTH(W$19,0))+SUMIFS('Budget Data'!$J:$J,'Budget Data'!$E:$E,$B34,'Budget Data'!$C:$C,$B$10,'Budget Data'!$A:$A,"&gt;="&amp;W$19,'Budget Data'!$A:$A,"&lt;="&amp;EOMONTH(W$19,0))+SUMIFS('Budget Data'!$J:$J,'Budget Data'!$E:$E,$B34,'Budget Data'!$C:$C,$B$11,'Budget Data'!$A:$A,"&gt;="&amp;W$19,'Budget Data'!$A:$A,"&lt;="&amp;EOMONTH(W$19,0))+SUMIFS('Budget Data'!$J:$J,'Budget Data'!$E:$E,$B34,'Budget Data'!$C:$C,$B$2,'Budget Data'!$A:$A,"&gt;="&amp;W$19,'Budget Data'!$A:$A,"&lt;="&amp;EOMONTH(W$19,0))+SUMIFS('Budget Data'!$J:$J,'Budget Data'!$E:$E,$B34,'Budget Data'!$C:$C,$B$4,'Budget Data'!$A:$A,"&gt;="&amp;W$19,'Budget Data'!$A:$A,"&lt;="&amp;EOMONTH(W$19,0))+SUMIFS('Budget Data'!$J:$J,'Budget Data'!$E:$E,$B34,'Budget Data'!$C:$C,$B$3,'Budget Data'!$A:$A,"&gt;="&amp;W$19,'Budget Data'!$A:$A,"&lt;="&amp;EOMONTH(W$19,0))+SUMIFS('Budget Data'!$J:$J,'Budget Data'!$E:$E,$B34,'Budget Data'!$C:$C,$B$5,'Budget Data'!$A:$A,"&gt;="&amp;W$19,'Budget Data'!$A:$A,"&lt;="&amp;EOMONTH(W$19,0))+SUMIFS('Budget Data'!$J:$J,'Budget Data'!$E:$E,$B34,'Budget Data'!$C:$C,$B$6,'Budget Data'!$A:$A,"&gt;="&amp;W$19,'Budget Data'!$A:$A,"&lt;="&amp;EOMONTH(W$19,0)))</f>
        <v>10900</v>
      </c>
      <c r="X34" s="86">
        <f>SUMPRODUCT(SUMIFS('Allocated Transactions'!$J:$J,'Allocated Transactions'!$D:$D,$B34,'Allocated Transactions'!$C:$C,$B$7,'Allocated Transactions'!$A:$A,"&gt;="&amp;X$19,'Allocated Transactions'!$A:$A,"&lt;="&amp;EOMONTH(X$19,0))+SUMIFS('Allocated Transactions'!$J:$J,'Allocated Transactions'!$D:$D,$B34,'Allocated Transactions'!$C:$C,$B$9,'Allocated Transactions'!$A:$A,"&gt;="&amp;X$19,'Allocated Transactions'!$A:$A,"&lt;="&amp;EOMONTH(X$19,0))+SUMIFS('Allocated Transactions'!$J:$J,'Allocated Transactions'!$D:$D,$B34,'Allocated Transactions'!$C:$C,$B$8,'Allocated Transactions'!$A:$A,"&gt;="&amp;X$19,'Allocated Transactions'!$A:$A,"&lt;="&amp;EOMONTH(X$19,0))+SUMIFS('Allocated Transactions'!$J:$J,'Allocated Transactions'!$D:$D,$B34,'Allocated Transactions'!$C:$C,$B$10,'Allocated Transactions'!$A:$A,"&gt;="&amp;X$19,'Allocated Transactions'!$A:$A,"&lt;="&amp;EOMONTH(X$19,0))+SUMIFS('Allocated Transactions'!$J:$J,'Allocated Transactions'!$D:$D,$B34,'Allocated Transactions'!$C:$C,$B$11,'Allocated Transactions'!$A:$A,"&gt;="&amp;X$19,'Allocated Transactions'!$A:$A,"&lt;="&amp;EOMONTH(X$19,0))+SUMIFS('Allocated Transactions'!$J:$J,'Allocated Transactions'!$D:$D,$B34,'Allocated Transactions'!$C:$C,$B$2,'Allocated Transactions'!$A:$A,"&gt;="&amp;X$19,'Allocated Transactions'!$A:$A,"&lt;="&amp;EOMONTH(X$19,0))+SUMIFS('Allocated Transactions'!$J:$J,'Allocated Transactions'!$D:$D,$B34,'Allocated Transactions'!$C:$C,$B$4,'Allocated Transactions'!$A:$A,"&gt;="&amp;X$19,'Allocated Transactions'!$A:$A,"&lt;="&amp;EOMONTH(X$19,0))+SUMIFS('Allocated Transactions'!$J:$J,'Allocated Transactions'!$D:$D,$B34,'Allocated Transactions'!$C:$C,$B$3,'Allocated Transactions'!$A:$A,"&gt;="&amp;X$19,'Allocated Transactions'!$A:$A,"&lt;="&amp;EOMONTH(X$19,0))+SUMIFS('Allocated Transactions'!$J:$J,'Allocated Transactions'!$D:$D,$B34,'Allocated Transactions'!$C:$C,$B$5,'Allocated Transactions'!$A:$A,"&gt;="&amp;X$19,'Allocated Transactions'!$A:$A,"&lt;="&amp;EOMONTH(X$19,0))+SUMIFS('Allocated Transactions'!$J:$J,'Allocated Transactions'!$D:$D,$B34,'Allocated Transactions'!$C:$C,$B$6,'Allocated Transactions'!$A:$A,"&gt;="&amp;X$19,'Allocated Transactions'!$A:$A,"&lt;="&amp;EOMONTH(X$19,0)))</f>
        <v>0</v>
      </c>
      <c r="Y34" s="84">
        <f>SUMPRODUCT(SUMIFS('Budget Data'!$J:$J,'Budget Data'!$E:$E,$B34,'Budget Data'!$C:$C,$B$7,'Budget Data'!$A:$A,"&gt;="&amp;Y$19,'Budget Data'!$A:$A,"&lt;="&amp;EOMONTH(Y$19,0))+SUMIFS('Budget Data'!$J:$J,'Budget Data'!$E:$E,$B34,'Budget Data'!$C:$C,$B$9,'Budget Data'!$A:$A,"&gt;="&amp;Y$19,'Budget Data'!$A:$A,"&lt;="&amp;EOMONTH(Y$19,0))+SUMIFS('Budget Data'!$J:$J,'Budget Data'!$E:$E,$B34,'Budget Data'!$C:$C,$B$8,'Budget Data'!$A:$A,"&gt;="&amp;Y$19,'Budget Data'!$A:$A,"&lt;="&amp;EOMONTH(Y$19,0))+SUMIFS('Budget Data'!$J:$J,'Budget Data'!$E:$E,$B34,'Budget Data'!$C:$C,$B$10,'Budget Data'!$A:$A,"&gt;="&amp;Y$19,'Budget Data'!$A:$A,"&lt;="&amp;EOMONTH(Y$19,0))+SUMIFS('Budget Data'!$J:$J,'Budget Data'!$E:$E,$B34,'Budget Data'!$C:$C,$B$11,'Budget Data'!$A:$A,"&gt;="&amp;Y$19,'Budget Data'!$A:$A,"&lt;="&amp;EOMONTH(Y$19,0))+SUMIFS('Budget Data'!$J:$J,'Budget Data'!$E:$E,$B34,'Budget Data'!$C:$C,$B$2,'Budget Data'!$A:$A,"&gt;="&amp;Y$19,'Budget Data'!$A:$A,"&lt;="&amp;EOMONTH(Y$19,0))+SUMIFS('Budget Data'!$J:$J,'Budget Data'!$E:$E,$B34,'Budget Data'!$C:$C,$B$4,'Budget Data'!$A:$A,"&gt;="&amp;Y$19,'Budget Data'!$A:$A,"&lt;="&amp;EOMONTH(Y$19,0))+SUMIFS('Budget Data'!$J:$J,'Budget Data'!$E:$E,$B34,'Budget Data'!$C:$C,$B$3,'Budget Data'!$A:$A,"&gt;="&amp;Y$19,'Budget Data'!$A:$A,"&lt;="&amp;EOMONTH(Y$19,0))+SUMIFS('Budget Data'!$J:$J,'Budget Data'!$E:$E,$B34,'Budget Data'!$C:$C,$B$5,'Budget Data'!$A:$A,"&gt;="&amp;Y$19,'Budget Data'!$A:$A,"&lt;="&amp;EOMONTH(Y$19,0))+SUMIFS('Budget Data'!$J:$J,'Budget Data'!$E:$E,$B34,'Budget Data'!$C:$C,$B$6,'Budget Data'!$A:$A,"&gt;="&amp;Y$19,'Budget Data'!$A:$A,"&lt;="&amp;EOMONTH(Y$19,0)))</f>
        <v>0</v>
      </c>
      <c r="Z34" s="86">
        <f>SUMPRODUCT(SUMIFS('Allocated Transactions'!$J:$J,'Allocated Transactions'!$D:$D,$B34,'Allocated Transactions'!$C:$C,$B$7,'Allocated Transactions'!$A:$A,"&gt;="&amp;Z$19,'Allocated Transactions'!$A:$A,"&lt;="&amp;EOMONTH(Z$19,0))+SUMIFS('Allocated Transactions'!$J:$J,'Allocated Transactions'!$D:$D,$B34,'Allocated Transactions'!$C:$C,$B$9,'Allocated Transactions'!$A:$A,"&gt;="&amp;Z$19,'Allocated Transactions'!$A:$A,"&lt;="&amp;EOMONTH(Z$19,0))+SUMIFS('Allocated Transactions'!$J:$J,'Allocated Transactions'!$D:$D,$B34,'Allocated Transactions'!$C:$C,$B$8,'Allocated Transactions'!$A:$A,"&gt;="&amp;Z$19,'Allocated Transactions'!$A:$A,"&lt;="&amp;EOMONTH(Z$19,0))+SUMIFS('Allocated Transactions'!$J:$J,'Allocated Transactions'!$D:$D,$B34,'Allocated Transactions'!$C:$C,$B$10,'Allocated Transactions'!$A:$A,"&gt;="&amp;Z$19,'Allocated Transactions'!$A:$A,"&lt;="&amp;EOMONTH(Z$19,0))+SUMIFS('Allocated Transactions'!$J:$J,'Allocated Transactions'!$D:$D,$B34,'Allocated Transactions'!$C:$C,$B$11,'Allocated Transactions'!$A:$A,"&gt;="&amp;Z$19,'Allocated Transactions'!$A:$A,"&lt;="&amp;EOMONTH(Z$19,0))+SUMIFS('Allocated Transactions'!$J:$J,'Allocated Transactions'!$D:$D,$B34,'Allocated Transactions'!$C:$C,$B$2,'Allocated Transactions'!$A:$A,"&gt;="&amp;Z$19,'Allocated Transactions'!$A:$A,"&lt;="&amp;EOMONTH(Z$19,0))+SUMIFS('Allocated Transactions'!$J:$J,'Allocated Transactions'!$D:$D,$B34,'Allocated Transactions'!$C:$C,$B$4,'Allocated Transactions'!$A:$A,"&gt;="&amp;Z$19,'Allocated Transactions'!$A:$A,"&lt;="&amp;EOMONTH(Z$19,0))+SUMIFS('Allocated Transactions'!$J:$J,'Allocated Transactions'!$D:$D,$B34,'Allocated Transactions'!$C:$C,$B$3,'Allocated Transactions'!$A:$A,"&gt;="&amp;Z$19,'Allocated Transactions'!$A:$A,"&lt;="&amp;EOMONTH(Z$19,0))+SUMIFS('Allocated Transactions'!$J:$J,'Allocated Transactions'!$D:$D,$B34,'Allocated Transactions'!$C:$C,$B$5,'Allocated Transactions'!$A:$A,"&gt;="&amp;Z$19,'Allocated Transactions'!$A:$A,"&lt;="&amp;EOMONTH(Z$19,0))+SUMIFS('Allocated Transactions'!$J:$J,'Allocated Transactions'!$D:$D,$B34,'Allocated Transactions'!$C:$C,$B$6,'Allocated Transactions'!$A:$A,"&gt;="&amp;Z$19,'Allocated Transactions'!$A:$A,"&lt;="&amp;EOMONTH(Z$19,0)))</f>
        <v>0</v>
      </c>
      <c r="AA34" s="84">
        <f>SUMPRODUCT(SUMIFS('Budget Data'!$J:$J,'Budget Data'!$E:$E,$B34,'Budget Data'!$C:$C,$B$7,'Budget Data'!$A:$A,"&gt;="&amp;AA$19,'Budget Data'!$A:$A,"&lt;="&amp;EOMONTH(AA$19,0))+SUMIFS('Budget Data'!$J:$J,'Budget Data'!$E:$E,$B34,'Budget Data'!$C:$C,$B$9,'Budget Data'!$A:$A,"&gt;="&amp;AA$19,'Budget Data'!$A:$A,"&lt;="&amp;EOMONTH(AA$19,0))+SUMIFS('Budget Data'!$J:$J,'Budget Data'!$E:$E,$B34,'Budget Data'!$C:$C,$B$8,'Budget Data'!$A:$A,"&gt;="&amp;AA$19,'Budget Data'!$A:$A,"&lt;="&amp;EOMONTH(AA$19,0))+SUMIFS('Budget Data'!$J:$J,'Budget Data'!$E:$E,$B34,'Budget Data'!$C:$C,$B$10,'Budget Data'!$A:$A,"&gt;="&amp;AA$19,'Budget Data'!$A:$A,"&lt;="&amp;EOMONTH(AA$19,0))+SUMIFS('Budget Data'!$J:$J,'Budget Data'!$E:$E,$B34,'Budget Data'!$C:$C,$B$11,'Budget Data'!$A:$A,"&gt;="&amp;AA$19,'Budget Data'!$A:$A,"&lt;="&amp;EOMONTH(AA$19,0))+SUMIFS('Budget Data'!$J:$J,'Budget Data'!$E:$E,$B34,'Budget Data'!$C:$C,$B$2,'Budget Data'!$A:$A,"&gt;="&amp;AA$19,'Budget Data'!$A:$A,"&lt;="&amp;EOMONTH(AA$19,0))+SUMIFS('Budget Data'!$J:$J,'Budget Data'!$E:$E,$B34,'Budget Data'!$C:$C,$B$4,'Budget Data'!$A:$A,"&gt;="&amp;AA$19,'Budget Data'!$A:$A,"&lt;="&amp;EOMONTH(AA$19,0))+SUMIFS('Budget Data'!$J:$J,'Budget Data'!$E:$E,$B34,'Budget Data'!$C:$C,$B$3,'Budget Data'!$A:$A,"&gt;="&amp;AA$19,'Budget Data'!$A:$A,"&lt;="&amp;EOMONTH(AA$19,0))+SUMIFS('Budget Data'!$J:$J,'Budget Data'!$E:$E,$B34,'Budget Data'!$C:$C,$B$5,'Budget Data'!$A:$A,"&gt;="&amp;AA$19,'Budget Data'!$A:$A,"&lt;="&amp;EOMONTH(AA$19,0))+SUMIFS('Budget Data'!$J:$J,'Budget Data'!$E:$E,$B34,'Budget Data'!$C:$C,$B$6,'Budget Data'!$A:$A,"&gt;="&amp;AA$19,'Budget Data'!$A:$A,"&lt;="&amp;EOMONTH(AA$19,0)))</f>
        <v>0</v>
      </c>
      <c r="AC34" s="87">
        <f t="shared" si="2"/>
        <v>55785.71</v>
      </c>
      <c r="AD34" s="84">
        <f t="shared" si="2"/>
        <v>55200</v>
      </c>
    </row>
    <row r="35" spans="2:30" ht="15" customHeight="1">
      <c r="B35" s="12" t="str">
        <v>5200</v>
      </c>
      <c r="C35" s="160" t="str">
        <f>_xlfn.XLOOKUP(B35,'Allocated Transactions'!D:D,'Allocated Transactions'!E:E,"")</f>
        <v>Rent</v>
      </c>
      <c r="D35" s="86">
        <f>SUMPRODUCT(SUMIFS('Allocated Transactions'!$J:$J,'Allocated Transactions'!$D:$D,$B35,'Allocated Transactions'!$C:$C,$B$7,'Allocated Transactions'!$A:$A,"&gt;="&amp;D$19,'Allocated Transactions'!$A:$A,"&lt;="&amp;EOMONTH(D$19,0))+SUMIFS('Allocated Transactions'!$J:$J,'Allocated Transactions'!$D:$D,$B35,'Allocated Transactions'!$C:$C,$B$9,'Allocated Transactions'!$A:$A,"&gt;="&amp;D$19,'Allocated Transactions'!$A:$A,"&lt;="&amp;EOMONTH(D$19,0))+SUMIFS('Allocated Transactions'!$J:$J,'Allocated Transactions'!$D:$D,$B35,'Allocated Transactions'!$C:$C,$B$8,'Allocated Transactions'!$A:$A,"&gt;="&amp;D$19,'Allocated Transactions'!$A:$A,"&lt;="&amp;EOMONTH(D$19,0))+SUMIFS('Allocated Transactions'!$J:$J,'Allocated Transactions'!$D:$D,$B35,'Allocated Transactions'!$C:$C,$B$10,'Allocated Transactions'!$A:$A,"&gt;="&amp;D$19,'Allocated Transactions'!$A:$A,"&lt;="&amp;EOMONTH(D$19,0))+SUMIFS('Allocated Transactions'!$J:$J,'Allocated Transactions'!$D:$D,$B35,'Allocated Transactions'!$C:$C,$B$11,'Allocated Transactions'!$A:$A,"&gt;="&amp;D$19,'Allocated Transactions'!$A:$A,"&lt;="&amp;EOMONTH(D$19,0))+SUMIFS('Allocated Transactions'!$J:$J,'Allocated Transactions'!$D:$D,$B35,'Allocated Transactions'!$C:$C,$B$2,'Allocated Transactions'!$A:$A,"&gt;="&amp;D$19,'Allocated Transactions'!$A:$A,"&lt;="&amp;EOMONTH(D$19,0))+SUMIFS('Allocated Transactions'!$J:$J,'Allocated Transactions'!$D:$D,$B35,'Allocated Transactions'!$C:$C,$B$4,'Allocated Transactions'!$A:$A,"&gt;="&amp;D$19,'Allocated Transactions'!$A:$A,"&lt;="&amp;EOMONTH(D$19,0))+SUMIFS('Allocated Transactions'!$J:$J,'Allocated Transactions'!$D:$D,$B35,'Allocated Transactions'!$C:$C,$B$3,'Allocated Transactions'!$A:$A,"&gt;="&amp;D$19,'Allocated Transactions'!$A:$A,"&lt;="&amp;EOMONTH(D$19,0))+SUMIFS('Allocated Transactions'!$J:$J,'Allocated Transactions'!$D:$D,$B35,'Allocated Transactions'!$C:$C,$B$5,'Allocated Transactions'!$A:$A,"&gt;="&amp;D$19,'Allocated Transactions'!$A:$A,"&lt;="&amp;EOMONTH(D$19,0))+SUMIFS('Allocated Transactions'!$J:$J,'Allocated Transactions'!$D:$D,$B35,'Allocated Transactions'!$C:$C,$B$6,'Allocated Transactions'!$A:$A,"&gt;="&amp;D$19,'Allocated Transactions'!$A:$A,"&lt;="&amp;EOMONTH(D$19,0)))</f>
        <v>9800</v>
      </c>
      <c r="E35" s="84">
        <f>SUMPRODUCT(SUMIFS('Budget Data'!$J:$J,'Budget Data'!$E:$E,$B35,'Budget Data'!$C:$C,$B$7,'Budget Data'!$A:$A,"&gt;="&amp;E$19,'Budget Data'!$A:$A,"&lt;="&amp;EOMONTH(E$19,0))+SUMIFS('Budget Data'!$J:$J,'Budget Data'!$E:$E,$B35,'Budget Data'!$C:$C,$B$9,'Budget Data'!$A:$A,"&gt;="&amp;E$19,'Budget Data'!$A:$A,"&lt;="&amp;EOMONTH(E$19,0))+SUMIFS('Budget Data'!$J:$J,'Budget Data'!$E:$E,$B35,'Budget Data'!$C:$C,$B$8,'Budget Data'!$A:$A,"&gt;="&amp;E$19,'Budget Data'!$A:$A,"&lt;="&amp;EOMONTH(E$19,0))+SUMIFS('Budget Data'!$J:$J,'Budget Data'!$E:$E,$B35,'Budget Data'!$C:$C,$B$10,'Budget Data'!$A:$A,"&gt;="&amp;E$19,'Budget Data'!$A:$A,"&lt;="&amp;EOMONTH(E$19,0))+SUMIFS('Budget Data'!$J:$J,'Budget Data'!$E:$E,$B35,'Budget Data'!$C:$C,$B$11,'Budget Data'!$A:$A,"&gt;="&amp;E$19,'Budget Data'!$A:$A,"&lt;="&amp;EOMONTH(E$19,0))+SUMIFS('Budget Data'!$J:$J,'Budget Data'!$E:$E,$B35,'Budget Data'!$C:$C,$B$2,'Budget Data'!$A:$A,"&gt;="&amp;E$19,'Budget Data'!$A:$A,"&lt;="&amp;EOMONTH(E$19,0))+SUMIFS('Budget Data'!$J:$J,'Budget Data'!$E:$E,$B35,'Budget Data'!$C:$C,$B$4,'Budget Data'!$A:$A,"&gt;="&amp;E$19,'Budget Data'!$A:$A,"&lt;="&amp;EOMONTH(E$19,0))+SUMIFS('Budget Data'!$J:$J,'Budget Data'!$E:$E,$B35,'Budget Data'!$C:$C,$B$3,'Budget Data'!$A:$A,"&gt;="&amp;E$19,'Budget Data'!$A:$A,"&lt;="&amp;EOMONTH(E$19,0))+SUMIFS('Budget Data'!$J:$J,'Budget Data'!$E:$E,$B35,'Budget Data'!$C:$C,$B$5,'Budget Data'!$A:$A,"&gt;="&amp;E$19,'Budget Data'!$A:$A,"&lt;="&amp;EOMONTH(E$19,0))+SUMIFS('Budget Data'!$J:$J,'Budget Data'!$E:$E,$B35,'Budget Data'!$C:$C,$B$6,'Budget Data'!$A:$A,"&gt;="&amp;E$19,'Budget Data'!$A:$A,"&lt;="&amp;EOMONTH(E$19,0)))</f>
        <v>10000</v>
      </c>
      <c r="F35" s="86">
        <f>SUMPRODUCT(SUMIFS('Allocated Transactions'!$J:$J,'Allocated Transactions'!$D:$D,$B35,'Allocated Transactions'!$C:$C,$B$7,'Allocated Transactions'!$A:$A,"&gt;="&amp;F$19,'Allocated Transactions'!$A:$A,"&lt;="&amp;EOMONTH(F$19,0))+SUMIFS('Allocated Transactions'!$J:$J,'Allocated Transactions'!$D:$D,$B35,'Allocated Transactions'!$C:$C,$B$9,'Allocated Transactions'!$A:$A,"&gt;="&amp;F$19,'Allocated Transactions'!$A:$A,"&lt;="&amp;EOMONTH(F$19,0))+SUMIFS('Allocated Transactions'!$J:$J,'Allocated Transactions'!$D:$D,$B35,'Allocated Transactions'!$C:$C,$B$8,'Allocated Transactions'!$A:$A,"&gt;="&amp;F$19,'Allocated Transactions'!$A:$A,"&lt;="&amp;EOMONTH(F$19,0))+SUMIFS('Allocated Transactions'!$J:$J,'Allocated Transactions'!$D:$D,$B35,'Allocated Transactions'!$C:$C,$B$10,'Allocated Transactions'!$A:$A,"&gt;="&amp;F$19,'Allocated Transactions'!$A:$A,"&lt;="&amp;EOMONTH(F$19,0))+SUMIFS('Allocated Transactions'!$J:$J,'Allocated Transactions'!$D:$D,$B35,'Allocated Transactions'!$C:$C,$B$11,'Allocated Transactions'!$A:$A,"&gt;="&amp;F$19,'Allocated Transactions'!$A:$A,"&lt;="&amp;EOMONTH(F$19,0))+SUMIFS('Allocated Transactions'!$J:$J,'Allocated Transactions'!$D:$D,$B35,'Allocated Transactions'!$C:$C,$B$2,'Allocated Transactions'!$A:$A,"&gt;="&amp;F$19,'Allocated Transactions'!$A:$A,"&lt;="&amp;EOMONTH(F$19,0))+SUMIFS('Allocated Transactions'!$J:$J,'Allocated Transactions'!$D:$D,$B35,'Allocated Transactions'!$C:$C,$B$4,'Allocated Transactions'!$A:$A,"&gt;="&amp;F$19,'Allocated Transactions'!$A:$A,"&lt;="&amp;EOMONTH(F$19,0))+SUMIFS('Allocated Transactions'!$J:$J,'Allocated Transactions'!$D:$D,$B35,'Allocated Transactions'!$C:$C,$B$3,'Allocated Transactions'!$A:$A,"&gt;="&amp;F$19,'Allocated Transactions'!$A:$A,"&lt;="&amp;EOMONTH(F$19,0))+SUMIFS('Allocated Transactions'!$J:$J,'Allocated Transactions'!$D:$D,$B35,'Allocated Transactions'!$C:$C,$B$5,'Allocated Transactions'!$A:$A,"&gt;="&amp;F$19,'Allocated Transactions'!$A:$A,"&lt;="&amp;EOMONTH(F$19,0))+SUMIFS('Allocated Transactions'!$J:$J,'Allocated Transactions'!$D:$D,$B35,'Allocated Transactions'!$C:$C,$B$6,'Allocated Transactions'!$A:$A,"&gt;="&amp;F$19,'Allocated Transactions'!$A:$A,"&lt;="&amp;EOMONTH(F$19,0)))</f>
        <v>9800</v>
      </c>
      <c r="G35" s="84">
        <f>SUMPRODUCT(SUMIFS('Budget Data'!$J:$J,'Budget Data'!$E:$E,$B35,'Budget Data'!$C:$C,$B$7,'Budget Data'!$A:$A,"&gt;="&amp;G$19,'Budget Data'!$A:$A,"&lt;="&amp;EOMONTH(G$19,0))+SUMIFS('Budget Data'!$J:$J,'Budget Data'!$E:$E,$B35,'Budget Data'!$C:$C,$B$9,'Budget Data'!$A:$A,"&gt;="&amp;G$19,'Budget Data'!$A:$A,"&lt;="&amp;EOMONTH(G$19,0))+SUMIFS('Budget Data'!$J:$J,'Budget Data'!$E:$E,$B35,'Budget Data'!$C:$C,$B$8,'Budget Data'!$A:$A,"&gt;="&amp;G$19,'Budget Data'!$A:$A,"&lt;="&amp;EOMONTH(G$19,0))+SUMIFS('Budget Data'!$J:$J,'Budget Data'!$E:$E,$B35,'Budget Data'!$C:$C,$B$10,'Budget Data'!$A:$A,"&gt;="&amp;G$19,'Budget Data'!$A:$A,"&lt;="&amp;EOMONTH(G$19,0))+SUMIFS('Budget Data'!$J:$J,'Budget Data'!$E:$E,$B35,'Budget Data'!$C:$C,$B$11,'Budget Data'!$A:$A,"&gt;="&amp;G$19,'Budget Data'!$A:$A,"&lt;="&amp;EOMONTH(G$19,0))+SUMIFS('Budget Data'!$J:$J,'Budget Data'!$E:$E,$B35,'Budget Data'!$C:$C,$B$2,'Budget Data'!$A:$A,"&gt;="&amp;G$19,'Budget Data'!$A:$A,"&lt;="&amp;EOMONTH(G$19,0))+SUMIFS('Budget Data'!$J:$J,'Budget Data'!$E:$E,$B35,'Budget Data'!$C:$C,$B$4,'Budget Data'!$A:$A,"&gt;="&amp;G$19,'Budget Data'!$A:$A,"&lt;="&amp;EOMONTH(G$19,0))+SUMIFS('Budget Data'!$J:$J,'Budget Data'!$E:$E,$B35,'Budget Data'!$C:$C,$B$3,'Budget Data'!$A:$A,"&gt;="&amp;G$19,'Budget Data'!$A:$A,"&lt;="&amp;EOMONTH(G$19,0))+SUMIFS('Budget Data'!$J:$J,'Budget Data'!$E:$E,$B35,'Budget Data'!$C:$C,$B$5,'Budget Data'!$A:$A,"&gt;="&amp;G$19,'Budget Data'!$A:$A,"&lt;="&amp;EOMONTH(G$19,0))+SUMIFS('Budget Data'!$J:$J,'Budget Data'!$E:$E,$B35,'Budget Data'!$C:$C,$B$6,'Budget Data'!$A:$A,"&gt;="&amp;G$19,'Budget Data'!$A:$A,"&lt;="&amp;EOMONTH(G$19,0)))</f>
        <v>10000</v>
      </c>
      <c r="H35" s="86">
        <f>SUMPRODUCT(SUMIFS('Allocated Transactions'!$J:$J,'Allocated Transactions'!$D:$D,$B35,'Allocated Transactions'!$C:$C,$B$7,'Allocated Transactions'!$A:$A,"&gt;="&amp;H$19,'Allocated Transactions'!$A:$A,"&lt;="&amp;EOMONTH(H$19,0))+SUMIFS('Allocated Transactions'!$J:$J,'Allocated Transactions'!$D:$D,$B35,'Allocated Transactions'!$C:$C,$B$9,'Allocated Transactions'!$A:$A,"&gt;="&amp;H$19,'Allocated Transactions'!$A:$A,"&lt;="&amp;EOMONTH(H$19,0))+SUMIFS('Allocated Transactions'!$J:$J,'Allocated Transactions'!$D:$D,$B35,'Allocated Transactions'!$C:$C,$B$8,'Allocated Transactions'!$A:$A,"&gt;="&amp;H$19,'Allocated Transactions'!$A:$A,"&lt;="&amp;EOMONTH(H$19,0))+SUMIFS('Allocated Transactions'!$J:$J,'Allocated Transactions'!$D:$D,$B35,'Allocated Transactions'!$C:$C,$B$10,'Allocated Transactions'!$A:$A,"&gt;="&amp;H$19,'Allocated Transactions'!$A:$A,"&lt;="&amp;EOMONTH(H$19,0))+SUMIFS('Allocated Transactions'!$J:$J,'Allocated Transactions'!$D:$D,$B35,'Allocated Transactions'!$C:$C,$B$11,'Allocated Transactions'!$A:$A,"&gt;="&amp;H$19,'Allocated Transactions'!$A:$A,"&lt;="&amp;EOMONTH(H$19,0))+SUMIFS('Allocated Transactions'!$J:$J,'Allocated Transactions'!$D:$D,$B35,'Allocated Transactions'!$C:$C,$B$2,'Allocated Transactions'!$A:$A,"&gt;="&amp;H$19,'Allocated Transactions'!$A:$A,"&lt;="&amp;EOMONTH(H$19,0))+SUMIFS('Allocated Transactions'!$J:$J,'Allocated Transactions'!$D:$D,$B35,'Allocated Transactions'!$C:$C,$B$4,'Allocated Transactions'!$A:$A,"&gt;="&amp;H$19,'Allocated Transactions'!$A:$A,"&lt;="&amp;EOMONTH(H$19,0))+SUMIFS('Allocated Transactions'!$J:$J,'Allocated Transactions'!$D:$D,$B35,'Allocated Transactions'!$C:$C,$B$3,'Allocated Transactions'!$A:$A,"&gt;="&amp;H$19,'Allocated Transactions'!$A:$A,"&lt;="&amp;EOMONTH(H$19,0))+SUMIFS('Allocated Transactions'!$J:$J,'Allocated Transactions'!$D:$D,$B35,'Allocated Transactions'!$C:$C,$B$5,'Allocated Transactions'!$A:$A,"&gt;="&amp;H$19,'Allocated Transactions'!$A:$A,"&lt;="&amp;EOMONTH(H$19,0))+SUMIFS('Allocated Transactions'!$J:$J,'Allocated Transactions'!$D:$D,$B35,'Allocated Transactions'!$C:$C,$B$6,'Allocated Transactions'!$A:$A,"&gt;="&amp;H$19,'Allocated Transactions'!$A:$A,"&lt;="&amp;EOMONTH(H$19,0)))</f>
        <v>9800</v>
      </c>
      <c r="I35" s="84">
        <f>SUMPRODUCT(SUMIFS('Budget Data'!$J:$J,'Budget Data'!$E:$E,$B35,'Budget Data'!$C:$C,$B$7,'Budget Data'!$A:$A,"&gt;="&amp;I$19,'Budget Data'!$A:$A,"&lt;="&amp;EOMONTH(I$19,0))+SUMIFS('Budget Data'!$J:$J,'Budget Data'!$E:$E,$B35,'Budget Data'!$C:$C,$B$9,'Budget Data'!$A:$A,"&gt;="&amp;I$19,'Budget Data'!$A:$A,"&lt;="&amp;EOMONTH(I$19,0))+SUMIFS('Budget Data'!$J:$J,'Budget Data'!$E:$E,$B35,'Budget Data'!$C:$C,$B$8,'Budget Data'!$A:$A,"&gt;="&amp;I$19,'Budget Data'!$A:$A,"&lt;="&amp;EOMONTH(I$19,0))+SUMIFS('Budget Data'!$J:$J,'Budget Data'!$E:$E,$B35,'Budget Data'!$C:$C,$B$10,'Budget Data'!$A:$A,"&gt;="&amp;I$19,'Budget Data'!$A:$A,"&lt;="&amp;EOMONTH(I$19,0))+SUMIFS('Budget Data'!$J:$J,'Budget Data'!$E:$E,$B35,'Budget Data'!$C:$C,$B$11,'Budget Data'!$A:$A,"&gt;="&amp;I$19,'Budget Data'!$A:$A,"&lt;="&amp;EOMONTH(I$19,0))+SUMIFS('Budget Data'!$J:$J,'Budget Data'!$E:$E,$B35,'Budget Data'!$C:$C,$B$2,'Budget Data'!$A:$A,"&gt;="&amp;I$19,'Budget Data'!$A:$A,"&lt;="&amp;EOMONTH(I$19,0))+SUMIFS('Budget Data'!$J:$J,'Budget Data'!$E:$E,$B35,'Budget Data'!$C:$C,$B$4,'Budget Data'!$A:$A,"&gt;="&amp;I$19,'Budget Data'!$A:$A,"&lt;="&amp;EOMONTH(I$19,0))+SUMIFS('Budget Data'!$J:$J,'Budget Data'!$E:$E,$B35,'Budget Data'!$C:$C,$B$3,'Budget Data'!$A:$A,"&gt;="&amp;I$19,'Budget Data'!$A:$A,"&lt;="&amp;EOMONTH(I$19,0))+SUMIFS('Budget Data'!$J:$J,'Budget Data'!$E:$E,$B35,'Budget Data'!$C:$C,$B$5,'Budget Data'!$A:$A,"&gt;="&amp;I$19,'Budget Data'!$A:$A,"&lt;="&amp;EOMONTH(I$19,0))+SUMIFS('Budget Data'!$J:$J,'Budget Data'!$E:$E,$B35,'Budget Data'!$C:$C,$B$6,'Budget Data'!$A:$A,"&gt;="&amp;I$19,'Budget Data'!$A:$A,"&lt;="&amp;EOMONTH(I$19,0)))</f>
        <v>10000</v>
      </c>
      <c r="J35" s="86">
        <f>SUMPRODUCT(SUMIFS('Allocated Transactions'!$J:$J,'Allocated Transactions'!$D:$D,$B35,'Allocated Transactions'!$C:$C,$B$7,'Allocated Transactions'!$A:$A,"&gt;="&amp;J$19,'Allocated Transactions'!$A:$A,"&lt;="&amp;EOMONTH(J$19,0))+SUMIFS('Allocated Transactions'!$J:$J,'Allocated Transactions'!$D:$D,$B35,'Allocated Transactions'!$C:$C,$B$9,'Allocated Transactions'!$A:$A,"&gt;="&amp;J$19,'Allocated Transactions'!$A:$A,"&lt;="&amp;EOMONTH(J$19,0))+SUMIFS('Allocated Transactions'!$J:$J,'Allocated Transactions'!$D:$D,$B35,'Allocated Transactions'!$C:$C,$B$8,'Allocated Transactions'!$A:$A,"&gt;="&amp;J$19,'Allocated Transactions'!$A:$A,"&lt;="&amp;EOMONTH(J$19,0))+SUMIFS('Allocated Transactions'!$J:$J,'Allocated Transactions'!$D:$D,$B35,'Allocated Transactions'!$C:$C,$B$10,'Allocated Transactions'!$A:$A,"&gt;="&amp;J$19,'Allocated Transactions'!$A:$A,"&lt;="&amp;EOMONTH(J$19,0))+SUMIFS('Allocated Transactions'!$J:$J,'Allocated Transactions'!$D:$D,$B35,'Allocated Transactions'!$C:$C,$B$11,'Allocated Transactions'!$A:$A,"&gt;="&amp;J$19,'Allocated Transactions'!$A:$A,"&lt;="&amp;EOMONTH(J$19,0))+SUMIFS('Allocated Transactions'!$J:$J,'Allocated Transactions'!$D:$D,$B35,'Allocated Transactions'!$C:$C,$B$2,'Allocated Transactions'!$A:$A,"&gt;="&amp;J$19,'Allocated Transactions'!$A:$A,"&lt;="&amp;EOMONTH(J$19,0))+SUMIFS('Allocated Transactions'!$J:$J,'Allocated Transactions'!$D:$D,$B35,'Allocated Transactions'!$C:$C,$B$4,'Allocated Transactions'!$A:$A,"&gt;="&amp;J$19,'Allocated Transactions'!$A:$A,"&lt;="&amp;EOMONTH(J$19,0))+SUMIFS('Allocated Transactions'!$J:$J,'Allocated Transactions'!$D:$D,$B35,'Allocated Transactions'!$C:$C,$B$3,'Allocated Transactions'!$A:$A,"&gt;="&amp;J$19,'Allocated Transactions'!$A:$A,"&lt;="&amp;EOMONTH(J$19,0))+SUMIFS('Allocated Transactions'!$J:$J,'Allocated Transactions'!$D:$D,$B35,'Allocated Transactions'!$C:$C,$B$5,'Allocated Transactions'!$A:$A,"&gt;="&amp;J$19,'Allocated Transactions'!$A:$A,"&lt;="&amp;EOMONTH(J$19,0))+SUMIFS('Allocated Transactions'!$J:$J,'Allocated Transactions'!$D:$D,$B35,'Allocated Transactions'!$C:$C,$B$6,'Allocated Transactions'!$A:$A,"&gt;="&amp;J$19,'Allocated Transactions'!$A:$A,"&lt;="&amp;EOMONTH(J$19,0)))</f>
        <v>9800</v>
      </c>
      <c r="K35" s="84">
        <f>SUMPRODUCT(SUMIFS('Budget Data'!$J:$J,'Budget Data'!$E:$E,$B35,'Budget Data'!$C:$C,$B$7,'Budget Data'!$A:$A,"&gt;="&amp;K$19,'Budget Data'!$A:$A,"&lt;="&amp;EOMONTH(K$19,0))+SUMIFS('Budget Data'!$J:$J,'Budget Data'!$E:$E,$B35,'Budget Data'!$C:$C,$B$9,'Budget Data'!$A:$A,"&gt;="&amp;K$19,'Budget Data'!$A:$A,"&lt;="&amp;EOMONTH(K$19,0))+SUMIFS('Budget Data'!$J:$J,'Budget Data'!$E:$E,$B35,'Budget Data'!$C:$C,$B$8,'Budget Data'!$A:$A,"&gt;="&amp;K$19,'Budget Data'!$A:$A,"&lt;="&amp;EOMONTH(K$19,0))+SUMIFS('Budget Data'!$J:$J,'Budget Data'!$E:$E,$B35,'Budget Data'!$C:$C,$B$10,'Budget Data'!$A:$A,"&gt;="&amp;K$19,'Budget Data'!$A:$A,"&lt;="&amp;EOMONTH(K$19,0))+SUMIFS('Budget Data'!$J:$J,'Budget Data'!$E:$E,$B35,'Budget Data'!$C:$C,$B$11,'Budget Data'!$A:$A,"&gt;="&amp;K$19,'Budget Data'!$A:$A,"&lt;="&amp;EOMONTH(K$19,0))+SUMIFS('Budget Data'!$J:$J,'Budget Data'!$E:$E,$B35,'Budget Data'!$C:$C,$B$2,'Budget Data'!$A:$A,"&gt;="&amp;K$19,'Budget Data'!$A:$A,"&lt;="&amp;EOMONTH(K$19,0))+SUMIFS('Budget Data'!$J:$J,'Budget Data'!$E:$E,$B35,'Budget Data'!$C:$C,$B$4,'Budget Data'!$A:$A,"&gt;="&amp;K$19,'Budget Data'!$A:$A,"&lt;="&amp;EOMONTH(K$19,0))+SUMIFS('Budget Data'!$J:$J,'Budget Data'!$E:$E,$B35,'Budget Data'!$C:$C,$B$3,'Budget Data'!$A:$A,"&gt;="&amp;K$19,'Budget Data'!$A:$A,"&lt;="&amp;EOMONTH(K$19,0))+SUMIFS('Budget Data'!$J:$J,'Budget Data'!$E:$E,$B35,'Budget Data'!$C:$C,$B$5,'Budget Data'!$A:$A,"&gt;="&amp;K$19,'Budget Data'!$A:$A,"&lt;="&amp;EOMONTH(K$19,0))+SUMIFS('Budget Data'!$J:$J,'Budget Data'!$E:$E,$B35,'Budget Data'!$C:$C,$B$6,'Budget Data'!$A:$A,"&gt;="&amp;K$19,'Budget Data'!$A:$A,"&lt;="&amp;EOMONTH(K$19,0)))</f>
        <v>10000</v>
      </c>
      <c r="L35" s="86">
        <f>SUMPRODUCT(SUMIFS('Allocated Transactions'!$J:$J,'Allocated Transactions'!$D:$D,$B35,'Allocated Transactions'!$C:$C,$B$7,'Allocated Transactions'!$A:$A,"&gt;="&amp;L$19,'Allocated Transactions'!$A:$A,"&lt;="&amp;EOMONTH(L$19,0))+SUMIFS('Allocated Transactions'!$J:$J,'Allocated Transactions'!$D:$D,$B35,'Allocated Transactions'!$C:$C,$B$9,'Allocated Transactions'!$A:$A,"&gt;="&amp;L$19,'Allocated Transactions'!$A:$A,"&lt;="&amp;EOMONTH(L$19,0))+SUMIFS('Allocated Transactions'!$J:$J,'Allocated Transactions'!$D:$D,$B35,'Allocated Transactions'!$C:$C,$B$8,'Allocated Transactions'!$A:$A,"&gt;="&amp;L$19,'Allocated Transactions'!$A:$A,"&lt;="&amp;EOMONTH(L$19,0))+SUMIFS('Allocated Transactions'!$J:$J,'Allocated Transactions'!$D:$D,$B35,'Allocated Transactions'!$C:$C,$B$10,'Allocated Transactions'!$A:$A,"&gt;="&amp;L$19,'Allocated Transactions'!$A:$A,"&lt;="&amp;EOMONTH(L$19,0))+SUMIFS('Allocated Transactions'!$J:$J,'Allocated Transactions'!$D:$D,$B35,'Allocated Transactions'!$C:$C,$B$11,'Allocated Transactions'!$A:$A,"&gt;="&amp;L$19,'Allocated Transactions'!$A:$A,"&lt;="&amp;EOMONTH(L$19,0))+SUMIFS('Allocated Transactions'!$J:$J,'Allocated Transactions'!$D:$D,$B35,'Allocated Transactions'!$C:$C,$B$2,'Allocated Transactions'!$A:$A,"&gt;="&amp;L$19,'Allocated Transactions'!$A:$A,"&lt;="&amp;EOMONTH(L$19,0))+SUMIFS('Allocated Transactions'!$J:$J,'Allocated Transactions'!$D:$D,$B35,'Allocated Transactions'!$C:$C,$B$4,'Allocated Transactions'!$A:$A,"&gt;="&amp;L$19,'Allocated Transactions'!$A:$A,"&lt;="&amp;EOMONTH(L$19,0))+SUMIFS('Allocated Transactions'!$J:$J,'Allocated Transactions'!$D:$D,$B35,'Allocated Transactions'!$C:$C,$B$3,'Allocated Transactions'!$A:$A,"&gt;="&amp;L$19,'Allocated Transactions'!$A:$A,"&lt;="&amp;EOMONTH(L$19,0))+SUMIFS('Allocated Transactions'!$J:$J,'Allocated Transactions'!$D:$D,$B35,'Allocated Transactions'!$C:$C,$B$5,'Allocated Transactions'!$A:$A,"&gt;="&amp;L$19,'Allocated Transactions'!$A:$A,"&lt;="&amp;EOMONTH(L$19,0))+SUMIFS('Allocated Transactions'!$J:$J,'Allocated Transactions'!$D:$D,$B35,'Allocated Transactions'!$C:$C,$B$6,'Allocated Transactions'!$A:$A,"&gt;="&amp;L$19,'Allocated Transactions'!$A:$A,"&lt;="&amp;EOMONTH(L$19,0)))</f>
        <v>9800.0000000000073</v>
      </c>
      <c r="M35" s="84">
        <f>SUMPRODUCT(SUMIFS('Budget Data'!$J:$J,'Budget Data'!$E:$E,$B35,'Budget Data'!$C:$C,$B$7,'Budget Data'!$A:$A,"&gt;="&amp;M$19,'Budget Data'!$A:$A,"&lt;="&amp;EOMONTH(M$19,0))+SUMIFS('Budget Data'!$J:$J,'Budget Data'!$E:$E,$B35,'Budget Data'!$C:$C,$B$9,'Budget Data'!$A:$A,"&gt;="&amp;M$19,'Budget Data'!$A:$A,"&lt;="&amp;EOMONTH(M$19,0))+SUMIFS('Budget Data'!$J:$J,'Budget Data'!$E:$E,$B35,'Budget Data'!$C:$C,$B$8,'Budget Data'!$A:$A,"&gt;="&amp;M$19,'Budget Data'!$A:$A,"&lt;="&amp;EOMONTH(M$19,0))+SUMIFS('Budget Data'!$J:$J,'Budget Data'!$E:$E,$B35,'Budget Data'!$C:$C,$B$10,'Budget Data'!$A:$A,"&gt;="&amp;M$19,'Budget Data'!$A:$A,"&lt;="&amp;EOMONTH(M$19,0))+SUMIFS('Budget Data'!$J:$J,'Budget Data'!$E:$E,$B35,'Budget Data'!$C:$C,$B$11,'Budget Data'!$A:$A,"&gt;="&amp;M$19,'Budget Data'!$A:$A,"&lt;="&amp;EOMONTH(M$19,0))+SUMIFS('Budget Data'!$J:$J,'Budget Data'!$E:$E,$B35,'Budget Data'!$C:$C,$B$2,'Budget Data'!$A:$A,"&gt;="&amp;M$19,'Budget Data'!$A:$A,"&lt;="&amp;EOMONTH(M$19,0))+SUMIFS('Budget Data'!$J:$J,'Budget Data'!$E:$E,$B35,'Budget Data'!$C:$C,$B$4,'Budget Data'!$A:$A,"&gt;="&amp;M$19,'Budget Data'!$A:$A,"&lt;="&amp;EOMONTH(M$19,0))+SUMIFS('Budget Data'!$J:$J,'Budget Data'!$E:$E,$B35,'Budget Data'!$C:$C,$B$3,'Budget Data'!$A:$A,"&gt;="&amp;M$19,'Budget Data'!$A:$A,"&lt;="&amp;EOMONTH(M$19,0))+SUMIFS('Budget Data'!$J:$J,'Budget Data'!$E:$E,$B35,'Budget Data'!$C:$C,$B$5,'Budget Data'!$A:$A,"&gt;="&amp;M$19,'Budget Data'!$A:$A,"&lt;="&amp;EOMONTH(M$19,0))+SUMIFS('Budget Data'!$J:$J,'Budget Data'!$E:$E,$B35,'Budget Data'!$C:$C,$B$6,'Budget Data'!$A:$A,"&gt;="&amp;M$19,'Budget Data'!$A:$A,"&lt;="&amp;EOMONTH(M$19,0)))</f>
        <v>9600</v>
      </c>
      <c r="N35" s="86">
        <f>SUMPRODUCT(SUMIFS('Allocated Transactions'!$J:$J,'Allocated Transactions'!$D:$D,$B35,'Allocated Transactions'!$C:$C,$B$7,'Allocated Transactions'!$A:$A,"&gt;="&amp;N$19,'Allocated Transactions'!$A:$A,"&lt;="&amp;EOMONTH(N$19,0))+SUMIFS('Allocated Transactions'!$J:$J,'Allocated Transactions'!$D:$D,$B35,'Allocated Transactions'!$C:$C,$B$9,'Allocated Transactions'!$A:$A,"&gt;="&amp;N$19,'Allocated Transactions'!$A:$A,"&lt;="&amp;EOMONTH(N$19,0))+SUMIFS('Allocated Transactions'!$J:$J,'Allocated Transactions'!$D:$D,$B35,'Allocated Transactions'!$C:$C,$B$8,'Allocated Transactions'!$A:$A,"&gt;="&amp;N$19,'Allocated Transactions'!$A:$A,"&lt;="&amp;EOMONTH(N$19,0))+SUMIFS('Allocated Transactions'!$J:$J,'Allocated Transactions'!$D:$D,$B35,'Allocated Transactions'!$C:$C,$B$10,'Allocated Transactions'!$A:$A,"&gt;="&amp;N$19,'Allocated Transactions'!$A:$A,"&lt;="&amp;EOMONTH(N$19,0))+SUMIFS('Allocated Transactions'!$J:$J,'Allocated Transactions'!$D:$D,$B35,'Allocated Transactions'!$C:$C,$B$11,'Allocated Transactions'!$A:$A,"&gt;="&amp;N$19,'Allocated Transactions'!$A:$A,"&lt;="&amp;EOMONTH(N$19,0))+SUMIFS('Allocated Transactions'!$J:$J,'Allocated Transactions'!$D:$D,$B35,'Allocated Transactions'!$C:$C,$B$2,'Allocated Transactions'!$A:$A,"&gt;="&amp;N$19,'Allocated Transactions'!$A:$A,"&lt;="&amp;EOMONTH(N$19,0))+SUMIFS('Allocated Transactions'!$J:$J,'Allocated Transactions'!$D:$D,$B35,'Allocated Transactions'!$C:$C,$B$4,'Allocated Transactions'!$A:$A,"&gt;="&amp;N$19,'Allocated Transactions'!$A:$A,"&lt;="&amp;EOMONTH(N$19,0))+SUMIFS('Allocated Transactions'!$J:$J,'Allocated Transactions'!$D:$D,$B35,'Allocated Transactions'!$C:$C,$B$3,'Allocated Transactions'!$A:$A,"&gt;="&amp;N$19,'Allocated Transactions'!$A:$A,"&lt;="&amp;EOMONTH(N$19,0))+SUMIFS('Allocated Transactions'!$J:$J,'Allocated Transactions'!$D:$D,$B35,'Allocated Transactions'!$C:$C,$B$5,'Allocated Transactions'!$A:$A,"&gt;="&amp;N$19,'Allocated Transactions'!$A:$A,"&lt;="&amp;EOMONTH(N$19,0))+SUMIFS('Allocated Transactions'!$J:$J,'Allocated Transactions'!$D:$D,$B35,'Allocated Transactions'!$C:$C,$B$6,'Allocated Transactions'!$A:$A,"&gt;="&amp;N$19,'Allocated Transactions'!$A:$A,"&lt;="&amp;EOMONTH(N$19,0)))</f>
        <v>9800.0000000000073</v>
      </c>
      <c r="O35" s="84">
        <f>SUMPRODUCT(SUMIFS('Budget Data'!$J:$J,'Budget Data'!$E:$E,$B35,'Budget Data'!$C:$C,$B$7,'Budget Data'!$A:$A,"&gt;="&amp;O$19,'Budget Data'!$A:$A,"&lt;="&amp;EOMONTH(O$19,0))+SUMIFS('Budget Data'!$J:$J,'Budget Data'!$E:$E,$B35,'Budget Data'!$C:$C,$B$9,'Budget Data'!$A:$A,"&gt;="&amp;O$19,'Budget Data'!$A:$A,"&lt;="&amp;EOMONTH(O$19,0))+SUMIFS('Budget Data'!$J:$J,'Budget Data'!$E:$E,$B35,'Budget Data'!$C:$C,$B$8,'Budget Data'!$A:$A,"&gt;="&amp;O$19,'Budget Data'!$A:$A,"&lt;="&amp;EOMONTH(O$19,0))+SUMIFS('Budget Data'!$J:$J,'Budget Data'!$E:$E,$B35,'Budget Data'!$C:$C,$B$10,'Budget Data'!$A:$A,"&gt;="&amp;O$19,'Budget Data'!$A:$A,"&lt;="&amp;EOMONTH(O$19,0))+SUMIFS('Budget Data'!$J:$J,'Budget Data'!$E:$E,$B35,'Budget Data'!$C:$C,$B$11,'Budget Data'!$A:$A,"&gt;="&amp;O$19,'Budget Data'!$A:$A,"&lt;="&amp;EOMONTH(O$19,0))+SUMIFS('Budget Data'!$J:$J,'Budget Data'!$E:$E,$B35,'Budget Data'!$C:$C,$B$2,'Budget Data'!$A:$A,"&gt;="&amp;O$19,'Budget Data'!$A:$A,"&lt;="&amp;EOMONTH(O$19,0))+SUMIFS('Budget Data'!$J:$J,'Budget Data'!$E:$E,$B35,'Budget Data'!$C:$C,$B$4,'Budget Data'!$A:$A,"&gt;="&amp;O$19,'Budget Data'!$A:$A,"&lt;="&amp;EOMONTH(O$19,0))+SUMIFS('Budget Data'!$J:$J,'Budget Data'!$E:$E,$B35,'Budget Data'!$C:$C,$B$3,'Budget Data'!$A:$A,"&gt;="&amp;O$19,'Budget Data'!$A:$A,"&lt;="&amp;EOMONTH(O$19,0))+SUMIFS('Budget Data'!$J:$J,'Budget Data'!$E:$E,$B35,'Budget Data'!$C:$C,$B$5,'Budget Data'!$A:$A,"&gt;="&amp;O$19,'Budget Data'!$A:$A,"&lt;="&amp;EOMONTH(O$19,0))+SUMIFS('Budget Data'!$J:$J,'Budget Data'!$E:$E,$B35,'Budget Data'!$C:$C,$B$6,'Budget Data'!$A:$A,"&gt;="&amp;O$19,'Budget Data'!$A:$A,"&lt;="&amp;EOMONTH(O$19,0)))</f>
        <v>9600</v>
      </c>
      <c r="P35" s="86">
        <f>SUMPRODUCT(SUMIFS('Allocated Transactions'!$J:$J,'Allocated Transactions'!$D:$D,$B35,'Allocated Transactions'!$C:$C,$B$7,'Allocated Transactions'!$A:$A,"&gt;="&amp;P$19,'Allocated Transactions'!$A:$A,"&lt;="&amp;EOMONTH(P$19,0))+SUMIFS('Allocated Transactions'!$J:$J,'Allocated Transactions'!$D:$D,$B35,'Allocated Transactions'!$C:$C,$B$9,'Allocated Transactions'!$A:$A,"&gt;="&amp;P$19,'Allocated Transactions'!$A:$A,"&lt;="&amp;EOMONTH(P$19,0))+SUMIFS('Allocated Transactions'!$J:$J,'Allocated Transactions'!$D:$D,$B35,'Allocated Transactions'!$C:$C,$B$8,'Allocated Transactions'!$A:$A,"&gt;="&amp;P$19,'Allocated Transactions'!$A:$A,"&lt;="&amp;EOMONTH(P$19,0))+SUMIFS('Allocated Transactions'!$J:$J,'Allocated Transactions'!$D:$D,$B35,'Allocated Transactions'!$C:$C,$B$10,'Allocated Transactions'!$A:$A,"&gt;="&amp;P$19,'Allocated Transactions'!$A:$A,"&lt;="&amp;EOMONTH(P$19,0))+SUMIFS('Allocated Transactions'!$J:$J,'Allocated Transactions'!$D:$D,$B35,'Allocated Transactions'!$C:$C,$B$11,'Allocated Transactions'!$A:$A,"&gt;="&amp;P$19,'Allocated Transactions'!$A:$A,"&lt;="&amp;EOMONTH(P$19,0))+SUMIFS('Allocated Transactions'!$J:$J,'Allocated Transactions'!$D:$D,$B35,'Allocated Transactions'!$C:$C,$B$2,'Allocated Transactions'!$A:$A,"&gt;="&amp;P$19,'Allocated Transactions'!$A:$A,"&lt;="&amp;EOMONTH(P$19,0))+SUMIFS('Allocated Transactions'!$J:$J,'Allocated Transactions'!$D:$D,$B35,'Allocated Transactions'!$C:$C,$B$4,'Allocated Transactions'!$A:$A,"&gt;="&amp;P$19,'Allocated Transactions'!$A:$A,"&lt;="&amp;EOMONTH(P$19,0))+SUMIFS('Allocated Transactions'!$J:$J,'Allocated Transactions'!$D:$D,$B35,'Allocated Transactions'!$C:$C,$B$3,'Allocated Transactions'!$A:$A,"&gt;="&amp;P$19,'Allocated Transactions'!$A:$A,"&lt;="&amp;EOMONTH(P$19,0))+SUMIFS('Allocated Transactions'!$J:$J,'Allocated Transactions'!$D:$D,$B35,'Allocated Transactions'!$C:$C,$B$5,'Allocated Transactions'!$A:$A,"&gt;="&amp;P$19,'Allocated Transactions'!$A:$A,"&lt;="&amp;EOMONTH(P$19,0))+SUMIFS('Allocated Transactions'!$J:$J,'Allocated Transactions'!$D:$D,$B35,'Allocated Transactions'!$C:$C,$B$6,'Allocated Transactions'!$A:$A,"&gt;="&amp;P$19,'Allocated Transactions'!$A:$A,"&lt;="&amp;EOMONTH(P$19,0)))</f>
        <v>9800</v>
      </c>
      <c r="Q35" s="84">
        <f>SUMPRODUCT(SUMIFS('Budget Data'!$J:$J,'Budget Data'!$E:$E,$B35,'Budget Data'!$C:$C,$B$7,'Budget Data'!$A:$A,"&gt;="&amp;Q$19,'Budget Data'!$A:$A,"&lt;="&amp;EOMONTH(Q$19,0))+SUMIFS('Budget Data'!$J:$J,'Budget Data'!$E:$E,$B35,'Budget Data'!$C:$C,$B$9,'Budget Data'!$A:$A,"&gt;="&amp;Q$19,'Budget Data'!$A:$A,"&lt;="&amp;EOMONTH(Q$19,0))+SUMIFS('Budget Data'!$J:$J,'Budget Data'!$E:$E,$B35,'Budget Data'!$C:$C,$B$8,'Budget Data'!$A:$A,"&gt;="&amp;Q$19,'Budget Data'!$A:$A,"&lt;="&amp;EOMONTH(Q$19,0))+SUMIFS('Budget Data'!$J:$J,'Budget Data'!$E:$E,$B35,'Budget Data'!$C:$C,$B$10,'Budget Data'!$A:$A,"&gt;="&amp;Q$19,'Budget Data'!$A:$A,"&lt;="&amp;EOMONTH(Q$19,0))+SUMIFS('Budget Data'!$J:$J,'Budget Data'!$E:$E,$B35,'Budget Data'!$C:$C,$B$11,'Budget Data'!$A:$A,"&gt;="&amp;Q$19,'Budget Data'!$A:$A,"&lt;="&amp;EOMONTH(Q$19,0))+SUMIFS('Budget Data'!$J:$J,'Budget Data'!$E:$E,$B35,'Budget Data'!$C:$C,$B$2,'Budget Data'!$A:$A,"&gt;="&amp;Q$19,'Budget Data'!$A:$A,"&lt;="&amp;EOMONTH(Q$19,0))+SUMIFS('Budget Data'!$J:$J,'Budget Data'!$E:$E,$B35,'Budget Data'!$C:$C,$B$4,'Budget Data'!$A:$A,"&gt;="&amp;Q$19,'Budget Data'!$A:$A,"&lt;="&amp;EOMONTH(Q$19,0))+SUMIFS('Budget Data'!$J:$J,'Budget Data'!$E:$E,$B35,'Budget Data'!$C:$C,$B$3,'Budget Data'!$A:$A,"&gt;="&amp;Q$19,'Budget Data'!$A:$A,"&lt;="&amp;EOMONTH(Q$19,0))+SUMIFS('Budget Data'!$J:$J,'Budget Data'!$E:$E,$B35,'Budget Data'!$C:$C,$B$5,'Budget Data'!$A:$A,"&gt;="&amp;Q$19,'Budget Data'!$A:$A,"&lt;="&amp;EOMONTH(Q$19,0))+SUMIFS('Budget Data'!$J:$J,'Budget Data'!$E:$E,$B35,'Budget Data'!$C:$C,$B$6,'Budget Data'!$A:$A,"&gt;="&amp;Q$19,'Budget Data'!$A:$A,"&lt;="&amp;EOMONTH(Q$19,0)))</f>
        <v>10000</v>
      </c>
      <c r="R35" s="86">
        <f>SUMPRODUCT(SUMIFS('Allocated Transactions'!$J:$J,'Allocated Transactions'!$D:$D,$B35,'Allocated Transactions'!$C:$C,$B$7,'Allocated Transactions'!$A:$A,"&gt;="&amp;R$19,'Allocated Transactions'!$A:$A,"&lt;="&amp;EOMONTH(R$19,0))+SUMIFS('Allocated Transactions'!$J:$J,'Allocated Transactions'!$D:$D,$B35,'Allocated Transactions'!$C:$C,$B$9,'Allocated Transactions'!$A:$A,"&gt;="&amp;R$19,'Allocated Transactions'!$A:$A,"&lt;="&amp;EOMONTH(R$19,0))+SUMIFS('Allocated Transactions'!$J:$J,'Allocated Transactions'!$D:$D,$B35,'Allocated Transactions'!$C:$C,$B$8,'Allocated Transactions'!$A:$A,"&gt;="&amp;R$19,'Allocated Transactions'!$A:$A,"&lt;="&amp;EOMONTH(R$19,0))+SUMIFS('Allocated Transactions'!$J:$J,'Allocated Transactions'!$D:$D,$B35,'Allocated Transactions'!$C:$C,$B$10,'Allocated Transactions'!$A:$A,"&gt;="&amp;R$19,'Allocated Transactions'!$A:$A,"&lt;="&amp;EOMONTH(R$19,0))+SUMIFS('Allocated Transactions'!$J:$J,'Allocated Transactions'!$D:$D,$B35,'Allocated Transactions'!$C:$C,$B$11,'Allocated Transactions'!$A:$A,"&gt;="&amp;R$19,'Allocated Transactions'!$A:$A,"&lt;="&amp;EOMONTH(R$19,0))+SUMIFS('Allocated Transactions'!$J:$J,'Allocated Transactions'!$D:$D,$B35,'Allocated Transactions'!$C:$C,$B$2,'Allocated Transactions'!$A:$A,"&gt;="&amp;R$19,'Allocated Transactions'!$A:$A,"&lt;="&amp;EOMONTH(R$19,0))+SUMIFS('Allocated Transactions'!$J:$J,'Allocated Transactions'!$D:$D,$B35,'Allocated Transactions'!$C:$C,$B$4,'Allocated Transactions'!$A:$A,"&gt;="&amp;R$19,'Allocated Transactions'!$A:$A,"&lt;="&amp;EOMONTH(R$19,0))+SUMIFS('Allocated Transactions'!$J:$J,'Allocated Transactions'!$D:$D,$B35,'Allocated Transactions'!$C:$C,$B$3,'Allocated Transactions'!$A:$A,"&gt;="&amp;R$19,'Allocated Transactions'!$A:$A,"&lt;="&amp;EOMONTH(R$19,0))+SUMIFS('Allocated Transactions'!$J:$J,'Allocated Transactions'!$D:$D,$B35,'Allocated Transactions'!$C:$C,$B$5,'Allocated Transactions'!$A:$A,"&gt;="&amp;R$19,'Allocated Transactions'!$A:$A,"&lt;="&amp;EOMONTH(R$19,0))+SUMIFS('Allocated Transactions'!$J:$J,'Allocated Transactions'!$D:$D,$B35,'Allocated Transactions'!$C:$C,$B$6,'Allocated Transactions'!$A:$A,"&gt;="&amp;R$19,'Allocated Transactions'!$A:$A,"&lt;="&amp;EOMONTH(R$19,0)))</f>
        <v>9800.0000000000073</v>
      </c>
      <c r="S35" s="84">
        <f>SUMPRODUCT(SUMIFS('Budget Data'!$J:$J,'Budget Data'!$E:$E,$B35,'Budget Data'!$C:$C,$B$7,'Budget Data'!$A:$A,"&gt;="&amp;S$19,'Budget Data'!$A:$A,"&lt;="&amp;EOMONTH(S$19,0))+SUMIFS('Budget Data'!$J:$J,'Budget Data'!$E:$E,$B35,'Budget Data'!$C:$C,$B$9,'Budget Data'!$A:$A,"&gt;="&amp;S$19,'Budget Data'!$A:$A,"&lt;="&amp;EOMONTH(S$19,0))+SUMIFS('Budget Data'!$J:$J,'Budget Data'!$E:$E,$B35,'Budget Data'!$C:$C,$B$8,'Budget Data'!$A:$A,"&gt;="&amp;S$19,'Budget Data'!$A:$A,"&lt;="&amp;EOMONTH(S$19,0))+SUMIFS('Budget Data'!$J:$J,'Budget Data'!$E:$E,$B35,'Budget Data'!$C:$C,$B$10,'Budget Data'!$A:$A,"&gt;="&amp;S$19,'Budget Data'!$A:$A,"&lt;="&amp;EOMONTH(S$19,0))+SUMIFS('Budget Data'!$J:$J,'Budget Data'!$E:$E,$B35,'Budget Data'!$C:$C,$B$11,'Budget Data'!$A:$A,"&gt;="&amp;S$19,'Budget Data'!$A:$A,"&lt;="&amp;EOMONTH(S$19,0))+SUMIFS('Budget Data'!$J:$J,'Budget Data'!$E:$E,$B35,'Budget Data'!$C:$C,$B$2,'Budget Data'!$A:$A,"&gt;="&amp;S$19,'Budget Data'!$A:$A,"&lt;="&amp;EOMONTH(S$19,0))+SUMIFS('Budget Data'!$J:$J,'Budget Data'!$E:$E,$B35,'Budget Data'!$C:$C,$B$4,'Budget Data'!$A:$A,"&gt;="&amp;S$19,'Budget Data'!$A:$A,"&lt;="&amp;EOMONTH(S$19,0))+SUMIFS('Budget Data'!$J:$J,'Budget Data'!$E:$E,$B35,'Budget Data'!$C:$C,$B$3,'Budget Data'!$A:$A,"&gt;="&amp;S$19,'Budget Data'!$A:$A,"&lt;="&amp;EOMONTH(S$19,0))+SUMIFS('Budget Data'!$J:$J,'Budget Data'!$E:$E,$B35,'Budget Data'!$C:$C,$B$5,'Budget Data'!$A:$A,"&gt;="&amp;S$19,'Budget Data'!$A:$A,"&lt;="&amp;EOMONTH(S$19,0))+SUMIFS('Budget Data'!$J:$J,'Budget Data'!$E:$E,$B35,'Budget Data'!$C:$C,$B$6,'Budget Data'!$A:$A,"&gt;="&amp;S$19,'Budget Data'!$A:$A,"&lt;="&amp;EOMONTH(S$19,0)))</f>
        <v>9600</v>
      </c>
      <c r="T35" s="86">
        <f>SUMPRODUCT(SUMIFS('Allocated Transactions'!$J:$J,'Allocated Transactions'!$D:$D,$B35,'Allocated Transactions'!$C:$C,$B$7,'Allocated Transactions'!$A:$A,"&gt;="&amp;T$19,'Allocated Transactions'!$A:$A,"&lt;="&amp;EOMONTH(T$19,0))+SUMIFS('Allocated Transactions'!$J:$J,'Allocated Transactions'!$D:$D,$B35,'Allocated Transactions'!$C:$C,$B$9,'Allocated Transactions'!$A:$A,"&gt;="&amp;T$19,'Allocated Transactions'!$A:$A,"&lt;="&amp;EOMONTH(T$19,0))+SUMIFS('Allocated Transactions'!$J:$J,'Allocated Transactions'!$D:$D,$B35,'Allocated Transactions'!$C:$C,$B$8,'Allocated Transactions'!$A:$A,"&gt;="&amp;T$19,'Allocated Transactions'!$A:$A,"&lt;="&amp;EOMONTH(T$19,0))+SUMIFS('Allocated Transactions'!$J:$J,'Allocated Transactions'!$D:$D,$B35,'Allocated Transactions'!$C:$C,$B$10,'Allocated Transactions'!$A:$A,"&gt;="&amp;T$19,'Allocated Transactions'!$A:$A,"&lt;="&amp;EOMONTH(T$19,0))+SUMIFS('Allocated Transactions'!$J:$J,'Allocated Transactions'!$D:$D,$B35,'Allocated Transactions'!$C:$C,$B$11,'Allocated Transactions'!$A:$A,"&gt;="&amp;T$19,'Allocated Transactions'!$A:$A,"&lt;="&amp;EOMONTH(T$19,0))+SUMIFS('Allocated Transactions'!$J:$J,'Allocated Transactions'!$D:$D,$B35,'Allocated Transactions'!$C:$C,$B$2,'Allocated Transactions'!$A:$A,"&gt;="&amp;T$19,'Allocated Transactions'!$A:$A,"&lt;="&amp;EOMONTH(T$19,0))+SUMIFS('Allocated Transactions'!$J:$J,'Allocated Transactions'!$D:$D,$B35,'Allocated Transactions'!$C:$C,$B$4,'Allocated Transactions'!$A:$A,"&gt;="&amp;T$19,'Allocated Transactions'!$A:$A,"&lt;="&amp;EOMONTH(T$19,0))+SUMIFS('Allocated Transactions'!$J:$J,'Allocated Transactions'!$D:$D,$B35,'Allocated Transactions'!$C:$C,$B$3,'Allocated Transactions'!$A:$A,"&gt;="&amp;T$19,'Allocated Transactions'!$A:$A,"&lt;="&amp;EOMONTH(T$19,0))+SUMIFS('Allocated Transactions'!$J:$J,'Allocated Transactions'!$D:$D,$B35,'Allocated Transactions'!$C:$C,$B$5,'Allocated Transactions'!$A:$A,"&gt;="&amp;T$19,'Allocated Transactions'!$A:$A,"&lt;="&amp;EOMONTH(T$19,0))+SUMIFS('Allocated Transactions'!$J:$J,'Allocated Transactions'!$D:$D,$B35,'Allocated Transactions'!$C:$C,$B$6,'Allocated Transactions'!$A:$A,"&gt;="&amp;T$19,'Allocated Transactions'!$A:$A,"&lt;="&amp;EOMONTH(T$19,0)))</f>
        <v>9800.0000000000109</v>
      </c>
      <c r="U35" s="84">
        <f>SUMPRODUCT(SUMIFS('Budget Data'!$J:$J,'Budget Data'!$E:$E,$B35,'Budget Data'!$C:$C,$B$7,'Budget Data'!$A:$A,"&gt;="&amp;U$19,'Budget Data'!$A:$A,"&lt;="&amp;EOMONTH(U$19,0))+SUMIFS('Budget Data'!$J:$J,'Budget Data'!$E:$E,$B35,'Budget Data'!$C:$C,$B$9,'Budget Data'!$A:$A,"&gt;="&amp;U$19,'Budget Data'!$A:$A,"&lt;="&amp;EOMONTH(U$19,0))+SUMIFS('Budget Data'!$J:$J,'Budget Data'!$E:$E,$B35,'Budget Data'!$C:$C,$B$8,'Budget Data'!$A:$A,"&gt;="&amp;U$19,'Budget Data'!$A:$A,"&lt;="&amp;EOMONTH(U$19,0))+SUMIFS('Budget Data'!$J:$J,'Budget Data'!$E:$E,$B35,'Budget Data'!$C:$C,$B$10,'Budget Data'!$A:$A,"&gt;="&amp;U$19,'Budget Data'!$A:$A,"&lt;="&amp;EOMONTH(U$19,0))+SUMIFS('Budget Data'!$J:$J,'Budget Data'!$E:$E,$B35,'Budget Data'!$C:$C,$B$11,'Budget Data'!$A:$A,"&gt;="&amp;U$19,'Budget Data'!$A:$A,"&lt;="&amp;EOMONTH(U$19,0))+SUMIFS('Budget Data'!$J:$J,'Budget Data'!$E:$E,$B35,'Budget Data'!$C:$C,$B$2,'Budget Data'!$A:$A,"&gt;="&amp;U$19,'Budget Data'!$A:$A,"&lt;="&amp;EOMONTH(U$19,0))+SUMIFS('Budget Data'!$J:$J,'Budget Data'!$E:$E,$B35,'Budget Data'!$C:$C,$B$4,'Budget Data'!$A:$A,"&gt;="&amp;U$19,'Budget Data'!$A:$A,"&lt;="&amp;EOMONTH(U$19,0))+SUMIFS('Budget Data'!$J:$J,'Budget Data'!$E:$E,$B35,'Budget Data'!$C:$C,$B$3,'Budget Data'!$A:$A,"&gt;="&amp;U$19,'Budget Data'!$A:$A,"&lt;="&amp;EOMONTH(U$19,0))+SUMIFS('Budget Data'!$J:$J,'Budget Data'!$E:$E,$B35,'Budget Data'!$C:$C,$B$5,'Budget Data'!$A:$A,"&gt;="&amp;U$19,'Budget Data'!$A:$A,"&lt;="&amp;EOMONTH(U$19,0))+SUMIFS('Budget Data'!$J:$J,'Budget Data'!$E:$E,$B35,'Budget Data'!$C:$C,$B$6,'Budget Data'!$A:$A,"&gt;="&amp;U$19,'Budget Data'!$A:$A,"&lt;="&amp;EOMONTH(U$19,0)))</f>
        <v>9700</v>
      </c>
      <c r="V35" s="86">
        <f>SUMPRODUCT(SUMIFS('Allocated Transactions'!$J:$J,'Allocated Transactions'!$D:$D,$B35,'Allocated Transactions'!$C:$C,$B$7,'Allocated Transactions'!$A:$A,"&gt;="&amp;V$19,'Allocated Transactions'!$A:$A,"&lt;="&amp;EOMONTH(V$19,0))+SUMIFS('Allocated Transactions'!$J:$J,'Allocated Transactions'!$D:$D,$B35,'Allocated Transactions'!$C:$C,$B$9,'Allocated Transactions'!$A:$A,"&gt;="&amp;V$19,'Allocated Transactions'!$A:$A,"&lt;="&amp;EOMONTH(V$19,0))+SUMIFS('Allocated Transactions'!$J:$J,'Allocated Transactions'!$D:$D,$B35,'Allocated Transactions'!$C:$C,$B$8,'Allocated Transactions'!$A:$A,"&gt;="&amp;V$19,'Allocated Transactions'!$A:$A,"&lt;="&amp;EOMONTH(V$19,0))+SUMIFS('Allocated Transactions'!$J:$J,'Allocated Transactions'!$D:$D,$B35,'Allocated Transactions'!$C:$C,$B$10,'Allocated Transactions'!$A:$A,"&gt;="&amp;V$19,'Allocated Transactions'!$A:$A,"&lt;="&amp;EOMONTH(V$19,0))+SUMIFS('Allocated Transactions'!$J:$J,'Allocated Transactions'!$D:$D,$B35,'Allocated Transactions'!$C:$C,$B$11,'Allocated Transactions'!$A:$A,"&gt;="&amp;V$19,'Allocated Transactions'!$A:$A,"&lt;="&amp;EOMONTH(V$19,0))+SUMIFS('Allocated Transactions'!$J:$J,'Allocated Transactions'!$D:$D,$B35,'Allocated Transactions'!$C:$C,$B$2,'Allocated Transactions'!$A:$A,"&gt;="&amp;V$19,'Allocated Transactions'!$A:$A,"&lt;="&amp;EOMONTH(V$19,0))+SUMIFS('Allocated Transactions'!$J:$J,'Allocated Transactions'!$D:$D,$B35,'Allocated Transactions'!$C:$C,$B$4,'Allocated Transactions'!$A:$A,"&gt;="&amp;V$19,'Allocated Transactions'!$A:$A,"&lt;="&amp;EOMONTH(V$19,0))+SUMIFS('Allocated Transactions'!$J:$J,'Allocated Transactions'!$D:$D,$B35,'Allocated Transactions'!$C:$C,$B$3,'Allocated Transactions'!$A:$A,"&gt;="&amp;V$19,'Allocated Transactions'!$A:$A,"&lt;="&amp;EOMONTH(V$19,0))+SUMIFS('Allocated Transactions'!$J:$J,'Allocated Transactions'!$D:$D,$B35,'Allocated Transactions'!$C:$C,$B$5,'Allocated Transactions'!$A:$A,"&gt;="&amp;V$19,'Allocated Transactions'!$A:$A,"&lt;="&amp;EOMONTH(V$19,0))+SUMIFS('Allocated Transactions'!$J:$J,'Allocated Transactions'!$D:$D,$B35,'Allocated Transactions'!$C:$C,$B$6,'Allocated Transactions'!$A:$A,"&gt;="&amp;V$19,'Allocated Transactions'!$A:$A,"&lt;="&amp;EOMONTH(V$19,0)))</f>
        <v>9800.0000000000109</v>
      </c>
      <c r="W35" s="84">
        <f>SUMPRODUCT(SUMIFS('Budget Data'!$J:$J,'Budget Data'!$E:$E,$B35,'Budget Data'!$C:$C,$B$7,'Budget Data'!$A:$A,"&gt;="&amp;W$19,'Budget Data'!$A:$A,"&lt;="&amp;EOMONTH(W$19,0))+SUMIFS('Budget Data'!$J:$J,'Budget Data'!$E:$E,$B35,'Budget Data'!$C:$C,$B$9,'Budget Data'!$A:$A,"&gt;="&amp;W$19,'Budget Data'!$A:$A,"&lt;="&amp;EOMONTH(W$19,0))+SUMIFS('Budget Data'!$J:$J,'Budget Data'!$E:$E,$B35,'Budget Data'!$C:$C,$B$8,'Budget Data'!$A:$A,"&gt;="&amp;W$19,'Budget Data'!$A:$A,"&lt;="&amp;EOMONTH(W$19,0))+SUMIFS('Budget Data'!$J:$J,'Budget Data'!$E:$E,$B35,'Budget Data'!$C:$C,$B$10,'Budget Data'!$A:$A,"&gt;="&amp;W$19,'Budget Data'!$A:$A,"&lt;="&amp;EOMONTH(W$19,0))+SUMIFS('Budget Data'!$J:$J,'Budget Data'!$E:$E,$B35,'Budget Data'!$C:$C,$B$11,'Budget Data'!$A:$A,"&gt;="&amp;W$19,'Budget Data'!$A:$A,"&lt;="&amp;EOMONTH(W$19,0))+SUMIFS('Budget Data'!$J:$J,'Budget Data'!$E:$E,$B35,'Budget Data'!$C:$C,$B$2,'Budget Data'!$A:$A,"&gt;="&amp;W$19,'Budget Data'!$A:$A,"&lt;="&amp;EOMONTH(W$19,0))+SUMIFS('Budget Data'!$J:$J,'Budget Data'!$E:$E,$B35,'Budget Data'!$C:$C,$B$4,'Budget Data'!$A:$A,"&gt;="&amp;W$19,'Budget Data'!$A:$A,"&lt;="&amp;EOMONTH(W$19,0))+SUMIFS('Budget Data'!$J:$J,'Budget Data'!$E:$E,$B35,'Budget Data'!$C:$C,$B$3,'Budget Data'!$A:$A,"&gt;="&amp;W$19,'Budget Data'!$A:$A,"&lt;="&amp;EOMONTH(W$19,0))+SUMIFS('Budget Data'!$J:$J,'Budget Data'!$E:$E,$B35,'Budget Data'!$C:$C,$B$5,'Budget Data'!$A:$A,"&gt;="&amp;W$19,'Budget Data'!$A:$A,"&lt;="&amp;EOMONTH(W$19,0))+SUMIFS('Budget Data'!$J:$J,'Budget Data'!$E:$E,$B35,'Budget Data'!$C:$C,$B$6,'Budget Data'!$A:$A,"&gt;="&amp;W$19,'Budget Data'!$A:$A,"&lt;="&amp;EOMONTH(W$19,0)))</f>
        <v>9700</v>
      </c>
      <c r="X35" s="86">
        <f>SUMPRODUCT(SUMIFS('Allocated Transactions'!$J:$J,'Allocated Transactions'!$D:$D,$B35,'Allocated Transactions'!$C:$C,$B$7,'Allocated Transactions'!$A:$A,"&gt;="&amp;X$19,'Allocated Transactions'!$A:$A,"&lt;="&amp;EOMONTH(X$19,0))+SUMIFS('Allocated Transactions'!$J:$J,'Allocated Transactions'!$D:$D,$B35,'Allocated Transactions'!$C:$C,$B$9,'Allocated Transactions'!$A:$A,"&gt;="&amp;X$19,'Allocated Transactions'!$A:$A,"&lt;="&amp;EOMONTH(X$19,0))+SUMIFS('Allocated Transactions'!$J:$J,'Allocated Transactions'!$D:$D,$B35,'Allocated Transactions'!$C:$C,$B$8,'Allocated Transactions'!$A:$A,"&gt;="&amp;X$19,'Allocated Transactions'!$A:$A,"&lt;="&amp;EOMONTH(X$19,0))+SUMIFS('Allocated Transactions'!$J:$J,'Allocated Transactions'!$D:$D,$B35,'Allocated Transactions'!$C:$C,$B$10,'Allocated Transactions'!$A:$A,"&gt;="&amp;X$19,'Allocated Transactions'!$A:$A,"&lt;="&amp;EOMONTH(X$19,0))+SUMIFS('Allocated Transactions'!$J:$J,'Allocated Transactions'!$D:$D,$B35,'Allocated Transactions'!$C:$C,$B$11,'Allocated Transactions'!$A:$A,"&gt;="&amp;X$19,'Allocated Transactions'!$A:$A,"&lt;="&amp;EOMONTH(X$19,0))+SUMIFS('Allocated Transactions'!$J:$J,'Allocated Transactions'!$D:$D,$B35,'Allocated Transactions'!$C:$C,$B$2,'Allocated Transactions'!$A:$A,"&gt;="&amp;X$19,'Allocated Transactions'!$A:$A,"&lt;="&amp;EOMONTH(X$19,0))+SUMIFS('Allocated Transactions'!$J:$J,'Allocated Transactions'!$D:$D,$B35,'Allocated Transactions'!$C:$C,$B$4,'Allocated Transactions'!$A:$A,"&gt;="&amp;X$19,'Allocated Transactions'!$A:$A,"&lt;="&amp;EOMONTH(X$19,0))+SUMIFS('Allocated Transactions'!$J:$J,'Allocated Transactions'!$D:$D,$B35,'Allocated Transactions'!$C:$C,$B$3,'Allocated Transactions'!$A:$A,"&gt;="&amp;X$19,'Allocated Transactions'!$A:$A,"&lt;="&amp;EOMONTH(X$19,0))+SUMIFS('Allocated Transactions'!$J:$J,'Allocated Transactions'!$D:$D,$B35,'Allocated Transactions'!$C:$C,$B$5,'Allocated Transactions'!$A:$A,"&gt;="&amp;X$19,'Allocated Transactions'!$A:$A,"&lt;="&amp;EOMONTH(X$19,0))+SUMIFS('Allocated Transactions'!$J:$J,'Allocated Transactions'!$D:$D,$B35,'Allocated Transactions'!$C:$C,$B$6,'Allocated Transactions'!$A:$A,"&gt;="&amp;X$19,'Allocated Transactions'!$A:$A,"&lt;="&amp;EOMONTH(X$19,0)))</f>
        <v>9800.0000000000109</v>
      </c>
      <c r="Y35" s="84">
        <f>SUMPRODUCT(SUMIFS('Budget Data'!$J:$J,'Budget Data'!$E:$E,$B35,'Budget Data'!$C:$C,$B$7,'Budget Data'!$A:$A,"&gt;="&amp;Y$19,'Budget Data'!$A:$A,"&lt;="&amp;EOMONTH(Y$19,0))+SUMIFS('Budget Data'!$J:$J,'Budget Data'!$E:$E,$B35,'Budget Data'!$C:$C,$B$9,'Budget Data'!$A:$A,"&gt;="&amp;Y$19,'Budget Data'!$A:$A,"&lt;="&amp;EOMONTH(Y$19,0))+SUMIFS('Budget Data'!$J:$J,'Budget Data'!$E:$E,$B35,'Budget Data'!$C:$C,$B$8,'Budget Data'!$A:$A,"&gt;="&amp;Y$19,'Budget Data'!$A:$A,"&lt;="&amp;EOMONTH(Y$19,0))+SUMIFS('Budget Data'!$J:$J,'Budget Data'!$E:$E,$B35,'Budget Data'!$C:$C,$B$10,'Budget Data'!$A:$A,"&gt;="&amp;Y$19,'Budget Data'!$A:$A,"&lt;="&amp;EOMONTH(Y$19,0))+SUMIFS('Budget Data'!$J:$J,'Budget Data'!$E:$E,$B35,'Budget Data'!$C:$C,$B$11,'Budget Data'!$A:$A,"&gt;="&amp;Y$19,'Budget Data'!$A:$A,"&lt;="&amp;EOMONTH(Y$19,0))+SUMIFS('Budget Data'!$J:$J,'Budget Data'!$E:$E,$B35,'Budget Data'!$C:$C,$B$2,'Budget Data'!$A:$A,"&gt;="&amp;Y$19,'Budget Data'!$A:$A,"&lt;="&amp;EOMONTH(Y$19,0))+SUMIFS('Budget Data'!$J:$J,'Budget Data'!$E:$E,$B35,'Budget Data'!$C:$C,$B$4,'Budget Data'!$A:$A,"&gt;="&amp;Y$19,'Budget Data'!$A:$A,"&lt;="&amp;EOMONTH(Y$19,0))+SUMIFS('Budget Data'!$J:$J,'Budget Data'!$E:$E,$B35,'Budget Data'!$C:$C,$B$3,'Budget Data'!$A:$A,"&gt;="&amp;Y$19,'Budget Data'!$A:$A,"&lt;="&amp;EOMONTH(Y$19,0))+SUMIFS('Budget Data'!$J:$J,'Budget Data'!$E:$E,$B35,'Budget Data'!$C:$C,$B$5,'Budget Data'!$A:$A,"&gt;="&amp;Y$19,'Budget Data'!$A:$A,"&lt;="&amp;EOMONTH(Y$19,0))+SUMIFS('Budget Data'!$J:$J,'Budget Data'!$E:$E,$B35,'Budget Data'!$C:$C,$B$6,'Budget Data'!$A:$A,"&gt;="&amp;Y$19,'Budget Data'!$A:$A,"&lt;="&amp;EOMONTH(Y$19,0)))</f>
        <v>9700</v>
      </c>
      <c r="Z35" s="86">
        <f>SUMPRODUCT(SUMIFS('Allocated Transactions'!$J:$J,'Allocated Transactions'!$D:$D,$B35,'Allocated Transactions'!$C:$C,$B$7,'Allocated Transactions'!$A:$A,"&gt;="&amp;Z$19,'Allocated Transactions'!$A:$A,"&lt;="&amp;EOMONTH(Z$19,0))+SUMIFS('Allocated Transactions'!$J:$J,'Allocated Transactions'!$D:$D,$B35,'Allocated Transactions'!$C:$C,$B$9,'Allocated Transactions'!$A:$A,"&gt;="&amp;Z$19,'Allocated Transactions'!$A:$A,"&lt;="&amp;EOMONTH(Z$19,0))+SUMIFS('Allocated Transactions'!$J:$J,'Allocated Transactions'!$D:$D,$B35,'Allocated Transactions'!$C:$C,$B$8,'Allocated Transactions'!$A:$A,"&gt;="&amp;Z$19,'Allocated Transactions'!$A:$A,"&lt;="&amp;EOMONTH(Z$19,0))+SUMIFS('Allocated Transactions'!$J:$J,'Allocated Transactions'!$D:$D,$B35,'Allocated Transactions'!$C:$C,$B$10,'Allocated Transactions'!$A:$A,"&gt;="&amp;Z$19,'Allocated Transactions'!$A:$A,"&lt;="&amp;EOMONTH(Z$19,0))+SUMIFS('Allocated Transactions'!$J:$J,'Allocated Transactions'!$D:$D,$B35,'Allocated Transactions'!$C:$C,$B$11,'Allocated Transactions'!$A:$A,"&gt;="&amp;Z$19,'Allocated Transactions'!$A:$A,"&lt;="&amp;EOMONTH(Z$19,0))+SUMIFS('Allocated Transactions'!$J:$J,'Allocated Transactions'!$D:$D,$B35,'Allocated Transactions'!$C:$C,$B$2,'Allocated Transactions'!$A:$A,"&gt;="&amp;Z$19,'Allocated Transactions'!$A:$A,"&lt;="&amp;EOMONTH(Z$19,0))+SUMIFS('Allocated Transactions'!$J:$J,'Allocated Transactions'!$D:$D,$B35,'Allocated Transactions'!$C:$C,$B$4,'Allocated Transactions'!$A:$A,"&gt;="&amp;Z$19,'Allocated Transactions'!$A:$A,"&lt;="&amp;EOMONTH(Z$19,0))+SUMIFS('Allocated Transactions'!$J:$J,'Allocated Transactions'!$D:$D,$B35,'Allocated Transactions'!$C:$C,$B$3,'Allocated Transactions'!$A:$A,"&gt;="&amp;Z$19,'Allocated Transactions'!$A:$A,"&lt;="&amp;EOMONTH(Z$19,0))+SUMIFS('Allocated Transactions'!$J:$J,'Allocated Transactions'!$D:$D,$B35,'Allocated Transactions'!$C:$C,$B$5,'Allocated Transactions'!$A:$A,"&gt;="&amp;Z$19,'Allocated Transactions'!$A:$A,"&lt;="&amp;EOMONTH(Z$19,0))+SUMIFS('Allocated Transactions'!$J:$J,'Allocated Transactions'!$D:$D,$B35,'Allocated Transactions'!$C:$C,$B$6,'Allocated Transactions'!$A:$A,"&gt;="&amp;Z$19,'Allocated Transactions'!$A:$A,"&lt;="&amp;EOMONTH(Z$19,0)))</f>
        <v>9800.0000000000109</v>
      </c>
      <c r="AA35" s="84">
        <f>SUMPRODUCT(SUMIFS('Budget Data'!$J:$J,'Budget Data'!$E:$E,$B35,'Budget Data'!$C:$C,$B$7,'Budget Data'!$A:$A,"&gt;="&amp;AA$19,'Budget Data'!$A:$A,"&lt;="&amp;EOMONTH(AA$19,0))+SUMIFS('Budget Data'!$J:$J,'Budget Data'!$E:$E,$B35,'Budget Data'!$C:$C,$B$9,'Budget Data'!$A:$A,"&gt;="&amp;AA$19,'Budget Data'!$A:$A,"&lt;="&amp;EOMONTH(AA$19,0))+SUMIFS('Budget Data'!$J:$J,'Budget Data'!$E:$E,$B35,'Budget Data'!$C:$C,$B$8,'Budget Data'!$A:$A,"&gt;="&amp;AA$19,'Budget Data'!$A:$A,"&lt;="&amp;EOMONTH(AA$19,0))+SUMIFS('Budget Data'!$J:$J,'Budget Data'!$E:$E,$B35,'Budget Data'!$C:$C,$B$10,'Budget Data'!$A:$A,"&gt;="&amp;AA$19,'Budget Data'!$A:$A,"&lt;="&amp;EOMONTH(AA$19,0))+SUMIFS('Budget Data'!$J:$J,'Budget Data'!$E:$E,$B35,'Budget Data'!$C:$C,$B$11,'Budget Data'!$A:$A,"&gt;="&amp;AA$19,'Budget Data'!$A:$A,"&lt;="&amp;EOMONTH(AA$19,0))+SUMIFS('Budget Data'!$J:$J,'Budget Data'!$E:$E,$B35,'Budget Data'!$C:$C,$B$2,'Budget Data'!$A:$A,"&gt;="&amp;AA$19,'Budget Data'!$A:$A,"&lt;="&amp;EOMONTH(AA$19,0))+SUMIFS('Budget Data'!$J:$J,'Budget Data'!$E:$E,$B35,'Budget Data'!$C:$C,$B$4,'Budget Data'!$A:$A,"&gt;="&amp;AA$19,'Budget Data'!$A:$A,"&lt;="&amp;EOMONTH(AA$19,0))+SUMIFS('Budget Data'!$J:$J,'Budget Data'!$E:$E,$B35,'Budget Data'!$C:$C,$B$3,'Budget Data'!$A:$A,"&gt;="&amp;AA$19,'Budget Data'!$A:$A,"&lt;="&amp;EOMONTH(AA$19,0))+SUMIFS('Budget Data'!$J:$J,'Budget Data'!$E:$E,$B35,'Budget Data'!$C:$C,$B$5,'Budget Data'!$A:$A,"&gt;="&amp;AA$19,'Budget Data'!$A:$A,"&lt;="&amp;EOMONTH(AA$19,0))+SUMIFS('Budget Data'!$J:$J,'Budget Data'!$E:$E,$B35,'Budget Data'!$C:$C,$B$6,'Budget Data'!$A:$A,"&gt;="&amp;AA$19,'Budget Data'!$A:$A,"&lt;="&amp;EOMONTH(AA$19,0)))</f>
        <v>9700</v>
      </c>
      <c r="AC35" s="87">
        <f t="shared" si="2"/>
        <v>117600.00000000009</v>
      </c>
      <c r="AD35" s="84">
        <f t="shared" si="2"/>
        <v>117600</v>
      </c>
    </row>
    <row r="36" spans="2:30" ht="15" customHeight="1">
      <c r="B36" s="12" t="str">
        <v>5210</v>
      </c>
      <c r="C36" s="160" t="str">
        <f>_xlfn.XLOOKUP(B36,'Allocated Transactions'!D:D,'Allocated Transactions'!E:E,"")</f>
        <v>Utilities</v>
      </c>
      <c r="D36" s="86">
        <f>SUMPRODUCT(SUMIFS('Allocated Transactions'!$J:$J,'Allocated Transactions'!$D:$D,$B36,'Allocated Transactions'!$C:$C,$B$7,'Allocated Transactions'!$A:$A,"&gt;="&amp;D$19,'Allocated Transactions'!$A:$A,"&lt;="&amp;EOMONTH(D$19,0))+SUMIFS('Allocated Transactions'!$J:$J,'Allocated Transactions'!$D:$D,$B36,'Allocated Transactions'!$C:$C,$B$9,'Allocated Transactions'!$A:$A,"&gt;="&amp;D$19,'Allocated Transactions'!$A:$A,"&lt;="&amp;EOMONTH(D$19,0))+SUMIFS('Allocated Transactions'!$J:$J,'Allocated Transactions'!$D:$D,$B36,'Allocated Transactions'!$C:$C,$B$8,'Allocated Transactions'!$A:$A,"&gt;="&amp;D$19,'Allocated Transactions'!$A:$A,"&lt;="&amp;EOMONTH(D$19,0))+SUMIFS('Allocated Transactions'!$J:$J,'Allocated Transactions'!$D:$D,$B36,'Allocated Transactions'!$C:$C,$B$10,'Allocated Transactions'!$A:$A,"&gt;="&amp;D$19,'Allocated Transactions'!$A:$A,"&lt;="&amp;EOMONTH(D$19,0))+SUMIFS('Allocated Transactions'!$J:$J,'Allocated Transactions'!$D:$D,$B36,'Allocated Transactions'!$C:$C,$B$11,'Allocated Transactions'!$A:$A,"&gt;="&amp;D$19,'Allocated Transactions'!$A:$A,"&lt;="&amp;EOMONTH(D$19,0))+SUMIFS('Allocated Transactions'!$J:$J,'Allocated Transactions'!$D:$D,$B36,'Allocated Transactions'!$C:$C,$B$2,'Allocated Transactions'!$A:$A,"&gt;="&amp;D$19,'Allocated Transactions'!$A:$A,"&lt;="&amp;EOMONTH(D$19,0))+SUMIFS('Allocated Transactions'!$J:$J,'Allocated Transactions'!$D:$D,$B36,'Allocated Transactions'!$C:$C,$B$4,'Allocated Transactions'!$A:$A,"&gt;="&amp;D$19,'Allocated Transactions'!$A:$A,"&lt;="&amp;EOMONTH(D$19,0))+SUMIFS('Allocated Transactions'!$J:$J,'Allocated Transactions'!$D:$D,$B36,'Allocated Transactions'!$C:$C,$B$3,'Allocated Transactions'!$A:$A,"&gt;="&amp;D$19,'Allocated Transactions'!$A:$A,"&lt;="&amp;EOMONTH(D$19,0))+SUMIFS('Allocated Transactions'!$J:$J,'Allocated Transactions'!$D:$D,$B36,'Allocated Transactions'!$C:$C,$B$5,'Allocated Transactions'!$A:$A,"&gt;="&amp;D$19,'Allocated Transactions'!$A:$A,"&lt;="&amp;EOMONTH(D$19,0))+SUMIFS('Allocated Transactions'!$J:$J,'Allocated Transactions'!$D:$D,$B36,'Allocated Transactions'!$C:$C,$B$6,'Allocated Transactions'!$A:$A,"&gt;="&amp;D$19,'Allocated Transactions'!$A:$A,"&lt;="&amp;EOMONTH(D$19,0)))</f>
        <v>1423.7599999999998</v>
      </c>
      <c r="E36" s="84">
        <f>SUMPRODUCT(SUMIFS('Budget Data'!$J:$J,'Budget Data'!$E:$E,$B36,'Budget Data'!$C:$C,$B$7,'Budget Data'!$A:$A,"&gt;="&amp;E$19,'Budget Data'!$A:$A,"&lt;="&amp;EOMONTH(E$19,0))+SUMIFS('Budget Data'!$J:$J,'Budget Data'!$E:$E,$B36,'Budget Data'!$C:$C,$B$9,'Budget Data'!$A:$A,"&gt;="&amp;E$19,'Budget Data'!$A:$A,"&lt;="&amp;EOMONTH(E$19,0))+SUMIFS('Budget Data'!$J:$J,'Budget Data'!$E:$E,$B36,'Budget Data'!$C:$C,$B$8,'Budget Data'!$A:$A,"&gt;="&amp;E$19,'Budget Data'!$A:$A,"&lt;="&amp;EOMONTH(E$19,0))+SUMIFS('Budget Data'!$J:$J,'Budget Data'!$E:$E,$B36,'Budget Data'!$C:$C,$B$10,'Budget Data'!$A:$A,"&gt;="&amp;E$19,'Budget Data'!$A:$A,"&lt;="&amp;EOMONTH(E$19,0))+SUMIFS('Budget Data'!$J:$J,'Budget Data'!$E:$E,$B36,'Budget Data'!$C:$C,$B$11,'Budget Data'!$A:$A,"&gt;="&amp;E$19,'Budget Data'!$A:$A,"&lt;="&amp;EOMONTH(E$19,0))+SUMIFS('Budget Data'!$J:$J,'Budget Data'!$E:$E,$B36,'Budget Data'!$C:$C,$B$2,'Budget Data'!$A:$A,"&gt;="&amp;E$19,'Budget Data'!$A:$A,"&lt;="&amp;EOMONTH(E$19,0))+SUMIFS('Budget Data'!$J:$J,'Budget Data'!$E:$E,$B36,'Budget Data'!$C:$C,$B$4,'Budget Data'!$A:$A,"&gt;="&amp;E$19,'Budget Data'!$A:$A,"&lt;="&amp;EOMONTH(E$19,0))+SUMIFS('Budget Data'!$J:$J,'Budget Data'!$E:$E,$B36,'Budget Data'!$C:$C,$B$3,'Budget Data'!$A:$A,"&gt;="&amp;E$19,'Budget Data'!$A:$A,"&lt;="&amp;EOMONTH(E$19,0))+SUMIFS('Budget Data'!$J:$J,'Budget Data'!$E:$E,$B36,'Budget Data'!$C:$C,$B$5,'Budget Data'!$A:$A,"&gt;="&amp;E$19,'Budget Data'!$A:$A,"&lt;="&amp;EOMONTH(E$19,0))+SUMIFS('Budget Data'!$J:$J,'Budget Data'!$E:$E,$B36,'Budget Data'!$C:$C,$B$6,'Budget Data'!$A:$A,"&gt;="&amp;E$19,'Budget Data'!$A:$A,"&lt;="&amp;EOMONTH(E$19,0)))</f>
        <v>1400</v>
      </c>
      <c r="F36" s="86">
        <f>SUMPRODUCT(SUMIFS('Allocated Transactions'!$J:$J,'Allocated Transactions'!$D:$D,$B36,'Allocated Transactions'!$C:$C,$B$7,'Allocated Transactions'!$A:$A,"&gt;="&amp;F$19,'Allocated Transactions'!$A:$A,"&lt;="&amp;EOMONTH(F$19,0))+SUMIFS('Allocated Transactions'!$J:$J,'Allocated Transactions'!$D:$D,$B36,'Allocated Transactions'!$C:$C,$B$9,'Allocated Transactions'!$A:$A,"&gt;="&amp;F$19,'Allocated Transactions'!$A:$A,"&lt;="&amp;EOMONTH(F$19,0))+SUMIFS('Allocated Transactions'!$J:$J,'Allocated Transactions'!$D:$D,$B36,'Allocated Transactions'!$C:$C,$B$8,'Allocated Transactions'!$A:$A,"&gt;="&amp;F$19,'Allocated Transactions'!$A:$A,"&lt;="&amp;EOMONTH(F$19,0))+SUMIFS('Allocated Transactions'!$J:$J,'Allocated Transactions'!$D:$D,$B36,'Allocated Transactions'!$C:$C,$B$10,'Allocated Transactions'!$A:$A,"&gt;="&amp;F$19,'Allocated Transactions'!$A:$A,"&lt;="&amp;EOMONTH(F$19,0))+SUMIFS('Allocated Transactions'!$J:$J,'Allocated Transactions'!$D:$D,$B36,'Allocated Transactions'!$C:$C,$B$11,'Allocated Transactions'!$A:$A,"&gt;="&amp;F$19,'Allocated Transactions'!$A:$A,"&lt;="&amp;EOMONTH(F$19,0))+SUMIFS('Allocated Transactions'!$J:$J,'Allocated Transactions'!$D:$D,$B36,'Allocated Transactions'!$C:$C,$B$2,'Allocated Transactions'!$A:$A,"&gt;="&amp;F$19,'Allocated Transactions'!$A:$A,"&lt;="&amp;EOMONTH(F$19,0))+SUMIFS('Allocated Transactions'!$J:$J,'Allocated Transactions'!$D:$D,$B36,'Allocated Transactions'!$C:$C,$B$4,'Allocated Transactions'!$A:$A,"&gt;="&amp;F$19,'Allocated Transactions'!$A:$A,"&lt;="&amp;EOMONTH(F$19,0))+SUMIFS('Allocated Transactions'!$J:$J,'Allocated Transactions'!$D:$D,$B36,'Allocated Transactions'!$C:$C,$B$3,'Allocated Transactions'!$A:$A,"&gt;="&amp;F$19,'Allocated Transactions'!$A:$A,"&lt;="&amp;EOMONTH(F$19,0))+SUMIFS('Allocated Transactions'!$J:$J,'Allocated Transactions'!$D:$D,$B36,'Allocated Transactions'!$C:$C,$B$5,'Allocated Transactions'!$A:$A,"&gt;="&amp;F$19,'Allocated Transactions'!$A:$A,"&lt;="&amp;EOMONTH(F$19,0))+SUMIFS('Allocated Transactions'!$J:$J,'Allocated Transactions'!$D:$D,$B36,'Allocated Transactions'!$C:$C,$B$6,'Allocated Transactions'!$A:$A,"&gt;="&amp;F$19,'Allocated Transactions'!$A:$A,"&lt;="&amp;EOMONTH(F$19,0)))</f>
        <v>1470.97</v>
      </c>
      <c r="G36" s="84">
        <f>SUMPRODUCT(SUMIFS('Budget Data'!$J:$J,'Budget Data'!$E:$E,$B36,'Budget Data'!$C:$C,$B$7,'Budget Data'!$A:$A,"&gt;="&amp;G$19,'Budget Data'!$A:$A,"&lt;="&amp;EOMONTH(G$19,0))+SUMIFS('Budget Data'!$J:$J,'Budget Data'!$E:$E,$B36,'Budget Data'!$C:$C,$B$9,'Budget Data'!$A:$A,"&gt;="&amp;G$19,'Budget Data'!$A:$A,"&lt;="&amp;EOMONTH(G$19,0))+SUMIFS('Budget Data'!$J:$J,'Budget Data'!$E:$E,$B36,'Budget Data'!$C:$C,$B$8,'Budget Data'!$A:$A,"&gt;="&amp;G$19,'Budget Data'!$A:$A,"&lt;="&amp;EOMONTH(G$19,0))+SUMIFS('Budget Data'!$J:$J,'Budget Data'!$E:$E,$B36,'Budget Data'!$C:$C,$B$10,'Budget Data'!$A:$A,"&gt;="&amp;G$19,'Budget Data'!$A:$A,"&lt;="&amp;EOMONTH(G$19,0))+SUMIFS('Budget Data'!$J:$J,'Budget Data'!$E:$E,$B36,'Budget Data'!$C:$C,$B$11,'Budget Data'!$A:$A,"&gt;="&amp;G$19,'Budget Data'!$A:$A,"&lt;="&amp;EOMONTH(G$19,0))+SUMIFS('Budget Data'!$J:$J,'Budget Data'!$E:$E,$B36,'Budget Data'!$C:$C,$B$2,'Budget Data'!$A:$A,"&gt;="&amp;G$19,'Budget Data'!$A:$A,"&lt;="&amp;EOMONTH(G$19,0))+SUMIFS('Budget Data'!$J:$J,'Budget Data'!$E:$E,$B36,'Budget Data'!$C:$C,$B$4,'Budget Data'!$A:$A,"&gt;="&amp;G$19,'Budget Data'!$A:$A,"&lt;="&amp;EOMONTH(G$19,0))+SUMIFS('Budget Data'!$J:$J,'Budget Data'!$E:$E,$B36,'Budget Data'!$C:$C,$B$3,'Budget Data'!$A:$A,"&gt;="&amp;G$19,'Budget Data'!$A:$A,"&lt;="&amp;EOMONTH(G$19,0))+SUMIFS('Budget Data'!$J:$J,'Budget Data'!$E:$E,$B36,'Budget Data'!$C:$C,$B$5,'Budget Data'!$A:$A,"&gt;="&amp;G$19,'Budget Data'!$A:$A,"&lt;="&amp;EOMONTH(G$19,0))+SUMIFS('Budget Data'!$J:$J,'Budget Data'!$E:$E,$B36,'Budget Data'!$C:$C,$B$6,'Budget Data'!$A:$A,"&gt;="&amp;G$19,'Budget Data'!$A:$A,"&lt;="&amp;EOMONTH(G$19,0)))</f>
        <v>1400</v>
      </c>
      <c r="H36" s="86">
        <f>SUMPRODUCT(SUMIFS('Allocated Transactions'!$J:$J,'Allocated Transactions'!$D:$D,$B36,'Allocated Transactions'!$C:$C,$B$7,'Allocated Transactions'!$A:$A,"&gt;="&amp;H$19,'Allocated Transactions'!$A:$A,"&lt;="&amp;EOMONTH(H$19,0))+SUMIFS('Allocated Transactions'!$J:$J,'Allocated Transactions'!$D:$D,$B36,'Allocated Transactions'!$C:$C,$B$9,'Allocated Transactions'!$A:$A,"&gt;="&amp;H$19,'Allocated Transactions'!$A:$A,"&lt;="&amp;EOMONTH(H$19,0))+SUMIFS('Allocated Transactions'!$J:$J,'Allocated Transactions'!$D:$D,$B36,'Allocated Transactions'!$C:$C,$B$8,'Allocated Transactions'!$A:$A,"&gt;="&amp;H$19,'Allocated Transactions'!$A:$A,"&lt;="&amp;EOMONTH(H$19,0))+SUMIFS('Allocated Transactions'!$J:$J,'Allocated Transactions'!$D:$D,$B36,'Allocated Transactions'!$C:$C,$B$10,'Allocated Transactions'!$A:$A,"&gt;="&amp;H$19,'Allocated Transactions'!$A:$A,"&lt;="&amp;EOMONTH(H$19,0))+SUMIFS('Allocated Transactions'!$J:$J,'Allocated Transactions'!$D:$D,$B36,'Allocated Transactions'!$C:$C,$B$11,'Allocated Transactions'!$A:$A,"&gt;="&amp;H$19,'Allocated Transactions'!$A:$A,"&lt;="&amp;EOMONTH(H$19,0))+SUMIFS('Allocated Transactions'!$J:$J,'Allocated Transactions'!$D:$D,$B36,'Allocated Transactions'!$C:$C,$B$2,'Allocated Transactions'!$A:$A,"&gt;="&amp;H$19,'Allocated Transactions'!$A:$A,"&lt;="&amp;EOMONTH(H$19,0))+SUMIFS('Allocated Transactions'!$J:$J,'Allocated Transactions'!$D:$D,$B36,'Allocated Transactions'!$C:$C,$B$4,'Allocated Transactions'!$A:$A,"&gt;="&amp;H$19,'Allocated Transactions'!$A:$A,"&lt;="&amp;EOMONTH(H$19,0))+SUMIFS('Allocated Transactions'!$J:$J,'Allocated Transactions'!$D:$D,$B36,'Allocated Transactions'!$C:$C,$B$3,'Allocated Transactions'!$A:$A,"&gt;="&amp;H$19,'Allocated Transactions'!$A:$A,"&lt;="&amp;EOMONTH(H$19,0))+SUMIFS('Allocated Transactions'!$J:$J,'Allocated Transactions'!$D:$D,$B36,'Allocated Transactions'!$C:$C,$B$5,'Allocated Transactions'!$A:$A,"&gt;="&amp;H$19,'Allocated Transactions'!$A:$A,"&lt;="&amp;EOMONTH(H$19,0))+SUMIFS('Allocated Transactions'!$J:$J,'Allocated Transactions'!$D:$D,$B36,'Allocated Transactions'!$C:$C,$B$6,'Allocated Transactions'!$A:$A,"&gt;="&amp;H$19,'Allocated Transactions'!$A:$A,"&lt;="&amp;EOMONTH(H$19,0)))</f>
        <v>1091.6200000000001</v>
      </c>
      <c r="I36" s="84">
        <f>SUMPRODUCT(SUMIFS('Budget Data'!$J:$J,'Budget Data'!$E:$E,$B36,'Budget Data'!$C:$C,$B$7,'Budget Data'!$A:$A,"&gt;="&amp;I$19,'Budget Data'!$A:$A,"&lt;="&amp;EOMONTH(I$19,0))+SUMIFS('Budget Data'!$J:$J,'Budget Data'!$E:$E,$B36,'Budget Data'!$C:$C,$B$9,'Budget Data'!$A:$A,"&gt;="&amp;I$19,'Budget Data'!$A:$A,"&lt;="&amp;EOMONTH(I$19,0))+SUMIFS('Budget Data'!$J:$J,'Budget Data'!$E:$E,$B36,'Budget Data'!$C:$C,$B$8,'Budget Data'!$A:$A,"&gt;="&amp;I$19,'Budget Data'!$A:$A,"&lt;="&amp;EOMONTH(I$19,0))+SUMIFS('Budget Data'!$J:$J,'Budget Data'!$E:$E,$B36,'Budget Data'!$C:$C,$B$10,'Budget Data'!$A:$A,"&gt;="&amp;I$19,'Budget Data'!$A:$A,"&lt;="&amp;EOMONTH(I$19,0))+SUMIFS('Budget Data'!$J:$J,'Budget Data'!$E:$E,$B36,'Budget Data'!$C:$C,$B$11,'Budget Data'!$A:$A,"&gt;="&amp;I$19,'Budget Data'!$A:$A,"&lt;="&amp;EOMONTH(I$19,0))+SUMIFS('Budget Data'!$J:$J,'Budget Data'!$E:$E,$B36,'Budget Data'!$C:$C,$B$2,'Budget Data'!$A:$A,"&gt;="&amp;I$19,'Budget Data'!$A:$A,"&lt;="&amp;EOMONTH(I$19,0))+SUMIFS('Budget Data'!$J:$J,'Budget Data'!$E:$E,$B36,'Budget Data'!$C:$C,$B$4,'Budget Data'!$A:$A,"&gt;="&amp;I$19,'Budget Data'!$A:$A,"&lt;="&amp;EOMONTH(I$19,0))+SUMIFS('Budget Data'!$J:$J,'Budget Data'!$E:$E,$B36,'Budget Data'!$C:$C,$B$3,'Budget Data'!$A:$A,"&gt;="&amp;I$19,'Budget Data'!$A:$A,"&lt;="&amp;EOMONTH(I$19,0))+SUMIFS('Budget Data'!$J:$J,'Budget Data'!$E:$E,$B36,'Budget Data'!$C:$C,$B$5,'Budget Data'!$A:$A,"&gt;="&amp;I$19,'Budget Data'!$A:$A,"&lt;="&amp;EOMONTH(I$19,0))+SUMIFS('Budget Data'!$J:$J,'Budget Data'!$E:$E,$B36,'Budget Data'!$C:$C,$B$6,'Budget Data'!$A:$A,"&gt;="&amp;I$19,'Budget Data'!$A:$A,"&lt;="&amp;EOMONTH(I$19,0)))</f>
        <v>1200</v>
      </c>
      <c r="J36" s="86">
        <f>SUMPRODUCT(SUMIFS('Allocated Transactions'!$J:$J,'Allocated Transactions'!$D:$D,$B36,'Allocated Transactions'!$C:$C,$B$7,'Allocated Transactions'!$A:$A,"&gt;="&amp;J$19,'Allocated Transactions'!$A:$A,"&lt;="&amp;EOMONTH(J$19,0))+SUMIFS('Allocated Transactions'!$J:$J,'Allocated Transactions'!$D:$D,$B36,'Allocated Transactions'!$C:$C,$B$9,'Allocated Transactions'!$A:$A,"&gt;="&amp;J$19,'Allocated Transactions'!$A:$A,"&lt;="&amp;EOMONTH(J$19,0))+SUMIFS('Allocated Transactions'!$J:$J,'Allocated Transactions'!$D:$D,$B36,'Allocated Transactions'!$C:$C,$B$8,'Allocated Transactions'!$A:$A,"&gt;="&amp;J$19,'Allocated Transactions'!$A:$A,"&lt;="&amp;EOMONTH(J$19,0))+SUMIFS('Allocated Transactions'!$J:$J,'Allocated Transactions'!$D:$D,$B36,'Allocated Transactions'!$C:$C,$B$10,'Allocated Transactions'!$A:$A,"&gt;="&amp;J$19,'Allocated Transactions'!$A:$A,"&lt;="&amp;EOMONTH(J$19,0))+SUMIFS('Allocated Transactions'!$J:$J,'Allocated Transactions'!$D:$D,$B36,'Allocated Transactions'!$C:$C,$B$11,'Allocated Transactions'!$A:$A,"&gt;="&amp;J$19,'Allocated Transactions'!$A:$A,"&lt;="&amp;EOMONTH(J$19,0))+SUMIFS('Allocated Transactions'!$J:$J,'Allocated Transactions'!$D:$D,$B36,'Allocated Transactions'!$C:$C,$B$2,'Allocated Transactions'!$A:$A,"&gt;="&amp;J$19,'Allocated Transactions'!$A:$A,"&lt;="&amp;EOMONTH(J$19,0))+SUMIFS('Allocated Transactions'!$J:$J,'Allocated Transactions'!$D:$D,$B36,'Allocated Transactions'!$C:$C,$B$4,'Allocated Transactions'!$A:$A,"&gt;="&amp;J$19,'Allocated Transactions'!$A:$A,"&lt;="&amp;EOMONTH(J$19,0))+SUMIFS('Allocated Transactions'!$J:$J,'Allocated Transactions'!$D:$D,$B36,'Allocated Transactions'!$C:$C,$B$3,'Allocated Transactions'!$A:$A,"&gt;="&amp;J$19,'Allocated Transactions'!$A:$A,"&lt;="&amp;EOMONTH(J$19,0))+SUMIFS('Allocated Transactions'!$J:$J,'Allocated Transactions'!$D:$D,$B36,'Allocated Transactions'!$C:$C,$B$5,'Allocated Transactions'!$A:$A,"&gt;="&amp;J$19,'Allocated Transactions'!$A:$A,"&lt;="&amp;EOMONTH(J$19,0))+SUMIFS('Allocated Transactions'!$J:$J,'Allocated Transactions'!$D:$D,$B36,'Allocated Transactions'!$C:$C,$B$6,'Allocated Transactions'!$A:$A,"&gt;="&amp;J$19,'Allocated Transactions'!$A:$A,"&lt;="&amp;EOMONTH(J$19,0)))</f>
        <v>1006.4800000000001</v>
      </c>
      <c r="K36" s="84">
        <f>SUMPRODUCT(SUMIFS('Budget Data'!$J:$J,'Budget Data'!$E:$E,$B36,'Budget Data'!$C:$C,$B$7,'Budget Data'!$A:$A,"&gt;="&amp;K$19,'Budget Data'!$A:$A,"&lt;="&amp;EOMONTH(K$19,0))+SUMIFS('Budget Data'!$J:$J,'Budget Data'!$E:$E,$B36,'Budget Data'!$C:$C,$B$9,'Budget Data'!$A:$A,"&gt;="&amp;K$19,'Budget Data'!$A:$A,"&lt;="&amp;EOMONTH(K$19,0))+SUMIFS('Budget Data'!$J:$J,'Budget Data'!$E:$E,$B36,'Budget Data'!$C:$C,$B$8,'Budget Data'!$A:$A,"&gt;="&amp;K$19,'Budget Data'!$A:$A,"&lt;="&amp;EOMONTH(K$19,0))+SUMIFS('Budget Data'!$J:$J,'Budget Data'!$E:$E,$B36,'Budget Data'!$C:$C,$B$10,'Budget Data'!$A:$A,"&gt;="&amp;K$19,'Budget Data'!$A:$A,"&lt;="&amp;EOMONTH(K$19,0))+SUMIFS('Budget Data'!$J:$J,'Budget Data'!$E:$E,$B36,'Budget Data'!$C:$C,$B$11,'Budget Data'!$A:$A,"&gt;="&amp;K$19,'Budget Data'!$A:$A,"&lt;="&amp;EOMONTH(K$19,0))+SUMIFS('Budget Data'!$J:$J,'Budget Data'!$E:$E,$B36,'Budget Data'!$C:$C,$B$2,'Budget Data'!$A:$A,"&gt;="&amp;K$19,'Budget Data'!$A:$A,"&lt;="&amp;EOMONTH(K$19,0))+SUMIFS('Budget Data'!$J:$J,'Budget Data'!$E:$E,$B36,'Budget Data'!$C:$C,$B$4,'Budget Data'!$A:$A,"&gt;="&amp;K$19,'Budget Data'!$A:$A,"&lt;="&amp;EOMONTH(K$19,0))+SUMIFS('Budget Data'!$J:$J,'Budget Data'!$E:$E,$B36,'Budget Data'!$C:$C,$B$3,'Budget Data'!$A:$A,"&gt;="&amp;K$19,'Budget Data'!$A:$A,"&lt;="&amp;EOMONTH(K$19,0))+SUMIFS('Budget Data'!$J:$J,'Budget Data'!$E:$E,$B36,'Budget Data'!$C:$C,$B$5,'Budget Data'!$A:$A,"&gt;="&amp;K$19,'Budget Data'!$A:$A,"&lt;="&amp;EOMONTH(K$19,0))+SUMIFS('Budget Data'!$J:$J,'Budget Data'!$E:$E,$B36,'Budget Data'!$C:$C,$B$6,'Budget Data'!$A:$A,"&gt;="&amp;K$19,'Budget Data'!$A:$A,"&lt;="&amp;EOMONTH(K$19,0)))</f>
        <v>1200</v>
      </c>
      <c r="L36" s="86">
        <f>SUMPRODUCT(SUMIFS('Allocated Transactions'!$J:$J,'Allocated Transactions'!$D:$D,$B36,'Allocated Transactions'!$C:$C,$B$7,'Allocated Transactions'!$A:$A,"&gt;="&amp;L$19,'Allocated Transactions'!$A:$A,"&lt;="&amp;EOMONTH(L$19,0))+SUMIFS('Allocated Transactions'!$J:$J,'Allocated Transactions'!$D:$D,$B36,'Allocated Transactions'!$C:$C,$B$9,'Allocated Transactions'!$A:$A,"&gt;="&amp;L$19,'Allocated Transactions'!$A:$A,"&lt;="&amp;EOMONTH(L$19,0))+SUMIFS('Allocated Transactions'!$J:$J,'Allocated Transactions'!$D:$D,$B36,'Allocated Transactions'!$C:$C,$B$8,'Allocated Transactions'!$A:$A,"&gt;="&amp;L$19,'Allocated Transactions'!$A:$A,"&lt;="&amp;EOMONTH(L$19,0))+SUMIFS('Allocated Transactions'!$J:$J,'Allocated Transactions'!$D:$D,$B36,'Allocated Transactions'!$C:$C,$B$10,'Allocated Transactions'!$A:$A,"&gt;="&amp;L$19,'Allocated Transactions'!$A:$A,"&lt;="&amp;EOMONTH(L$19,0))+SUMIFS('Allocated Transactions'!$J:$J,'Allocated Transactions'!$D:$D,$B36,'Allocated Transactions'!$C:$C,$B$11,'Allocated Transactions'!$A:$A,"&gt;="&amp;L$19,'Allocated Transactions'!$A:$A,"&lt;="&amp;EOMONTH(L$19,0))+SUMIFS('Allocated Transactions'!$J:$J,'Allocated Transactions'!$D:$D,$B36,'Allocated Transactions'!$C:$C,$B$2,'Allocated Transactions'!$A:$A,"&gt;="&amp;L$19,'Allocated Transactions'!$A:$A,"&lt;="&amp;EOMONTH(L$19,0))+SUMIFS('Allocated Transactions'!$J:$J,'Allocated Transactions'!$D:$D,$B36,'Allocated Transactions'!$C:$C,$B$4,'Allocated Transactions'!$A:$A,"&gt;="&amp;L$19,'Allocated Transactions'!$A:$A,"&lt;="&amp;EOMONTH(L$19,0))+SUMIFS('Allocated Transactions'!$J:$J,'Allocated Transactions'!$D:$D,$B36,'Allocated Transactions'!$C:$C,$B$3,'Allocated Transactions'!$A:$A,"&gt;="&amp;L$19,'Allocated Transactions'!$A:$A,"&lt;="&amp;EOMONTH(L$19,0))+SUMIFS('Allocated Transactions'!$J:$J,'Allocated Transactions'!$D:$D,$B36,'Allocated Transactions'!$C:$C,$B$5,'Allocated Transactions'!$A:$A,"&gt;="&amp;L$19,'Allocated Transactions'!$A:$A,"&lt;="&amp;EOMONTH(L$19,0))+SUMIFS('Allocated Transactions'!$J:$J,'Allocated Transactions'!$D:$D,$B36,'Allocated Transactions'!$C:$C,$B$6,'Allocated Transactions'!$A:$A,"&gt;="&amp;L$19,'Allocated Transactions'!$A:$A,"&lt;="&amp;EOMONTH(L$19,0)))</f>
        <v>1124.3200000000006</v>
      </c>
      <c r="M36" s="84">
        <f>SUMPRODUCT(SUMIFS('Budget Data'!$J:$J,'Budget Data'!$E:$E,$B36,'Budget Data'!$C:$C,$B$7,'Budget Data'!$A:$A,"&gt;="&amp;M$19,'Budget Data'!$A:$A,"&lt;="&amp;EOMONTH(M$19,0))+SUMIFS('Budget Data'!$J:$J,'Budget Data'!$E:$E,$B36,'Budget Data'!$C:$C,$B$9,'Budget Data'!$A:$A,"&gt;="&amp;M$19,'Budget Data'!$A:$A,"&lt;="&amp;EOMONTH(M$19,0))+SUMIFS('Budget Data'!$J:$J,'Budget Data'!$E:$E,$B36,'Budget Data'!$C:$C,$B$8,'Budget Data'!$A:$A,"&gt;="&amp;M$19,'Budget Data'!$A:$A,"&lt;="&amp;EOMONTH(M$19,0))+SUMIFS('Budget Data'!$J:$J,'Budget Data'!$E:$E,$B36,'Budget Data'!$C:$C,$B$10,'Budget Data'!$A:$A,"&gt;="&amp;M$19,'Budget Data'!$A:$A,"&lt;="&amp;EOMONTH(M$19,0))+SUMIFS('Budget Data'!$J:$J,'Budget Data'!$E:$E,$B36,'Budget Data'!$C:$C,$B$11,'Budget Data'!$A:$A,"&gt;="&amp;M$19,'Budget Data'!$A:$A,"&lt;="&amp;EOMONTH(M$19,0))+SUMIFS('Budget Data'!$J:$J,'Budget Data'!$E:$E,$B36,'Budget Data'!$C:$C,$B$2,'Budget Data'!$A:$A,"&gt;="&amp;M$19,'Budget Data'!$A:$A,"&lt;="&amp;EOMONTH(M$19,0))+SUMIFS('Budget Data'!$J:$J,'Budget Data'!$E:$E,$B36,'Budget Data'!$C:$C,$B$4,'Budget Data'!$A:$A,"&gt;="&amp;M$19,'Budget Data'!$A:$A,"&lt;="&amp;EOMONTH(M$19,0))+SUMIFS('Budget Data'!$J:$J,'Budget Data'!$E:$E,$B36,'Budget Data'!$C:$C,$B$3,'Budget Data'!$A:$A,"&gt;="&amp;M$19,'Budget Data'!$A:$A,"&lt;="&amp;EOMONTH(M$19,0))+SUMIFS('Budget Data'!$J:$J,'Budget Data'!$E:$E,$B36,'Budget Data'!$C:$C,$B$5,'Budget Data'!$A:$A,"&gt;="&amp;M$19,'Budget Data'!$A:$A,"&lt;="&amp;EOMONTH(M$19,0))+SUMIFS('Budget Data'!$J:$J,'Budget Data'!$E:$E,$B36,'Budget Data'!$C:$C,$B$6,'Budget Data'!$A:$A,"&gt;="&amp;M$19,'Budget Data'!$A:$A,"&lt;="&amp;EOMONTH(M$19,0)))</f>
        <v>1200</v>
      </c>
      <c r="N36" s="86">
        <f>SUMPRODUCT(SUMIFS('Allocated Transactions'!$J:$J,'Allocated Transactions'!$D:$D,$B36,'Allocated Transactions'!$C:$C,$B$7,'Allocated Transactions'!$A:$A,"&gt;="&amp;N$19,'Allocated Transactions'!$A:$A,"&lt;="&amp;EOMONTH(N$19,0))+SUMIFS('Allocated Transactions'!$J:$J,'Allocated Transactions'!$D:$D,$B36,'Allocated Transactions'!$C:$C,$B$9,'Allocated Transactions'!$A:$A,"&gt;="&amp;N$19,'Allocated Transactions'!$A:$A,"&lt;="&amp;EOMONTH(N$19,0))+SUMIFS('Allocated Transactions'!$J:$J,'Allocated Transactions'!$D:$D,$B36,'Allocated Transactions'!$C:$C,$B$8,'Allocated Transactions'!$A:$A,"&gt;="&amp;N$19,'Allocated Transactions'!$A:$A,"&lt;="&amp;EOMONTH(N$19,0))+SUMIFS('Allocated Transactions'!$J:$J,'Allocated Transactions'!$D:$D,$B36,'Allocated Transactions'!$C:$C,$B$10,'Allocated Transactions'!$A:$A,"&gt;="&amp;N$19,'Allocated Transactions'!$A:$A,"&lt;="&amp;EOMONTH(N$19,0))+SUMIFS('Allocated Transactions'!$J:$J,'Allocated Transactions'!$D:$D,$B36,'Allocated Transactions'!$C:$C,$B$11,'Allocated Transactions'!$A:$A,"&gt;="&amp;N$19,'Allocated Transactions'!$A:$A,"&lt;="&amp;EOMONTH(N$19,0))+SUMIFS('Allocated Transactions'!$J:$J,'Allocated Transactions'!$D:$D,$B36,'Allocated Transactions'!$C:$C,$B$2,'Allocated Transactions'!$A:$A,"&gt;="&amp;N$19,'Allocated Transactions'!$A:$A,"&lt;="&amp;EOMONTH(N$19,0))+SUMIFS('Allocated Transactions'!$J:$J,'Allocated Transactions'!$D:$D,$B36,'Allocated Transactions'!$C:$C,$B$4,'Allocated Transactions'!$A:$A,"&gt;="&amp;N$19,'Allocated Transactions'!$A:$A,"&lt;="&amp;EOMONTH(N$19,0))+SUMIFS('Allocated Transactions'!$J:$J,'Allocated Transactions'!$D:$D,$B36,'Allocated Transactions'!$C:$C,$B$3,'Allocated Transactions'!$A:$A,"&gt;="&amp;N$19,'Allocated Transactions'!$A:$A,"&lt;="&amp;EOMONTH(N$19,0))+SUMIFS('Allocated Transactions'!$J:$J,'Allocated Transactions'!$D:$D,$B36,'Allocated Transactions'!$C:$C,$B$5,'Allocated Transactions'!$A:$A,"&gt;="&amp;N$19,'Allocated Transactions'!$A:$A,"&lt;="&amp;EOMONTH(N$19,0))+SUMIFS('Allocated Transactions'!$J:$J,'Allocated Transactions'!$D:$D,$B36,'Allocated Transactions'!$C:$C,$B$6,'Allocated Transactions'!$A:$A,"&gt;="&amp;N$19,'Allocated Transactions'!$A:$A,"&lt;="&amp;EOMONTH(N$19,0)))</f>
        <v>1350.3400000000006</v>
      </c>
      <c r="O36" s="84">
        <f>SUMPRODUCT(SUMIFS('Budget Data'!$J:$J,'Budget Data'!$E:$E,$B36,'Budget Data'!$C:$C,$B$7,'Budget Data'!$A:$A,"&gt;="&amp;O$19,'Budget Data'!$A:$A,"&lt;="&amp;EOMONTH(O$19,0))+SUMIFS('Budget Data'!$J:$J,'Budget Data'!$E:$E,$B36,'Budget Data'!$C:$C,$B$9,'Budget Data'!$A:$A,"&gt;="&amp;O$19,'Budget Data'!$A:$A,"&lt;="&amp;EOMONTH(O$19,0))+SUMIFS('Budget Data'!$J:$J,'Budget Data'!$E:$E,$B36,'Budget Data'!$C:$C,$B$8,'Budget Data'!$A:$A,"&gt;="&amp;O$19,'Budget Data'!$A:$A,"&lt;="&amp;EOMONTH(O$19,0))+SUMIFS('Budget Data'!$J:$J,'Budget Data'!$E:$E,$B36,'Budget Data'!$C:$C,$B$10,'Budget Data'!$A:$A,"&gt;="&amp;O$19,'Budget Data'!$A:$A,"&lt;="&amp;EOMONTH(O$19,0))+SUMIFS('Budget Data'!$J:$J,'Budget Data'!$E:$E,$B36,'Budget Data'!$C:$C,$B$11,'Budget Data'!$A:$A,"&gt;="&amp;O$19,'Budget Data'!$A:$A,"&lt;="&amp;EOMONTH(O$19,0))+SUMIFS('Budget Data'!$J:$J,'Budget Data'!$E:$E,$B36,'Budget Data'!$C:$C,$B$2,'Budget Data'!$A:$A,"&gt;="&amp;O$19,'Budget Data'!$A:$A,"&lt;="&amp;EOMONTH(O$19,0))+SUMIFS('Budget Data'!$J:$J,'Budget Data'!$E:$E,$B36,'Budget Data'!$C:$C,$B$4,'Budget Data'!$A:$A,"&gt;="&amp;O$19,'Budget Data'!$A:$A,"&lt;="&amp;EOMONTH(O$19,0))+SUMIFS('Budget Data'!$J:$J,'Budget Data'!$E:$E,$B36,'Budget Data'!$C:$C,$B$3,'Budget Data'!$A:$A,"&gt;="&amp;O$19,'Budget Data'!$A:$A,"&lt;="&amp;EOMONTH(O$19,0))+SUMIFS('Budget Data'!$J:$J,'Budget Data'!$E:$E,$B36,'Budget Data'!$C:$C,$B$5,'Budget Data'!$A:$A,"&gt;="&amp;O$19,'Budget Data'!$A:$A,"&lt;="&amp;EOMONTH(O$19,0))+SUMIFS('Budget Data'!$J:$J,'Budget Data'!$E:$E,$B36,'Budget Data'!$C:$C,$B$6,'Budget Data'!$A:$A,"&gt;="&amp;O$19,'Budget Data'!$A:$A,"&lt;="&amp;EOMONTH(O$19,0)))</f>
        <v>1400</v>
      </c>
      <c r="P36" s="86">
        <f>SUMPRODUCT(SUMIFS('Allocated Transactions'!$J:$J,'Allocated Transactions'!$D:$D,$B36,'Allocated Transactions'!$C:$C,$B$7,'Allocated Transactions'!$A:$A,"&gt;="&amp;P$19,'Allocated Transactions'!$A:$A,"&lt;="&amp;EOMONTH(P$19,0))+SUMIFS('Allocated Transactions'!$J:$J,'Allocated Transactions'!$D:$D,$B36,'Allocated Transactions'!$C:$C,$B$9,'Allocated Transactions'!$A:$A,"&gt;="&amp;P$19,'Allocated Transactions'!$A:$A,"&lt;="&amp;EOMONTH(P$19,0))+SUMIFS('Allocated Transactions'!$J:$J,'Allocated Transactions'!$D:$D,$B36,'Allocated Transactions'!$C:$C,$B$8,'Allocated Transactions'!$A:$A,"&gt;="&amp;P$19,'Allocated Transactions'!$A:$A,"&lt;="&amp;EOMONTH(P$19,0))+SUMIFS('Allocated Transactions'!$J:$J,'Allocated Transactions'!$D:$D,$B36,'Allocated Transactions'!$C:$C,$B$10,'Allocated Transactions'!$A:$A,"&gt;="&amp;P$19,'Allocated Transactions'!$A:$A,"&lt;="&amp;EOMONTH(P$19,0))+SUMIFS('Allocated Transactions'!$J:$J,'Allocated Transactions'!$D:$D,$B36,'Allocated Transactions'!$C:$C,$B$11,'Allocated Transactions'!$A:$A,"&gt;="&amp;P$19,'Allocated Transactions'!$A:$A,"&lt;="&amp;EOMONTH(P$19,0))+SUMIFS('Allocated Transactions'!$J:$J,'Allocated Transactions'!$D:$D,$B36,'Allocated Transactions'!$C:$C,$B$2,'Allocated Transactions'!$A:$A,"&gt;="&amp;P$19,'Allocated Transactions'!$A:$A,"&lt;="&amp;EOMONTH(P$19,0))+SUMIFS('Allocated Transactions'!$J:$J,'Allocated Transactions'!$D:$D,$B36,'Allocated Transactions'!$C:$C,$B$4,'Allocated Transactions'!$A:$A,"&gt;="&amp;P$19,'Allocated Transactions'!$A:$A,"&lt;="&amp;EOMONTH(P$19,0))+SUMIFS('Allocated Transactions'!$J:$J,'Allocated Transactions'!$D:$D,$B36,'Allocated Transactions'!$C:$C,$B$3,'Allocated Transactions'!$A:$A,"&gt;="&amp;P$19,'Allocated Transactions'!$A:$A,"&lt;="&amp;EOMONTH(P$19,0))+SUMIFS('Allocated Transactions'!$J:$J,'Allocated Transactions'!$D:$D,$B36,'Allocated Transactions'!$C:$C,$B$5,'Allocated Transactions'!$A:$A,"&gt;="&amp;P$19,'Allocated Transactions'!$A:$A,"&lt;="&amp;EOMONTH(P$19,0))+SUMIFS('Allocated Transactions'!$J:$J,'Allocated Transactions'!$D:$D,$B36,'Allocated Transactions'!$C:$C,$B$6,'Allocated Transactions'!$A:$A,"&gt;="&amp;P$19,'Allocated Transactions'!$A:$A,"&lt;="&amp;EOMONTH(P$19,0)))</f>
        <v>1354.4499999999998</v>
      </c>
      <c r="Q36" s="84">
        <f>SUMPRODUCT(SUMIFS('Budget Data'!$J:$J,'Budget Data'!$E:$E,$B36,'Budget Data'!$C:$C,$B$7,'Budget Data'!$A:$A,"&gt;="&amp;Q$19,'Budget Data'!$A:$A,"&lt;="&amp;EOMONTH(Q$19,0))+SUMIFS('Budget Data'!$J:$J,'Budget Data'!$E:$E,$B36,'Budget Data'!$C:$C,$B$9,'Budget Data'!$A:$A,"&gt;="&amp;Q$19,'Budget Data'!$A:$A,"&lt;="&amp;EOMONTH(Q$19,0))+SUMIFS('Budget Data'!$J:$J,'Budget Data'!$E:$E,$B36,'Budget Data'!$C:$C,$B$8,'Budget Data'!$A:$A,"&gt;="&amp;Q$19,'Budget Data'!$A:$A,"&lt;="&amp;EOMONTH(Q$19,0))+SUMIFS('Budget Data'!$J:$J,'Budget Data'!$E:$E,$B36,'Budget Data'!$C:$C,$B$10,'Budget Data'!$A:$A,"&gt;="&amp;Q$19,'Budget Data'!$A:$A,"&lt;="&amp;EOMONTH(Q$19,0))+SUMIFS('Budget Data'!$J:$J,'Budget Data'!$E:$E,$B36,'Budget Data'!$C:$C,$B$11,'Budget Data'!$A:$A,"&gt;="&amp;Q$19,'Budget Data'!$A:$A,"&lt;="&amp;EOMONTH(Q$19,0))+SUMIFS('Budget Data'!$J:$J,'Budget Data'!$E:$E,$B36,'Budget Data'!$C:$C,$B$2,'Budget Data'!$A:$A,"&gt;="&amp;Q$19,'Budget Data'!$A:$A,"&lt;="&amp;EOMONTH(Q$19,0))+SUMIFS('Budget Data'!$J:$J,'Budget Data'!$E:$E,$B36,'Budget Data'!$C:$C,$B$4,'Budget Data'!$A:$A,"&gt;="&amp;Q$19,'Budget Data'!$A:$A,"&lt;="&amp;EOMONTH(Q$19,0))+SUMIFS('Budget Data'!$J:$J,'Budget Data'!$E:$E,$B36,'Budget Data'!$C:$C,$B$3,'Budget Data'!$A:$A,"&gt;="&amp;Q$19,'Budget Data'!$A:$A,"&lt;="&amp;EOMONTH(Q$19,0))+SUMIFS('Budget Data'!$J:$J,'Budget Data'!$E:$E,$B36,'Budget Data'!$C:$C,$B$5,'Budget Data'!$A:$A,"&gt;="&amp;Q$19,'Budget Data'!$A:$A,"&lt;="&amp;EOMONTH(Q$19,0))+SUMIFS('Budget Data'!$J:$J,'Budget Data'!$E:$E,$B36,'Budget Data'!$C:$C,$B$6,'Budget Data'!$A:$A,"&gt;="&amp;Q$19,'Budget Data'!$A:$A,"&lt;="&amp;EOMONTH(Q$19,0)))</f>
        <v>1400</v>
      </c>
      <c r="R36" s="86">
        <f>SUMPRODUCT(SUMIFS('Allocated Transactions'!$J:$J,'Allocated Transactions'!$D:$D,$B36,'Allocated Transactions'!$C:$C,$B$7,'Allocated Transactions'!$A:$A,"&gt;="&amp;R$19,'Allocated Transactions'!$A:$A,"&lt;="&amp;EOMONTH(R$19,0))+SUMIFS('Allocated Transactions'!$J:$J,'Allocated Transactions'!$D:$D,$B36,'Allocated Transactions'!$C:$C,$B$9,'Allocated Transactions'!$A:$A,"&gt;="&amp;R$19,'Allocated Transactions'!$A:$A,"&lt;="&amp;EOMONTH(R$19,0))+SUMIFS('Allocated Transactions'!$J:$J,'Allocated Transactions'!$D:$D,$B36,'Allocated Transactions'!$C:$C,$B$8,'Allocated Transactions'!$A:$A,"&gt;="&amp;R$19,'Allocated Transactions'!$A:$A,"&lt;="&amp;EOMONTH(R$19,0))+SUMIFS('Allocated Transactions'!$J:$J,'Allocated Transactions'!$D:$D,$B36,'Allocated Transactions'!$C:$C,$B$10,'Allocated Transactions'!$A:$A,"&gt;="&amp;R$19,'Allocated Transactions'!$A:$A,"&lt;="&amp;EOMONTH(R$19,0))+SUMIFS('Allocated Transactions'!$J:$J,'Allocated Transactions'!$D:$D,$B36,'Allocated Transactions'!$C:$C,$B$11,'Allocated Transactions'!$A:$A,"&gt;="&amp;R$19,'Allocated Transactions'!$A:$A,"&lt;="&amp;EOMONTH(R$19,0))+SUMIFS('Allocated Transactions'!$J:$J,'Allocated Transactions'!$D:$D,$B36,'Allocated Transactions'!$C:$C,$B$2,'Allocated Transactions'!$A:$A,"&gt;="&amp;R$19,'Allocated Transactions'!$A:$A,"&lt;="&amp;EOMONTH(R$19,0))+SUMIFS('Allocated Transactions'!$J:$J,'Allocated Transactions'!$D:$D,$B36,'Allocated Transactions'!$C:$C,$B$4,'Allocated Transactions'!$A:$A,"&gt;="&amp;R$19,'Allocated Transactions'!$A:$A,"&lt;="&amp;EOMONTH(R$19,0))+SUMIFS('Allocated Transactions'!$J:$J,'Allocated Transactions'!$D:$D,$B36,'Allocated Transactions'!$C:$C,$B$3,'Allocated Transactions'!$A:$A,"&gt;="&amp;R$19,'Allocated Transactions'!$A:$A,"&lt;="&amp;EOMONTH(R$19,0))+SUMIFS('Allocated Transactions'!$J:$J,'Allocated Transactions'!$D:$D,$B36,'Allocated Transactions'!$C:$C,$B$5,'Allocated Transactions'!$A:$A,"&gt;="&amp;R$19,'Allocated Transactions'!$A:$A,"&lt;="&amp;EOMONTH(R$19,0))+SUMIFS('Allocated Transactions'!$J:$J,'Allocated Transactions'!$D:$D,$B36,'Allocated Transactions'!$C:$C,$B$6,'Allocated Transactions'!$A:$A,"&gt;="&amp;R$19,'Allocated Transactions'!$A:$A,"&lt;="&amp;EOMONTH(R$19,0)))</f>
        <v>1324.3800000000006</v>
      </c>
      <c r="S36" s="84">
        <f>SUMPRODUCT(SUMIFS('Budget Data'!$J:$J,'Budget Data'!$E:$E,$B36,'Budget Data'!$C:$C,$B$7,'Budget Data'!$A:$A,"&gt;="&amp;S$19,'Budget Data'!$A:$A,"&lt;="&amp;EOMONTH(S$19,0))+SUMIFS('Budget Data'!$J:$J,'Budget Data'!$E:$E,$B36,'Budget Data'!$C:$C,$B$9,'Budget Data'!$A:$A,"&gt;="&amp;S$19,'Budget Data'!$A:$A,"&lt;="&amp;EOMONTH(S$19,0))+SUMIFS('Budget Data'!$J:$J,'Budget Data'!$E:$E,$B36,'Budget Data'!$C:$C,$B$8,'Budget Data'!$A:$A,"&gt;="&amp;S$19,'Budget Data'!$A:$A,"&lt;="&amp;EOMONTH(S$19,0))+SUMIFS('Budget Data'!$J:$J,'Budget Data'!$E:$E,$B36,'Budget Data'!$C:$C,$B$10,'Budget Data'!$A:$A,"&gt;="&amp;S$19,'Budget Data'!$A:$A,"&lt;="&amp;EOMONTH(S$19,0))+SUMIFS('Budget Data'!$J:$J,'Budget Data'!$E:$E,$B36,'Budget Data'!$C:$C,$B$11,'Budget Data'!$A:$A,"&gt;="&amp;S$19,'Budget Data'!$A:$A,"&lt;="&amp;EOMONTH(S$19,0))+SUMIFS('Budget Data'!$J:$J,'Budget Data'!$E:$E,$B36,'Budget Data'!$C:$C,$B$2,'Budget Data'!$A:$A,"&gt;="&amp;S$19,'Budget Data'!$A:$A,"&lt;="&amp;EOMONTH(S$19,0))+SUMIFS('Budget Data'!$J:$J,'Budget Data'!$E:$E,$B36,'Budget Data'!$C:$C,$B$4,'Budget Data'!$A:$A,"&gt;="&amp;S$19,'Budget Data'!$A:$A,"&lt;="&amp;EOMONTH(S$19,0))+SUMIFS('Budget Data'!$J:$J,'Budget Data'!$E:$E,$B36,'Budget Data'!$C:$C,$B$3,'Budget Data'!$A:$A,"&gt;="&amp;S$19,'Budget Data'!$A:$A,"&lt;="&amp;EOMONTH(S$19,0))+SUMIFS('Budget Data'!$J:$J,'Budget Data'!$E:$E,$B36,'Budget Data'!$C:$C,$B$5,'Budget Data'!$A:$A,"&gt;="&amp;S$19,'Budget Data'!$A:$A,"&lt;="&amp;EOMONTH(S$19,0))+SUMIFS('Budget Data'!$J:$J,'Budget Data'!$E:$E,$B36,'Budget Data'!$C:$C,$B$6,'Budget Data'!$A:$A,"&gt;="&amp;S$19,'Budget Data'!$A:$A,"&lt;="&amp;EOMONTH(S$19,0)))</f>
        <v>1400</v>
      </c>
      <c r="T36" s="86">
        <f>SUMPRODUCT(SUMIFS('Allocated Transactions'!$J:$J,'Allocated Transactions'!$D:$D,$B36,'Allocated Transactions'!$C:$C,$B$7,'Allocated Transactions'!$A:$A,"&gt;="&amp;T$19,'Allocated Transactions'!$A:$A,"&lt;="&amp;EOMONTH(T$19,0))+SUMIFS('Allocated Transactions'!$J:$J,'Allocated Transactions'!$D:$D,$B36,'Allocated Transactions'!$C:$C,$B$9,'Allocated Transactions'!$A:$A,"&gt;="&amp;T$19,'Allocated Transactions'!$A:$A,"&lt;="&amp;EOMONTH(T$19,0))+SUMIFS('Allocated Transactions'!$J:$J,'Allocated Transactions'!$D:$D,$B36,'Allocated Transactions'!$C:$C,$B$8,'Allocated Transactions'!$A:$A,"&gt;="&amp;T$19,'Allocated Transactions'!$A:$A,"&lt;="&amp;EOMONTH(T$19,0))+SUMIFS('Allocated Transactions'!$J:$J,'Allocated Transactions'!$D:$D,$B36,'Allocated Transactions'!$C:$C,$B$10,'Allocated Transactions'!$A:$A,"&gt;="&amp;T$19,'Allocated Transactions'!$A:$A,"&lt;="&amp;EOMONTH(T$19,0))+SUMIFS('Allocated Transactions'!$J:$J,'Allocated Transactions'!$D:$D,$B36,'Allocated Transactions'!$C:$C,$B$11,'Allocated Transactions'!$A:$A,"&gt;="&amp;T$19,'Allocated Transactions'!$A:$A,"&lt;="&amp;EOMONTH(T$19,0))+SUMIFS('Allocated Transactions'!$J:$J,'Allocated Transactions'!$D:$D,$B36,'Allocated Transactions'!$C:$C,$B$2,'Allocated Transactions'!$A:$A,"&gt;="&amp;T$19,'Allocated Transactions'!$A:$A,"&lt;="&amp;EOMONTH(T$19,0))+SUMIFS('Allocated Transactions'!$J:$J,'Allocated Transactions'!$D:$D,$B36,'Allocated Transactions'!$C:$C,$B$4,'Allocated Transactions'!$A:$A,"&gt;="&amp;T$19,'Allocated Transactions'!$A:$A,"&lt;="&amp;EOMONTH(T$19,0))+SUMIFS('Allocated Transactions'!$J:$J,'Allocated Transactions'!$D:$D,$B36,'Allocated Transactions'!$C:$C,$B$3,'Allocated Transactions'!$A:$A,"&gt;="&amp;T$19,'Allocated Transactions'!$A:$A,"&lt;="&amp;EOMONTH(T$19,0))+SUMIFS('Allocated Transactions'!$J:$J,'Allocated Transactions'!$D:$D,$B36,'Allocated Transactions'!$C:$C,$B$5,'Allocated Transactions'!$A:$A,"&gt;="&amp;T$19,'Allocated Transactions'!$A:$A,"&lt;="&amp;EOMONTH(T$19,0))+SUMIFS('Allocated Transactions'!$J:$J,'Allocated Transactions'!$D:$D,$B36,'Allocated Transactions'!$C:$C,$B$6,'Allocated Transactions'!$A:$A,"&gt;="&amp;T$19,'Allocated Transactions'!$A:$A,"&lt;="&amp;EOMONTH(T$19,0)))</f>
        <v>1018.5400000000009</v>
      </c>
      <c r="U36" s="84">
        <f>SUMPRODUCT(SUMIFS('Budget Data'!$J:$J,'Budget Data'!$E:$E,$B36,'Budget Data'!$C:$C,$B$7,'Budget Data'!$A:$A,"&gt;="&amp;U$19,'Budget Data'!$A:$A,"&lt;="&amp;EOMONTH(U$19,0))+SUMIFS('Budget Data'!$J:$J,'Budget Data'!$E:$E,$B36,'Budget Data'!$C:$C,$B$9,'Budget Data'!$A:$A,"&gt;="&amp;U$19,'Budget Data'!$A:$A,"&lt;="&amp;EOMONTH(U$19,0))+SUMIFS('Budget Data'!$J:$J,'Budget Data'!$E:$E,$B36,'Budget Data'!$C:$C,$B$8,'Budget Data'!$A:$A,"&gt;="&amp;U$19,'Budget Data'!$A:$A,"&lt;="&amp;EOMONTH(U$19,0))+SUMIFS('Budget Data'!$J:$J,'Budget Data'!$E:$E,$B36,'Budget Data'!$C:$C,$B$10,'Budget Data'!$A:$A,"&gt;="&amp;U$19,'Budget Data'!$A:$A,"&lt;="&amp;EOMONTH(U$19,0))+SUMIFS('Budget Data'!$J:$J,'Budget Data'!$E:$E,$B36,'Budget Data'!$C:$C,$B$11,'Budget Data'!$A:$A,"&gt;="&amp;U$19,'Budget Data'!$A:$A,"&lt;="&amp;EOMONTH(U$19,0))+SUMIFS('Budget Data'!$J:$J,'Budget Data'!$E:$E,$B36,'Budget Data'!$C:$C,$B$2,'Budget Data'!$A:$A,"&gt;="&amp;U$19,'Budget Data'!$A:$A,"&lt;="&amp;EOMONTH(U$19,0))+SUMIFS('Budget Data'!$J:$J,'Budget Data'!$E:$E,$B36,'Budget Data'!$C:$C,$B$4,'Budget Data'!$A:$A,"&gt;="&amp;U$19,'Budget Data'!$A:$A,"&lt;="&amp;EOMONTH(U$19,0))+SUMIFS('Budget Data'!$J:$J,'Budget Data'!$E:$E,$B36,'Budget Data'!$C:$C,$B$3,'Budget Data'!$A:$A,"&gt;="&amp;U$19,'Budget Data'!$A:$A,"&lt;="&amp;EOMONTH(U$19,0))+SUMIFS('Budget Data'!$J:$J,'Budget Data'!$E:$E,$B36,'Budget Data'!$C:$C,$B$5,'Budget Data'!$A:$A,"&gt;="&amp;U$19,'Budget Data'!$A:$A,"&lt;="&amp;EOMONTH(U$19,0))+SUMIFS('Budget Data'!$J:$J,'Budget Data'!$E:$E,$B36,'Budget Data'!$C:$C,$B$6,'Budget Data'!$A:$A,"&gt;="&amp;U$19,'Budget Data'!$A:$A,"&lt;="&amp;EOMONTH(U$19,0)))</f>
        <v>1100</v>
      </c>
      <c r="V36" s="86">
        <f>SUMPRODUCT(SUMIFS('Allocated Transactions'!$J:$J,'Allocated Transactions'!$D:$D,$B36,'Allocated Transactions'!$C:$C,$B$7,'Allocated Transactions'!$A:$A,"&gt;="&amp;V$19,'Allocated Transactions'!$A:$A,"&lt;="&amp;EOMONTH(V$19,0))+SUMIFS('Allocated Transactions'!$J:$J,'Allocated Transactions'!$D:$D,$B36,'Allocated Transactions'!$C:$C,$B$9,'Allocated Transactions'!$A:$A,"&gt;="&amp;V$19,'Allocated Transactions'!$A:$A,"&lt;="&amp;EOMONTH(V$19,0))+SUMIFS('Allocated Transactions'!$J:$J,'Allocated Transactions'!$D:$D,$B36,'Allocated Transactions'!$C:$C,$B$8,'Allocated Transactions'!$A:$A,"&gt;="&amp;V$19,'Allocated Transactions'!$A:$A,"&lt;="&amp;EOMONTH(V$19,0))+SUMIFS('Allocated Transactions'!$J:$J,'Allocated Transactions'!$D:$D,$B36,'Allocated Transactions'!$C:$C,$B$10,'Allocated Transactions'!$A:$A,"&gt;="&amp;V$19,'Allocated Transactions'!$A:$A,"&lt;="&amp;EOMONTH(V$19,0))+SUMIFS('Allocated Transactions'!$J:$J,'Allocated Transactions'!$D:$D,$B36,'Allocated Transactions'!$C:$C,$B$11,'Allocated Transactions'!$A:$A,"&gt;="&amp;V$19,'Allocated Transactions'!$A:$A,"&lt;="&amp;EOMONTH(V$19,0))+SUMIFS('Allocated Transactions'!$J:$J,'Allocated Transactions'!$D:$D,$B36,'Allocated Transactions'!$C:$C,$B$2,'Allocated Transactions'!$A:$A,"&gt;="&amp;V$19,'Allocated Transactions'!$A:$A,"&lt;="&amp;EOMONTH(V$19,0))+SUMIFS('Allocated Transactions'!$J:$J,'Allocated Transactions'!$D:$D,$B36,'Allocated Transactions'!$C:$C,$B$4,'Allocated Transactions'!$A:$A,"&gt;="&amp;V$19,'Allocated Transactions'!$A:$A,"&lt;="&amp;EOMONTH(V$19,0))+SUMIFS('Allocated Transactions'!$J:$J,'Allocated Transactions'!$D:$D,$B36,'Allocated Transactions'!$C:$C,$B$3,'Allocated Transactions'!$A:$A,"&gt;="&amp;V$19,'Allocated Transactions'!$A:$A,"&lt;="&amp;EOMONTH(V$19,0))+SUMIFS('Allocated Transactions'!$J:$J,'Allocated Transactions'!$D:$D,$B36,'Allocated Transactions'!$C:$C,$B$5,'Allocated Transactions'!$A:$A,"&gt;="&amp;V$19,'Allocated Transactions'!$A:$A,"&lt;="&amp;EOMONTH(V$19,0))+SUMIFS('Allocated Transactions'!$J:$J,'Allocated Transactions'!$D:$D,$B36,'Allocated Transactions'!$C:$C,$B$6,'Allocated Transactions'!$A:$A,"&gt;="&amp;V$19,'Allocated Transactions'!$A:$A,"&lt;="&amp;EOMONTH(V$19,0)))</f>
        <v>836.04999999999973</v>
      </c>
      <c r="W36" s="84">
        <f>SUMPRODUCT(SUMIFS('Budget Data'!$J:$J,'Budget Data'!$E:$E,$B36,'Budget Data'!$C:$C,$B$7,'Budget Data'!$A:$A,"&gt;="&amp;W$19,'Budget Data'!$A:$A,"&lt;="&amp;EOMONTH(W$19,0))+SUMIFS('Budget Data'!$J:$J,'Budget Data'!$E:$E,$B36,'Budget Data'!$C:$C,$B$9,'Budget Data'!$A:$A,"&gt;="&amp;W$19,'Budget Data'!$A:$A,"&lt;="&amp;EOMONTH(W$19,0))+SUMIFS('Budget Data'!$J:$J,'Budget Data'!$E:$E,$B36,'Budget Data'!$C:$C,$B$8,'Budget Data'!$A:$A,"&gt;="&amp;W$19,'Budget Data'!$A:$A,"&lt;="&amp;EOMONTH(W$19,0))+SUMIFS('Budget Data'!$J:$J,'Budget Data'!$E:$E,$B36,'Budget Data'!$C:$C,$B$10,'Budget Data'!$A:$A,"&gt;="&amp;W$19,'Budget Data'!$A:$A,"&lt;="&amp;EOMONTH(W$19,0))+SUMIFS('Budget Data'!$J:$J,'Budget Data'!$E:$E,$B36,'Budget Data'!$C:$C,$B$11,'Budget Data'!$A:$A,"&gt;="&amp;W$19,'Budget Data'!$A:$A,"&lt;="&amp;EOMONTH(W$19,0))+SUMIFS('Budget Data'!$J:$J,'Budget Data'!$E:$E,$B36,'Budget Data'!$C:$C,$B$2,'Budget Data'!$A:$A,"&gt;="&amp;W$19,'Budget Data'!$A:$A,"&lt;="&amp;EOMONTH(W$19,0))+SUMIFS('Budget Data'!$J:$J,'Budget Data'!$E:$E,$B36,'Budget Data'!$C:$C,$B$4,'Budget Data'!$A:$A,"&gt;="&amp;W$19,'Budget Data'!$A:$A,"&lt;="&amp;EOMONTH(W$19,0))+SUMIFS('Budget Data'!$J:$J,'Budget Data'!$E:$E,$B36,'Budget Data'!$C:$C,$B$3,'Budget Data'!$A:$A,"&gt;="&amp;W$19,'Budget Data'!$A:$A,"&lt;="&amp;EOMONTH(W$19,0))+SUMIFS('Budget Data'!$J:$J,'Budget Data'!$E:$E,$B36,'Budget Data'!$C:$C,$B$5,'Budget Data'!$A:$A,"&gt;="&amp;W$19,'Budget Data'!$A:$A,"&lt;="&amp;EOMONTH(W$19,0))+SUMIFS('Budget Data'!$J:$J,'Budget Data'!$E:$E,$B36,'Budget Data'!$C:$C,$B$6,'Budget Data'!$A:$A,"&gt;="&amp;W$19,'Budget Data'!$A:$A,"&lt;="&amp;EOMONTH(W$19,0)))</f>
        <v>800</v>
      </c>
      <c r="X36" s="86">
        <f>SUMPRODUCT(SUMIFS('Allocated Transactions'!$J:$J,'Allocated Transactions'!$D:$D,$B36,'Allocated Transactions'!$C:$C,$B$7,'Allocated Transactions'!$A:$A,"&gt;="&amp;X$19,'Allocated Transactions'!$A:$A,"&lt;="&amp;EOMONTH(X$19,0))+SUMIFS('Allocated Transactions'!$J:$J,'Allocated Transactions'!$D:$D,$B36,'Allocated Transactions'!$C:$C,$B$9,'Allocated Transactions'!$A:$A,"&gt;="&amp;X$19,'Allocated Transactions'!$A:$A,"&lt;="&amp;EOMONTH(X$19,0))+SUMIFS('Allocated Transactions'!$J:$J,'Allocated Transactions'!$D:$D,$B36,'Allocated Transactions'!$C:$C,$B$8,'Allocated Transactions'!$A:$A,"&gt;="&amp;X$19,'Allocated Transactions'!$A:$A,"&lt;="&amp;EOMONTH(X$19,0))+SUMIFS('Allocated Transactions'!$J:$J,'Allocated Transactions'!$D:$D,$B36,'Allocated Transactions'!$C:$C,$B$10,'Allocated Transactions'!$A:$A,"&gt;="&amp;X$19,'Allocated Transactions'!$A:$A,"&lt;="&amp;EOMONTH(X$19,0))+SUMIFS('Allocated Transactions'!$J:$J,'Allocated Transactions'!$D:$D,$B36,'Allocated Transactions'!$C:$C,$B$11,'Allocated Transactions'!$A:$A,"&gt;="&amp;X$19,'Allocated Transactions'!$A:$A,"&lt;="&amp;EOMONTH(X$19,0))+SUMIFS('Allocated Transactions'!$J:$J,'Allocated Transactions'!$D:$D,$B36,'Allocated Transactions'!$C:$C,$B$2,'Allocated Transactions'!$A:$A,"&gt;="&amp;X$19,'Allocated Transactions'!$A:$A,"&lt;="&amp;EOMONTH(X$19,0))+SUMIFS('Allocated Transactions'!$J:$J,'Allocated Transactions'!$D:$D,$B36,'Allocated Transactions'!$C:$C,$B$4,'Allocated Transactions'!$A:$A,"&gt;="&amp;X$19,'Allocated Transactions'!$A:$A,"&lt;="&amp;EOMONTH(X$19,0))+SUMIFS('Allocated Transactions'!$J:$J,'Allocated Transactions'!$D:$D,$B36,'Allocated Transactions'!$C:$C,$B$3,'Allocated Transactions'!$A:$A,"&gt;="&amp;X$19,'Allocated Transactions'!$A:$A,"&lt;="&amp;EOMONTH(X$19,0))+SUMIFS('Allocated Transactions'!$J:$J,'Allocated Transactions'!$D:$D,$B36,'Allocated Transactions'!$C:$C,$B$5,'Allocated Transactions'!$A:$A,"&gt;="&amp;X$19,'Allocated Transactions'!$A:$A,"&lt;="&amp;EOMONTH(X$19,0))+SUMIFS('Allocated Transactions'!$J:$J,'Allocated Transactions'!$D:$D,$B36,'Allocated Transactions'!$C:$C,$B$6,'Allocated Transactions'!$A:$A,"&gt;="&amp;X$19,'Allocated Transactions'!$A:$A,"&lt;="&amp;EOMONTH(X$19,0)))</f>
        <v>919.33999999999992</v>
      </c>
      <c r="Y36" s="84">
        <f>SUMPRODUCT(SUMIFS('Budget Data'!$J:$J,'Budget Data'!$E:$E,$B36,'Budget Data'!$C:$C,$B$7,'Budget Data'!$A:$A,"&gt;="&amp;Y$19,'Budget Data'!$A:$A,"&lt;="&amp;EOMONTH(Y$19,0))+SUMIFS('Budget Data'!$J:$J,'Budget Data'!$E:$E,$B36,'Budget Data'!$C:$C,$B$9,'Budget Data'!$A:$A,"&gt;="&amp;Y$19,'Budget Data'!$A:$A,"&lt;="&amp;EOMONTH(Y$19,0))+SUMIFS('Budget Data'!$J:$J,'Budget Data'!$E:$E,$B36,'Budget Data'!$C:$C,$B$8,'Budget Data'!$A:$A,"&gt;="&amp;Y$19,'Budget Data'!$A:$A,"&lt;="&amp;EOMONTH(Y$19,0))+SUMIFS('Budget Data'!$J:$J,'Budget Data'!$E:$E,$B36,'Budget Data'!$C:$C,$B$10,'Budget Data'!$A:$A,"&gt;="&amp;Y$19,'Budget Data'!$A:$A,"&lt;="&amp;EOMONTH(Y$19,0))+SUMIFS('Budget Data'!$J:$J,'Budget Data'!$E:$E,$B36,'Budget Data'!$C:$C,$B$11,'Budget Data'!$A:$A,"&gt;="&amp;Y$19,'Budget Data'!$A:$A,"&lt;="&amp;EOMONTH(Y$19,0))+SUMIFS('Budget Data'!$J:$J,'Budget Data'!$E:$E,$B36,'Budget Data'!$C:$C,$B$2,'Budget Data'!$A:$A,"&gt;="&amp;Y$19,'Budget Data'!$A:$A,"&lt;="&amp;EOMONTH(Y$19,0))+SUMIFS('Budget Data'!$J:$J,'Budget Data'!$E:$E,$B36,'Budget Data'!$C:$C,$B$4,'Budget Data'!$A:$A,"&gt;="&amp;Y$19,'Budget Data'!$A:$A,"&lt;="&amp;EOMONTH(Y$19,0))+SUMIFS('Budget Data'!$J:$J,'Budget Data'!$E:$E,$B36,'Budget Data'!$C:$C,$B$3,'Budget Data'!$A:$A,"&gt;="&amp;Y$19,'Budget Data'!$A:$A,"&lt;="&amp;EOMONTH(Y$19,0))+SUMIFS('Budget Data'!$J:$J,'Budget Data'!$E:$E,$B36,'Budget Data'!$C:$C,$B$5,'Budget Data'!$A:$A,"&gt;="&amp;Y$19,'Budget Data'!$A:$A,"&lt;="&amp;EOMONTH(Y$19,0))+SUMIFS('Budget Data'!$J:$J,'Budget Data'!$E:$E,$B36,'Budget Data'!$C:$C,$B$6,'Budget Data'!$A:$A,"&gt;="&amp;Y$19,'Budget Data'!$A:$A,"&lt;="&amp;EOMONTH(Y$19,0)))</f>
        <v>900</v>
      </c>
      <c r="Z36" s="86">
        <f>SUMPRODUCT(SUMIFS('Allocated Transactions'!$J:$J,'Allocated Transactions'!$D:$D,$B36,'Allocated Transactions'!$C:$C,$B$7,'Allocated Transactions'!$A:$A,"&gt;="&amp;Z$19,'Allocated Transactions'!$A:$A,"&lt;="&amp;EOMONTH(Z$19,0))+SUMIFS('Allocated Transactions'!$J:$J,'Allocated Transactions'!$D:$D,$B36,'Allocated Transactions'!$C:$C,$B$9,'Allocated Transactions'!$A:$A,"&gt;="&amp;Z$19,'Allocated Transactions'!$A:$A,"&lt;="&amp;EOMONTH(Z$19,0))+SUMIFS('Allocated Transactions'!$J:$J,'Allocated Transactions'!$D:$D,$B36,'Allocated Transactions'!$C:$C,$B$8,'Allocated Transactions'!$A:$A,"&gt;="&amp;Z$19,'Allocated Transactions'!$A:$A,"&lt;="&amp;EOMONTH(Z$19,0))+SUMIFS('Allocated Transactions'!$J:$J,'Allocated Transactions'!$D:$D,$B36,'Allocated Transactions'!$C:$C,$B$10,'Allocated Transactions'!$A:$A,"&gt;="&amp;Z$19,'Allocated Transactions'!$A:$A,"&lt;="&amp;EOMONTH(Z$19,0))+SUMIFS('Allocated Transactions'!$J:$J,'Allocated Transactions'!$D:$D,$B36,'Allocated Transactions'!$C:$C,$B$11,'Allocated Transactions'!$A:$A,"&gt;="&amp;Z$19,'Allocated Transactions'!$A:$A,"&lt;="&amp;EOMONTH(Z$19,0))+SUMIFS('Allocated Transactions'!$J:$J,'Allocated Transactions'!$D:$D,$B36,'Allocated Transactions'!$C:$C,$B$2,'Allocated Transactions'!$A:$A,"&gt;="&amp;Z$19,'Allocated Transactions'!$A:$A,"&lt;="&amp;EOMONTH(Z$19,0))+SUMIFS('Allocated Transactions'!$J:$J,'Allocated Transactions'!$D:$D,$B36,'Allocated Transactions'!$C:$C,$B$4,'Allocated Transactions'!$A:$A,"&gt;="&amp;Z$19,'Allocated Transactions'!$A:$A,"&lt;="&amp;EOMONTH(Z$19,0))+SUMIFS('Allocated Transactions'!$J:$J,'Allocated Transactions'!$D:$D,$B36,'Allocated Transactions'!$C:$C,$B$3,'Allocated Transactions'!$A:$A,"&gt;="&amp;Z$19,'Allocated Transactions'!$A:$A,"&lt;="&amp;EOMONTH(Z$19,0))+SUMIFS('Allocated Transactions'!$J:$J,'Allocated Transactions'!$D:$D,$B36,'Allocated Transactions'!$C:$C,$B$5,'Allocated Transactions'!$A:$A,"&gt;="&amp;Z$19,'Allocated Transactions'!$A:$A,"&lt;="&amp;EOMONTH(Z$19,0))+SUMIFS('Allocated Transactions'!$J:$J,'Allocated Transactions'!$D:$D,$B36,'Allocated Transactions'!$C:$C,$B$6,'Allocated Transactions'!$A:$A,"&gt;="&amp;Z$19,'Allocated Transactions'!$A:$A,"&lt;="&amp;EOMONTH(Z$19,0)))</f>
        <v>918.7900000000011</v>
      </c>
      <c r="AA36" s="84">
        <f>SUMPRODUCT(SUMIFS('Budget Data'!$J:$J,'Budget Data'!$E:$E,$B36,'Budget Data'!$C:$C,$B$7,'Budget Data'!$A:$A,"&gt;="&amp;AA$19,'Budget Data'!$A:$A,"&lt;="&amp;EOMONTH(AA$19,0))+SUMIFS('Budget Data'!$J:$J,'Budget Data'!$E:$E,$B36,'Budget Data'!$C:$C,$B$9,'Budget Data'!$A:$A,"&gt;="&amp;AA$19,'Budget Data'!$A:$A,"&lt;="&amp;EOMONTH(AA$19,0))+SUMIFS('Budget Data'!$J:$J,'Budget Data'!$E:$E,$B36,'Budget Data'!$C:$C,$B$8,'Budget Data'!$A:$A,"&gt;="&amp;AA$19,'Budget Data'!$A:$A,"&lt;="&amp;EOMONTH(AA$19,0))+SUMIFS('Budget Data'!$J:$J,'Budget Data'!$E:$E,$B36,'Budget Data'!$C:$C,$B$10,'Budget Data'!$A:$A,"&gt;="&amp;AA$19,'Budget Data'!$A:$A,"&lt;="&amp;EOMONTH(AA$19,0))+SUMIFS('Budget Data'!$J:$J,'Budget Data'!$E:$E,$B36,'Budget Data'!$C:$C,$B$11,'Budget Data'!$A:$A,"&gt;="&amp;AA$19,'Budget Data'!$A:$A,"&lt;="&amp;EOMONTH(AA$19,0))+SUMIFS('Budget Data'!$J:$J,'Budget Data'!$E:$E,$B36,'Budget Data'!$C:$C,$B$2,'Budget Data'!$A:$A,"&gt;="&amp;AA$19,'Budget Data'!$A:$A,"&lt;="&amp;EOMONTH(AA$19,0))+SUMIFS('Budget Data'!$J:$J,'Budget Data'!$E:$E,$B36,'Budget Data'!$C:$C,$B$4,'Budget Data'!$A:$A,"&gt;="&amp;AA$19,'Budget Data'!$A:$A,"&lt;="&amp;EOMONTH(AA$19,0))+SUMIFS('Budget Data'!$J:$J,'Budget Data'!$E:$E,$B36,'Budget Data'!$C:$C,$B$3,'Budget Data'!$A:$A,"&gt;="&amp;AA$19,'Budget Data'!$A:$A,"&lt;="&amp;EOMONTH(AA$19,0))+SUMIFS('Budget Data'!$J:$J,'Budget Data'!$E:$E,$B36,'Budget Data'!$C:$C,$B$5,'Budget Data'!$A:$A,"&gt;="&amp;AA$19,'Budget Data'!$A:$A,"&lt;="&amp;EOMONTH(AA$19,0))+SUMIFS('Budget Data'!$J:$J,'Budget Data'!$E:$E,$B36,'Budget Data'!$C:$C,$B$6,'Budget Data'!$A:$A,"&gt;="&amp;AA$19,'Budget Data'!$A:$A,"&lt;="&amp;EOMONTH(AA$19,0)))</f>
        <v>900</v>
      </c>
      <c r="AC36" s="87">
        <f t="shared" si="2"/>
        <v>13839.040000000005</v>
      </c>
      <c r="AD36" s="84">
        <f t="shared" si="2"/>
        <v>14300</v>
      </c>
    </row>
    <row r="37" spans="2:30" ht="15" customHeight="1">
      <c r="B37" s="12" t="str">
        <v>5300</v>
      </c>
      <c r="C37" s="160" t="str">
        <f>_xlfn.XLOOKUP(B37,'Allocated Transactions'!D:D,'Allocated Transactions'!E:E,"")</f>
        <v>Office Supplies</v>
      </c>
      <c r="D37" s="86">
        <f>SUMPRODUCT(SUMIFS('Allocated Transactions'!$J:$J,'Allocated Transactions'!$D:$D,$B37,'Allocated Transactions'!$C:$C,$B$7,'Allocated Transactions'!$A:$A,"&gt;="&amp;D$19,'Allocated Transactions'!$A:$A,"&lt;="&amp;EOMONTH(D$19,0))+SUMIFS('Allocated Transactions'!$J:$J,'Allocated Transactions'!$D:$D,$B37,'Allocated Transactions'!$C:$C,$B$9,'Allocated Transactions'!$A:$A,"&gt;="&amp;D$19,'Allocated Transactions'!$A:$A,"&lt;="&amp;EOMONTH(D$19,0))+SUMIFS('Allocated Transactions'!$J:$J,'Allocated Transactions'!$D:$D,$B37,'Allocated Transactions'!$C:$C,$B$8,'Allocated Transactions'!$A:$A,"&gt;="&amp;D$19,'Allocated Transactions'!$A:$A,"&lt;="&amp;EOMONTH(D$19,0))+SUMIFS('Allocated Transactions'!$J:$J,'Allocated Transactions'!$D:$D,$B37,'Allocated Transactions'!$C:$C,$B$10,'Allocated Transactions'!$A:$A,"&gt;="&amp;D$19,'Allocated Transactions'!$A:$A,"&lt;="&amp;EOMONTH(D$19,0))+SUMIFS('Allocated Transactions'!$J:$J,'Allocated Transactions'!$D:$D,$B37,'Allocated Transactions'!$C:$C,$B$11,'Allocated Transactions'!$A:$A,"&gt;="&amp;D$19,'Allocated Transactions'!$A:$A,"&lt;="&amp;EOMONTH(D$19,0))+SUMIFS('Allocated Transactions'!$J:$J,'Allocated Transactions'!$D:$D,$B37,'Allocated Transactions'!$C:$C,$B$2,'Allocated Transactions'!$A:$A,"&gt;="&amp;D$19,'Allocated Transactions'!$A:$A,"&lt;="&amp;EOMONTH(D$19,0))+SUMIFS('Allocated Transactions'!$J:$J,'Allocated Transactions'!$D:$D,$B37,'Allocated Transactions'!$C:$C,$B$4,'Allocated Transactions'!$A:$A,"&gt;="&amp;D$19,'Allocated Transactions'!$A:$A,"&lt;="&amp;EOMONTH(D$19,0))+SUMIFS('Allocated Transactions'!$J:$J,'Allocated Transactions'!$D:$D,$B37,'Allocated Transactions'!$C:$C,$B$3,'Allocated Transactions'!$A:$A,"&gt;="&amp;D$19,'Allocated Transactions'!$A:$A,"&lt;="&amp;EOMONTH(D$19,0))+SUMIFS('Allocated Transactions'!$J:$J,'Allocated Transactions'!$D:$D,$B37,'Allocated Transactions'!$C:$C,$B$5,'Allocated Transactions'!$A:$A,"&gt;="&amp;D$19,'Allocated Transactions'!$A:$A,"&lt;="&amp;EOMONTH(D$19,0))+SUMIFS('Allocated Transactions'!$J:$J,'Allocated Transactions'!$D:$D,$B37,'Allocated Transactions'!$C:$C,$B$6,'Allocated Transactions'!$A:$A,"&gt;="&amp;D$19,'Allocated Transactions'!$A:$A,"&lt;="&amp;EOMONTH(D$19,0)))</f>
        <v>1712.82</v>
      </c>
      <c r="E37" s="84">
        <f>SUMPRODUCT(SUMIFS('Budget Data'!$J:$J,'Budget Data'!$E:$E,$B37,'Budget Data'!$C:$C,$B$7,'Budget Data'!$A:$A,"&gt;="&amp;E$19,'Budget Data'!$A:$A,"&lt;="&amp;EOMONTH(E$19,0))+SUMIFS('Budget Data'!$J:$J,'Budget Data'!$E:$E,$B37,'Budget Data'!$C:$C,$B$9,'Budget Data'!$A:$A,"&gt;="&amp;E$19,'Budget Data'!$A:$A,"&lt;="&amp;EOMONTH(E$19,0))+SUMIFS('Budget Data'!$J:$J,'Budget Data'!$E:$E,$B37,'Budget Data'!$C:$C,$B$8,'Budget Data'!$A:$A,"&gt;="&amp;E$19,'Budget Data'!$A:$A,"&lt;="&amp;EOMONTH(E$19,0))+SUMIFS('Budget Data'!$J:$J,'Budget Data'!$E:$E,$B37,'Budget Data'!$C:$C,$B$10,'Budget Data'!$A:$A,"&gt;="&amp;E$19,'Budget Data'!$A:$A,"&lt;="&amp;EOMONTH(E$19,0))+SUMIFS('Budget Data'!$J:$J,'Budget Data'!$E:$E,$B37,'Budget Data'!$C:$C,$B$11,'Budget Data'!$A:$A,"&gt;="&amp;E$19,'Budget Data'!$A:$A,"&lt;="&amp;EOMONTH(E$19,0))+SUMIFS('Budget Data'!$J:$J,'Budget Data'!$E:$E,$B37,'Budget Data'!$C:$C,$B$2,'Budget Data'!$A:$A,"&gt;="&amp;E$19,'Budget Data'!$A:$A,"&lt;="&amp;EOMONTH(E$19,0))+SUMIFS('Budget Data'!$J:$J,'Budget Data'!$E:$E,$B37,'Budget Data'!$C:$C,$B$4,'Budget Data'!$A:$A,"&gt;="&amp;E$19,'Budget Data'!$A:$A,"&lt;="&amp;EOMONTH(E$19,0))+SUMIFS('Budget Data'!$J:$J,'Budget Data'!$E:$E,$B37,'Budget Data'!$C:$C,$B$3,'Budget Data'!$A:$A,"&gt;="&amp;E$19,'Budget Data'!$A:$A,"&lt;="&amp;EOMONTH(E$19,0))+SUMIFS('Budget Data'!$J:$J,'Budget Data'!$E:$E,$B37,'Budget Data'!$C:$C,$B$5,'Budget Data'!$A:$A,"&gt;="&amp;E$19,'Budget Data'!$A:$A,"&lt;="&amp;EOMONTH(E$19,0))+SUMIFS('Budget Data'!$J:$J,'Budget Data'!$E:$E,$B37,'Budget Data'!$C:$C,$B$6,'Budget Data'!$A:$A,"&gt;="&amp;E$19,'Budget Data'!$A:$A,"&lt;="&amp;EOMONTH(E$19,0)))</f>
        <v>1700</v>
      </c>
      <c r="F37" s="86">
        <f>SUMPRODUCT(SUMIFS('Allocated Transactions'!$J:$J,'Allocated Transactions'!$D:$D,$B37,'Allocated Transactions'!$C:$C,$B$7,'Allocated Transactions'!$A:$A,"&gt;="&amp;F$19,'Allocated Transactions'!$A:$A,"&lt;="&amp;EOMONTH(F$19,0))+SUMIFS('Allocated Transactions'!$J:$J,'Allocated Transactions'!$D:$D,$B37,'Allocated Transactions'!$C:$C,$B$9,'Allocated Transactions'!$A:$A,"&gt;="&amp;F$19,'Allocated Transactions'!$A:$A,"&lt;="&amp;EOMONTH(F$19,0))+SUMIFS('Allocated Transactions'!$J:$J,'Allocated Transactions'!$D:$D,$B37,'Allocated Transactions'!$C:$C,$B$8,'Allocated Transactions'!$A:$A,"&gt;="&amp;F$19,'Allocated Transactions'!$A:$A,"&lt;="&amp;EOMONTH(F$19,0))+SUMIFS('Allocated Transactions'!$J:$J,'Allocated Transactions'!$D:$D,$B37,'Allocated Transactions'!$C:$C,$B$10,'Allocated Transactions'!$A:$A,"&gt;="&amp;F$19,'Allocated Transactions'!$A:$A,"&lt;="&amp;EOMONTH(F$19,0))+SUMIFS('Allocated Transactions'!$J:$J,'Allocated Transactions'!$D:$D,$B37,'Allocated Transactions'!$C:$C,$B$11,'Allocated Transactions'!$A:$A,"&gt;="&amp;F$19,'Allocated Transactions'!$A:$A,"&lt;="&amp;EOMONTH(F$19,0))+SUMIFS('Allocated Transactions'!$J:$J,'Allocated Transactions'!$D:$D,$B37,'Allocated Transactions'!$C:$C,$B$2,'Allocated Transactions'!$A:$A,"&gt;="&amp;F$19,'Allocated Transactions'!$A:$A,"&lt;="&amp;EOMONTH(F$19,0))+SUMIFS('Allocated Transactions'!$J:$J,'Allocated Transactions'!$D:$D,$B37,'Allocated Transactions'!$C:$C,$B$4,'Allocated Transactions'!$A:$A,"&gt;="&amp;F$19,'Allocated Transactions'!$A:$A,"&lt;="&amp;EOMONTH(F$19,0))+SUMIFS('Allocated Transactions'!$J:$J,'Allocated Transactions'!$D:$D,$B37,'Allocated Transactions'!$C:$C,$B$3,'Allocated Transactions'!$A:$A,"&gt;="&amp;F$19,'Allocated Transactions'!$A:$A,"&lt;="&amp;EOMONTH(F$19,0))+SUMIFS('Allocated Transactions'!$J:$J,'Allocated Transactions'!$D:$D,$B37,'Allocated Transactions'!$C:$C,$B$5,'Allocated Transactions'!$A:$A,"&gt;="&amp;F$19,'Allocated Transactions'!$A:$A,"&lt;="&amp;EOMONTH(F$19,0))+SUMIFS('Allocated Transactions'!$J:$J,'Allocated Transactions'!$D:$D,$B37,'Allocated Transactions'!$C:$C,$B$6,'Allocated Transactions'!$A:$A,"&gt;="&amp;F$19,'Allocated Transactions'!$A:$A,"&lt;="&amp;EOMONTH(F$19,0)))</f>
        <v>1921.2800000000002</v>
      </c>
      <c r="G37" s="84">
        <f>SUMPRODUCT(SUMIFS('Budget Data'!$J:$J,'Budget Data'!$E:$E,$B37,'Budget Data'!$C:$C,$B$7,'Budget Data'!$A:$A,"&gt;="&amp;G$19,'Budget Data'!$A:$A,"&lt;="&amp;EOMONTH(G$19,0))+SUMIFS('Budget Data'!$J:$J,'Budget Data'!$E:$E,$B37,'Budget Data'!$C:$C,$B$9,'Budget Data'!$A:$A,"&gt;="&amp;G$19,'Budget Data'!$A:$A,"&lt;="&amp;EOMONTH(G$19,0))+SUMIFS('Budget Data'!$J:$J,'Budget Data'!$E:$E,$B37,'Budget Data'!$C:$C,$B$8,'Budget Data'!$A:$A,"&gt;="&amp;G$19,'Budget Data'!$A:$A,"&lt;="&amp;EOMONTH(G$19,0))+SUMIFS('Budget Data'!$J:$J,'Budget Data'!$E:$E,$B37,'Budget Data'!$C:$C,$B$10,'Budget Data'!$A:$A,"&gt;="&amp;G$19,'Budget Data'!$A:$A,"&lt;="&amp;EOMONTH(G$19,0))+SUMIFS('Budget Data'!$J:$J,'Budget Data'!$E:$E,$B37,'Budget Data'!$C:$C,$B$11,'Budget Data'!$A:$A,"&gt;="&amp;G$19,'Budget Data'!$A:$A,"&lt;="&amp;EOMONTH(G$19,0))+SUMIFS('Budget Data'!$J:$J,'Budget Data'!$E:$E,$B37,'Budget Data'!$C:$C,$B$2,'Budget Data'!$A:$A,"&gt;="&amp;G$19,'Budget Data'!$A:$A,"&lt;="&amp;EOMONTH(G$19,0))+SUMIFS('Budget Data'!$J:$J,'Budget Data'!$E:$E,$B37,'Budget Data'!$C:$C,$B$4,'Budget Data'!$A:$A,"&gt;="&amp;G$19,'Budget Data'!$A:$A,"&lt;="&amp;EOMONTH(G$19,0))+SUMIFS('Budget Data'!$J:$J,'Budget Data'!$E:$E,$B37,'Budget Data'!$C:$C,$B$3,'Budget Data'!$A:$A,"&gt;="&amp;G$19,'Budget Data'!$A:$A,"&lt;="&amp;EOMONTH(G$19,0))+SUMIFS('Budget Data'!$J:$J,'Budget Data'!$E:$E,$B37,'Budget Data'!$C:$C,$B$5,'Budget Data'!$A:$A,"&gt;="&amp;G$19,'Budget Data'!$A:$A,"&lt;="&amp;EOMONTH(G$19,0))+SUMIFS('Budget Data'!$J:$J,'Budget Data'!$E:$E,$B37,'Budget Data'!$C:$C,$B$6,'Budget Data'!$A:$A,"&gt;="&amp;G$19,'Budget Data'!$A:$A,"&lt;="&amp;EOMONTH(G$19,0)))</f>
        <v>1900</v>
      </c>
      <c r="H37" s="86">
        <f>SUMPRODUCT(SUMIFS('Allocated Transactions'!$J:$J,'Allocated Transactions'!$D:$D,$B37,'Allocated Transactions'!$C:$C,$B$7,'Allocated Transactions'!$A:$A,"&gt;="&amp;H$19,'Allocated Transactions'!$A:$A,"&lt;="&amp;EOMONTH(H$19,0))+SUMIFS('Allocated Transactions'!$J:$J,'Allocated Transactions'!$D:$D,$B37,'Allocated Transactions'!$C:$C,$B$9,'Allocated Transactions'!$A:$A,"&gt;="&amp;H$19,'Allocated Transactions'!$A:$A,"&lt;="&amp;EOMONTH(H$19,0))+SUMIFS('Allocated Transactions'!$J:$J,'Allocated Transactions'!$D:$D,$B37,'Allocated Transactions'!$C:$C,$B$8,'Allocated Transactions'!$A:$A,"&gt;="&amp;H$19,'Allocated Transactions'!$A:$A,"&lt;="&amp;EOMONTH(H$19,0))+SUMIFS('Allocated Transactions'!$J:$J,'Allocated Transactions'!$D:$D,$B37,'Allocated Transactions'!$C:$C,$B$10,'Allocated Transactions'!$A:$A,"&gt;="&amp;H$19,'Allocated Transactions'!$A:$A,"&lt;="&amp;EOMONTH(H$19,0))+SUMIFS('Allocated Transactions'!$J:$J,'Allocated Transactions'!$D:$D,$B37,'Allocated Transactions'!$C:$C,$B$11,'Allocated Transactions'!$A:$A,"&gt;="&amp;H$19,'Allocated Transactions'!$A:$A,"&lt;="&amp;EOMONTH(H$19,0))+SUMIFS('Allocated Transactions'!$J:$J,'Allocated Transactions'!$D:$D,$B37,'Allocated Transactions'!$C:$C,$B$2,'Allocated Transactions'!$A:$A,"&gt;="&amp;H$19,'Allocated Transactions'!$A:$A,"&lt;="&amp;EOMONTH(H$19,0))+SUMIFS('Allocated Transactions'!$J:$J,'Allocated Transactions'!$D:$D,$B37,'Allocated Transactions'!$C:$C,$B$4,'Allocated Transactions'!$A:$A,"&gt;="&amp;H$19,'Allocated Transactions'!$A:$A,"&lt;="&amp;EOMONTH(H$19,0))+SUMIFS('Allocated Transactions'!$J:$J,'Allocated Transactions'!$D:$D,$B37,'Allocated Transactions'!$C:$C,$B$3,'Allocated Transactions'!$A:$A,"&gt;="&amp;H$19,'Allocated Transactions'!$A:$A,"&lt;="&amp;EOMONTH(H$19,0))+SUMIFS('Allocated Transactions'!$J:$J,'Allocated Transactions'!$D:$D,$B37,'Allocated Transactions'!$C:$C,$B$5,'Allocated Transactions'!$A:$A,"&gt;="&amp;H$19,'Allocated Transactions'!$A:$A,"&lt;="&amp;EOMONTH(H$19,0))+SUMIFS('Allocated Transactions'!$J:$J,'Allocated Transactions'!$D:$D,$B37,'Allocated Transactions'!$C:$C,$B$6,'Allocated Transactions'!$A:$A,"&gt;="&amp;H$19,'Allocated Transactions'!$A:$A,"&lt;="&amp;EOMONTH(H$19,0)))</f>
        <v>1638.98</v>
      </c>
      <c r="I37" s="84">
        <f>SUMPRODUCT(SUMIFS('Budget Data'!$J:$J,'Budget Data'!$E:$E,$B37,'Budget Data'!$C:$C,$B$7,'Budget Data'!$A:$A,"&gt;="&amp;I$19,'Budget Data'!$A:$A,"&lt;="&amp;EOMONTH(I$19,0))+SUMIFS('Budget Data'!$J:$J,'Budget Data'!$E:$E,$B37,'Budget Data'!$C:$C,$B$9,'Budget Data'!$A:$A,"&gt;="&amp;I$19,'Budget Data'!$A:$A,"&lt;="&amp;EOMONTH(I$19,0))+SUMIFS('Budget Data'!$J:$J,'Budget Data'!$E:$E,$B37,'Budget Data'!$C:$C,$B$8,'Budget Data'!$A:$A,"&gt;="&amp;I$19,'Budget Data'!$A:$A,"&lt;="&amp;EOMONTH(I$19,0))+SUMIFS('Budget Data'!$J:$J,'Budget Data'!$E:$E,$B37,'Budget Data'!$C:$C,$B$10,'Budget Data'!$A:$A,"&gt;="&amp;I$19,'Budget Data'!$A:$A,"&lt;="&amp;EOMONTH(I$19,0))+SUMIFS('Budget Data'!$J:$J,'Budget Data'!$E:$E,$B37,'Budget Data'!$C:$C,$B$11,'Budget Data'!$A:$A,"&gt;="&amp;I$19,'Budget Data'!$A:$A,"&lt;="&amp;EOMONTH(I$19,0))+SUMIFS('Budget Data'!$J:$J,'Budget Data'!$E:$E,$B37,'Budget Data'!$C:$C,$B$2,'Budget Data'!$A:$A,"&gt;="&amp;I$19,'Budget Data'!$A:$A,"&lt;="&amp;EOMONTH(I$19,0))+SUMIFS('Budget Data'!$J:$J,'Budget Data'!$E:$E,$B37,'Budget Data'!$C:$C,$B$4,'Budget Data'!$A:$A,"&gt;="&amp;I$19,'Budget Data'!$A:$A,"&lt;="&amp;EOMONTH(I$19,0))+SUMIFS('Budget Data'!$J:$J,'Budget Data'!$E:$E,$B37,'Budget Data'!$C:$C,$B$3,'Budget Data'!$A:$A,"&gt;="&amp;I$19,'Budget Data'!$A:$A,"&lt;="&amp;EOMONTH(I$19,0))+SUMIFS('Budget Data'!$J:$J,'Budget Data'!$E:$E,$B37,'Budget Data'!$C:$C,$B$5,'Budget Data'!$A:$A,"&gt;="&amp;I$19,'Budget Data'!$A:$A,"&lt;="&amp;EOMONTH(I$19,0))+SUMIFS('Budget Data'!$J:$J,'Budget Data'!$E:$E,$B37,'Budget Data'!$C:$C,$B$6,'Budget Data'!$A:$A,"&gt;="&amp;I$19,'Budget Data'!$A:$A,"&lt;="&amp;EOMONTH(I$19,0)))</f>
        <v>1600</v>
      </c>
      <c r="J37" s="86">
        <f>SUMPRODUCT(SUMIFS('Allocated Transactions'!$J:$J,'Allocated Transactions'!$D:$D,$B37,'Allocated Transactions'!$C:$C,$B$7,'Allocated Transactions'!$A:$A,"&gt;="&amp;J$19,'Allocated Transactions'!$A:$A,"&lt;="&amp;EOMONTH(J$19,0))+SUMIFS('Allocated Transactions'!$J:$J,'Allocated Transactions'!$D:$D,$B37,'Allocated Transactions'!$C:$C,$B$9,'Allocated Transactions'!$A:$A,"&gt;="&amp;J$19,'Allocated Transactions'!$A:$A,"&lt;="&amp;EOMONTH(J$19,0))+SUMIFS('Allocated Transactions'!$J:$J,'Allocated Transactions'!$D:$D,$B37,'Allocated Transactions'!$C:$C,$B$8,'Allocated Transactions'!$A:$A,"&gt;="&amp;J$19,'Allocated Transactions'!$A:$A,"&lt;="&amp;EOMONTH(J$19,0))+SUMIFS('Allocated Transactions'!$J:$J,'Allocated Transactions'!$D:$D,$B37,'Allocated Transactions'!$C:$C,$B$10,'Allocated Transactions'!$A:$A,"&gt;="&amp;J$19,'Allocated Transactions'!$A:$A,"&lt;="&amp;EOMONTH(J$19,0))+SUMIFS('Allocated Transactions'!$J:$J,'Allocated Transactions'!$D:$D,$B37,'Allocated Transactions'!$C:$C,$B$11,'Allocated Transactions'!$A:$A,"&gt;="&amp;J$19,'Allocated Transactions'!$A:$A,"&lt;="&amp;EOMONTH(J$19,0))+SUMIFS('Allocated Transactions'!$J:$J,'Allocated Transactions'!$D:$D,$B37,'Allocated Transactions'!$C:$C,$B$2,'Allocated Transactions'!$A:$A,"&gt;="&amp;J$19,'Allocated Transactions'!$A:$A,"&lt;="&amp;EOMONTH(J$19,0))+SUMIFS('Allocated Transactions'!$J:$J,'Allocated Transactions'!$D:$D,$B37,'Allocated Transactions'!$C:$C,$B$4,'Allocated Transactions'!$A:$A,"&gt;="&amp;J$19,'Allocated Transactions'!$A:$A,"&lt;="&amp;EOMONTH(J$19,0))+SUMIFS('Allocated Transactions'!$J:$J,'Allocated Transactions'!$D:$D,$B37,'Allocated Transactions'!$C:$C,$B$3,'Allocated Transactions'!$A:$A,"&gt;="&amp;J$19,'Allocated Transactions'!$A:$A,"&lt;="&amp;EOMONTH(J$19,0))+SUMIFS('Allocated Transactions'!$J:$J,'Allocated Transactions'!$D:$D,$B37,'Allocated Transactions'!$C:$C,$B$5,'Allocated Transactions'!$A:$A,"&gt;="&amp;J$19,'Allocated Transactions'!$A:$A,"&lt;="&amp;EOMONTH(J$19,0))+SUMIFS('Allocated Transactions'!$J:$J,'Allocated Transactions'!$D:$D,$B37,'Allocated Transactions'!$C:$C,$B$6,'Allocated Transactions'!$A:$A,"&gt;="&amp;J$19,'Allocated Transactions'!$A:$A,"&lt;="&amp;EOMONTH(J$19,0)))</f>
        <v>1920.77</v>
      </c>
      <c r="K37" s="84">
        <f>SUMPRODUCT(SUMIFS('Budget Data'!$J:$J,'Budget Data'!$E:$E,$B37,'Budget Data'!$C:$C,$B$7,'Budget Data'!$A:$A,"&gt;="&amp;K$19,'Budget Data'!$A:$A,"&lt;="&amp;EOMONTH(K$19,0))+SUMIFS('Budget Data'!$J:$J,'Budget Data'!$E:$E,$B37,'Budget Data'!$C:$C,$B$9,'Budget Data'!$A:$A,"&gt;="&amp;K$19,'Budget Data'!$A:$A,"&lt;="&amp;EOMONTH(K$19,0))+SUMIFS('Budget Data'!$J:$J,'Budget Data'!$E:$E,$B37,'Budget Data'!$C:$C,$B$8,'Budget Data'!$A:$A,"&gt;="&amp;K$19,'Budget Data'!$A:$A,"&lt;="&amp;EOMONTH(K$19,0))+SUMIFS('Budget Data'!$J:$J,'Budget Data'!$E:$E,$B37,'Budget Data'!$C:$C,$B$10,'Budget Data'!$A:$A,"&gt;="&amp;K$19,'Budget Data'!$A:$A,"&lt;="&amp;EOMONTH(K$19,0))+SUMIFS('Budget Data'!$J:$J,'Budget Data'!$E:$E,$B37,'Budget Data'!$C:$C,$B$11,'Budget Data'!$A:$A,"&gt;="&amp;K$19,'Budget Data'!$A:$A,"&lt;="&amp;EOMONTH(K$19,0))+SUMIFS('Budget Data'!$J:$J,'Budget Data'!$E:$E,$B37,'Budget Data'!$C:$C,$B$2,'Budget Data'!$A:$A,"&gt;="&amp;K$19,'Budget Data'!$A:$A,"&lt;="&amp;EOMONTH(K$19,0))+SUMIFS('Budget Data'!$J:$J,'Budget Data'!$E:$E,$B37,'Budget Data'!$C:$C,$B$4,'Budget Data'!$A:$A,"&gt;="&amp;K$19,'Budget Data'!$A:$A,"&lt;="&amp;EOMONTH(K$19,0))+SUMIFS('Budget Data'!$J:$J,'Budget Data'!$E:$E,$B37,'Budget Data'!$C:$C,$B$3,'Budget Data'!$A:$A,"&gt;="&amp;K$19,'Budget Data'!$A:$A,"&lt;="&amp;EOMONTH(K$19,0))+SUMIFS('Budget Data'!$J:$J,'Budget Data'!$E:$E,$B37,'Budget Data'!$C:$C,$B$5,'Budget Data'!$A:$A,"&gt;="&amp;K$19,'Budget Data'!$A:$A,"&lt;="&amp;EOMONTH(K$19,0))+SUMIFS('Budget Data'!$J:$J,'Budget Data'!$E:$E,$B37,'Budget Data'!$C:$C,$B$6,'Budget Data'!$A:$A,"&gt;="&amp;K$19,'Budget Data'!$A:$A,"&lt;="&amp;EOMONTH(K$19,0)))</f>
        <v>1900</v>
      </c>
      <c r="L37" s="86">
        <f>SUMPRODUCT(SUMIFS('Allocated Transactions'!$J:$J,'Allocated Transactions'!$D:$D,$B37,'Allocated Transactions'!$C:$C,$B$7,'Allocated Transactions'!$A:$A,"&gt;="&amp;L$19,'Allocated Transactions'!$A:$A,"&lt;="&amp;EOMONTH(L$19,0))+SUMIFS('Allocated Transactions'!$J:$J,'Allocated Transactions'!$D:$D,$B37,'Allocated Transactions'!$C:$C,$B$9,'Allocated Transactions'!$A:$A,"&gt;="&amp;L$19,'Allocated Transactions'!$A:$A,"&lt;="&amp;EOMONTH(L$19,0))+SUMIFS('Allocated Transactions'!$J:$J,'Allocated Transactions'!$D:$D,$B37,'Allocated Transactions'!$C:$C,$B$8,'Allocated Transactions'!$A:$A,"&gt;="&amp;L$19,'Allocated Transactions'!$A:$A,"&lt;="&amp;EOMONTH(L$19,0))+SUMIFS('Allocated Transactions'!$J:$J,'Allocated Transactions'!$D:$D,$B37,'Allocated Transactions'!$C:$C,$B$10,'Allocated Transactions'!$A:$A,"&gt;="&amp;L$19,'Allocated Transactions'!$A:$A,"&lt;="&amp;EOMONTH(L$19,0))+SUMIFS('Allocated Transactions'!$J:$J,'Allocated Transactions'!$D:$D,$B37,'Allocated Transactions'!$C:$C,$B$11,'Allocated Transactions'!$A:$A,"&gt;="&amp;L$19,'Allocated Transactions'!$A:$A,"&lt;="&amp;EOMONTH(L$19,0))+SUMIFS('Allocated Transactions'!$J:$J,'Allocated Transactions'!$D:$D,$B37,'Allocated Transactions'!$C:$C,$B$2,'Allocated Transactions'!$A:$A,"&gt;="&amp;L$19,'Allocated Transactions'!$A:$A,"&lt;="&amp;EOMONTH(L$19,0))+SUMIFS('Allocated Transactions'!$J:$J,'Allocated Transactions'!$D:$D,$B37,'Allocated Transactions'!$C:$C,$B$4,'Allocated Transactions'!$A:$A,"&gt;="&amp;L$19,'Allocated Transactions'!$A:$A,"&lt;="&amp;EOMONTH(L$19,0))+SUMIFS('Allocated Transactions'!$J:$J,'Allocated Transactions'!$D:$D,$B37,'Allocated Transactions'!$C:$C,$B$3,'Allocated Transactions'!$A:$A,"&gt;="&amp;L$19,'Allocated Transactions'!$A:$A,"&lt;="&amp;EOMONTH(L$19,0))+SUMIFS('Allocated Transactions'!$J:$J,'Allocated Transactions'!$D:$D,$B37,'Allocated Transactions'!$C:$C,$B$5,'Allocated Transactions'!$A:$A,"&gt;="&amp;L$19,'Allocated Transactions'!$A:$A,"&lt;="&amp;EOMONTH(L$19,0))+SUMIFS('Allocated Transactions'!$J:$J,'Allocated Transactions'!$D:$D,$B37,'Allocated Transactions'!$C:$C,$B$6,'Allocated Transactions'!$A:$A,"&gt;="&amp;L$19,'Allocated Transactions'!$A:$A,"&lt;="&amp;EOMONTH(L$19,0)))</f>
        <v>2050.8000000000002</v>
      </c>
      <c r="M37" s="84">
        <f>SUMPRODUCT(SUMIFS('Budget Data'!$J:$J,'Budget Data'!$E:$E,$B37,'Budget Data'!$C:$C,$B$7,'Budget Data'!$A:$A,"&gt;="&amp;M$19,'Budget Data'!$A:$A,"&lt;="&amp;EOMONTH(M$19,0))+SUMIFS('Budget Data'!$J:$J,'Budget Data'!$E:$E,$B37,'Budget Data'!$C:$C,$B$9,'Budget Data'!$A:$A,"&gt;="&amp;M$19,'Budget Data'!$A:$A,"&lt;="&amp;EOMONTH(M$19,0))+SUMIFS('Budget Data'!$J:$J,'Budget Data'!$E:$E,$B37,'Budget Data'!$C:$C,$B$8,'Budget Data'!$A:$A,"&gt;="&amp;M$19,'Budget Data'!$A:$A,"&lt;="&amp;EOMONTH(M$19,0))+SUMIFS('Budget Data'!$J:$J,'Budget Data'!$E:$E,$B37,'Budget Data'!$C:$C,$B$10,'Budget Data'!$A:$A,"&gt;="&amp;M$19,'Budget Data'!$A:$A,"&lt;="&amp;EOMONTH(M$19,0))+SUMIFS('Budget Data'!$J:$J,'Budget Data'!$E:$E,$B37,'Budget Data'!$C:$C,$B$11,'Budget Data'!$A:$A,"&gt;="&amp;M$19,'Budget Data'!$A:$A,"&lt;="&amp;EOMONTH(M$19,0))+SUMIFS('Budget Data'!$J:$J,'Budget Data'!$E:$E,$B37,'Budget Data'!$C:$C,$B$2,'Budget Data'!$A:$A,"&gt;="&amp;M$19,'Budget Data'!$A:$A,"&lt;="&amp;EOMONTH(M$19,0))+SUMIFS('Budget Data'!$J:$J,'Budget Data'!$E:$E,$B37,'Budget Data'!$C:$C,$B$4,'Budget Data'!$A:$A,"&gt;="&amp;M$19,'Budget Data'!$A:$A,"&lt;="&amp;EOMONTH(M$19,0))+SUMIFS('Budget Data'!$J:$J,'Budget Data'!$E:$E,$B37,'Budget Data'!$C:$C,$B$3,'Budget Data'!$A:$A,"&gt;="&amp;M$19,'Budget Data'!$A:$A,"&lt;="&amp;EOMONTH(M$19,0))+SUMIFS('Budget Data'!$J:$J,'Budget Data'!$E:$E,$B37,'Budget Data'!$C:$C,$B$5,'Budget Data'!$A:$A,"&gt;="&amp;M$19,'Budget Data'!$A:$A,"&lt;="&amp;EOMONTH(M$19,0))+SUMIFS('Budget Data'!$J:$J,'Budget Data'!$E:$E,$B37,'Budget Data'!$C:$C,$B$6,'Budget Data'!$A:$A,"&gt;="&amp;M$19,'Budget Data'!$A:$A,"&lt;="&amp;EOMONTH(M$19,0)))</f>
        <v>2100</v>
      </c>
      <c r="N37" s="86">
        <f>SUMPRODUCT(SUMIFS('Allocated Transactions'!$J:$J,'Allocated Transactions'!$D:$D,$B37,'Allocated Transactions'!$C:$C,$B$7,'Allocated Transactions'!$A:$A,"&gt;="&amp;N$19,'Allocated Transactions'!$A:$A,"&lt;="&amp;EOMONTH(N$19,0))+SUMIFS('Allocated Transactions'!$J:$J,'Allocated Transactions'!$D:$D,$B37,'Allocated Transactions'!$C:$C,$B$9,'Allocated Transactions'!$A:$A,"&gt;="&amp;N$19,'Allocated Transactions'!$A:$A,"&lt;="&amp;EOMONTH(N$19,0))+SUMIFS('Allocated Transactions'!$J:$J,'Allocated Transactions'!$D:$D,$B37,'Allocated Transactions'!$C:$C,$B$8,'Allocated Transactions'!$A:$A,"&gt;="&amp;N$19,'Allocated Transactions'!$A:$A,"&lt;="&amp;EOMONTH(N$19,0))+SUMIFS('Allocated Transactions'!$J:$J,'Allocated Transactions'!$D:$D,$B37,'Allocated Transactions'!$C:$C,$B$10,'Allocated Transactions'!$A:$A,"&gt;="&amp;N$19,'Allocated Transactions'!$A:$A,"&lt;="&amp;EOMONTH(N$19,0))+SUMIFS('Allocated Transactions'!$J:$J,'Allocated Transactions'!$D:$D,$B37,'Allocated Transactions'!$C:$C,$B$11,'Allocated Transactions'!$A:$A,"&gt;="&amp;N$19,'Allocated Transactions'!$A:$A,"&lt;="&amp;EOMONTH(N$19,0))+SUMIFS('Allocated Transactions'!$J:$J,'Allocated Transactions'!$D:$D,$B37,'Allocated Transactions'!$C:$C,$B$2,'Allocated Transactions'!$A:$A,"&gt;="&amp;N$19,'Allocated Transactions'!$A:$A,"&lt;="&amp;EOMONTH(N$19,0))+SUMIFS('Allocated Transactions'!$J:$J,'Allocated Transactions'!$D:$D,$B37,'Allocated Transactions'!$C:$C,$B$4,'Allocated Transactions'!$A:$A,"&gt;="&amp;N$19,'Allocated Transactions'!$A:$A,"&lt;="&amp;EOMONTH(N$19,0))+SUMIFS('Allocated Transactions'!$J:$J,'Allocated Transactions'!$D:$D,$B37,'Allocated Transactions'!$C:$C,$B$3,'Allocated Transactions'!$A:$A,"&gt;="&amp;N$19,'Allocated Transactions'!$A:$A,"&lt;="&amp;EOMONTH(N$19,0))+SUMIFS('Allocated Transactions'!$J:$J,'Allocated Transactions'!$D:$D,$B37,'Allocated Transactions'!$C:$C,$B$5,'Allocated Transactions'!$A:$A,"&gt;="&amp;N$19,'Allocated Transactions'!$A:$A,"&lt;="&amp;EOMONTH(N$19,0))+SUMIFS('Allocated Transactions'!$J:$J,'Allocated Transactions'!$D:$D,$B37,'Allocated Transactions'!$C:$C,$B$6,'Allocated Transactions'!$A:$A,"&gt;="&amp;N$19,'Allocated Transactions'!$A:$A,"&lt;="&amp;EOMONTH(N$19,0)))</f>
        <v>2261.2600000000002</v>
      </c>
      <c r="O37" s="84">
        <f>SUMPRODUCT(SUMIFS('Budget Data'!$J:$J,'Budget Data'!$E:$E,$B37,'Budget Data'!$C:$C,$B$7,'Budget Data'!$A:$A,"&gt;="&amp;O$19,'Budget Data'!$A:$A,"&lt;="&amp;EOMONTH(O$19,0))+SUMIFS('Budget Data'!$J:$J,'Budget Data'!$E:$E,$B37,'Budget Data'!$C:$C,$B$9,'Budget Data'!$A:$A,"&gt;="&amp;O$19,'Budget Data'!$A:$A,"&lt;="&amp;EOMONTH(O$19,0))+SUMIFS('Budget Data'!$J:$J,'Budget Data'!$E:$E,$B37,'Budget Data'!$C:$C,$B$8,'Budget Data'!$A:$A,"&gt;="&amp;O$19,'Budget Data'!$A:$A,"&lt;="&amp;EOMONTH(O$19,0))+SUMIFS('Budget Data'!$J:$J,'Budget Data'!$E:$E,$B37,'Budget Data'!$C:$C,$B$10,'Budget Data'!$A:$A,"&gt;="&amp;O$19,'Budget Data'!$A:$A,"&lt;="&amp;EOMONTH(O$19,0))+SUMIFS('Budget Data'!$J:$J,'Budget Data'!$E:$E,$B37,'Budget Data'!$C:$C,$B$11,'Budget Data'!$A:$A,"&gt;="&amp;O$19,'Budget Data'!$A:$A,"&lt;="&amp;EOMONTH(O$19,0))+SUMIFS('Budget Data'!$J:$J,'Budget Data'!$E:$E,$B37,'Budget Data'!$C:$C,$B$2,'Budget Data'!$A:$A,"&gt;="&amp;O$19,'Budget Data'!$A:$A,"&lt;="&amp;EOMONTH(O$19,0))+SUMIFS('Budget Data'!$J:$J,'Budget Data'!$E:$E,$B37,'Budget Data'!$C:$C,$B$4,'Budget Data'!$A:$A,"&gt;="&amp;O$19,'Budget Data'!$A:$A,"&lt;="&amp;EOMONTH(O$19,0))+SUMIFS('Budget Data'!$J:$J,'Budget Data'!$E:$E,$B37,'Budget Data'!$C:$C,$B$3,'Budget Data'!$A:$A,"&gt;="&amp;O$19,'Budget Data'!$A:$A,"&lt;="&amp;EOMONTH(O$19,0))+SUMIFS('Budget Data'!$J:$J,'Budget Data'!$E:$E,$B37,'Budget Data'!$C:$C,$B$5,'Budget Data'!$A:$A,"&gt;="&amp;O$19,'Budget Data'!$A:$A,"&lt;="&amp;EOMONTH(O$19,0))+SUMIFS('Budget Data'!$J:$J,'Budget Data'!$E:$E,$B37,'Budget Data'!$C:$C,$B$6,'Budget Data'!$A:$A,"&gt;="&amp;O$19,'Budget Data'!$A:$A,"&lt;="&amp;EOMONTH(O$19,0)))</f>
        <v>2200</v>
      </c>
      <c r="P37" s="86">
        <f>SUMPRODUCT(SUMIFS('Allocated Transactions'!$J:$J,'Allocated Transactions'!$D:$D,$B37,'Allocated Transactions'!$C:$C,$B$7,'Allocated Transactions'!$A:$A,"&gt;="&amp;P$19,'Allocated Transactions'!$A:$A,"&lt;="&amp;EOMONTH(P$19,0))+SUMIFS('Allocated Transactions'!$J:$J,'Allocated Transactions'!$D:$D,$B37,'Allocated Transactions'!$C:$C,$B$9,'Allocated Transactions'!$A:$A,"&gt;="&amp;P$19,'Allocated Transactions'!$A:$A,"&lt;="&amp;EOMONTH(P$19,0))+SUMIFS('Allocated Transactions'!$J:$J,'Allocated Transactions'!$D:$D,$B37,'Allocated Transactions'!$C:$C,$B$8,'Allocated Transactions'!$A:$A,"&gt;="&amp;P$19,'Allocated Transactions'!$A:$A,"&lt;="&amp;EOMONTH(P$19,0))+SUMIFS('Allocated Transactions'!$J:$J,'Allocated Transactions'!$D:$D,$B37,'Allocated Transactions'!$C:$C,$B$10,'Allocated Transactions'!$A:$A,"&gt;="&amp;P$19,'Allocated Transactions'!$A:$A,"&lt;="&amp;EOMONTH(P$19,0))+SUMIFS('Allocated Transactions'!$J:$J,'Allocated Transactions'!$D:$D,$B37,'Allocated Transactions'!$C:$C,$B$11,'Allocated Transactions'!$A:$A,"&gt;="&amp;P$19,'Allocated Transactions'!$A:$A,"&lt;="&amp;EOMONTH(P$19,0))+SUMIFS('Allocated Transactions'!$J:$J,'Allocated Transactions'!$D:$D,$B37,'Allocated Transactions'!$C:$C,$B$2,'Allocated Transactions'!$A:$A,"&gt;="&amp;P$19,'Allocated Transactions'!$A:$A,"&lt;="&amp;EOMONTH(P$19,0))+SUMIFS('Allocated Transactions'!$J:$J,'Allocated Transactions'!$D:$D,$B37,'Allocated Transactions'!$C:$C,$B$4,'Allocated Transactions'!$A:$A,"&gt;="&amp;P$19,'Allocated Transactions'!$A:$A,"&lt;="&amp;EOMONTH(P$19,0))+SUMIFS('Allocated Transactions'!$J:$J,'Allocated Transactions'!$D:$D,$B37,'Allocated Transactions'!$C:$C,$B$3,'Allocated Transactions'!$A:$A,"&gt;="&amp;P$19,'Allocated Transactions'!$A:$A,"&lt;="&amp;EOMONTH(P$19,0))+SUMIFS('Allocated Transactions'!$J:$J,'Allocated Transactions'!$D:$D,$B37,'Allocated Transactions'!$C:$C,$B$5,'Allocated Transactions'!$A:$A,"&gt;="&amp;P$19,'Allocated Transactions'!$A:$A,"&lt;="&amp;EOMONTH(P$19,0))+SUMIFS('Allocated Transactions'!$J:$J,'Allocated Transactions'!$D:$D,$B37,'Allocated Transactions'!$C:$C,$B$6,'Allocated Transactions'!$A:$A,"&gt;="&amp;P$19,'Allocated Transactions'!$A:$A,"&lt;="&amp;EOMONTH(P$19,0)))</f>
        <v>2002.6200000000001</v>
      </c>
      <c r="Q37" s="84">
        <f>SUMPRODUCT(SUMIFS('Budget Data'!$J:$J,'Budget Data'!$E:$E,$B37,'Budget Data'!$C:$C,$B$7,'Budget Data'!$A:$A,"&gt;="&amp;Q$19,'Budget Data'!$A:$A,"&lt;="&amp;EOMONTH(Q$19,0))+SUMIFS('Budget Data'!$J:$J,'Budget Data'!$E:$E,$B37,'Budget Data'!$C:$C,$B$9,'Budget Data'!$A:$A,"&gt;="&amp;Q$19,'Budget Data'!$A:$A,"&lt;="&amp;EOMONTH(Q$19,0))+SUMIFS('Budget Data'!$J:$J,'Budget Data'!$E:$E,$B37,'Budget Data'!$C:$C,$B$8,'Budget Data'!$A:$A,"&gt;="&amp;Q$19,'Budget Data'!$A:$A,"&lt;="&amp;EOMONTH(Q$19,0))+SUMIFS('Budget Data'!$J:$J,'Budget Data'!$E:$E,$B37,'Budget Data'!$C:$C,$B$10,'Budget Data'!$A:$A,"&gt;="&amp;Q$19,'Budget Data'!$A:$A,"&lt;="&amp;EOMONTH(Q$19,0))+SUMIFS('Budget Data'!$J:$J,'Budget Data'!$E:$E,$B37,'Budget Data'!$C:$C,$B$11,'Budget Data'!$A:$A,"&gt;="&amp;Q$19,'Budget Data'!$A:$A,"&lt;="&amp;EOMONTH(Q$19,0))+SUMIFS('Budget Data'!$J:$J,'Budget Data'!$E:$E,$B37,'Budget Data'!$C:$C,$B$2,'Budget Data'!$A:$A,"&gt;="&amp;Q$19,'Budget Data'!$A:$A,"&lt;="&amp;EOMONTH(Q$19,0))+SUMIFS('Budget Data'!$J:$J,'Budget Data'!$E:$E,$B37,'Budget Data'!$C:$C,$B$4,'Budget Data'!$A:$A,"&gt;="&amp;Q$19,'Budget Data'!$A:$A,"&lt;="&amp;EOMONTH(Q$19,0))+SUMIFS('Budget Data'!$J:$J,'Budget Data'!$E:$E,$B37,'Budget Data'!$C:$C,$B$3,'Budget Data'!$A:$A,"&gt;="&amp;Q$19,'Budget Data'!$A:$A,"&lt;="&amp;EOMONTH(Q$19,0))+SUMIFS('Budget Data'!$J:$J,'Budget Data'!$E:$E,$B37,'Budget Data'!$C:$C,$B$5,'Budget Data'!$A:$A,"&gt;="&amp;Q$19,'Budget Data'!$A:$A,"&lt;="&amp;EOMONTH(Q$19,0))+SUMIFS('Budget Data'!$J:$J,'Budget Data'!$E:$E,$B37,'Budget Data'!$C:$C,$B$6,'Budget Data'!$A:$A,"&gt;="&amp;Q$19,'Budget Data'!$A:$A,"&lt;="&amp;EOMONTH(Q$19,0)))</f>
        <v>2000</v>
      </c>
      <c r="R37" s="86">
        <f>SUMPRODUCT(SUMIFS('Allocated Transactions'!$J:$J,'Allocated Transactions'!$D:$D,$B37,'Allocated Transactions'!$C:$C,$B$7,'Allocated Transactions'!$A:$A,"&gt;="&amp;R$19,'Allocated Transactions'!$A:$A,"&lt;="&amp;EOMONTH(R$19,0))+SUMIFS('Allocated Transactions'!$J:$J,'Allocated Transactions'!$D:$D,$B37,'Allocated Transactions'!$C:$C,$B$9,'Allocated Transactions'!$A:$A,"&gt;="&amp;R$19,'Allocated Transactions'!$A:$A,"&lt;="&amp;EOMONTH(R$19,0))+SUMIFS('Allocated Transactions'!$J:$J,'Allocated Transactions'!$D:$D,$B37,'Allocated Transactions'!$C:$C,$B$8,'Allocated Transactions'!$A:$A,"&gt;="&amp;R$19,'Allocated Transactions'!$A:$A,"&lt;="&amp;EOMONTH(R$19,0))+SUMIFS('Allocated Transactions'!$J:$J,'Allocated Transactions'!$D:$D,$B37,'Allocated Transactions'!$C:$C,$B$10,'Allocated Transactions'!$A:$A,"&gt;="&amp;R$19,'Allocated Transactions'!$A:$A,"&lt;="&amp;EOMONTH(R$19,0))+SUMIFS('Allocated Transactions'!$J:$J,'Allocated Transactions'!$D:$D,$B37,'Allocated Transactions'!$C:$C,$B$11,'Allocated Transactions'!$A:$A,"&gt;="&amp;R$19,'Allocated Transactions'!$A:$A,"&lt;="&amp;EOMONTH(R$19,0))+SUMIFS('Allocated Transactions'!$J:$J,'Allocated Transactions'!$D:$D,$B37,'Allocated Transactions'!$C:$C,$B$2,'Allocated Transactions'!$A:$A,"&gt;="&amp;R$19,'Allocated Transactions'!$A:$A,"&lt;="&amp;EOMONTH(R$19,0))+SUMIFS('Allocated Transactions'!$J:$J,'Allocated Transactions'!$D:$D,$B37,'Allocated Transactions'!$C:$C,$B$4,'Allocated Transactions'!$A:$A,"&gt;="&amp;R$19,'Allocated Transactions'!$A:$A,"&lt;="&amp;EOMONTH(R$19,0))+SUMIFS('Allocated Transactions'!$J:$J,'Allocated Transactions'!$D:$D,$B37,'Allocated Transactions'!$C:$C,$B$3,'Allocated Transactions'!$A:$A,"&gt;="&amp;R$19,'Allocated Transactions'!$A:$A,"&lt;="&amp;EOMONTH(R$19,0))+SUMIFS('Allocated Transactions'!$J:$J,'Allocated Transactions'!$D:$D,$B37,'Allocated Transactions'!$C:$C,$B$5,'Allocated Transactions'!$A:$A,"&gt;="&amp;R$19,'Allocated Transactions'!$A:$A,"&lt;="&amp;EOMONTH(R$19,0))+SUMIFS('Allocated Transactions'!$J:$J,'Allocated Transactions'!$D:$D,$B37,'Allocated Transactions'!$C:$C,$B$6,'Allocated Transactions'!$A:$A,"&gt;="&amp;R$19,'Allocated Transactions'!$A:$A,"&lt;="&amp;EOMONTH(R$19,0)))</f>
        <v>1826.17</v>
      </c>
      <c r="S37" s="84">
        <f>SUMPRODUCT(SUMIFS('Budget Data'!$J:$J,'Budget Data'!$E:$E,$B37,'Budget Data'!$C:$C,$B$7,'Budget Data'!$A:$A,"&gt;="&amp;S$19,'Budget Data'!$A:$A,"&lt;="&amp;EOMONTH(S$19,0))+SUMIFS('Budget Data'!$J:$J,'Budget Data'!$E:$E,$B37,'Budget Data'!$C:$C,$B$9,'Budget Data'!$A:$A,"&gt;="&amp;S$19,'Budget Data'!$A:$A,"&lt;="&amp;EOMONTH(S$19,0))+SUMIFS('Budget Data'!$J:$J,'Budget Data'!$E:$E,$B37,'Budget Data'!$C:$C,$B$8,'Budget Data'!$A:$A,"&gt;="&amp;S$19,'Budget Data'!$A:$A,"&lt;="&amp;EOMONTH(S$19,0))+SUMIFS('Budget Data'!$J:$J,'Budget Data'!$E:$E,$B37,'Budget Data'!$C:$C,$B$10,'Budget Data'!$A:$A,"&gt;="&amp;S$19,'Budget Data'!$A:$A,"&lt;="&amp;EOMONTH(S$19,0))+SUMIFS('Budget Data'!$J:$J,'Budget Data'!$E:$E,$B37,'Budget Data'!$C:$C,$B$11,'Budget Data'!$A:$A,"&gt;="&amp;S$19,'Budget Data'!$A:$A,"&lt;="&amp;EOMONTH(S$19,0))+SUMIFS('Budget Data'!$J:$J,'Budget Data'!$E:$E,$B37,'Budget Data'!$C:$C,$B$2,'Budget Data'!$A:$A,"&gt;="&amp;S$19,'Budget Data'!$A:$A,"&lt;="&amp;EOMONTH(S$19,0))+SUMIFS('Budget Data'!$J:$J,'Budget Data'!$E:$E,$B37,'Budget Data'!$C:$C,$B$4,'Budget Data'!$A:$A,"&gt;="&amp;S$19,'Budget Data'!$A:$A,"&lt;="&amp;EOMONTH(S$19,0))+SUMIFS('Budget Data'!$J:$J,'Budget Data'!$E:$E,$B37,'Budget Data'!$C:$C,$B$3,'Budget Data'!$A:$A,"&gt;="&amp;S$19,'Budget Data'!$A:$A,"&lt;="&amp;EOMONTH(S$19,0))+SUMIFS('Budget Data'!$J:$J,'Budget Data'!$E:$E,$B37,'Budget Data'!$C:$C,$B$5,'Budget Data'!$A:$A,"&gt;="&amp;S$19,'Budget Data'!$A:$A,"&lt;="&amp;EOMONTH(S$19,0))+SUMIFS('Budget Data'!$J:$J,'Budget Data'!$E:$E,$B37,'Budget Data'!$C:$C,$B$6,'Budget Data'!$A:$A,"&gt;="&amp;S$19,'Budget Data'!$A:$A,"&lt;="&amp;EOMONTH(S$19,0)))</f>
        <v>1800</v>
      </c>
      <c r="T37" s="86">
        <f>SUMPRODUCT(SUMIFS('Allocated Transactions'!$J:$J,'Allocated Transactions'!$D:$D,$B37,'Allocated Transactions'!$C:$C,$B$7,'Allocated Transactions'!$A:$A,"&gt;="&amp;T$19,'Allocated Transactions'!$A:$A,"&lt;="&amp;EOMONTH(T$19,0))+SUMIFS('Allocated Transactions'!$J:$J,'Allocated Transactions'!$D:$D,$B37,'Allocated Transactions'!$C:$C,$B$9,'Allocated Transactions'!$A:$A,"&gt;="&amp;T$19,'Allocated Transactions'!$A:$A,"&lt;="&amp;EOMONTH(T$19,0))+SUMIFS('Allocated Transactions'!$J:$J,'Allocated Transactions'!$D:$D,$B37,'Allocated Transactions'!$C:$C,$B$8,'Allocated Transactions'!$A:$A,"&gt;="&amp;T$19,'Allocated Transactions'!$A:$A,"&lt;="&amp;EOMONTH(T$19,0))+SUMIFS('Allocated Transactions'!$J:$J,'Allocated Transactions'!$D:$D,$B37,'Allocated Transactions'!$C:$C,$B$10,'Allocated Transactions'!$A:$A,"&gt;="&amp;T$19,'Allocated Transactions'!$A:$A,"&lt;="&amp;EOMONTH(T$19,0))+SUMIFS('Allocated Transactions'!$J:$J,'Allocated Transactions'!$D:$D,$B37,'Allocated Transactions'!$C:$C,$B$11,'Allocated Transactions'!$A:$A,"&gt;="&amp;T$19,'Allocated Transactions'!$A:$A,"&lt;="&amp;EOMONTH(T$19,0))+SUMIFS('Allocated Transactions'!$J:$J,'Allocated Transactions'!$D:$D,$B37,'Allocated Transactions'!$C:$C,$B$2,'Allocated Transactions'!$A:$A,"&gt;="&amp;T$19,'Allocated Transactions'!$A:$A,"&lt;="&amp;EOMONTH(T$19,0))+SUMIFS('Allocated Transactions'!$J:$J,'Allocated Transactions'!$D:$D,$B37,'Allocated Transactions'!$C:$C,$B$4,'Allocated Transactions'!$A:$A,"&gt;="&amp;T$19,'Allocated Transactions'!$A:$A,"&lt;="&amp;EOMONTH(T$19,0))+SUMIFS('Allocated Transactions'!$J:$J,'Allocated Transactions'!$D:$D,$B37,'Allocated Transactions'!$C:$C,$B$3,'Allocated Transactions'!$A:$A,"&gt;="&amp;T$19,'Allocated Transactions'!$A:$A,"&lt;="&amp;EOMONTH(T$19,0))+SUMIFS('Allocated Transactions'!$J:$J,'Allocated Transactions'!$D:$D,$B37,'Allocated Transactions'!$C:$C,$B$5,'Allocated Transactions'!$A:$A,"&gt;="&amp;T$19,'Allocated Transactions'!$A:$A,"&lt;="&amp;EOMONTH(T$19,0))+SUMIFS('Allocated Transactions'!$J:$J,'Allocated Transactions'!$D:$D,$B37,'Allocated Transactions'!$C:$C,$B$6,'Allocated Transactions'!$A:$A,"&gt;="&amp;T$19,'Allocated Transactions'!$A:$A,"&lt;="&amp;EOMONTH(T$19,0)))</f>
        <v>2770.27</v>
      </c>
      <c r="U37" s="84">
        <f>SUMPRODUCT(SUMIFS('Budget Data'!$J:$J,'Budget Data'!$E:$E,$B37,'Budget Data'!$C:$C,$B$7,'Budget Data'!$A:$A,"&gt;="&amp;U$19,'Budget Data'!$A:$A,"&lt;="&amp;EOMONTH(U$19,0))+SUMIFS('Budget Data'!$J:$J,'Budget Data'!$E:$E,$B37,'Budget Data'!$C:$C,$B$9,'Budget Data'!$A:$A,"&gt;="&amp;U$19,'Budget Data'!$A:$A,"&lt;="&amp;EOMONTH(U$19,0))+SUMIFS('Budget Data'!$J:$J,'Budget Data'!$E:$E,$B37,'Budget Data'!$C:$C,$B$8,'Budget Data'!$A:$A,"&gt;="&amp;U$19,'Budget Data'!$A:$A,"&lt;="&amp;EOMONTH(U$19,0))+SUMIFS('Budget Data'!$J:$J,'Budget Data'!$E:$E,$B37,'Budget Data'!$C:$C,$B$10,'Budget Data'!$A:$A,"&gt;="&amp;U$19,'Budget Data'!$A:$A,"&lt;="&amp;EOMONTH(U$19,0))+SUMIFS('Budget Data'!$J:$J,'Budget Data'!$E:$E,$B37,'Budget Data'!$C:$C,$B$11,'Budget Data'!$A:$A,"&gt;="&amp;U$19,'Budget Data'!$A:$A,"&lt;="&amp;EOMONTH(U$19,0))+SUMIFS('Budget Data'!$J:$J,'Budget Data'!$E:$E,$B37,'Budget Data'!$C:$C,$B$2,'Budget Data'!$A:$A,"&gt;="&amp;U$19,'Budget Data'!$A:$A,"&lt;="&amp;EOMONTH(U$19,0))+SUMIFS('Budget Data'!$J:$J,'Budget Data'!$E:$E,$B37,'Budget Data'!$C:$C,$B$4,'Budget Data'!$A:$A,"&gt;="&amp;U$19,'Budget Data'!$A:$A,"&lt;="&amp;EOMONTH(U$19,0))+SUMIFS('Budget Data'!$J:$J,'Budget Data'!$E:$E,$B37,'Budget Data'!$C:$C,$B$3,'Budget Data'!$A:$A,"&gt;="&amp;U$19,'Budget Data'!$A:$A,"&lt;="&amp;EOMONTH(U$19,0))+SUMIFS('Budget Data'!$J:$J,'Budget Data'!$E:$E,$B37,'Budget Data'!$C:$C,$B$5,'Budget Data'!$A:$A,"&gt;="&amp;U$19,'Budget Data'!$A:$A,"&lt;="&amp;EOMONTH(U$19,0))+SUMIFS('Budget Data'!$J:$J,'Budget Data'!$E:$E,$B37,'Budget Data'!$C:$C,$B$6,'Budget Data'!$A:$A,"&gt;="&amp;U$19,'Budget Data'!$A:$A,"&lt;="&amp;EOMONTH(U$19,0)))</f>
        <v>2800</v>
      </c>
      <c r="V37" s="86">
        <f>SUMPRODUCT(SUMIFS('Allocated Transactions'!$J:$J,'Allocated Transactions'!$D:$D,$B37,'Allocated Transactions'!$C:$C,$B$7,'Allocated Transactions'!$A:$A,"&gt;="&amp;V$19,'Allocated Transactions'!$A:$A,"&lt;="&amp;EOMONTH(V$19,0))+SUMIFS('Allocated Transactions'!$J:$J,'Allocated Transactions'!$D:$D,$B37,'Allocated Transactions'!$C:$C,$B$9,'Allocated Transactions'!$A:$A,"&gt;="&amp;V$19,'Allocated Transactions'!$A:$A,"&lt;="&amp;EOMONTH(V$19,0))+SUMIFS('Allocated Transactions'!$J:$J,'Allocated Transactions'!$D:$D,$B37,'Allocated Transactions'!$C:$C,$B$8,'Allocated Transactions'!$A:$A,"&gt;="&amp;V$19,'Allocated Transactions'!$A:$A,"&lt;="&amp;EOMONTH(V$19,0))+SUMIFS('Allocated Transactions'!$J:$J,'Allocated Transactions'!$D:$D,$B37,'Allocated Transactions'!$C:$C,$B$10,'Allocated Transactions'!$A:$A,"&gt;="&amp;V$19,'Allocated Transactions'!$A:$A,"&lt;="&amp;EOMONTH(V$19,0))+SUMIFS('Allocated Transactions'!$J:$J,'Allocated Transactions'!$D:$D,$B37,'Allocated Transactions'!$C:$C,$B$11,'Allocated Transactions'!$A:$A,"&gt;="&amp;V$19,'Allocated Transactions'!$A:$A,"&lt;="&amp;EOMONTH(V$19,0))+SUMIFS('Allocated Transactions'!$J:$J,'Allocated Transactions'!$D:$D,$B37,'Allocated Transactions'!$C:$C,$B$2,'Allocated Transactions'!$A:$A,"&gt;="&amp;V$19,'Allocated Transactions'!$A:$A,"&lt;="&amp;EOMONTH(V$19,0))+SUMIFS('Allocated Transactions'!$J:$J,'Allocated Transactions'!$D:$D,$B37,'Allocated Transactions'!$C:$C,$B$4,'Allocated Transactions'!$A:$A,"&gt;="&amp;V$19,'Allocated Transactions'!$A:$A,"&lt;="&amp;EOMONTH(V$19,0))+SUMIFS('Allocated Transactions'!$J:$J,'Allocated Transactions'!$D:$D,$B37,'Allocated Transactions'!$C:$C,$B$3,'Allocated Transactions'!$A:$A,"&gt;="&amp;V$19,'Allocated Transactions'!$A:$A,"&lt;="&amp;EOMONTH(V$19,0))+SUMIFS('Allocated Transactions'!$J:$J,'Allocated Transactions'!$D:$D,$B37,'Allocated Transactions'!$C:$C,$B$5,'Allocated Transactions'!$A:$A,"&gt;="&amp;V$19,'Allocated Transactions'!$A:$A,"&lt;="&amp;EOMONTH(V$19,0))+SUMIFS('Allocated Transactions'!$J:$J,'Allocated Transactions'!$D:$D,$B37,'Allocated Transactions'!$C:$C,$B$6,'Allocated Transactions'!$A:$A,"&gt;="&amp;V$19,'Allocated Transactions'!$A:$A,"&lt;="&amp;EOMONTH(V$19,0)))</f>
        <v>1821.23</v>
      </c>
      <c r="W37" s="84">
        <f>SUMPRODUCT(SUMIFS('Budget Data'!$J:$J,'Budget Data'!$E:$E,$B37,'Budget Data'!$C:$C,$B$7,'Budget Data'!$A:$A,"&gt;="&amp;W$19,'Budget Data'!$A:$A,"&lt;="&amp;EOMONTH(W$19,0))+SUMIFS('Budget Data'!$J:$J,'Budget Data'!$E:$E,$B37,'Budget Data'!$C:$C,$B$9,'Budget Data'!$A:$A,"&gt;="&amp;W$19,'Budget Data'!$A:$A,"&lt;="&amp;EOMONTH(W$19,0))+SUMIFS('Budget Data'!$J:$J,'Budget Data'!$E:$E,$B37,'Budget Data'!$C:$C,$B$8,'Budget Data'!$A:$A,"&gt;="&amp;W$19,'Budget Data'!$A:$A,"&lt;="&amp;EOMONTH(W$19,0))+SUMIFS('Budget Data'!$J:$J,'Budget Data'!$E:$E,$B37,'Budget Data'!$C:$C,$B$10,'Budget Data'!$A:$A,"&gt;="&amp;W$19,'Budget Data'!$A:$A,"&lt;="&amp;EOMONTH(W$19,0))+SUMIFS('Budget Data'!$J:$J,'Budget Data'!$E:$E,$B37,'Budget Data'!$C:$C,$B$11,'Budget Data'!$A:$A,"&gt;="&amp;W$19,'Budget Data'!$A:$A,"&lt;="&amp;EOMONTH(W$19,0))+SUMIFS('Budget Data'!$J:$J,'Budget Data'!$E:$E,$B37,'Budget Data'!$C:$C,$B$2,'Budget Data'!$A:$A,"&gt;="&amp;W$19,'Budget Data'!$A:$A,"&lt;="&amp;EOMONTH(W$19,0))+SUMIFS('Budget Data'!$J:$J,'Budget Data'!$E:$E,$B37,'Budget Data'!$C:$C,$B$4,'Budget Data'!$A:$A,"&gt;="&amp;W$19,'Budget Data'!$A:$A,"&lt;="&amp;EOMONTH(W$19,0))+SUMIFS('Budget Data'!$J:$J,'Budget Data'!$E:$E,$B37,'Budget Data'!$C:$C,$B$3,'Budget Data'!$A:$A,"&gt;="&amp;W$19,'Budget Data'!$A:$A,"&lt;="&amp;EOMONTH(W$19,0))+SUMIFS('Budget Data'!$J:$J,'Budget Data'!$E:$E,$B37,'Budget Data'!$C:$C,$B$5,'Budget Data'!$A:$A,"&gt;="&amp;W$19,'Budget Data'!$A:$A,"&lt;="&amp;EOMONTH(W$19,0))+SUMIFS('Budget Data'!$J:$J,'Budget Data'!$E:$E,$B37,'Budget Data'!$C:$C,$B$6,'Budget Data'!$A:$A,"&gt;="&amp;W$19,'Budget Data'!$A:$A,"&lt;="&amp;EOMONTH(W$19,0)))</f>
        <v>1800</v>
      </c>
      <c r="X37" s="86">
        <f>SUMPRODUCT(SUMIFS('Allocated Transactions'!$J:$J,'Allocated Transactions'!$D:$D,$B37,'Allocated Transactions'!$C:$C,$B$7,'Allocated Transactions'!$A:$A,"&gt;="&amp;X$19,'Allocated Transactions'!$A:$A,"&lt;="&amp;EOMONTH(X$19,0))+SUMIFS('Allocated Transactions'!$J:$J,'Allocated Transactions'!$D:$D,$B37,'Allocated Transactions'!$C:$C,$B$9,'Allocated Transactions'!$A:$A,"&gt;="&amp;X$19,'Allocated Transactions'!$A:$A,"&lt;="&amp;EOMONTH(X$19,0))+SUMIFS('Allocated Transactions'!$J:$J,'Allocated Transactions'!$D:$D,$B37,'Allocated Transactions'!$C:$C,$B$8,'Allocated Transactions'!$A:$A,"&gt;="&amp;X$19,'Allocated Transactions'!$A:$A,"&lt;="&amp;EOMONTH(X$19,0))+SUMIFS('Allocated Transactions'!$J:$J,'Allocated Transactions'!$D:$D,$B37,'Allocated Transactions'!$C:$C,$B$10,'Allocated Transactions'!$A:$A,"&gt;="&amp;X$19,'Allocated Transactions'!$A:$A,"&lt;="&amp;EOMONTH(X$19,0))+SUMIFS('Allocated Transactions'!$J:$J,'Allocated Transactions'!$D:$D,$B37,'Allocated Transactions'!$C:$C,$B$11,'Allocated Transactions'!$A:$A,"&gt;="&amp;X$19,'Allocated Transactions'!$A:$A,"&lt;="&amp;EOMONTH(X$19,0))+SUMIFS('Allocated Transactions'!$J:$J,'Allocated Transactions'!$D:$D,$B37,'Allocated Transactions'!$C:$C,$B$2,'Allocated Transactions'!$A:$A,"&gt;="&amp;X$19,'Allocated Transactions'!$A:$A,"&lt;="&amp;EOMONTH(X$19,0))+SUMIFS('Allocated Transactions'!$J:$J,'Allocated Transactions'!$D:$D,$B37,'Allocated Transactions'!$C:$C,$B$4,'Allocated Transactions'!$A:$A,"&gt;="&amp;X$19,'Allocated Transactions'!$A:$A,"&lt;="&amp;EOMONTH(X$19,0))+SUMIFS('Allocated Transactions'!$J:$J,'Allocated Transactions'!$D:$D,$B37,'Allocated Transactions'!$C:$C,$B$3,'Allocated Transactions'!$A:$A,"&gt;="&amp;X$19,'Allocated Transactions'!$A:$A,"&lt;="&amp;EOMONTH(X$19,0))+SUMIFS('Allocated Transactions'!$J:$J,'Allocated Transactions'!$D:$D,$B37,'Allocated Transactions'!$C:$C,$B$5,'Allocated Transactions'!$A:$A,"&gt;="&amp;X$19,'Allocated Transactions'!$A:$A,"&lt;="&amp;EOMONTH(X$19,0))+SUMIFS('Allocated Transactions'!$J:$J,'Allocated Transactions'!$D:$D,$B37,'Allocated Transactions'!$C:$C,$B$6,'Allocated Transactions'!$A:$A,"&gt;="&amp;X$19,'Allocated Transactions'!$A:$A,"&lt;="&amp;EOMONTH(X$19,0)))</f>
        <v>1851.04</v>
      </c>
      <c r="Y37" s="84">
        <f>SUMPRODUCT(SUMIFS('Budget Data'!$J:$J,'Budget Data'!$E:$E,$B37,'Budget Data'!$C:$C,$B$7,'Budget Data'!$A:$A,"&gt;="&amp;Y$19,'Budget Data'!$A:$A,"&lt;="&amp;EOMONTH(Y$19,0))+SUMIFS('Budget Data'!$J:$J,'Budget Data'!$E:$E,$B37,'Budget Data'!$C:$C,$B$9,'Budget Data'!$A:$A,"&gt;="&amp;Y$19,'Budget Data'!$A:$A,"&lt;="&amp;EOMONTH(Y$19,0))+SUMIFS('Budget Data'!$J:$J,'Budget Data'!$E:$E,$B37,'Budget Data'!$C:$C,$B$8,'Budget Data'!$A:$A,"&gt;="&amp;Y$19,'Budget Data'!$A:$A,"&lt;="&amp;EOMONTH(Y$19,0))+SUMIFS('Budget Data'!$J:$J,'Budget Data'!$E:$E,$B37,'Budget Data'!$C:$C,$B$10,'Budget Data'!$A:$A,"&gt;="&amp;Y$19,'Budget Data'!$A:$A,"&lt;="&amp;EOMONTH(Y$19,0))+SUMIFS('Budget Data'!$J:$J,'Budget Data'!$E:$E,$B37,'Budget Data'!$C:$C,$B$11,'Budget Data'!$A:$A,"&gt;="&amp;Y$19,'Budget Data'!$A:$A,"&lt;="&amp;EOMONTH(Y$19,0))+SUMIFS('Budget Data'!$J:$J,'Budget Data'!$E:$E,$B37,'Budget Data'!$C:$C,$B$2,'Budget Data'!$A:$A,"&gt;="&amp;Y$19,'Budget Data'!$A:$A,"&lt;="&amp;EOMONTH(Y$19,0))+SUMIFS('Budget Data'!$J:$J,'Budget Data'!$E:$E,$B37,'Budget Data'!$C:$C,$B$4,'Budget Data'!$A:$A,"&gt;="&amp;Y$19,'Budget Data'!$A:$A,"&lt;="&amp;EOMONTH(Y$19,0))+SUMIFS('Budget Data'!$J:$J,'Budget Data'!$E:$E,$B37,'Budget Data'!$C:$C,$B$3,'Budget Data'!$A:$A,"&gt;="&amp;Y$19,'Budget Data'!$A:$A,"&lt;="&amp;EOMONTH(Y$19,0))+SUMIFS('Budget Data'!$J:$J,'Budget Data'!$E:$E,$B37,'Budget Data'!$C:$C,$B$5,'Budget Data'!$A:$A,"&gt;="&amp;Y$19,'Budget Data'!$A:$A,"&lt;="&amp;EOMONTH(Y$19,0))+SUMIFS('Budget Data'!$J:$J,'Budget Data'!$E:$E,$B37,'Budget Data'!$C:$C,$B$6,'Budget Data'!$A:$A,"&gt;="&amp;Y$19,'Budget Data'!$A:$A,"&lt;="&amp;EOMONTH(Y$19,0)))</f>
        <v>1800</v>
      </c>
      <c r="Z37" s="86">
        <f>SUMPRODUCT(SUMIFS('Allocated Transactions'!$J:$J,'Allocated Transactions'!$D:$D,$B37,'Allocated Transactions'!$C:$C,$B$7,'Allocated Transactions'!$A:$A,"&gt;="&amp;Z$19,'Allocated Transactions'!$A:$A,"&lt;="&amp;EOMONTH(Z$19,0))+SUMIFS('Allocated Transactions'!$J:$J,'Allocated Transactions'!$D:$D,$B37,'Allocated Transactions'!$C:$C,$B$9,'Allocated Transactions'!$A:$A,"&gt;="&amp;Z$19,'Allocated Transactions'!$A:$A,"&lt;="&amp;EOMONTH(Z$19,0))+SUMIFS('Allocated Transactions'!$J:$J,'Allocated Transactions'!$D:$D,$B37,'Allocated Transactions'!$C:$C,$B$8,'Allocated Transactions'!$A:$A,"&gt;="&amp;Z$19,'Allocated Transactions'!$A:$A,"&lt;="&amp;EOMONTH(Z$19,0))+SUMIFS('Allocated Transactions'!$J:$J,'Allocated Transactions'!$D:$D,$B37,'Allocated Transactions'!$C:$C,$B$10,'Allocated Transactions'!$A:$A,"&gt;="&amp;Z$19,'Allocated Transactions'!$A:$A,"&lt;="&amp;EOMONTH(Z$19,0))+SUMIFS('Allocated Transactions'!$J:$J,'Allocated Transactions'!$D:$D,$B37,'Allocated Transactions'!$C:$C,$B$11,'Allocated Transactions'!$A:$A,"&gt;="&amp;Z$19,'Allocated Transactions'!$A:$A,"&lt;="&amp;EOMONTH(Z$19,0))+SUMIFS('Allocated Transactions'!$J:$J,'Allocated Transactions'!$D:$D,$B37,'Allocated Transactions'!$C:$C,$B$2,'Allocated Transactions'!$A:$A,"&gt;="&amp;Z$19,'Allocated Transactions'!$A:$A,"&lt;="&amp;EOMONTH(Z$19,0))+SUMIFS('Allocated Transactions'!$J:$J,'Allocated Transactions'!$D:$D,$B37,'Allocated Transactions'!$C:$C,$B$4,'Allocated Transactions'!$A:$A,"&gt;="&amp;Z$19,'Allocated Transactions'!$A:$A,"&lt;="&amp;EOMONTH(Z$19,0))+SUMIFS('Allocated Transactions'!$J:$J,'Allocated Transactions'!$D:$D,$B37,'Allocated Transactions'!$C:$C,$B$3,'Allocated Transactions'!$A:$A,"&gt;="&amp;Z$19,'Allocated Transactions'!$A:$A,"&lt;="&amp;EOMONTH(Z$19,0))+SUMIFS('Allocated Transactions'!$J:$J,'Allocated Transactions'!$D:$D,$B37,'Allocated Transactions'!$C:$C,$B$5,'Allocated Transactions'!$A:$A,"&gt;="&amp;Z$19,'Allocated Transactions'!$A:$A,"&lt;="&amp;EOMONTH(Z$19,0))+SUMIFS('Allocated Transactions'!$J:$J,'Allocated Transactions'!$D:$D,$B37,'Allocated Transactions'!$C:$C,$B$6,'Allocated Transactions'!$A:$A,"&gt;="&amp;Z$19,'Allocated Transactions'!$A:$A,"&lt;="&amp;EOMONTH(Z$19,0)))</f>
        <v>1783.82</v>
      </c>
      <c r="AA37" s="84">
        <f>SUMPRODUCT(SUMIFS('Budget Data'!$J:$J,'Budget Data'!$E:$E,$B37,'Budget Data'!$C:$C,$B$7,'Budget Data'!$A:$A,"&gt;="&amp;AA$19,'Budget Data'!$A:$A,"&lt;="&amp;EOMONTH(AA$19,0))+SUMIFS('Budget Data'!$J:$J,'Budget Data'!$E:$E,$B37,'Budget Data'!$C:$C,$B$9,'Budget Data'!$A:$A,"&gt;="&amp;AA$19,'Budget Data'!$A:$A,"&lt;="&amp;EOMONTH(AA$19,0))+SUMIFS('Budget Data'!$J:$J,'Budget Data'!$E:$E,$B37,'Budget Data'!$C:$C,$B$8,'Budget Data'!$A:$A,"&gt;="&amp;AA$19,'Budget Data'!$A:$A,"&lt;="&amp;EOMONTH(AA$19,0))+SUMIFS('Budget Data'!$J:$J,'Budget Data'!$E:$E,$B37,'Budget Data'!$C:$C,$B$10,'Budget Data'!$A:$A,"&gt;="&amp;AA$19,'Budget Data'!$A:$A,"&lt;="&amp;EOMONTH(AA$19,0))+SUMIFS('Budget Data'!$J:$J,'Budget Data'!$E:$E,$B37,'Budget Data'!$C:$C,$B$11,'Budget Data'!$A:$A,"&gt;="&amp;AA$19,'Budget Data'!$A:$A,"&lt;="&amp;EOMONTH(AA$19,0))+SUMIFS('Budget Data'!$J:$J,'Budget Data'!$E:$E,$B37,'Budget Data'!$C:$C,$B$2,'Budget Data'!$A:$A,"&gt;="&amp;AA$19,'Budget Data'!$A:$A,"&lt;="&amp;EOMONTH(AA$19,0))+SUMIFS('Budget Data'!$J:$J,'Budget Data'!$E:$E,$B37,'Budget Data'!$C:$C,$B$4,'Budget Data'!$A:$A,"&gt;="&amp;AA$19,'Budget Data'!$A:$A,"&lt;="&amp;EOMONTH(AA$19,0))+SUMIFS('Budget Data'!$J:$J,'Budget Data'!$E:$E,$B37,'Budget Data'!$C:$C,$B$3,'Budget Data'!$A:$A,"&gt;="&amp;AA$19,'Budget Data'!$A:$A,"&lt;="&amp;EOMONTH(AA$19,0))+SUMIFS('Budget Data'!$J:$J,'Budget Data'!$E:$E,$B37,'Budget Data'!$C:$C,$B$5,'Budget Data'!$A:$A,"&gt;="&amp;AA$19,'Budget Data'!$A:$A,"&lt;="&amp;EOMONTH(AA$19,0))+SUMIFS('Budget Data'!$J:$J,'Budget Data'!$E:$E,$B37,'Budget Data'!$C:$C,$B$6,'Budget Data'!$A:$A,"&gt;="&amp;AA$19,'Budget Data'!$A:$A,"&lt;="&amp;EOMONTH(AA$19,0)))</f>
        <v>1700</v>
      </c>
      <c r="AC37" s="87">
        <f t="shared" si="2"/>
        <v>23561.06</v>
      </c>
      <c r="AD37" s="84">
        <f t="shared" si="2"/>
        <v>23300</v>
      </c>
    </row>
    <row r="38" spans="2:30" ht="15" customHeight="1">
      <c r="B38" s="12" t="str">
        <v>5310</v>
      </c>
      <c r="C38" s="160" t="str">
        <f>_xlfn.XLOOKUP(B38,'Allocated Transactions'!D:D,'Allocated Transactions'!E:E,"")</f>
        <v>Software and Subscriptions</v>
      </c>
      <c r="D38" s="86">
        <f>SUMPRODUCT(SUMIFS('Allocated Transactions'!$J:$J,'Allocated Transactions'!$D:$D,$B38,'Allocated Transactions'!$C:$C,$B$7,'Allocated Transactions'!$A:$A,"&gt;="&amp;D$19,'Allocated Transactions'!$A:$A,"&lt;="&amp;EOMONTH(D$19,0))+SUMIFS('Allocated Transactions'!$J:$J,'Allocated Transactions'!$D:$D,$B38,'Allocated Transactions'!$C:$C,$B$9,'Allocated Transactions'!$A:$A,"&gt;="&amp;D$19,'Allocated Transactions'!$A:$A,"&lt;="&amp;EOMONTH(D$19,0))+SUMIFS('Allocated Transactions'!$J:$J,'Allocated Transactions'!$D:$D,$B38,'Allocated Transactions'!$C:$C,$B$8,'Allocated Transactions'!$A:$A,"&gt;="&amp;D$19,'Allocated Transactions'!$A:$A,"&lt;="&amp;EOMONTH(D$19,0))+SUMIFS('Allocated Transactions'!$J:$J,'Allocated Transactions'!$D:$D,$B38,'Allocated Transactions'!$C:$C,$B$10,'Allocated Transactions'!$A:$A,"&gt;="&amp;D$19,'Allocated Transactions'!$A:$A,"&lt;="&amp;EOMONTH(D$19,0))+SUMIFS('Allocated Transactions'!$J:$J,'Allocated Transactions'!$D:$D,$B38,'Allocated Transactions'!$C:$C,$B$11,'Allocated Transactions'!$A:$A,"&gt;="&amp;D$19,'Allocated Transactions'!$A:$A,"&lt;="&amp;EOMONTH(D$19,0))+SUMIFS('Allocated Transactions'!$J:$J,'Allocated Transactions'!$D:$D,$B38,'Allocated Transactions'!$C:$C,$B$2,'Allocated Transactions'!$A:$A,"&gt;="&amp;D$19,'Allocated Transactions'!$A:$A,"&lt;="&amp;EOMONTH(D$19,0))+SUMIFS('Allocated Transactions'!$J:$J,'Allocated Transactions'!$D:$D,$B38,'Allocated Transactions'!$C:$C,$B$4,'Allocated Transactions'!$A:$A,"&gt;="&amp;D$19,'Allocated Transactions'!$A:$A,"&lt;="&amp;EOMONTH(D$19,0))+SUMIFS('Allocated Transactions'!$J:$J,'Allocated Transactions'!$D:$D,$B38,'Allocated Transactions'!$C:$C,$B$3,'Allocated Transactions'!$A:$A,"&gt;="&amp;D$19,'Allocated Transactions'!$A:$A,"&lt;="&amp;EOMONTH(D$19,0))+SUMIFS('Allocated Transactions'!$J:$J,'Allocated Transactions'!$D:$D,$B38,'Allocated Transactions'!$C:$C,$B$5,'Allocated Transactions'!$A:$A,"&gt;="&amp;D$19,'Allocated Transactions'!$A:$A,"&lt;="&amp;EOMONTH(D$19,0))+SUMIFS('Allocated Transactions'!$J:$J,'Allocated Transactions'!$D:$D,$B38,'Allocated Transactions'!$C:$C,$B$6,'Allocated Transactions'!$A:$A,"&gt;="&amp;D$19,'Allocated Transactions'!$A:$A,"&lt;="&amp;EOMONTH(D$19,0)))</f>
        <v>2467.85</v>
      </c>
      <c r="E38" s="84">
        <f>SUMPRODUCT(SUMIFS('Budget Data'!$J:$J,'Budget Data'!$E:$E,$B38,'Budget Data'!$C:$C,$B$7,'Budget Data'!$A:$A,"&gt;="&amp;E$19,'Budget Data'!$A:$A,"&lt;="&amp;EOMONTH(E$19,0))+SUMIFS('Budget Data'!$J:$J,'Budget Data'!$E:$E,$B38,'Budget Data'!$C:$C,$B$9,'Budget Data'!$A:$A,"&gt;="&amp;E$19,'Budget Data'!$A:$A,"&lt;="&amp;EOMONTH(E$19,0))+SUMIFS('Budget Data'!$J:$J,'Budget Data'!$E:$E,$B38,'Budget Data'!$C:$C,$B$8,'Budget Data'!$A:$A,"&gt;="&amp;E$19,'Budget Data'!$A:$A,"&lt;="&amp;EOMONTH(E$19,0))+SUMIFS('Budget Data'!$J:$J,'Budget Data'!$E:$E,$B38,'Budget Data'!$C:$C,$B$10,'Budget Data'!$A:$A,"&gt;="&amp;E$19,'Budget Data'!$A:$A,"&lt;="&amp;EOMONTH(E$19,0))+SUMIFS('Budget Data'!$J:$J,'Budget Data'!$E:$E,$B38,'Budget Data'!$C:$C,$B$11,'Budget Data'!$A:$A,"&gt;="&amp;E$19,'Budget Data'!$A:$A,"&lt;="&amp;EOMONTH(E$19,0))+SUMIFS('Budget Data'!$J:$J,'Budget Data'!$E:$E,$B38,'Budget Data'!$C:$C,$B$2,'Budget Data'!$A:$A,"&gt;="&amp;E$19,'Budget Data'!$A:$A,"&lt;="&amp;EOMONTH(E$19,0))+SUMIFS('Budget Data'!$J:$J,'Budget Data'!$E:$E,$B38,'Budget Data'!$C:$C,$B$4,'Budget Data'!$A:$A,"&gt;="&amp;E$19,'Budget Data'!$A:$A,"&lt;="&amp;EOMONTH(E$19,0))+SUMIFS('Budget Data'!$J:$J,'Budget Data'!$E:$E,$B38,'Budget Data'!$C:$C,$B$3,'Budget Data'!$A:$A,"&gt;="&amp;E$19,'Budget Data'!$A:$A,"&lt;="&amp;EOMONTH(E$19,0))+SUMIFS('Budget Data'!$J:$J,'Budget Data'!$E:$E,$B38,'Budget Data'!$C:$C,$B$5,'Budget Data'!$A:$A,"&gt;="&amp;E$19,'Budget Data'!$A:$A,"&lt;="&amp;EOMONTH(E$19,0))+SUMIFS('Budget Data'!$J:$J,'Budget Data'!$E:$E,$B38,'Budget Data'!$C:$C,$B$6,'Budget Data'!$A:$A,"&gt;="&amp;E$19,'Budget Data'!$A:$A,"&lt;="&amp;EOMONTH(E$19,0)))</f>
        <v>2400</v>
      </c>
      <c r="F38" s="86">
        <f>SUMPRODUCT(SUMIFS('Allocated Transactions'!$J:$J,'Allocated Transactions'!$D:$D,$B38,'Allocated Transactions'!$C:$C,$B$7,'Allocated Transactions'!$A:$A,"&gt;="&amp;F$19,'Allocated Transactions'!$A:$A,"&lt;="&amp;EOMONTH(F$19,0))+SUMIFS('Allocated Transactions'!$J:$J,'Allocated Transactions'!$D:$D,$B38,'Allocated Transactions'!$C:$C,$B$9,'Allocated Transactions'!$A:$A,"&gt;="&amp;F$19,'Allocated Transactions'!$A:$A,"&lt;="&amp;EOMONTH(F$19,0))+SUMIFS('Allocated Transactions'!$J:$J,'Allocated Transactions'!$D:$D,$B38,'Allocated Transactions'!$C:$C,$B$8,'Allocated Transactions'!$A:$A,"&gt;="&amp;F$19,'Allocated Transactions'!$A:$A,"&lt;="&amp;EOMONTH(F$19,0))+SUMIFS('Allocated Transactions'!$J:$J,'Allocated Transactions'!$D:$D,$B38,'Allocated Transactions'!$C:$C,$B$10,'Allocated Transactions'!$A:$A,"&gt;="&amp;F$19,'Allocated Transactions'!$A:$A,"&lt;="&amp;EOMONTH(F$19,0))+SUMIFS('Allocated Transactions'!$J:$J,'Allocated Transactions'!$D:$D,$B38,'Allocated Transactions'!$C:$C,$B$11,'Allocated Transactions'!$A:$A,"&gt;="&amp;F$19,'Allocated Transactions'!$A:$A,"&lt;="&amp;EOMONTH(F$19,0))+SUMIFS('Allocated Transactions'!$J:$J,'Allocated Transactions'!$D:$D,$B38,'Allocated Transactions'!$C:$C,$B$2,'Allocated Transactions'!$A:$A,"&gt;="&amp;F$19,'Allocated Transactions'!$A:$A,"&lt;="&amp;EOMONTH(F$19,0))+SUMIFS('Allocated Transactions'!$J:$J,'Allocated Transactions'!$D:$D,$B38,'Allocated Transactions'!$C:$C,$B$4,'Allocated Transactions'!$A:$A,"&gt;="&amp;F$19,'Allocated Transactions'!$A:$A,"&lt;="&amp;EOMONTH(F$19,0))+SUMIFS('Allocated Transactions'!$J:$J,'Allocated Transactions'!$D:$D,$B38,'Allocated Transactions'!$C:$C,$B$3,'Allocated Transactions'!$A:$A,"&gt;="&amp;F$19,'Allocated Transactions'!$A:$A,"&lt;="&amp;EOMONTH(F$19,0))+SUMIFS('Allocated Transactions'!$J:$J,'Allocated Transactions'!$D:$D,$B38,'Allocated Transactions'!$C:$C,$B$5,'Allocated Transactions'!$A:$A,"&gt;="&amp;F$19,'Allocated Transactions'!$A:$A,"&lt;="&amp;EOMONTH(F$19,0))+SUMIFS('Allocated Transactions'!$J:$J,'Allocated Transactions'!$D:$D,$B38,'Allocated Transactions'!$C:$C,$B$6,'Allocated Transactions'!$A:$A,"&gt;="&amp;F$19,'Allocated Transactions'!$A:$A,"&lt;="&amp;EOMONTH(F$19,0)))</f>
        <v>2630.78</v>
      </c>
      <c r="G38" s="84">
        <f>SUMPRODUCT(SUMIFS('Budget Data'!$J:$J,'Budget Data'!$E:$E,$B38,'Budget Data'!$C:$C,$B$7,'Budget Data'!$A:$A,"&gt;="&amp;G$19,'Budget Data'!$A:$A,"&lt;="&amp;EOMONTH(G$19,0))+SUMIFS('Budget Data'!$J:$J,'Budget Data'!$E:$E,$B38,'Budget Data'!$C:$C,$B$9,'Budget Data'!$A:$A,"&gt;="&amp;G$19,'Budget Data'!$A:$A,"&lt;="&amp;EOMONTH(G$19,0))+SUMIFS('Budget Data'!$J:$J,'Budget Data'!$E:$E,$B38,'Budget Data'!$C:$C,$B$8,'Budget Data'!$A:$A,"&gt;="&amp;G$19,'Budget Data'!$A:$A,"&lt;="&amp;EOMONTH(G$19,0))+SUMIFS('Budget Data'!$J:$J,'Budget Data'!$E:$E,$B38,'Budget Data'!$C:$C,$B$10,'Budget Data'!$A:$A,"&gt;="&amp;G$19,'Budget Data'!$A:$A,"&lt;="&amp;EOMONTH(G$19,0))+SUMIFS('Budget Data'!$J:$J,'Budget Data'!$E:$E,$B38,'Budget Data'!$C:$C,$B$11,'Budget Data'!$A:$A,"&gt;="&amp;G$19,'Budget Data'!$A:$A,"&lt;="&amp;EOMONTH(G$19,0))+SUMIFS('Budget Data'!$J:$J,'Budget Data'!$E:$E,$B38,'Budget Data'!$C:$C,$B$2,'Budget Data'!$A:$A,"&gt;="&amp;G$19,'Budget Data'!$A:$A,"&lt;="&amp;EOMONTH(G$19,0))+SUMIFS('Budget Data'!$J:$J,'Budget Data'!$E:$E,$B38,'Budget Data'!$C:$C,$B$4,'Budget Data'!$A:$A,"&gt;="&amp;G$19,'Budget Data'!$A:$A,"&lt;="&amp;EOMONTH(G$19,0))+SUMIFS('Budget Data'!$J:$J,'Budget Data'!$E:$E,$B38,'Budget Data'!$C:$C,$B$3,'Budget Data'!$A:$A,"&gt;="&amp;G$19,'Budget Data'!$A:$A,"&lt;="&amp;EOMONTH(G$19,0))+SUMIFS('Budget Data'!$J:$J,'Budget Data'!$E:$E,$B38,'Budget Data'!$C:$C,$B$5,'Budget Data'!$A:$A,"&gt;="&amp;G$19,'Budget Data'!$A:$A,"&lt;="&amp;EOMONTH(G$19,0))+SUMIFS('Budget Data'!$J:$J,'Budget Data'!$E:$E,$B38,'Budget Data'!$C:$C,$B$6,'Budget Data'!$A:$A,"&gt;="&amp;G$19,'Budget Data'!$A:$A,"&lt;="&amp;EOMONTH(G$19,0)))</f>
        <v>2600</v>
      </c>
      <c r="H38" s="86">
        <f>SUMPRODUCT(SUMIFS('Allocated Transactions'!$J:$J,'Allocated Transactions'!$D:$D,$B38,'Allocated Transactions'!$C:$C,$B$7,'Allocated Transactions'!$A:$A,"&gt;="&amp;H$19,'Allocated Transactions'!$A:$A,"&lt;="&amp;EOMONTH(H$19,0))+SUMIFS('Allocated Transactions'!$J:$J,'Allocated Transactions'!$D:$D,$B38,'Allocated Transactions'!$C:$C,$B$9,'Allocated Transactions'!$A:$A,"&gt;="&amp;H$19,'Allocated Transactions'!$A:$A,"&lt;="&amp;EOMONTH(H$19,0))+SUMIFS('Allocated Transactions'!$J:$J,'Allocated Transactions'!$D:$D,$B38,'Allocated Transactions'!$C:$C,$B$8,'Allocated Transactions'!$A:$A,"&gt;="&amp;H$19,'Allocated Transactions'!$A:$A,"&lt;="&amp;EOMONTH(H$19,0))+SUMIFS('Allocated Transactions'!$J:$J,'Allocated Transactions'!$D:$D,$B38,'Allocated Transactions'!$C:$C,$B$10,'Allocated Transactions'!$A:$A,"&gt;="&amp;H$19,'Allocated Transactions'!$A:$A,"&lt;="&amp;EOMONTH(H$19,0))+SUMIFS('Allocated Transactions'!$J:$J,'Allocated Transactions'!$D:$D,$B38,'Allocated Transactions'!$C:$C,$B$11,'Allocated Transactions'!$A:$A,"&gt;="&amp;H$19,'Allocated Transactions'!$A:$A,"&lt;="&amp;EOMONTH(H$19,0))+SUMIFS('Allocated Transactions'!$J:$J,'Allocated Transactions'!$D:$D,$B38,'Allocated Transactions'!$C:$C,$B$2,'Allocated Transactions'!$A:$A,"&gt;="&amp;H$19,'Allocated Transactions'!$A:$A,"&lt;="&amp;EOMONTH(H$19,0))+SUMIFS('Allocated Transactions'!$J:$J,'Allocated Transactions'!$D:$D,$B38,'Allocated Transactions'!$C:$C,$B$4,'Allocated Transactions'!$A:$A,"&gt;="&amp;H$19,'Allocated Transactions'!$A:$A,"&lt;="&amp;EOMONTH(H$19,0))+SUMIFS('Allocated Transactions'!$J:$J,'Allocated Transactions'!$D:$D,$B38,'Allocated Transactions'!$C:$C,$B$3,'Allocated Transactions'!$A:$A,"&gt;="&amp;H$19,'Allocated Transactions'!$A:$A,"&lt;="&amp;EOMONTH(H$19,0))+SUMIFS('Allocated Transactions'!$J:$J,'Allocated Transactions'!$D:$D,$B38,'Allocated Transactions'!$C:$C,$B$5,'Allocated Transactions'!$A:$A,"&gt;="&amp;H$19,'Allocated Transactions'!$A:$A,"&lt;="&amp;EOMONTH(H$19,0))+SUMIFS('Allocated Transactions'!$J:$J,'Allocated Transactions'!$D:$D,$B38,'Allocated Transactions'!$C:$C,$B$6,'Allocated Transactions'!$A:$A,"&gt;="&amp;H$19,'Allocated Transactions'!$A:$A,"&lt;="&amp;EOMONTH(H$19,0)))</f>
        <v>2930.96</v>
      </c>
      <c r="I38" s="84">
        <f>SUMPRODUCT(SUMIFS('Budget Data'!$J:$J,'Budget Data'!$E:$E,$B38,'Budget Data'!$C:$C,$B$7,'Budget Data'!$A:$A,"&gt;="&amp;I$19,'Budget Data'!$A:$A,"&lt;="&amp;EOMONTH(I$19,0))+SUMIFS('Budget Data'!$J:$J,'Budget Data'!$E:$E,$B38,'Budget Data'!$C:$C,$B$9,'Budget Data'!$A:$A,"&gt;="&amp;I$19,'Budget Data'!$A:$A,"&lt;="&amp;EOMONTH(I$19,0))+SUMIFS('Budget Data'!$J:$J,'Budget Data'!$E:$E,$B38,'Budget Data'!$C:$C,$B$8,'Budget Data'!$A:$A,"&gt;="&amp;I$19,'Budget Data'!$A:$A,"&lt;="&amp;EOMONTH(I$19,0))+SUMIFS('Budget Data'!$J:$J,'Budget Data'!$E:$E,$B38,'Budget Data'!$C:$C,$B$10,'Budget Data'!$A:$A,"&gt;="&amp;I$19,'Budget Data'!$A:$A,"&lt;="&amp;EOMONTH(I$19,0))+SUMIFS('Budget Data'!$J:$J,'Budget Data'!$E:$E,$B38,'Budget Data'!$C:$C,$B$11,'Budget Data'!$A:$A,"&gt;="&amp;I$19,'Budget Data'!$A:$A,"&lt;="&amp;EOMONTH(I$19,0))+SUMIFS('Budget Data'!$J:$J,'Budget Data'!$E:$E,$B38,'Budget Data'!$C:$C,$B$2,'Budget Data'!$A:$A,"&gt;="&amp;I$19,'Budget Data'!$A:$A,"&lt;="&amp;EOMONTH(I$19,0))+SUMIFS('Budget Data'!$J:$J,'Budget Data'!$E:$E,$B38,'Budget Data'!$C:$C,$B$4,'Budget Data'!$A:$A,"&gt;="&amp;I$19,'Budget Data'!$A:$A,"&lt;="&amp;EOMONTH(I$19,0))+SUMIFS('Budget Data'!$J:$J,'Budget Data'!$E:$E,$B38,'Budget Data'!$C:$C,$B$3,'Budget Data'!$A:$A,"&gt;="&amp;I$19,'Budget Data'!$A:$A,"&lt;="&amp;EOMONTH(I$19,0))+SUMIFS('Budget Data'!$J:$J,'Budget Data'!$E:$E,$B38,'Budget Data'!$C:$C,$B$5,'Budget Data'!$A:$A,"&gt;="&amp;I$19,'Budget Data'!$A:$A,"&lt;="&amp;EOMONTH(I$19,0))+SUMIFS('Budget Data'!$J:$J,'Budget Data'!$E:$E,$B38,'Budget Data'!$C:$C,$B$6,'Budget Data'!$A:$A,"&gt;="&amp;I$19,'Budget Data'!$A:$A,"&lt;="&amp;EOMONTH(I$19,0)))</f>
        <v>2900</v>
      </c>
      <c r="J38" s="86">
        <f>SUMPRODUCT(SUMIFS('Allocated Transactions'!$J:$J,'Allocated Transactions'!$D:$D,$B38,'Allocated Transactions'!$C:$C,$B$7,'Allocated Transactions'!$A:$A,"&gt;="&amp;J$19,'Allocated Transactions'!$A:$A,"&lt;="&amp;EOMONTH(J$19,0))+SUMIFS('Allocated Transactions'!$J:$J,'Allocated Transactions'!$D:$D,$B38,'Allocated Transactions'!$C:$C,$B$9,'Allocated Transactions'!$A:$A,"&gt;="&amp;J$19,'Allocated Transactions'!$A:$A,"&lt;="&amp;EOMONTH(J$19,0))+SUMIFS('Allocated Transactions'!$J:$J,'Allocated Transactions'!$D:$D,$B38,'Allocated Transactions'!$C:$C,$B$8,'Allocated Transactions'!$A:$A,"&gt;="&amp;J$19,'Allocated Transactions'!$A:$A,"&lt;="&amp;EOMONTH(J$19,0))+SUMIFS('Allocated Transactions'!$J:$J,'Allocated Transactions'!$D:$D,$B38,'Allocated Transactions'!$C:$C,$B$10,'Allocated Transactions'!$A:$A,"&gt;="&amp;J$19,'Allocated Transactions'!$A:$A,"&lt;="&amp;EOMONTH(J$19,0))+SUMIFS('Allocated Transactions'!$J:$J,'Allocated Transactions'!$D:$D,$B38,'Allocated Transactions'!$C:$C,$B$11,'Allocated Transactions'!$A:$A,"&gt;="&amp;J$19,'Allocated Transactions'!$A:$A,"&lt;="&amp;EOMONTH(J$19,0))+SUMIFS('Allocated Transactions'!$J:$J,'Allocated Transactions'!$D:$D,$B38,'Allocated Transactions'!$C:$C,$B$2,'Allocated Transactions'!$A:$A,"&gt;="&amp;J$19,'Allocated Transactions'!$A:$A,"&lt;="&amp;EOMONTH(J$19,0))+SUMIFS('Allocated Transactions'!$J:$J,'Allocated Transactions'!$D:$D,$B38,'Allocated Transactions'!$C:$C,$B$4,'Allocated Transactions'!$A:$A,"&gt;="&amp;J$19,'Allocated Transactions'!$A:$A,"&lt;="&amp;EOMONTH(J$19,0))+SUMIFS('Allocated Transactions'!$J:$J,'Allocated Transactions'!$D:$D,$B38,'Allocated Transactions'!$C:$C,$B$3,'Allocated Transactions'!$A:$A,"&gt;="&amp;J$19,'Allocated Transactions'!$A:$A,"&lt;="&amp;EOMONTH(J$19,0))+SUMIFS('Allocated Transactions'!$J:$J,'Allocated Transactions'!$D:$D,$B38,'Allocated Transactions'!$C:$C,$B$5,'Allocated Transactions'!$A:$A,"&gt;="&amp;J$19,'Allocated Transactions'!$A:$A,"&lt;="&amp;EOMONTH(J$19,0))+SUMIFS('Allocated Transactions'!$J:$J,'Allocated Transactions'!$D:$D,$B38,'Allocated Transactions'!$C:$C,$B$6,'Allocated Transactions'!$A:$A,"&gt;="&amp;J$19,'Allocated Transactions'!$A:$A,"&lt;="&amp;EOMONTH(J$19,0)))</f>
        <v>2517.86</v>
      </c>
      <c r="K38" s="84">
        <f>SUMPRODUCT(SUMIFS('Budget Data'!$J:$J,'Budget Data'!$E:$E,$B38,'Budget Data'!$C:$C,$B$7,'Budget Data'!$A:$A,"&gt;="&amp;K$19,'Budget Data'!$A:$A,"&lt;="&amp;EOMONTH(K$19,0))+SUMIFS('Budget Data'!$J:$J,'Budget Data'!$E:$E,$B38,'Budget Data'!$C:$C,$B$9,'Budget Data'!$A:$A,"&gt;="&amp;K$19,'Budget Data'!$A:$A,"&lt;="&amp;EOMONTH(K$19,0))+SUMIFS('Budget Data'!$J:$J,'Budget Data'!$E:$E,$B38,'Budget Data'!$C:$C,$B$8,'Budget Data'!$A:$A,"&gt;="&amp;K$19,'Budget Data'!$A:$A,"&lt;="&amp;EOMONTH(K$19,0))+SUMIFS('Budget Data'!$J:$J,'Budget Data'!$E:$E,$B38,'Budget Data'!$C:$C,$B$10,'Budget Data'!$A:$A,"&gt;="&amp;K$19,'Budget Data'!$A:$A,"&lt;="&amp;EOMONTH(K$19,0))+SUMIFS('Budget Data'!$J:$J,'Budget Data'!$E:$E,$B38,'Budget Data'!$C:$C,$B$11,'Budget Data'!$A:$A,"&gt;="&amp;K$19,'Budget Data'!$A:$A,"&lt;="&amp;EOMONTH(K$19,0))+SUMIFS('Budget Data'!$J:$J,'Budget Data'!$E:$E,$B38,'Budget Data'!$C:$C,$B$2,'Budget Data'!$A:$A,"&gt;="&amp;K$19,'Budget Data'!$A:$A,"&lt;="&amp;EOMONTH(K$19,0))+SUMIFS('Budget Data'!$J:$J,'Budget Data'!$E:$E,$B38,'Budget Data'!$C:$C,$B$4,'Budget Data'!$A:$A,"&gt;="&amp;K$19,'Budget Data'!$A:$A,"&lt;="&amp;EOMONTH(K$19,0))+SUMIFS('Budget Data'!$J:$J,'Budget Data'!$E:$E,$B38,'Budget Data'!$C:$C,$B$3,'Budget Data'!$A:$A,"&gt;="&amp;K$19,'Budget Data'!$A:$A,"&lt;="&amp;EOMONTH(K$19,0))+SUMIFS('Budget Data'!$J:$J,'Budget Data'!$E:$E,$B38,'Budget Data'!$C:$C,$B$5,'Budget Data'!$A:$A,"&gt;="&amp;K$19,'Budget Data'!$A:$A,"&lt;="&amp;EOMONTH(K$19,0))+SUMIFS('Budget Data'!$J:$J,'Budget Data'!$E:$E,$B38,'Budget Data'!$C:$C,$B$6,'Budget Data'!$A:$A,"&gt;="&amp;K$19,'Budget Data'!$A:$A,"&lt;="&amp;EOMONTH(K$19,0)))</f>
        <v>2500</v>
      </c>
      <c r="L38" s="86">
        <f>SUMPRODUCT(SUMIFS('Allocated Transactions'!$J:$J,'Allocated Transactions'!$D:$D,$B38,'Allocated Transactions'!$C:$C,$B$7,'Allocated Transactions'!$A:$A,"&gt;="&amp;L$19,'Allocated Transactions'!$A:$A,"&lt;="&amp;EOMONTH(L$19,0))+SUMIFS('Allocated Transactions'!$J:$J,'Allocated Transactions'!$D:$D,$B38,'Allocated Transactions'!$C:$C,$B$9,'Allocated Transactions'!$A:$A,"&gt;="&amp;L$19,'Allocated Transactions'!$A:$A,"&lt;="&amp;EOMONTH(L$19,0))+SUMIFS('Allocated Transactions'!$J:$J,'Allocated Transactions'!$D:$D,$B38,'Allocated Transactions'!$C:$C,$B$8,'Allocated Transactions'!$A:$A,"&gt;="&amp;L$19,'Allocated Transactions'!$A:$A,"&lt;="&amp;EOMONTH(L$19,0))+SUMIFS('Allocated Transactions'!$J:$J,'Allocated Transactions'!$D:$D,$B38,'Allocated Transactions'!$C:$C,$B$10,'Allocated Transactions'!$A:$A,"&gt;="&amp;L$19,'Allocated Transactions'!$A:$A,"&lt;="&amp;EOMONTH(L$19,0))+SUMIFS('Allocated Transactions'!$J:$J,'Allocated Transactions'!$D:$D,$B38,'Allocated Transactions'!$C:$C,$B$11,'Allocated Transactions'!$A:$A,"&gt;="&amp;L$19,'Allocated Transactions'!$A:$A,"&lt;="&amp;EOMONTH(L$19,0))+SUMIFS('Allocated Transactions'!$J:$J,'Allocated Transactions'!$D:$D,$B38,'Allocated Transactions'!$C:$C,$B$2,'Allocated Transactions'!$A:$A,"&gt;="&amp;L$19,'Allocated Transactions'!$A:$A,"&lt;="&amp;EOMONTH(L$19,0))+SUMIFS('Allocated Transactions'!$J:$J,'Allocated Transactions'!$D:$D,$B38,'Allocated Transactions'!$C:$C,$B$4,'Allocated Transactions'!$A:$A,"&gt;="&amp;L$19,'Allocated Transactions'!$A:$A,"&lt;="&amp;EOMONTH(L$19,0))+SUMIFS('Allocated Transactions'!$J:$J,'Allocated Transactions'!$D:$D,$B38,'Allocated Transactions'!$C:$C,$B$3,'Allocated Transactions'!$A:$A,"&gt;="&amp;L$19,'Allocated Transactions'!$A:$A,"&lt;="&amp;EOMONTH(L$19,0))+SUMIFS('Allocated Transactions'!$J:$J,'Allocated Transactions'!$D:$D,$B38,'Allocated Transactions'!$C:$C,$B$5,'Allocated Transactions'!$A:$A,"&gt;="&amp;L$19,'Allocated Transactions'!$A:$A,"&lt;="&amp;EOMONTH(L$19,0))+SUMIFS('Allocated Transactions'!$J:$J,'Allocated Transactions'!$D:$D,$B38,'Allocated Transactions'!$C:$C,$B$6,'Allocated Transactions'!$A:$A,"&gt;="&amp;L$19,'Allocated Transactions'!$A:$A,"&lt;="&amp;EOMONTH(L$19,0)))</f>
        <v>3018.05</v>
      </c>
      <c r="M38" s="84">
        <f>SUMPRODUCT(SUMIFS('Budget Data'!$J:$J,'Budget Data'!$E:$E,$B38,'Budget Data'!$C:$C,$B$7,'Budget Data'!$A:$A,"&gt;="&amp;M$19,'Budget Data'!$A:$A,"&lt;="&amp;EOMONTH(M$19,0))+SUMIFS('Budget Data'!$J:$J,'Budget Data'!$E:$E,$B38,'Budget Data'!$C:$C,$B$9,'Budget Data'!$A:$A,"&gt;="&amp;M$19,'Budget Data'!$A:$A,"&lt;="&amp;EOMONTH(M$19,0))+SUMIFS('Budget Data'!$J:$J,'Budget Data'!$E:$E,$B38,'Budget Data'!$C:$C,$B$8,'Budget Data'!$A:$A,"&gt;="&amp;M$19,'Budget Data'!$A:$A,"&lt;="&amp;EOMONTH(M$19,0))+SUMIFS('Budget Data'!$J:$J,'Budget Data'!$E:$E,$B38,'Budget Data'!$C:$C,$B$10,'Budget Data'!$A:$A,"&gt;="&amp;M$19,'Budget Data'!$A:$A,"&lt;="&amp;EOMONTH(M$19,0))+SUMIFS('Budget Data'!$J:$J,'Budget Data'!$E:$E,$B38,'Budget Data'!$C:$C,$B$11,'Budget Data'!$A:$A,"&gt;="&amp;M$19,'Budget Data'!$A:$A,"&lt;="&amp;EOMONTH(M$19,0))+SUMIFS('Budget Data'!$J:$J,'Budget Data'!$E:$E,$B38,'Budget Data'!$C:$C,$B$2,'Budget Data'!$A:$A,"&gt;="&amp;M$19,'Budget Data'!$A:$A,"&lt;="&amp;EOMONTH(M$19,0))+SUMIFS('Budget Data'!$J:$J,'Budget Data'!$E:$E,$B38,'Budget Data'!$C:$C,$B$4,'Budget Data'!$A:$A,"&gt;="&amp;M$19,'Budget Data'!$A:$A,"&lt;="&amp;EOMONTH(M$19,0))+SUMIFS('Budget Data'!$J:$J,'Budget Data'!$E:$E,$B38,'Budget Data'!$C:$C,$B$3,'Budget Data'!$A:$A,"&gt;="&amp;M$19,'Budget Data'!$A:$A,"&lt;="&amp;EOMONTH(M$19,0))+SUMIFS('Budget Data'!$J:$J,'Budget Data'!$E:$E,$B38,'Budget Data'!$C:$C,$B$5,'Budget Data'!$A:$A,"&gt;="&amp;M$19,'Budget Data'!$A:$A,"&lt;="&amp;EOMONTH(M$19,0))+SUMIFS('Budget Data'!$J:$J,'Budget Data'!$E:$E,$B38,'Budget Data'!$C:$C,$B$6,'Budget Data'!$A:$A,"&gt;="&amp;M$19,'Budget Data'!$A:$A,"&lt;="&amp;EOMONTH(M$19,0)))</f>
        <v>3000</v>
      </c>
      <c r="N38" s="86">
        <f>SUMPRODUCT(SUMIFS('Allocated Transactions'!$J:$J,'Allocated Transactions'!$D:$D,$B38,'Allocated Transactions'!$C:$C,$B$7,'Allocated Transactions'!$A:$A,"&gt;="&amp;N$19,'Allocated Transactions'!$A:$A,"&lt;="&amp;EOMONTH(N$19,0))+SUMIFS('Allocated Transactions'!$J:$J,'Allocated Transactions'!$D:$D,$B38,'Allocated Transactions'!$C:$C,$B$9,'Allocated Transactions'!$A:$A,"&gt;="&amp;N$19,'Allocated Transactions'!$A:$A,"&lt;="&amp;EOMONTH(N$19,0))+SUMIFS('Allocated Transactions'!$J:$J,'Allocated Transactions'!$D:$D,$B38,'Allocated Transactions'!$C:$C,$B$8,'Allocated Transactions'!$A:$A,"&gt;="&amp;N$19,'Allocated Transactions'!$A:$A,"&lt;="&amp;EOMONTH(N$19,0))+SUMIFS('Allocated Transactions'!$J:$J,'Allocated Transactions'!$D:$D,$B38,'Allocated Transactions'!$C:$C,$B$10,'Allocated Transactions'!$A:$A,"&gt;="&amp;N$19,'Allocated Transactions'!$A:$A,"&lt;="&amp;EOMONTH(N$19,0))+SUMIFS('Allocated Transactions'!$J:$J,'Allocated Transactions'!$D:$D,$B38,'Allocated Transactions'!$C:$C,$B$11,'Allocated Transactions'!$A:$A,"&gt;="&amp;N$19,'Allocated Transactions'!$A:$A,"&lt;="&amp;EOMONTH(N$19,0))+SUMIFS('Allocated Transactions'!$J:$J,'Allocated Transactions'!$D:$D,$B38,'Allocated Transactions'!$C:$C,$B$2,'Allocated Transactions'!$A:$A,"&gt;="&amp;N$19,'Allocated Transactions'!$A:$A,"&lt;="&amp;EOMONTH(N$19,0))+SUMIFS('Allocated Transactions'!$J:$J,'Allocated Transactions'!$D:$D,$B38,'Allocated Transactions'!$C:$C,$B$4,'Allocated Transactions'!$A:$A,"&gt;="&amp;N$19,'Allocated Transactions'!$A:$A,"&lt;="&amp;EOMONTH(N$19,0))+SUMIFS('Allocated Transactions'!$J:$J,'Allocated Transactions'!$D:$D,$B38,'Allocated Transactions'!$C:$C,$B$3,'Allocated Transactions'!$A:$A,"&gt;="&amp;N$19,'Allocated Transactions'!$A:$A,"&lt;="&amp;EOMONTH(N$19,0))+SUMIFS('Allocated Transactions'!$J:$J,'Allocated Transactions'!$D:$D,$B38,'Allocated Transactions'!$C:$C,$B$5,'Allocated Transactions'!$A:$A,"&gt;="&amp;N$19,'Allocated Transactions'!$A:$A,"&lt;="&amp;EOMONTH(N$19,0))+SUMIFS('Allocated Transactions'!$J:$J,'Allocated Transactions'!$D:$D,$B38,'Allocated Transactions'!$C:$C,$B$6,'Allocated Transactions'!$A:$A,"&gt;="&amp;N$19,'Allocated Transactions'!$A:$A,"&lt;="&amp;EOMONTH(N$19,0)))</f>
        <v>2635.58</v>
      </c>
      <c r="O38" s="84">
        <f>SUMPRODUCT(SUMIFS('Budget Data'!$J:$J,'Budget Data'!$E:$E,$B38,'Budget Data'!$C:$C,$B$7,'Budget Data'!$A:$A,"&gt;="&amp;O$19,'Budget Data'!$A:$A,"&lt;="&amp;EOMONTH(O$19,0))+SUMIFS('Budget Data'!$J:$J,'Budget Data'!$E:$E,$B38,'Budget Data'!$C:$C,$B$9,'Budget Data'!$A:$A,"&gt;="&amp;O$19,'Budget Data'!$A:$A,"&lt;="&amp;EOMONTH(O$19,0))+SUMIFS('Budget Data'!$J:$J,'Budget Data'!$E:$E,$B38,'Budget Data'!$C:$C,$B$8,'Budget Data'!$A:$A,"&gt;="&amp;O$19,'Budget Data'!$A:$A,"&lt;="&amp;EOMONTH(O$19,0))+SUMIFS('Budget Data'!$J:$J,'Budget Data'!$E:$E,$B38,'Budget Data'!$C:$C,$B$10,'Budget Data'!$A:$A,"&gt;="&amp;O$19,'Budget Data'!$A:$A,"&lt;="&amp;EOMONTH(O$19,0))+SUMIFS('Budget Data'!$J:$J,'Budget Data'!$E:$E,$B38,'Budget Data'!$C:$C,$B$11,'Budget Data'!$A:$A,"&gt;="&amp;O$19,'Budget Data'!$A:$A,"&lt;="&amp;EOMONTH(O$19,0))+SUMIFS('Budget Data'!$J:$J,'Budget Data'!$E:$E,$B38,'Budget Data'!$C:$C,$B$2,'Budget Data'!$A:$A,"&gt;="&amp;O$19,'Budget Data'!$A:$A,"&lt;="&amp;EOMONTH(O$19,0))+SUMIFS('Budget Data'!$J:$J,'Budget Data'!$E:$E,$B38,'Budget Data'!$C:$C,$B$4,'Budget Data'!$A:$A,"&gt;="&amp;O$19,'Budget Data'!$A:$A,"&lt;="&amp;EOMONTH(O$19,0))+SUMIFS('Budget Data'!$J:$J,'Budget Data'!$E:$E,$B38,'Budget Data'!$C:$C,$B$3,'Budget Data'!$A:$A,"&gt;="&amp;O$19,'Budget Data'!$A:$A,"&lt;="&amp;EOMONTH(O$19,0))+SUMIFS('Budget Data'!$J:$J,'Budget Data'!$E:$E,$B38,'Budget Data'!$C:$C,$B$5,'Budget Data'!$A:$A,"&gt;="&amp;O$19,'Budget Data'!$A:$A,"&lt;="&amp;EOMONTH(O$19,0))+SUMIFS('Budget Data'!$J:$J,'Budget Data'!$E:$E,$B38,'Budget Data'!$C:$C,$B$6,'Budget Data'!$A:$A,"&gt;="&amp;O$19,'Budget Data'!$A:$A,"&lt;="&amp;EOMONTH(O$19,0)))</f>
        <v>2600</v>
      </c>
      <c r="P38" s="86">
        <f>SUMPRODUCT(SUMIFS('Allocated Transactions'!$J:$J,'Allocated Transactions'!$D:$D,$B38,'Allocated Transactions'!$C:$C,$B$7,'Allocated Transactions'!$A:$A,"&gt;="&amp;P$19,'Allocated Transactions'!$A:$A,"&lt;="&amp;EOMONTH(P$19,0))+SUMIFS('Allocated Transactions'!$J:$J,'Allocated Transactions'!$D:$D,$B38,'Allocated Transactions'!$C:$C,$B$9,'Allocated Transactions'!$A:$A,"&gt;="&amp;P$19,'Allocated Transactions'!$A:$A,"&lt;="&amp;EOMONTH(P$19,0))+SUMIFS('Allocated Transactions'!$J:$J,'Allocated Transactions'!$D:$D,$B38,'Allocated Transactions'!$C:$C,$B$8,'Allocated Transactions'!$A:$A,"&gt;="&amp;P$19,'Allocated Transactions'!$A:$A,"&lt;="&amp;EOMONTH(P$19,0))+SUMIFS('Allocated Transactions'!$J:$J,'Allocated Transactions'!$D:$D,$B38,'Allocated Transactions'!$C:$C,$B$10,'Allocated Transactions'!$A:$A,"&gt;="&amp;P$19,'Allocated Transactions'!$A:$A,"&lt;="&amp;EOMONTH(P$19,0))+SUMIFS('Allocated Transactions'!$J:$J,'Allocated Transactions'!$D:$D,$B38,'Allocated Transactions'!$C:$C,$B$11,'Allocated Transactions'!$A:$A,"&gt;="&amp;P$19,'Allocated Transactions'!$A:$A,"&lt;="&amp;EOMONTH(P$19,0))+SUMIFS('Allocated Transactions'!$J:$J,'Allocated Transactions'!$D:$D,$B38,'Allocated Transactions'!$C:$C,$B$2,'Allocated Transactions'!$A:$A,"&gt;="&amp;P$19,'Allocated Transactions'!$A:$A,"&lt;="&amp;EOMONTH(P$19,0))+SUMIFS('Allocated Transactions'!$J:$J,'Allocated Transactions'!$D:$D,$B38,'Allocated Transactions'!$C:$C,$B$4,'Allocated Transactions'!$A:$A,"&gt;="&amp;P$19,'Allocated Transactions'!$A:$A,"&lt;="&amp;EOMONTH(P$19,0))+SUMIFS('Allocated Transactions'!$J:$J,'Allocated Transactions'!$D:$D,$B38,'Allocated Transactions'!$C:$C,$B$3,'Allocated Transactions'!$A:$A,"&gt;="&amp;P$19,'Allocated Transactions'!$A:$A,"&lt;="&amp;EOMONTH(P$19,0))+SUMIFS('Allocated Transactions'!$J:$J,'Allocated Transactions'!$D:$D,$B38,'Allocated Transactions'!$C:$C,$B$5,'Allocated Transactions'!$A:$A,"&gt;="&amp;P$19,'Allocated Transactions'!$A:$A,"&lt;="&amp;EOMONTH(P$19,0))+SUMIFS('Allocated Transactions'!$J:$J,'Allocated Transactions'!$D:$D,$B38,'Allocated Transactions'!$C:$C,$B$6,'Allocated Transactions'!$A:$A,"&gt;="&amp;P$19,'Allocated Transactions'!$A:$A,"&lt;="&amp;EOMONTH(P$19,0)))</f>
        <v>2469.64</v>
      </c>
      <c r="Q38" s="84">
        <f>SUMPRODUCT(SUMIFS('Budget Data'!$J:$J,'Budget Data'!$E:$E,$B38,'Budget Data'!$C:$C,$B$7,'Budget Data'!$A:$A,"&gt;="&amp;Q$19,'Budget Data'!$A:$A,"&lt;="&amp;EOMONTH(Q$19,0))+SUMIFS('Budget Data'!$J:$J,'Budget Data'!$E:$E,$B38,'Budget Data'!$C:$C,$B$9,'Budget Data'!$A:$A,"&gt;="&amp;Q$19,'Budget Data'!$A:$A,"&lt;="&amp;EOMONTH(Q$19,0))+SUMIFS('Budget Data'!$J:$J,'Budget Data'!$E:$E,$B38,'Budget Data'!$C:$C,$B$8,'Budget Data'!$A:$A,"&gt;="&amp;Q$19,'Budget Data'!$A:$A,"&lt;="&amp;EOMONTH(Q$19,0))+SUMIFS('Budget Data'!$J:$J,'Budget Data'!$E:$E,$B38,'Budget Data'!$C:$C,$B$10,'Budget Data'!$A:$A,"&gt;="&amp;Q$19,'Budget Data'!$A:$A,"&lt;="&amp;EOMONTH(Q$19,0))+SUMIFS('Budget Data'!$J:$J,'Budget Data'!$E:$E,$B38,'Budget Data'!$C:$C,$B$11,'Budget Data'!$A:$A,"&gt;="&amp;Q$19,'Budget Data'!$A:$A,"&lt;="&amp;EOMONTH(Q$19,0))+SUMIFS('Budget Data'!$J:$J,'Budget Data'!$E:$E,$B38,'Budget Data'!$C:$C,$B$2,'Budget Data'!$A:$A,"&gt;="&amp;Q$19,'Budget Data'!$A:$A,"&lt;="&amp;EOMONTH(Q$19,0))+SUMIFS('Budget Data'!$J:$J,'Budget Data'!$E:$E,$B38,'Budget Data'!$C:$C,$B$4,'Budget Data'!$A:$A,"&gt;="&amp;Q$19,'Budget Data'!$A:$A,"&lt;="&amp;EOMONTH(Q$19,0))+SUMIFS('Budget Data'!$J:$J,'Budget Data'!$E:$E,$B38,'Budget Data'!$C:$C,$B$3,'Budget Data'!$A:$A,"&gt;="&amp;Q$19,'Budget Data'!$A:$A,"&lt;="&amp;EOMONTH(Q$19,0))+SUMIFS('Budget Data'!$J:$J,'Budget Data'!$E:$E,$B38,'Budget Data'!$C:$C,$B$5,'Budget Data'!$A:$A,"&gt;="&amp;Q$19,'Budget Data'!$A:$A,"&lt;="&amp;EOMONTH(Q$19,0))+SUMIFS('Budget Data'!$J:$J,'Budget Data'!$E:$E,$B38,'Budget Data'!$C:$C,$B$6,'Budget Data'!$A:$A,"&gt;="&amp;Q$19,'Budget Data'!$A:$A,"&lt;="&amp;EOMONTH(Q$19,0)))</f>
        <v>2400</v>
      </c>
      <c r="R38" s="86">
        <f>SUMPRODUCT(SUMIFS('Allocated Transactions'!$J:$J,'Allocated Transactions'!$D:$D,$B38,'Allocated Transactions'!$C:$C,$B$7,'Allocated Transactions'!$A:$A,"&gt;="&amp;R$19,'Allocated Transactions'!$A:$A,"&lt;="&amp;EOMONTH(R$19,0))+SUMIFS('Allocated Transactions'!$J:$J,'Allocated Transactions'!$D:$D,$B38,'Allocated Transactions'!$C:$C,$B$9,'Allocated Transactions'!$A:$A,"&gt;="&amp;R$19,'Allocated Transactions'!$A:$A,"&lt;="&amp;EOMONTH(R$19,0))+SUMIFS('Allocated Transactions'!$J:$J,'Allocated Transactions'!$D:$D,$B38,'Allocated Transactions'!$C:$C,$B$8,'Allocated Transactions'!$A:$A,"&gt;="&amp;R$19,'Allocated Transactions'!$A:$A,"&lt;="&amp;EOMONTH(R$19,0))+SUMIFS('Allocated Transactions'!$J:$J,'Allocated Transactions'!$D:$D,$B38,'Allocated Transactions'!$C:$C,$B$10,'Allocated Transactions'!$A:$A,"&gt;="&amp;R$19,'Allocated Transactions'!$A:$A,"&lt;="&amp;EOMONTH(R$19,0))+SUMIFS('Allocated Transactions'!$J:$J,'Allocated Transactions'!$D:$D,$B38,'Allocated Transactions'!$C:$C,$B$11,'Allocated Transactions'!$A:$A,"&gt;="&amp;R$19,'Allocated Transactions'!$A:$A,"&lt;="&amp;EOMONTH(R$19,0))+SUMIFS('Allocated Transactions'!$J:$J,'Allocated Transactions'!$D:$D,$B38,'Allocated Transactions'!$C:$C,$B$2,'Allocated Transactions'!$A:$A,"&gt;="&amp;R$19,'Allocated Transactions'!$A:$A,"&lt;="&amp;EOMONTH(R$19,0))+SUMIFS('Allocated Transactions'!$J:$J,'Allocated Transactions'!$D:$D,$B38,'Allocated Transactions'!$C:$C,$B$4,'Allocated Transactions'!$A:$A,"&gt;="&amp;R$19,'Allocated Transactions'!$A:$A,"&lt;="&amp;EOMONTH(R$19,0))+SUMIFS('Allocated Transactions'!$J:$J,'Allocated Transactions'!$D:$D,$B38,'Allocated Transactions'!$C:$C,$B$3,'Allocated Transactions'!$A:$A,"&gt;="&amp;R$19,'Allocated Transactions'!$A:$A,"&lt;="&amp;EOMONTH(R$19,0))+SUMIFS('Allocated Transactions'!$J:$J,'Allocated Transactions'!$D:$D,$B38,'Allocated Transactions'!$C:$C,$B$5,'Allocated Transactions'!$A:$A,"&gt;="&amp;R$19,'Allocated Transactions'!$A:$A,"&lt;="&amp;EOMONTH(R$19,0))+SUMIFS('Allocated Transactions'!$J:$J,'Allocated Transactions'!$D:$D,$B38,'Allocated Transactions'!$C:$C,$B$6,'Allocated Transactions'!$A:$A,"&gt;="&amp;R$19,'Allocated Transactions'!$A:$A,"&lt;="&amp;EOMONTH(R$19,0)))</f>
        <v>2984.15</v>
      </c>
      <c r="S38" s="84">
        <f>SUMPRODUCT(SUMIFS('Budget Data'!$J:$J,'Budget Data'!$E:$E,$B38,'Budget Data'!$C:$C,$B$7,'Budget Data'!$A:$A,"&gt;="&amp;S$19,'Budget Data'!$A:$A,"&lt;="&amp;EOMONTH(S$19,0))+SUMIFS('Budget Data'!$J:$J,'Budget Data'!$E:$E,$B38,'Budget Data'!$C:$C,$B$9,'Budget Data'!$A:$A,"&gt;="&amp;S$19,'Budget Data'!$A:$A,"&lt;="&amp;EOMONTH(S$19,0))+SUMIFS('Budget Data'!$J:$J,'Budget Data'!$E:$E,$B38,'Budget Data'!$C:$C,$B$8,'Budget Data'!$A:$A,"&gt;="&amp;S$19,'Budget Data'!$A:$A,"&lt;="&amp;EOMONTH(S$19,0))+SUMIFS('Budget Data'!$J:$J,'Budget Data'!$E:$E,$B38,'Budget Data'!$C:$C,$B$10,'Budget Data'!$A:$A,"&gt;="&amp;S$19,'Budget Data'!$A:$A,"&lt;="&amp;EOMONTH(S$19,0))+SUMIFS('Budget Data'!$J:$J,'Budget Data'!$E:$E,$B38,'Budget Data'!$C:$C,$B$11,'Budget Data'!$A:$A,"&gt;="&amp;S$19,'Budget Data'!$A:$A,"&lt;="&amp;EOMONTH(S$19,0))+SUMIFS('Budget Data'!$J:$J,'Budget Data'!$E:$E,$B38,'Budget Data'!$C:$C,$B$2,'Budget Data'!$A:$A,"&gt;="&amp;S$19,'Budget Data'!$A:$A,"&lt;="&amp;EOMONTH(S$19,0))+SUMIFS('Budget Data'!$J:$J,'Budget Data'!$E:$E,$B38,'Budget Data'!$C:$C,$B$4,'Budget Data'!$A:$A,"&gt;="&amp;S$19,'Budget Data'!$A:$A,"&lt;="&amp;EOMONTH(S$19,0))+SUMIFS('Budget Data'!$J:$J,'Budget Data'!$E:$E,$B38,'Budget Data'!$C:$C,$B$3,'Budget Data'!$A:$A,"&gt;="&amp;S$19,'Budget Data'!$A:$A,"&lt;="&amp;EOMONTH(S$19,0))+SUMIFS('Budget Data'!$J:$J,'Budget Data'!$E:$E,$B38,'Budget Data'!$C:$C,$B$5,'Budget Data'!$A:$A,"&gt;="&amp;S$19,'Budget Data'!$A:$A,"&lt;="&amp;EOMONTH(S$19,0))+SUMIFS('Budget Data'!$J:$J,'Budget Data'!$E:$E,$B38,'Budget Data'!$C:$C,$B$6,'Budget Data'!$A:$A,"&gt;="&amp;S$19,'Budget Data'!$A:$A,"&lt;="&amp;EOMONTH(S$19,0)))</f>
        <v>3000</v>
      </c>
      <c r="T38" s="86">
        <f>SUMPRODUCT(SUMIFS('Allocated Transactions'!$J:$J,'Allocated Transactions'!$D:$D,$B38,'Allocated Transactions'!$C:$C,$B$7,'Allocated Transactions'!$A:$A,"&gt;="&amp;T$19,'Allocated Transactions'!$A:$A,"&lt;="&amp;EOMONTH(T$19,0))+SUMIFS('Allocated Transactions'!$J:$J,'Allocated Transactions'!$D:$D,$B38,'Allocated Transactions'!$C:$C,$B$9,'Allocated Transactions'!$A:$A,"&gt;="&amp;T$19,'Allocated Transactions'!$A:$A,"&lt;="&amp;EOMONTH(T$19,0))+SUMIFS('Allocated Transactions'!$J:$J,'Allocated Transactions'!$D:$D,$B38,'Allocated Transactions'!$C:$C,$B$8,'Allocated Transactions'!$A:$A,"&gt;="&amp;T$19,'Allocated Transactions'!$A:$A,"&lt;="&amp;EOMONTH(T$19,0))+SUMIFS('Allocated Transactions'!$J:$J,'Allocated Transactions'!$D:$D,$B38,'Allocated Transactions'!$C:$C,$B$10,'Allocated Transactions'!$A:$A,"&gt;="&amp;T$19,'Allocated Transactions'!$A:$A,"&lt;="&amp;EOMONTH(T$19,0))+SUMIFS('Allocated Transactions'!$J:$J,'Allocated Transactions'!$D:$D,$B38,'Allocated Transactions'!$C:$C,$B$11,'Allocated Transactions'!$A:$A,"&gt;="&amp;T$19,'Allocated Transactions'!$A:$A,"&lt;="&amp;EOMONTH(T$19,0))+SUMIFS('Allocated Transactions'!$J:$J,'Allocated Transactions'!$D:$D,$B38,'Allocated Transactions'!$C:$C,$B$2,'Allocated Transactions'!$A:$A,"&gt;="&amp;T$19,'Allocated Transactions'!$A:$A,"&lt;="&amp;EOMONTH(T$19,0))+SUMIFS('Allocated Transactions'!$J:$J,'Allocated Transactions'!$D:$D,$B38,'Allocated Transactions'!$C:$C,$B$4,'Allocated Transactions'!$A:$A,"&gt;="&amp;T$19,'Allocated Transactions'!$A:$A,"&lt;="&amp;EOMONTH(T$19,0))+SUMIFS('Allocated Transactions'!$J:$J,'Allocated Transactions'!$D:$D,$B38,'Allocated Transactions'!$C:$C,$B$3,'Allocated Transactions'!$A:$A,"&gt;="&amp;T$19,'Allocated Transactions'!$A:$A,"&lt;="&amp;EOMONTH(T$19,0))+SUMIFS('Allocated Transactions'!$J:$J,'Allocated Transactions'!$D:$D,$B38,'Allocated Transactions'!$C:$C,$B$5,'Allocated Transactions'!$A:$A,"&gt;="&amp;T$19,'Allocated Transactions'!$A:$A,"&lt;="&amp;EOMONTH(T$19,0))+SUMIFS('Allocated Transactions'!$J:$J,'Allocated Transactions'!$D:$D,$B38,'Allocated Transactions'!$C:$C,$B$6,'Allocated Transactions'!$A:$A,"&gt;="&amp;T$19,'Allocated Transactions'!$A:$A,"&lt;="&amp;EOMONTH(T$19,0)))</f>
        <v>2456.5</v>
      </c>
      <c r="U38" s="84">
        <f>SUMPRODUCT(SUMIFS('Budget Data'!$J:$J,'Budget Data'!$E:$E,$B38,'Budget Data'!$C:$C,$B$7,'Budget Data'!$A:$A,"&gt;="&amp;U$19,'Budget Data'!$A:$A,"&lt;="&amp;EOMONTH(U$19,0))+SUMIFS('Budget Data'!$J:$J,'Budget Data'!$E:$E,$B38,'Budget Data'!$C:$C,$B$9,'Budget Data'!$A:$A,"&gt;="&amp;U$19,'Budget Data'!$A:$A,"&lt;="&amp;EOMONTH(U$19,0))+SUMIFS('Budget Data'!$J:$J,'Budget Data'!$E:$E,$B38,'Budget Data'!$C:$C,$B$8,'Budget Data'!$A:$A,"&gt;="&amp;U$19,'Budget Data'!$A:$A,"&lt;="&amp;EOMONTH(U$19,0))+SUMIFS('Budget Data'!$J:$J,'Budget Data'!$E:$E,$B38,'Budget Data'!$C:$C,$B$10,'Budget Data'!$A:$A,"&gt;="&amp;U$19,'Budget Data'!$A:$A,"&lt;="&amp;EOMONTH(U$19,0))+SUMIFS('Budget Data'!$J:$J,'Budget Data'!$E:$E,$B38,'Budget Data'!$C:$C,$B$11,'Budget Data'!$A:$A,"&gt;="&amp;U$19,'Budget Data'!$A:$A,"&lt;="&amp;EOMONTH(U$19,0))+SUMIFS('Budget Data'!$J:$J,'Budget Data'!$E:$E,$B38,'Budget Data'!$C:$C,$B$2,'Budget Data'!$A:$A,"&gt;="&amp;U$19,'Budget Data'!$A:$A,"&lt;="&amp;EOMONTH(U$19,0))+SUMIFS('Budget Data'!$J:$J,'Budget Data'!$E:$E,$B38,'Budget Data'!$C:$C,$B$4,'Budget Data'!$A:$A,"&gt;="&amp;U$19,'Budget Data'!$A:$A,"&lt;="&amp;EOMONTH(U$19,0))+SUMIFS('Budget Data'!$J:$J,'Budget Data'!$E:$E,$B38,'Budget Data'!$C:$C,$B$3,'Budget Data'!$A:$A,"&gt;="&amp;U$19,'Budget Data'!$A:$A,"&lt;="&amp;EOMONTH(U$19,0))+SUMIFS('Budget Data'!$J:$J,'Budget Data'!$E:$E,$B38,'Budget Data'!$C:$C,$B$5,'Budget Data'!$A:$A,"&gt;="&amp;U$19,'Budget Data'!$A:$A,"&lt;="&amp;EOMONTH(U$19,0))+SUMIFS('Budget Data'!$J:$J,'Budget Data'!$E:$E,$B38,'Budget Data'!$C:$C,$B$6,'Budget Data'!$A:$A,"&gt;="&amp;U$19,'Budget Data'!$A:$A,"&lt;="&amp;EOMONTH(U$19,0)))</f>
        <v>2400</v>
      </c>
      <c r="V38" s="86">
        <f>SUMPRODUCT(SUMIFS('Allocated Transactions'!$J:$J,'Allocated Transactions'!$D:$D,$B38,'Allocated Transactions'!$C:$C,$B$7,'Allocated Transactions'!$A:$A,"&gt;="&amp;V$19,'Allocated Transactions'!$A:$A,"&lt;="&amp;EOMONTH(V$19,0))+SUMIFS('Allocated Transactions'!$J:$J,'Allocated Transactions'!$D:$D,$B38,'Allocated Transactions'!$C:$C,$B$9,'Allocated Transactions'!$A:$A,"&gt;="&amp;V$19,'Allocated Transactions'!$A:$A,"&lt;="&amp;EOMONTH(V$19,0))+SUMIFS('Allocated Transactions'!$J:$J,'Allocated Transactions'!$D:$D,$B38,'Allocated Transactions'!$C:$C,$B$8,'Allocated Transactions'!$A:$A,"&gt;="&amp;V$19,'Allocated Transactions'!$A:$A,"&lt;="&amp;EOMONTH(V$19,0))+SUMIFS('Allocated Transactions'!$J:$J,'Allocated Transactions'!$D:$D,$B38,'Allocated Transactions'!$C:$C,$B$10,'Allocated Transactions'!$A:$A,"&gt;="&amp;V$19,'Allocated Transactions'!$A:$A,"&lt;="&amp;EOMONTH(V$19,0))+SUMIFS('Allocated Transactions'!$J:$J,'Allocated Transactions'!$D:$D,$B38,'Allocated Transactions'!$C:$C,$B$11,'Allocated Transactions'!$A:$A,"&gt;="&amp;V$19,'Allocated Transactions'!$A:$A,"&lt;="&amp;EOMONTH(V$19,0))+SUMIFS('Allocated Transactions'!$J:$J,'Allocated Transactions'!$D:$D,$B38,'Allocated Transactions'!$C:$C,$B$2,'Allocated Transactions'!$A:$A,"&gt;="&amp;V$19,'Allocated Transactions'!$A:$A,"&lt;="&amp;EOMONTH(V$19,0))+SUMIFS('Allocated Transactions'!$J:$J,'Allocated Transactions'!$D:$D,$B38,'Allocated Transactions'!$C:$C,$B$4,'Allocated Transactions'!$A:$A,"&gt;="&amp;V$19,'Allocated Transactions'!$A:$A,"&lt;="&amp;EOMONTH(V$19,0))+SUMIFS('Allocated Transactions'!$J:$J,'Allocated Transactions'!$D:$D,$B38,'Allocated Transactions'!$C:$C,$B$3,'Allocated Transactions'!$A:$A,"&gt;="&amp;V$19,'Allocated Transactions'!$A:$A,"&lt;="&amp;EOMONTH(V$19,0))+SUMIFS('Allocated Transactions'!$J:$J,'Allocated Transactions'!$D:$D,$B38,'Allocated Transactions'!$C:$C,$B$5,'Allocated Transactions'!$A:$A,"&gt;="&amp;V$19,'Allocated Transactions'!$A:$A,"&lt;="&amp;EOMONTH(V$19,0))+SUMIFS('Allocated Transactions'!$J:$J,'Allocated Transactions'!$D:$D,$B38,'Allocated Transactions'!$C:$C,$B$6,'Allocated Transactions'!$A:$A,"&gt;="&amp;V$19,'Allocated Transactions'!$A:$A,"&lt;="&amp;EOMONTH(V$19,0)))</f>
        <v>2422.9899999999998</v>
      </c>
      <c r="W38" s="84">
        <f>SUMPRODUCT(SUMIFS('Budget Data'!$J:$J,'Budget Data'!$E:$E,$B38,'Budget Data'!$C:$C,$B$7,'Budget Data'!$A:$A,"&gt;="&amp;W$19,'Budget Data'!$A:$A,"&lt;="&amp;EOMONTH(W$19,0))+SUMIFS('Budget Data'!$J:$J,'Budget Data'!$E:$E,$B38,'Budget Data'!$C:$C,$B$9,'Budget Data'!$A:$A,"&gt;="&amp;W$19,'Budget Data'!$A:$A,"&lt;="&amp;EOMONTH(W$19,0))+SUMIFS('Budget Data'!$J:$J,'Budget Data'!$E:$E,$B38,'Budget Data'!$C:$C,$B$8,'Budget Data'!$A:$A,"&gt;="&amp;W$19,'Budget Data'!$A:$A,"&lt;="&amp;EOMONTH(W$19,0))+SUMIFS('Budget Data'!$J:$J,'Budget Data'!$E:$E,$B38,'Budget Data'!$C:$C,$B$10,'Budget Data'!$A:$A,"&gt;="&amp;W$19,'Budget Data'!$A:$A,"&lt;="&amp;EOMONTH(W$19,0))+SUMIFS('Budget Data'!$J:$J,'Budget Data'!$E:$E,$B38,'Budget Data'!$C:$C,$B$11,'Budget Data'!$A:$A,"&gt;="&amp;W$19,'Budget Data'!$A:$A,"&lt;="&amp;EOMONTH(W$19,0))+SUMIFS('Budget Data'!$J:$J,'Budget Data'!$E:$E,$B38,'Budget Data'!$C:$C,$B$2,'Budget Data'!$A:$A,"&gt;="&amp;W$19,'Budget Data'!$A:$A,"&lt;="&amp;EOMONTH(W$19,0))+SUMIFS('Budget Data'!$J:$J,'Budget Data'!$E:$E,$B38,'Budget Data'!$C:$C,$B$4,'Budget Data'!$A:$A,"&gt;="&amp;W$19,'Budget Data'!$A:$A,"&lt;="&amp;EOMONTH(W$19,0))+SUMIFS('Budget Data'!$J:$J,'Budget Data'!$E:$E,$B38,'Budget Data'!$C:$C,$B$3,'Budget Data'!$A:$A,"&gt;="&amp;W$19,'Budget Data'!$A:$A,"&lt;="&amp;EOMONTH(W$19,0))+SUMIFS('Budget Data'!$J:$J,'Budget Data'!$E:$E,$B38,'Budget Data'!$C:$C,$B$5,'Budget Data'!$A:$A,"&gt;="&amp;W$19,'Budget Data'!$A:$A,"&lt;="&amp;EOMONTH(W$19,0))+SUMIFS('Budget Data'!$J:$J,'Budget Data'!$E:$E,$B38,'Budget Data'!$C:$C,$B$6,'Budget Data'!$A:$A,"&gt;="&amp;W$19,'Budget Data'!$A:$A,"&lt;="&amp;EOMONTH(W$19,0)))</f>
        <v>2400</v>
      </c>
      <c r="X38" s="86">
        <f>SUMPRODUCT(SUMIFS('Allocated Transactions'!$J:$J,'Allocated Transactions'!$D:$D,$B38,'Allocated Transactions'!$C:$C,$B$7,'Allocated Transactions'!$A:$A,"&gt;="&amp;X$19,'Allocated Transactions'!$A:$A,"&lt;="&amp;EOMONTH(X$19,0))+SUMIFS('Allocated Transactions'!$J:$J,'Allocated Transactions'!$D:$D,$B38,'Allocated Transactions'!$C:$C,$B$9,'Allocated Transactions'!$A:$A,"&gt;="&amp;X$19,'Allocated Transactions'!$A:$A,"&lt;="&amp;EOMONTH(X$19,0))+SUMIFS('Allocated Transactions'!$J:$J,'Allocated Transactions'!$D:$D,$B38,'Allocated Transactions'!$C:$C,$B$8,'Allocated Transactions'!$A:$A,"&gt;="&amp;X$19,'Allocated Transactions'!$A:$A,"&lt;="&amp;EOMONTH(X$19,0))+SUMIFS('Allocated Transactions'!$J:$J,'Allocated Transactions'!$D:$D,$B38,'Allocated Transactions'!$C:$C,$B$10,'Allocated Transactions'!$A:$A,"&gt;="&amp;X$19,'Allocated Transactions'!$A:$A,"&lt;="&amp;EOMONTH(X$19,0))+SUMIFS('Allocated Transactions'!$J:$J,'Allocated Transactions'!$D:$D,$B38,'Allocated Transactions'!$C:$C,$B$11,'Allocated Transactions'!$A:$A,"&gt;="&amp;X$19,'Allocated Transactions'!$A:$A,"&lt;="&amp;EOMONTH(X$19,0))+SUMIFS('Allocated Transactions'!$J:$J,'Allocated Transactions'!$D:$D,$B38,'Allocated Transactions'!$C:$C,$B$2,'Allocated Transactions'!$A:$A,"&gt;="&amp;X$19,'Allocated Transactions'!$A:$A,"&lt;="&amp;EOMONTH(X$19,0))+SUMIFS('Allocated Transactions'!$J:$J,'Allocated Transactions'!$D:$D,$B38,'Allocated Transactions'!$C:$C,$B$4,'Allocated Transactions'!$A:$A,"&gt;="&amp;X$19,'Allocated Transactions'!$A:$A,"&lt;="&amp;EOMONTH(X$19,0))+SUMIFS('Allocated Transactions'!$J:$J,'Allocated Transactions'!$D:$D,$B38,'Allocated Transactions'!$C:$C,$B$3,'Allocated Transactions'!$A:$A,"&gt;="&amp;X$19,'Allocated Transactions'!$A:$A,"&lt;="&amp;EOMONTH(X$19,0))+SUMIFS('Allocated Transactions'!$J:$J,'Allocated Transactions'!$D:$D,$B38,'Allocated Transactions'!$C:$C,$B$5,'Allocated Transactions'!$A:$A,"&gt;="&amp;X$19,'Allocated Transactions'!$A:$A,"&lt;="&amp;EOMONTH(X$19,0))+SUMIFS('Allocated Transactions'!$J:$J,'Allocated Transactions'!$D:$D,$B38,'Allocated Transactions'!$C:$C,$B$6,'Allocated Transactions'!$A:$A,"&gt;="&amp;X$19,'Allocated Transactions'!$A:$A,"&lt;="&amp;EOMONTH(X$19,0)))</f>
        <v>3319.91</v>
      </c>
      <c r="Y38" s="84">
        <f>SUMPRODUCT(SUMIFS('Budget Data'!$J:$J,'Budget Data'!$E:$E,$B38,'Budget Data'!$C:$C,$B$7,'Budget Data'!$A:$A,"&gt;="&amp;Y$19,'Budget Data'!$A:$A,"&lt;="&amp;EOMONTH(Y$19,0))+SUMIFS('Budget Data'!$J:$J,'Budget Data'!$E:$E,$B38,'Budget Data'!$C:$C,$B$9,'Budget Data'!$A:$A,"&gt;="&amp;Y$19,'Budget Data'!$A:$A,"&lt;="&amp;EOMONTH(Y$19,0))+SUMIFS('Budget Data'!$J:$J,'Budget Data'!$E:$E,$B38,'Budget Data'!$C:$C,$B$8,'Budget Data'!$A:$A,"&gt;="&amp;Y$19,'Budget Data'!$A:$A,"&lt;="&amp;EOMONTH(Y$19,0))+SUMIFS('Budget Data'!$J:$J,'Budget Data'!$E:$E,$B38,'Budget Data'!$C:$C,$B$10,'Budget Data'!$A:$A,"&gt;="&amp;Y$19,'Budget Data'!$A:$A,"&lt;="&amp;EOMONTH(Y$19,0))+SUMIFS('Budget Data'!$J:$J,'Budget Data'!$E:$E,$B38,'Budget Data'!$C:$C,$B$11,'Budget Data'!$A:$A,"&gt;="&amp;Y$19,'Budget Data'!$A:$A,"&lt;="&amp;EOMONTH(Y$19,0))+SUMIFS('Budget Data'!$J:$J,'Budget Data'!$E:$E,$B38,'Budget Data'!$C:$C,$B$2,'Budget Data'!$A:$A,"&gt;="&amp;Y$19,'Budget Data'!$A:$A,"&lt;="&amp;EOMONTH(Y$19,0))+SUMIFS('Budget Data'!$J:$J,'Budget Data'!$E:$E,$B38,'Budget Data'!$C:$C,$B$4,'Budget Data'!$A:$A,"&gt;="&amp;Y$19,'Budget Data'!$A:$A,"&lt;="&amp;EOMONTH(Y$19,0))+SUMIFS('Budget Data'!$J:$J,'Budget Data'!$E:$E,$B38,'Budget Data'!$C:$C,$B$3,'Budget Data'!$A:$A,"&gt;="&amp;Y$19,'Budget Data'!$A:$A,"&lt;="&amp;EOMONTH(Y$19,0))+SUMIFS('Budget Data'!$J:$J,'Budget Data'!$E:$E,$B38,'Budget Data'!$C:$C,$B$5,'Budget Data'!$A:$A,"&gt;="&amp;Y$19,'Budget Data'!$A:$A,"&lt;="&amp;EOMONTH(Y$19,0))+SUMIFS('Budget Data'!$J:$J,'Budget Data'!$E:$E,$B38,'Budget Data'!$C:$C,$B$6,'Budget Data'!$A:$A,"&gt;="&amp;Y$19,'Budget Data'!$A:$A,"&lt;="&amp;EOMONTH(Y$19,0)))</f>
        <v>3300</v>
      </c>
      <c r="Z38" s="86">
        <f>SUMPRODUCT(SUMIFS('Allocated Transactions'!$J:$J,'Allocated Transactions'!$D:$D,$B38,'Allocated Transactions'!$C:$C,$B$7,'Allocated Transactions'!$A:$A,"&gt;="&amp;Z$19,'Allocated Transactions'!$A:$A,"&lt;="&amp;EOMONTH(Z$19,0))+SUMIFS('Allocated Transactions'!$J:$J,'Allocated Transactions'!$D:$D,$B38,'Allocated Transactions'!$C:$C,$B$9,'Allocated Transactions'!$A:$A,"&gt;="&amp;Z$19,'Allocated Transactions'!$A:$A,"&lt;="&amp;EOMONTH(Z$19,0))+SUMIFS('Allocated Transactions'!$J:$J,'Allocated Transactions'!$D:$D,$B38,'Allocated Transactions'!$C:$C,$B$8,'Allocated Transactions'!$A:$A,"&gt;="&amp;Z$19,'Allocated Transactions'!$A:$A,"&lt;="&amp;EOMONTH(Z$19,0))+SUMIFS('Allocated Transactions'!$J:$J,'Allocated Transactions'!$D:$D,$B38,'Allocated Transactions'!$C:$C,$B$10,'Allocated Transactions'!$A:$A,"&gt;="&amp;Z$19,'Allocated Transactions'!$A:$A,"&lt;="&amp;EOMONTH(Z$19,0))+SUMIFS('Allocated Transactions'!$J:$J,'Allocated Transactions'!$D:$D,$B38,'Allocated Transactions'!$C:$C,$B$11,'Allocated Transactions'!$A:$A,"&gt;="&amp;Z$19,'Allocated Transactions'!$A:$A,"&lt;="&amp;EOMONTH(Z$19,0))+SUMIFS('Allocated Transactions'!$J:$J,'Allocated Transactions'!$D:$D,$B38,'Allocated Transactions'!$C:$C,$B$2,'Allocated Transactions'!$A:$A,"&gt;="&amp;Z$19,'Allocated Transactions'!$A:$A,"&lt;="&amp;EOMONTH(Z$19,0))+SUMIFS('Allocated Transactions'!$J:$J,'Allocated Transactions'!$D:$D,$B38,'Allocated Transactions'!$C:$C,$B$4,'Allocated Transactions'!$A:$A,"&gt;="&amp;Z$19,'Allocated Transactions'!$A:$A,"&lt;="&amp;EOMONTH(Z$19,0))+SUMIFS('Allocated Transactions'!$J:$J,'Allocated Transactions'!$D:$D,$B38,'Allocated Transactions'!$C:$C,$B$3,'Allocated Transactions'!$A:$A,"&gt;="&amp;Z$19,'Allocated Transactions'!$A:$A,"&lt;="&amp;EOMONTH(Z$19,0))+SUMIFS('Allocated Transactions'!$J:$J,'Allocated Transactions'!$D:$D,$B38,'Allocated Transactions'!$C:$C,$B$5,'Allocated Transactions'!$A:$A,"&gt;="&amp;Z$19,'Allocated Transactions'!$A:$A,"&lt;="&amp;EOMONTH(Z$19,0))+SUMIFS('Allocated Transactions'!$J:$J,'Allocated Transactions'!$D:$D,$B38,'Allocated Transactions'!$C:$C,$B$6,'Allocated Transactions'!$A:$A,"&gt;="&amp;Z$19,'Allocated Transactions'!$A:$A,"&lt;="&amp;EOMONTH(Z$19,0)))</f>
        <v>2786.24</v>
      </c>
      <c r="AA38" s="84">
        <f>SUMPRODUCT(SUMIFS('Budget Data'!$J:$J,'Budget Data'!$E:$E,$B38,'Budget Data'!$C:$C,$B$7,'Budget Data'!$A:$A,"&gt;="&amp;AA$19,'Budget Data'!$A:$A,"&lt;="&amp;EOMONTH(AA$19,0))+SUMIFS('Budget Data'!$J:$J,'Budget Data'!$E:$E,$B38,'Budget Data'!$C:$C,$B$9,'Budget Data'!$A:$A,"&gt;="&amp;AA$19,'Budget Data'!$A:$A,"&lt;="&amp;EOMONTH(AA$19,0))+SUMIFS('Budget Data'!$J:$J,'Budget Data'!$E:$E,$B38,'Budget Data'!$C:$C,$B$8,'Budget Data'!$A:$A,"&gt;="&amp;AA$19,'Budget Data'!$A:$A,"&lt;="&amp;EOMONTH(AA$19,0))+SUMIFS('Budget Data'!$J:$J,'Budget Data'!$E:$E,$B38,'Budget Data'!$C:$C,$B$10,'Budget Data'!$A:$A,"&gt;="&amp;AA$19,'Budget Data'!$A:$A,"&lt;="&amp;EOMONTH(AA$19,0))+SUMIFS('Budget Data'!$J:$J,'Budget Data'!$E:$E,$B38,'Budget Data'!$C:$C,$B$11,'Budget Data'!$A:$A,"&gt;="&amp;AA$19,'Budget Data'!$A:$A,"&lt;="&amp;EOMONTH(AA$19,0))+SUMIFS('Budget Data'!$J:$J,'Budget Data'!$E:$E,$B38,'Budget Data'!$C:$C,$B$2,'Budget Data'!$A:$A,"&gt;="&amp;AA$19,'Budget Data'!$A:$A,"&lt;="&amp;EOMONTH(AA$19,0))+SUMIFS('Budget Data'!$J:$J,'Budget Data'!$E:$E,$B38,'Budget Data'!$C:$C,$B$4,'Budget Data'!$A:$A,"&gt;="&amp;AA$19,'Budget Data'!$A:$A,"&lt;="&amp;EOMONTH(AA$19,0))+SUMIFS('Budget Data'!$J:$J,'Budget Data'!$E:$E,$B38,'Budget Data'!$C:$C,$B$3,'Budget Data'!$A:$A,"&gt;="&amp;AA$19,'Budget Data'!$A:$A,"&lt;="&amp;EOMONTH(AA$19,0))+SUMIFS('Budget Data'!$J:$J,'Budget Data'!$E:$E,$B38,'Budget Data'!$C:$C,$B$5,'Budget Data'!$A:$A,"&gt;="&amp;AA$19,'Budget Data'!$A:$A,"&lt;="&amp;EOMONTH(AA$19,0))+SUMIFS('Budget Data'!$J:$J,'Budget Data'!$E:$E,$B38,'Budget Data'!$C:$C,$B$6,'Budget Data'!$A:$A,"&gt;="&amp;AA$19,'Budget Data'!$A:$A,"&lt;="&amp;EOMONTH(AA$19,0)))</f>
        <v>2800</v>
      </c>
      <c r="AC38" s="87">
        <f t="shared" si="2"/>
        <v>32640.510000000002</v>
      </c>
      <c r="AD38" s="84">
        <f t="shared" si="2"/>
        <v>32300</v>
      </c>
    </row>
    <row r="39" spans="2:30" ht="15" customHeight="1">
      <c r="B39" s="12" t="str">
        <v>5400</v>
      </c>
      <c r="C39" s="160" t="str">
        <f>_xlfn.XLOOKUP(B39,'Allocated Transactions'!D:D,'Allocated Transactions'!E:E,"")</f>
        <v>Travel</v>
      </c>
      <c r="D39" s="86">
        <f>SUMPRODUCT(SUMIFS('Allocated Transactions'!$J:$J,'Allocated Transactions'!$D:$D,$B39,'Allocated Transactions'!$C:$C,$B$7,'Allocated Transactions'!$A:$A,"&gt;="&amp;D$19,'Allocated Transactions'!$A:$A,"&lt;="&amp;EOMONTH(D$19,0))+SUMIFS('Allocated Transactions'!$J:$J,'Allocated Transactions'!$D:$D,$B39,'Allocated Transactions'!$C:$C,$B$9,'Allocated Transactions'!$A:$A,"&gt;="&amp;D$19,'Allocated Transactions'!$A:$A,"&lt;="&amp;EOMONTH(D$19,0))+SUMIFS('Allocated Transactions'!$J:$J,'Allocated Transactions'!$D:$D,$B39,'Allocated Transactions'!$C:$C,$B$8,'Allocated Transactions'!$A:$A,"&gt;="&amp;D$19,'Allocated Transactions'!$A:$A,"&lt;="&amp;EOMONTH(D$19,0))+SUMIFS('Allocated Transactions'!$J:$J,'Allocated Transactions'!$D:$D,$B39,'Allocated Transactions'!$C:$C,$B$10,'Allocated Transactions'!$A:$A,"&gt;="&amp;D$19,'Allocated Transactions'!$A:$A,"&lt;="&amp;EOMONTH(D$19,0))+SUMIFS('Allocated Transactions'!$J:$J,'Allocated Transactions'!$D:$D,$B39,'Allocated Transactions'!$C:$C,$B$11,'Allocated Transactions'!$A:$A,"&gt;="&amp;D$19,'Allocated Transactions'!$A:$A,"&lt;="&amp;EOMONTH(D$19,0))+SUMIFS('Allocated Transactions'!$J:$J,'Allocated Transactions'!$D:$D,$B39,'Allocated Transactions'!$C:$C,$B$2,'Allocated Transactions'!$A:$A,"&gt;="&amp;D$19,'Allocated Transactions'!$A:$A,"&lt;="&amp;EOMONTH(D$19,0))+SUMIFS('Allocated Transactions'!$J:$J,'Allocated Transactions'!$D:$D,$B39,'Allocated Transactions'!$C:$C,$B$4,'Allocated Transactions'!$A:$A,"&gt;="&amp;D$19,'Allocated Transactions'!$A:$A,"&lt;="&amp;EOMONTH(D$19,0))+SUMIFS('Allocated Transactions'!$J:$J,'Allocated Transactions'!$D:$D,$B39,'Allocated Transactions'!$C:$C,$B$3,'Allocated Transactions'!$A:$A,"&gt;="&amp;D$19,'Allocated Transactions'!$A:$A,"&lt;="&amp;EOMONTH(D$19,0))+SUMIFS('Allocated Transactions'!$J:$J,'Allocated Transactions'!$D:$D,$B39,'Allocated Transactions'!$C:$C,$B$5,'Allocated Transactions'!$A:$A,"&gt;="&amp;D$19,'Allocated Transactions'!$A:$A,"&lt;="&amp;EOMONTH(D$19,0))+SUMIFS('Allocated Transactions'!$J:$J,'Allocated Transactions'!$D:$D,$B39,'Allocated Transactions'!$C:$C,$B$6,'Allocated Transactions'!$A:$A,"&gt;="&amp;D$19,'Allocated Transactions'!$A:$A,"&lt;="&amp;EOMONTH(D$19,0)))</f>
        <v>2725.77</v>
      </c>
      <c r="E39" s="84">
        <f>SUMPRODUCT(SUMIFS('Budget Data'!$J:$J,'Budget Data'!$E:$E,$B39,'Budget Data'!$C:$C,$B$7,'Budget Data'!$A:$A,"&gt;="&amp;E$19,'Budget Data'!$A:$A,"&lt;="&amp;EOMONTH(E$19,0))+SUMIFS('Budget Data'!$J:$J,'Budget Data'!$E:$E,$B39,'Budget Data'!$C:$C,$B$9,'Budget Data'!$A:$A,"&gt;="&amp;E$19,'Budget Data'!$A:$A,"&lt;="&amp;EOMONTH(E$19,0))+SUMIFS('Budget Data'!$J:$J,'Budget Data'!$E:$E,$B39,'Budget Data'!$C:$C,$B$8,'Budget Data'!$A:$A,"&gt;="&amp;E$19,'Budget Data'!$A:$A,"&lt;="&amp;EOMONTH(E$19,0))+SUMIFS('Budget Data'!$J:$J,'Budget Data'!$E:$E,$B39,'Budget Data'!$C:$C,$B$10,'Budget Data'!$A:$A,"&gt;="&amp;E$19,'Budget Data'!$A:$A,"&lt;="&amp;EOMONTH(E$19,0))+SUMIFS('Budget Data'!$J:$J,'Budget Data'!$E:$E,$B39,'Budget Data'!$C:$C,$B$11,'Budget Data'!$A:$A,"&gt;="&amp;E$19,'Budget Data'!$A:$A,"&lt;="&amp;EOMONTH(E$19,0))+SUMIFS('Budget Data'!$J:$J,'Budget Data'!$E:$E,$B39,'Budget Data'!$C:$C,$B$2,'Budget Data'!$A:$A,"&gt;="&amp;E$19,'Budget Data'!$A:$A,"&lt;="&amp;EOMONTH(E$19,0))+SUMIFS('Budget Data'!$J:$J,'Budget Data'!$E:$E,$B39,'Budget Data'!$C:$C,$B$4,'Budget Data'!$A:$A,"&gt;="&amp;E$19,'Budget Data'!$A:$A,"&lt;="&amp;EOMONTH(E$19,0))+SUMIFS('Budget Data'!$J:$J,'Budget Data'!$E:$E,$B39,'Budget Data'!$C:$C,$B$3,'Budget Data'!$A:$A,"&gt;="&amp;E$19,'Budget Data'!$A:$A,"&lt;="&amp;EOMONTH(E$19,0))+SUMIFS('Budget Data'!$J:$J,'Budget Data'!$E:$E,$B39,'Budget Data'!$C:$C,$B$5,'Budget Data'!$A:$A,"&gt;="&amp;E$19,'Budget Data'!$A:$A,"&lt;="&amp;EOMONTH(E$19,0))+SUMIFS('Budget Data'!$J:$J,'Budget Data'!$E:$E,$B39,'Budget Data'!$C:$C,$B$6,'Budget Data'!$A:$A,"&gt;="&amp;E$19,'Budget Data'!$A:$A,"&lt;="&amp;EOMONTH(E$19,0)))</f>
        <v>2700</v>
      </c>
      <c r="F39" s="86">
        <f>SUMPRODUCT(SUMIFS('Allocated Transactions'!$J:$J,'Allocated Transactions'!$D:$D,$B39,'Allocated Transactions'!$C:$C,$B$7,'Allocated Transactions'!$A:$A,"&gt;="&amp;F$19,'Allocated Transactions'!$A:$A,"&lt;="&amp;EOMONTH(F$19,0))+SUMIFS('Allocated Transactions'!$J:$J,'Allocated Transactions'!$D:$D,$B39,'Allocated Transactions'!$C:$C,$B$9,'Allocated Transactions'!$A:$A,"&gt;="&amp;F$19,'Allocated Transactions'!$A:$A,"&lt;="&amp;EOMONTH(F$19,0))+SUMIFS('Allocated Transactions'!$J:$J,'Allocated Transactions'!$D:$D,$B39,'Allocated Transactions'!$C:$C,$B$8,'Allocated Transactions'!$A:$A,"&gt;="&amp;F$19,'Allocated Transactions'!$A:$A,"&lt;="&amp;EOMONTH(F$19,0))+SUMIFS('Allocated Transactions'!$J:$J,'Allocated Transactions'!$D:$D,$B39,'Allocated Transactions'!$C:$C,$B$10,'Allocated Transactions'!$A:$A,"&gt;="&amp;F$19,'Allocated Transactions'!$A:$A,"&lt;="&amp;EOMONTH(F$19,0))+SUMIFS('Allocated Transactions'!$J:$J,'Allocated Transactions'!$D:$D,$B39,'Allocated Transactions'!$C:$C,$B$11,'Allocated Transactions'!$A:$A,"&gt;="&amp;F$19,'Allocated Transactions'!$A:$A,"&lt;="&amp;EOMONTH(F$19,0))+SUMIFS('Allocated Transactions'!$J:$J,'Allocated Transactions'!$D:$D,$B39,'Allocated Transactions'!$C:$C,$B$2,'Allocated Transactions'!$A:$A,"&gt;="&amp;F$19,'Allocated Transactions'!$A:$A,"&lt;="&amp;EOMONTH(F$19,0))+SUMIFS('Allocated Transactions'!$J:$J,'Allocated Transactions'!$D:$D,$B39,'Allocated Transactions'!$C:$C,$B$4,'Allocated Transactions'!$A:$A,"&gt;="&amp;F$19,'Allocated Transactions'!$A:$A,"&lt;="&amp;EOMONTH(F$19,0))+SUMIFS('Allocated Transactions'!$J:$J,'Allocated Transactions'!$D:$D,$B39,'Allocated Transactions'!$C:$C,$B$3,'Allocated Transactions'!$A:$A,"&gt;="&amp;F$19,'Allocated Transactions'!$A:$A,"&lt;="&amp;EOMONTH(F$19,0))+SUMIFS('Allocated Transactions'!$J:$J,'Allocated Transactions'!$D:$D,$B39,'Allocated Transactions'!$C:$C,$B$5,'Allocated Transactions'!$A:$A,"&gt;="&amp;F$19,'Allocated Transactions'!$A:$A,"&lt;="&amp;EOMONTH(F$19,0))+SUMIFS('Allocated Transactions'!$J:$J,'Allocated Transactions'!$D:$D,$B39,'Allocated Transactions'!$C:$C,$B$6,'Allocated Transactions'!$A:$A,"&gt;="&amp;F$19,'Allocated Transactions'!$A:$A,"&lt;="&amp;EOMONTH(F$19,0)))</f>
        <v>4103.22</v>
      </c>
      <c r="G39" s="84">
        <f>SUMPRODUCT(SUMIFS('Budget Data'!$J:$J,'Budget Data'!$E:$E,$B39,'Budget Data'!$C:$C,$B$7,'Budget Data'!$A:$A,"&gt;="&amp;G$19,'Budget Data'!$A:$A,"&lt;="&amp;EOMONTH(G$19,0))+SUMIFS('Budget Data'!$J:$J,'Budget Data'!$E:$E,$B39,'Budget Data'!$C:$C,$B$9,'Budget Data'!$A:$A,"&gt;="&amp;G$19,'Budget Data'!$A:$A,"&lt;="&amp;EOMONTH(G$19,0))+SUMIFS('Budget Data'!$J:$J,'Budget Data'!$E:$E,$B39,'Budget Data'!$C:$C,$B$8,'Budget Data'!$A:$A,"&gt;="&amp;G$19,'Budget Data'!$A:$A,"&lt;="&amp;EOMONTH(G$19,0))+SUMIFS('Budget Data'!$J:$J,'Budget Data'!$E:$E,$B39,'Budget Data'!$C:$C,$B$10,'Budget Data'!$A:$A,"&gt;="&amp;G$19,'Budget Data'!$A:$A,"&lt;="&amp;EOMONTH(G$19,0))+SUMIFS('Budget Data'!$J:$J,'Budget Data'!$E:$E,$B39,'Budget Data'!$C:$C,$B$11,'Budget Data'!$A:$A,"&gt;="&amp;G$19,'Budget Data'!$A:$A,"&lt;="&amp;EOMONTH(G$19,0))+SUMIFS('Budget Data'!$J:$J,'Budget Data'!$E:$E,$B39,'Budget Data'!$C:$C,$B$2,'Budget Data'!$A:$A,"&gt;="&amp;G$19,'Budget Data'!$A:$A,"&lt;="&amp;EOMONTH(G$19,0))+SUMIFS('Budget Data'!$J:$J,'Budget Data'!$E:$E,$B39,'Budget Data'!$C:$C,$B$4,'Budget Data'!$A:$A,"&gt;="&amp;G$19,'Budget Data'!$A:$A,"&lt;="&amp;EOMONTH(G$19,0))+SUMIFS('Budget Data'!$J:$J,'Budget Data'!$E:$E,$B39,'Budget Data'!$C:$C,$B$3,'Budget Data'!$A:$A,"&gt;="&amp;G$19,'Budget Data'!$A:$A,"&lt;="&amp;EOMONTH(G$19,0))+SUMIFS('Budget Data'!$J:$J,'Budget Data'!$E:$E,$B39,'Budget Data'!$C:$C,$B$5,'Budget Data'!$A:$A,"&gt;="&amp;G$19,'Budget Data'!$A:$A,"&lt;="&amp;EOMONTH(G$19,0))+SUMIFS('Budget Data'!$J:$J,'Budget Data'!$E:$E,$B39,'Budget Data'!$C:$C,$B$6,'Budget Data'!$A:$A,"&gt;="&amp;G$19,'Budget Data'!$A:$A,"&lt;="&amp;EOMONTH(G$19,0)))</f>
        <v>4100</v>
      </c>
      <c r="H39" s="86">
        <f>SUMPRODUCT(SUMIFS('Allocated Transactions'!$J:$J,'Allocated Transactions'!$D:$D,$B39,'Allocated Transactions'!$C:$C,$B$7,'Allocated Transactions'!$A:$A,"&gt;="&amp;H$19,'Allocated Transactions'!$A:$A,"&lt;="&amp;EOMONTH(H$19,0))+SUMIFS('Allocated Transactions'!$J:$J,'Allocated Transactions'!$D:$D,$B39,'Allocated Transactions'!$C:$C,$B$9,'Allocated Transactions'!$A:$A,"&gt;="&amp;H$19,'Allocated Transactions'!$A:$A,"&lt;="&amp;EOMONTH(H$19,0))+SUMIFS('Allocated Transactions'!$J:$J,'Allocated Transactions'!$D:$D,$B39,'Allocated Transactions'!$C:$C,$B$8,'Allocated Transactions'!$A:$A,"&gt;="&amp;H$19,'Allocated Transactions'!$A:$A,"&lt;="&amp;EOMONTH(H$19,0))+SUMIFS('Allocated Transactions'!$J:$J,'Allocated Transactions'!$D:$D,$B39,'Allocated Transactions'!$C:$C,$B$10,'Allocated Transactions'!$A:$A,"&gt;="&amp;H$19,'Allocated Transactions'!$A:$A,"&lt;="&amp;EOMONTH(H$19,0))+SUMIFS('Allocated Transactions'!$J:$J,'Allocated Transactions'!$D:$D,$B39,'Allocated Transactions'!$C:$C,$B$11,'Allocated Transactions'!$A:$A,"&gt;="&amp;H$19,'Allocated Transactions'!$A:$A,"&lt;="&amp;EOMONTH(H$19,0))+SUMIFS('Allocated Transactions'!$J:$J,'Allocated Transactions'!$D:$D,$B39,'Allocated Transactions'!$C:$C,$B$2,'Allocated Transactions'!$A:$A,"&gt;="&amp;H$19,'Allocated Transactions'!$A:$A,"&lt;="&amp;EOMONTH(H$19,0))+SUMIFS('Allocated Transactions'!$J:$J,'Allocated Transactions'!$D:$D,$B39,'Allocated Transactions'!$C:$C,$B$4,'Allocated Transactions'!$A:$A,"&gt;="&amp;H$19,'Allocated Transactions'!$A:$A,"&lt;="&amp;EOMONTH(H$19,0))+SUMIFS('Allocated Transactions'!$J:$J,'Allocated Transactions'!$D:$D,$B39,'Allocated Transactions'!$C:$C,$B$3,'Allocated Transactions'!$A:$A,"&gt;="&amp;H$19,'Allocated Transactions'!$A:$A,"&lt;="&amp;EOMONTH(H$19,0))+SUMIFS('Allocated Transactions'!$J:$J,'Allocated Transactions'!$D:$D,$B39,'Allocated Transactions'!$C:$C,$B$5,'Allocated Transactions'!$A:$A,"&gt;="&amp;H$19,'Allocated Transactions'!$A:$A,"&lt;="&amp;EOMONTH(H$19,0))+SUMIFS('Allocated Transactions'!$J:$J,'Allocated Transactions'!$D:$D,$B39,'Allocated Transactions'!$C:$C,$B$6,'Allocated Transactions'!$A:$A,"&gt;="&amp;H$19,'Allocated Transactions'!$A:$A,"&lt;="&amp;EOMONTH(H$19,0)))</f>
        <v>1966.04</v>
      </c>
      <c r="I39" s="84">
        <f>SUMPRODUCT(SUMIFS('Budget Data'!$J:$J,'Budget Data'!$E:$E,$B39,'Budget Data'!$C:$C,$B$7,'Budget Data'!$A:$A,"&gt;="&amp;I$19,'Budget Data'!$A:$A,"&lt;="&amp;EOMONTH(I$19,0))+SUMIFS('Budget Data'!$J:$J,'Budget Data'!$E:$E,$B39,'Budget Data'!$C:$C,$B$9,'Budget Data'!$A:$A,"&gt;="&amp;I$19,'Budget Data'!$A:$A,"&lt;="&amp;EOMONTH(I$19,0))+SUMIFS('Budget Data'!$J:$J,'Budget Data'!$E:$E,$B39,'Budget Data'!$C:$C,$B$8,'Budget Data'!$A:$A,"&gt;="&amp;I$19,'Budget Data'!$A:$A,"&lt;="&amp;EOMONTH(I$19,0))+SUMIFS('Budget Data'!$J:$J,'Budget Data'!$E:$E,$B39,'Budget Data'!$C:$C,$B$10,'Budget Data'!$A:$A,"&gt;="&amp;I$19,'Budget Data'!$A:$A,"&lt;="&amp;EOMONTH(I$19,0))+SUMIFS('Budget Data'!$J:$J,'Budget Data'!$E:$E,$B39,'Budget Data'!$C:$C,$B$11,'Budget Data'!$A:$A,"&gt;="&amp;I$19,'Budget Data'!$A:$A,"&lt;="&amp;EOMONTH(I$19,0))+SUMIFS('Budget Data'!$J:$J,'Budget Data'!$E:$E,$B39,'Budget Data'!$C:$C,$B$2,'Budget Data'!$A:$A,"&gt;="&amp;I$19,'Budget Data'!$A:$A,"&lt;="&amp;EOMONTH(I$19,0))+SUMIFS('Budget Data'!$J:$J,'Budget Data'!$E:$E,$B39,'Budget Data'!$C:$C,$B$4,'Budget Data'!$A:$A,"&gt;="&amp;I$19,'Budget Data'!$A:$A,"&lt;="&amp;EOMONTH(I$19,0))+SUMIFS('Budget Data'!$J:$J,'Budget Data'!$E:$E,$B39,'Budget Data'!$C:$C,$B$3,'Budget Data'!$A:$A,"&gt;="&amp;I$19,'Budget Data'!$A:$A,"&lt;="&amp;EOMONTH(I$19,0))+SUMIFS('Budget Data'!$J:$J,'Budget Data'!$E:$E,$B39,'Budget Data'!$C:$C,$B$5,'Budget Data'!$A:$A,"&gt;="&amp;I$19,'Budget Data'!$A:$A,"&lt;="&amp;EOMONTH(I$19,0))+SUMIFS('Budget Data'!$J:$J,'Budget Data'!$E:$E,$B39,'Budget Data'!$C:$C,$B$6,'Budget Data'!$A:$A,"&gt;="&amp;I$19,'Budget Data'!$A:$A,"&lt;="&amp;EOMONTH(I$19,0)))</f>
        <v>1900</v>
      </c>
      <c r="J39" s="86">
        <f>SUMPRODUCT(SUMIFS('Allocated Transactions'!$J:$J,'Allocated Transactions'!$D:$D,$B39,'Allocated Transactions'!$C:$C,$B$7,'Allocated Transactions'!$A:$A,"&gt;="&amp;J$19,'Allocated Transactions'!$A:$A,"&lt;="&amp;EOMONTH(J$19,0))+SUMIFS('Allocated Transactions'!$J:$J,'Allocated Transactions'!$D:$D,$B39,'Allocated Transactions'!$C:$C,$B$9,'Allocated Transactions'!$A:$A,"&gt;="&amp;J$19,'Allocated Transactions'!$A:$A,"&lt;="&amp;EOMONTH(J$19,0))+SUMIFS('Allocated Transactions'!$J:$J,'Allocated Transactions'!$D:$D,$B39,'Allocated Transactions'!$C:$C,$B$8,'Allocated Transactions'!$A:$A,"&gt;="&amp;J$19,'Allocated Transactions'!$A:$A,"&lt;="&amp;EOMONTH(J$19,0))+SUMIFS('Allocated Transactions'!$J:$J,'Allocated Transactions'!$D:$D,$B39,'Allocated Transactions'!$C:$C,$B$10,'Allocated Transactions'!$A:$A,"&gt;="&amp;J$19,'Allocated Transactions'!$A:$A,"&lt;="&amp;EOMONTH(J$19,0))+SUMIFS('Allocated Transactions'!$J:$J,'Allocated Transactions'!$D:$D,$B39,'Allocated Transactions'!$C:$C,$B$11,'Allocated Transactions'!$A:$A,"&gt;="&amp;J$19,'Allocated Transactions'!$A:$A,"&lt;="&amp;EOMONTH(J$19,0))+SUMIFS('Allocated Transactions'!$J:$J,'Allocated Transactions'!$D:$D,$B39,'Allocated Transactions'!$C:$C,$B$2,'Allocated Transactions'!$A:$A,"&gt;="&amp;J$19,'Allocated Transactions'!$A:$A,"&lt;="&amp;EOMONTH(J$19,0))+SUMIFS('Allocated Transactions'!$J:$J,'Allocated Transactions'!$D:$D,$B39,'Allocated Transactions'!$C:$C,$B$4,'Allocated Transactions'!$A:$A,"&gt;="&amp;J$19,'Allocated Transactions'!$A:$A,"&lt;="&amp;EOMONTH(J$19,0))+SUMIFS('Allocated Transactions'!$J:$J,'Allocated Transactions'!$D:$D,$B39,'Allocated Transactions'!$C:$C,$B$3,'Allocated Transactions'!$A:$A,"&gt;="&amp;J$19,'Allocated Transactions'!$A:$A,"&lt;="&amp;EOMONTH(J$19,0))+SUMIFS('Allocated Transactions'!$J:$J,'Allocated Transactions'!$D:$D,$B39,'Allocated Transactions'!$C:$C,$B$5,'Allocated Transactions'!$A:$A,"&gt;="&amp;J$19,'Allocated Transactions'!$A:$A,"&lt;="&amp;EOMONTH(J$19,0))+SUMIFS('Allocated Transactions'!$J:$J,'Allocated Transactions'!$D:$D,$B39,'Allocated Transactions'!$C:$C,$B$6,'Allocated Transactions'!$A:$A,"&gt;="&amp;J$19,'Allocated Transactions'!$A:$A,"&lt;="&amp;EOMONTH(J$19,0)))</f>
        <v>2704.51</v>
      </c>
      <c r="K39" s="84">
        <f>SUMPRODUCT(SUMIFS('Budget Data'!$J:$J,'Budget Data'!$E:$E,$B39,'Budget Data'!$C:$C,$B$7,'Budget Data'!$A:$A,"&gt;="&amp;K$19,'Budget Data'!$A:$A,"&lt;="&amp;EOMONTH(K$19,0))+SUMIFS('Budget Data'!$J:$J,'Budget Data'!$E:$E,$B39,'Budget Data'!$C:$C,$B$9,'Budget Data'!$A:$A,"&gt;="&amp;K$19,'Budget Data'!$A:$A,"&lt;="&amp;EOMONTH(K$19,0))+SUMIFS('Budget Data'!$J:$J,'Budget Data'!$E:$E,$B39,'Budget Data'!$C:$C,$B$8,'Budget Data'!$A:$A,"&gt;="&amp;K$19,'Budget Data'!$A:$A,"&lt;="&amp;EOMONTH(K$19,0))+SUMIFS('Budget Data'!$J:$J,'Budget Data'!$E:$E,$B39,'Budget Data'!$C:$C,$B$10,'Budget Data'!$A:$A,"&gt;="&amp;K$19,'Budget Data'!$A:$A,"&lt;="&amp;EOMONTH(K$19,0))+SUMIFS('Budget Data'!$J:$J,'Budget Data'!$E:$E,$B39,'Budget Data'!$C:$C,$B$11,'Budget Data'!$A:$A,"&gt;="&amp;K$19,'Budget Data'!$A:$A,"&lt;="&amp;EOMONTH(K$19,0))+SUMIFS('Budget Data'!$J:$J,'Budget Data'!$E:$E,$B39,'Budget Data'!$C:$C,$B$2,'Budget Data'!$A:$A,"&gt;="&amp;K$19,'Budget Data'!$A:$A,"&lt;="&amp;EOMONTH(K$19,0))+SUMIFS('Budget Data'!$J:$J,'Budget Data'!$E:$E,$B39,'Budget Data'!$C:$C,$B$4,'Budget Data'!$A:$A,"&gt;="&amp;K$19,'Budget Data'!$A:$A,"&lt;="&amp;EOMONTH(K$19,0))+SUMIFS('Budget Data'!$J:$J,'Budget Data'!$E:$E,$B39,'Budget Data'!$C:$C,$B$3,'Budget Data'!$A:$A,"&gt;="&amp;K$19,'Budget Data'!$A:$A,"&lt;="&amp;EOMONTH(K$19,0))+SUMIFS('Budget Data'!$J:$J,'Budget Data'!$E:$E,$B39,'Budget Data'!$C:$C,$B$5,'Budget Data'!$A:$A,"&gt;="&amp;K$19,'Budget Data'!$A:$A,"&lt;="&amp;EOMONTH(K$19,0))+SUMIFS('Budget Data'!$J:$J,'Budget Data'!$E:$E,$B39,'Budget Data'!$C:$C,$B$6,'Budget Data'!$A:$A,"&gt;="&amp;K$19,'Budget Data'!$A:$A,"&lt;="&amp;EOMONTH(K$19,0)))</f>
        <v>2700</v>
      </c>
      <c r="L39" s="86">
        <f>SUMPRODUCT(SUMIFS('Allocated Transactions'!$J:$J,'Allocated Transactions'!$D:$D,$B39,'Allocated Transactions'!$C:$C,$B$7,'Allocated Transactions'!$A:$A,"&gt;="&amp;L$19,'Allocated Transactions'!$A:$A,"&lt;="&amp;EOMONTH(L$19,0))+SUMIFS('Allocated Transactions'!$J:$J,'Allocated Transactions'!$D:$D,$B39,'Allocated Transactions'!$C:$C,$B$9,'Allocated Transactions'!$A:$A,"&gt;="&amp;L$19,'Allocated Transactions'!$A:$A,"&lt;="&amp;EOMONTH(L$19,0))+SUMIFS('Allocated Transactions'!$J:$J,'Allocated Transactions'!$D:$D,$B39,'Allocated Transactions'!$C:$C,$B$8,'Allocated Transactions'!$A:$A,"&gt;="&amp;L$19,'Allocated Transactions'!$A:$A,"&lt;="&amp;EOMONTH(L$19,0))+SUMIFS('Allocated Transactions'!$J:$J,'Allocated Transactions'!$D:$D,$B39,'Allocated Transactions'!$C:$C,$B$10,'Allocated Transactions'!$A:$A,"&gt;="&amp;L$19,'Allocated Transactions'!$A:$A,"&lt;="&amp;EOMONTH(L$19,0))+SUMIFS('Allocated Transactions'!$J:$J,'Allocated Transactions'!$D:$D,$B39,'Allocated Transactions'!$C:$C,$B$11,'Allocated Transactions'!$A:$A,"&gt;="&amp;L$19,'Allocated Transactions'!$A:$A,"&lt;="&amp;EOMONTH(L$19,0))+SUMIFS('Allocated Transactions'!$J:$J,'Allocated Transactions'!$D:$D,$B39,'Allocated Transactions'!$C:$C,$B$2,'Allocated Transactions'!$A:$A,"&gt;="&amp;L$19,'Allocated Transactions'!$A:$A,"&lt;="&amp;EOMONTH(L$19,0))+SUMIFS('Allocated Transactions'!$J:$J,'Allocated Transactions'!$D:$D,$B39,'Allocated Transactions'!$C:$C,$B$4,'Allocated Transactions'!$A:$A,"&gt;="&amp;L$19,'Allocated Transactions'!$A:$A,"&lt;="&amp;EOMONTH(L$19,0))+SUMIFS('Allocated Transactions'!$J:$J,'Allocated Transactions'!$D:$D,$B39,'Allocated Transactions'!$C:$C,$B$3,'Allocated Transactions'!$A:$A,"&gt;="&amp;L$19,'Allocated Transactions'!$A:$A,"&lt;="&amp;EOMONTH(L$19,0))+SUMIFS('Allocated Transactions'!$J:$J,'Allocated Transactions'!$D:$D,$B39,'Allocated Transactions'!$C:$C,$B$5,'Allocated Transactions'!$A:$A,"&gt;="&amp;L$19,'Allocated Transactions'!$A:$A,"&lt;="&amp;EOMONTH(L$19,0))+SUMIFS('Allocated Transactions'!$J:$J,'Allocated Transactions'!$D:$D,$B39,'Allocated Transactions'!$C:$C,$B$6,'Allocated Transactions'!$A:$A,"&gt;="&amp;L$19,'Allocated Transactions'!$A:$A,"&lt;="&amp;EOMONTH(L$19,0)))</f>
        <v>611.67999999999995</v>
      </c>
      <c r="M39" s="84">
        <f>SUMPRODUCT(SUMIFS('Budget Data'!$J:$J,'Budget Data'!$E:$E,$B39,'Budget Data'!$C:$C,$B$7,'Budget Data'!$A:$A,"&gt;="&amp;M$19,'Budget Data'!$A:$A,"&lt;="&amp;EOMONTH(M$19,0))+SUMIFS('Budget Data'!$J:$J,'Budget Data'!$E:$E,$B39,'Budget Data'!$C:$C,$B$9,'Budget Data'!$A:$A,"&gt;="&amp;M$19,'Budget Data'!$A:$A,"&lt;="&amp;EOMONTH(M$19,0))+SUMIFS('Budget Data'!$J:$J,'Budget Data'!$E:$E,$B39,'Budget Data'!$C:$C,$B$8,'Budget Data'!$A:$A,"&gt;="&amp;M$19,'Budget Data'!$A:$A,"&lt;="&amp;EOMONTH(M$19,0))+SUMIFS('Budget Data'!$J:$J,'Budget Data'!$E:$E,$B39,'Budget Data'!$C:$C,$B$10,'Budget Data'!$A:$A,"&gt;="&amp;M$19,'Budget Data'!$A:$A,"&lt;="&amp;EOMONTH(M$19,0))+SUMIFS('Budget Data'!$J:$J,'Budget Data'!$E:$E,$B39,'Budget Data'!$C:$C,$B$11,'Budget Data'!$A:$A,"&gt;="&amp;M$19,'Budget Data'!$A:$A,"&lt;="&amp;EOMONTH(M$19,0))+SUMIFS('Budget Data'!$J:$J,'Budget Data'!$E:$E,$B39,'Budget Data'!$C:$C,$B$2,'Budget Data'!$A:$A,"&gt;="&amp;M$19,'Budget Data'!$A:$A,"&lt;="&amp;EOMONTH(M$19,0))+SUMIFS('Budget Data'!$J:$J,'Budget Data'!$E:$E,$B39,'Budget Data'!$C:$C,$B$4,'Budget Data'!$A:$A,"&gt;="&amp;M$19,'Budget Data'!$A:$A,"&lt;="&amp;EOMONTH(M$19,0))+SUMIFS('Budget Data'!$J:$J,'Budget Data'!$E:$E,$B39,'Budget Data'!$C:$C,$B$3,'Budget Data'!$A:$A,"&gt;="&amp;M$19,'Budget Data'!$A:$A,"&lt;="&amp;EOMONTH(M$19,0))+SUMIFS('Budget Data'!$J:$J,'Budget Data'!$E:$E,$B39,'Budget Data'!$C:$C,$B$5,'Budget Data'!$A:$A,"&gt;="&amp;M$19,'Budget Data'!$A:$A,"&lt;="&amp;EOMONTH(M$19,0))+SUMIFS('Budget Data'!$J:$J,'Budget Data'!$E:$E,$B39,'Budget Data'!$C:$C,$B$6,'Budget Data'!$A:$A,"&gt;="&amp;M$19,'Budget Data'!$A:$A,"&lt;="&amp;EOMONTH(M$19,0)))</f>
        <v>600</v>
      </c>
      <c r="N39" s="86">
        <f>SUMPRODUCT(SUMIFS('Allocated Transactions'!$J:$J,'Allocated Transactions'!$D:$D,$B39,'Allocated Transactions'!$C:$C,$B$7,'Allocated Transactions'!$A:$A,"&gt;="&amp;N$19,'Allocated Transactions'!$A:$A,"&lt;="&amp;EOMONTH(N$19,0))+SUMIFS('Allocated Transactions'!$J:$J,'Allocated Transactions'!$D:$D,$B39,'Allocated Transactions'!$C:$C,$B$9,'Allocated Transactions'!$A:$A,"&gt;="&amp;N$19,'Allocated Transactions'!$A:$A,"&lt;="&amp;EOMONTH(N$19,0))+SUMIFS('Allocated Transactions'!$J:$J,'Allocated Transactions'!$D:$D,$B39,'Allocated Transactions'!$C:$C,$B$8,'Allocated Transactions'!$A:$A,"&gt;="&amp;N$19,'Allocated Transactions'!$A:$A,"&lt;="&amp;EOMONTH(N$19,0))+SUMIFS('Allocated Transactions'!$J:$J,'Allocated Transactions'!$D:$D,$B39,'Allocated Transactions'!$C:$C,$B$10,'Allocated Transactions'!$A:$A,"&gt;="&amp;N$19,'Allocated Transactions'!$A:$A,"&lt;="&amp;EOMONTH(N$19,0))+SUMIFS('Allocated Transactions'!$J:$J,'Allocated Transactions'!$D:$D,$B39,'Allocated Transactions'!$C:$C,$B$11,'Allocated Transactions'!$A:$A,"&gt;="&amp;N$19,'Allocated Transactions'!$A:$A,"&lt;="&amp;EOMONTH(N$19,0))+SUMIFS('Allocated Transactions'!$J:$J,'Allocated Transactions'!$D:$D,$B39,'Allocated Transactions'!$C:$C,$B$2,'Allocated Transactions'!$A:$A,"&gt;="&amp;N$19,'Allocated Transactions'!$A:$A,"&lt;="&amp;EOMONTH(N$19,0))+SUMIFS('Allocated Transactions'!$J:$J,'Allocated Transactions'!$D:$D,$B39,'Allocated Transactions'!$C:$C,$B$4,'Allocated Transactions'!$A:$A,"&gt;="&amp;N$19,'Allocated Transactions'!$A:$A,"&lt;="&amp;EOMONTH(N$19,0))+SUMIFS('Allocated Transactions'!$J:$J,'Allocated Transactions'!$D:$D,$B39,'Allocated Transactions'!$C:$C,$B$3,'Allocated Transactions'!$A:$A,"&gt;="&amp;N$19,'Allocated Transactions'!$A:$A,"&lt;="&amp;EOMONTH(N$19,0))+SUMIFS('Allocated Transactions'!$J:$J,'Allocated Transactions'!$D:$D,$B39,'Allocated Transactions'!$C:$C,$B$5,'Allocated Transactions'!$A:$A,"&gt;="&amp;N$19,'Allocated Transactions'!$A:$A,"&lt;="&amp;EOMONTH(N$19,0))+SUMIFS('Allocated Transactions'!$J:$J,'Allocated Transactions'!$D:$D,$B39,'Allocated Transactions'!$C:$C,$B$6,'Allocated Transactions'!$A:$A,"&gt;="&amp;N$19,'Allocated Transactions'!$A:$A,"&lt;="&amp;EOMONTH(N$19,0)))</f>
        <v>3234.87</v>
      </c>
      <c r="O39" s="84">
        <f>SUMPRODUCT(SUMIFS('Budget Data'!$J:$J,'Budget Data'!$E:$E,$B39,'Budget Data'!$C:$C,$B$7,'Budget Data'!$A:$A,"&gt;="&amp;O$19,'Budget Data'!$A:$A,"&lt;="&amp;EOMONTH(O$19,0))+SUMIFS('Budget Data'!$J:$J,'Budget Data'!$E:$E,$B39,'Budget Data'!$C:$C,$B$9,'Budget Data'!$A:$A,"&gt;="&amp;O$19,'Budget Data'!$A:$A,"&lt;="&amp;EOMONTH(O$19,0))+SUMIFS('Budget Data'!$J:$J,'Budget Data'!$E:$E,$B39,'Budget Data'!$C:$C,$B$8,'Budget Data'!$A:$A,"&gt;="&amp;O$19,'Budget Data'!$A:$A,"&lt;="&amp;EOMONTH(O$19,0))+SUMIFS('Budget Data'!$J:$J,'Budget Data'!$E:$E,$B39,'Budget Data'!$C:$C,$B$10,'Budget Data'!$A:$A,"&gt;="&amp;O$19,'Budget Data'!$A:$A,"&lt;="&amp;EOMONTH(O$19,0))+SUMIFS('Budget Data'!$J:$J,'Budget Data'!$E:$E,$B39,'Budget Data'!$C:$C,$B$11,'Budget Data'!$A:$A,"&gt;="&amp;O$19,'Budget Data'!$A:$A,"&lt;="&amp;EOMONTH(O$19,0))+SUMIFS('Budget Data'!$J:$J,'Budget Data'!$E:$E,$B39,'Budget Data'!$C:$C,$B$2,'Budget Data'!$A:$A,"&gt;="&amp;O$19,'Budget Data'!$A:$A,"&lt;="&amp;EOMONTH(O$19,0))+SUMIFS('Budget Data'!$J:$J,'Budget Data'!$E:$E,$B39,'Budget Data'!$C:$C,$B$4,'Budget Data'!$A:$A,"&gt;="&amp;O$19,'Budget Data'!$A:$A,"&lt;="&amp;EOMONTH(O$19,0))+SUMIFS('Budget Data'!$J:$J,'Budget Data'!$E:$E,$B39,'Budget Data'!$C:$C,$B$3,'Budget Data'!$A:$A,"&gt;="&amp;O$19,'Budget Data'!$A:$A,"&lt;="&amp;EOMONTH(O$19,0))+SUMIFS('Budget Data'!$J:$J,'Budget Data'!$E:$E,$B39,'Budget Data'!$C:$C,$B$5,'Budget Data'!$A:$A,"&gt;="&amp;O$19,'Budget Data'!$A:$A,"&lt;="&amp;EOMONTH(O$19,0))+SUMIFS('Budget Data'!$J:$J,'Budget Data'!$E:$E,$B39,'Budget Data'!$C:$C,$B$6,'Budget Data'!$A:$A,"&gt;="&amp;O$19,'Budget Data'!$A:$A,"&lt;="&amp;EOMONTH(O$19,0)))</f>
        <v>3200</v>
      </c>
      <c r="P39" s="86">
        <f>SUMPRODUCT(SUMIFS('Allocated Transactions'!$J:$J,'Allocated Transactions'!$D:$D,$B39,'Allocated Transactions'!$C:$C,$B$7,'Allocated Transactions'!$A:$A,"&gt;="&amp;P$19,'Allocated Transactions'!$A:$A,"&lt;="&amp;EOMONTH(P$19,0))+SUMIFS('Allocated Transactions'!$J:$J,'Allocated Transactions'!$D:$D,$B39,'Allocated Transactions'!$C:$C,$B$9,'Allocated Transactions'!$A:$A,"&gt;="&amp;P$19,'Allocated Transactions'!$A:$A,"&lt;="&amp;EOMONTH(P$19,0))+SUMIFS('Allocated Transactions'!$J:$J,'Allocated Transactions'!$D:$D,$B39,'Allocated Transactions'!$C:$C,$B$8,'Allocated Transactions'!$A:$A,"&gt;="&amp;P$19,'Allocated Transactions'!$A:$A,"&lt;="&amp;EOMONTH(P$19,0))+SUMIFS('Allocated Transactions'!$J:$J,'Allocated Transactions'!$D:$D,$B39,'Allocated Transactions'!$C:$C,$B$10,'Allocated Transactions'!$A:$A,"&gt;="&amp;P$19,'Allocated Transactions'!$A:$A,"&lt;="&amp;EOMONTH(P$19,0))+SUMIFS('Allocated Transactions'!$J:$J,'Allocated Transactions'!$D:$D,$B39,'Allocated Transactions'!$C:$C,$B$11,'Allocated Transactions'!$A:$A,"&gt;="&amp;P$19,'Allocated Transactions'!$A:$A,"&lt;="&amp;EOMONTH(P$19,0))+SUMIFS('Allocated Transactions'!$J:$J,'Allocated Transactions'!$D:$D,$B39,'Allocated Transactions'!$C:$C,$B$2,'Allocated Transactions'!$A:$A,"&gt;="&amp;P$19,'Allocated Transactions'!$A:$A,"&lt;="&amp;EOMONTH(P$19,0))+SUMIFS('Allocated Transactions'!$J:$J,'Allocated Transactions'!$D:$D,$B39,'Allocated Transactions'!$C:$C,$B$4,'Allocated Transactions'!$A:$A,"&gt;="&amp;P$19,'Allocated Transactions'!$A:$A,"&lt;="&amp;EOMONTH(P$19,0))+SUMIFS('Allocated Transactions'!$J:$J,'Allocated Transactions'!$D:$D,$B39,'Allocated Transactions'!$C:$C,$B$3,'Allocated Transactions'!$A:$A,"&gt;="&amp;P$19,'Allocated Transactions'!$A:$A,"&lt;="&amp;EOMONTH(P$19,0))+SUMIFS('Allocated Transactions'!$J:$J,'Allocated Transactions'!$D:$D,$B39,'Allocated Transactions'!$C:$C,$B$5,'Allocated Transactions'!$A:$A,"&gt;="&amp;P$19,'Allocated Transactions'!$A:$A,"&lt;="&amp;EOMONTH(P$19,0))+SUMIFS('Allocated Transactions'!$J:$J,'Allocated Transactions'!$D:$D,$B39,'Allocated Transactions'!$C:$C,$B$6,'Allocated Transactions'!$A:$A,"&gt;="&amp;P$19,'Allocated Transactions'!$A:$A,"&lt;="&amp;EOMONTH(P$19,0)))</f>
        <v>3148.23</v>
      </c>
      <c r="Q39" s="84">
        <f>SUMPRODUCT(SUMIFS('Budget Data'!$J:$J,'Budget Data'!$E:$E,$B39,'Budget Data'!$C:$C,$B$7,'Budget Data'!$A:$A,"&gt;="&amp;Q$19,'Budget Data'!$A:$A,"&lt;="&amp;EOMONTH(Q$19,0))+SUMIFS('Budget Data'!$J:$J,'Budget Data'!$E:$E,$B39,'Budget Data'!$C:$C,$B$9,'Budget Data'!$A:$A,"&gt;="&amp;Q$19,'Budget Data'!$A:$A,"&lt;="&amp;EOMONTH(Q$19,0))+SUMIFS('Budget Data'!$J:$J,'Budget Data'!$E:$E,$B39,'Budget Data'!$C:$C,$B$8,'Budget Data'!$A:$A,"&gt;="&amp;Q$19,'Budget Data'!$A:$A,"&lt;="&amp;EOMONTH(Q$19,0))+SUMIFS('Budget Data'!$J:$J,'Budget Data'!$E:$E,$B39,'Budget Data'!$C:$C,$B$10,'Budget Data'!$A:$A,"&gt;="&amp;Q$19,'Budget Data'!$A:$A,"&lt;="&amp;EOMONTH(Q$19,0))+SUMIFS('Budget Data'!$J:$J,'Budget Data'!$E:$E,$B39,'Budget Data'!$C:$C,$B$11,'Budget Data'!$A:$A,"&gt;="&amp;Q$19,'Budget Data'!$A:$A,"&lt;="&amp;EOMONTH(Q$19,0))+SUMIFS('Budget Data'!$J:$J,'Budget Data'!$E:$E,$B39,'Budget Data'!$C:$C,$B$2,'Budget Data'!$A:$A,"&gt;="&amp;Q$19,'Budget Data'!$A:$A,"&lt;="&amp;EOMONTH(Q$19,0))+SUMIFS('Budget Data'!$J:$J,'Budget Data'!$E:$E,$B39,'Budget Data'!$C:$C,$B$4,'Budget Data'!$A:$A,"&gt;="&amp;Q$19,'Budget Data'!$A:$A,"&lt;="&amp;EOMONTH(Q$19,0))+SUMIFS('Budget Data'!$J:$J,'Budget Data'!$E:$E,$B39,'Budget Data'!$C:$C,$B$3,'Budget Data'!$A:$A,"&gt;="&amp;Q$19,'Budget Data'!$A:$A,"&lt;="&amp;EOMONTH(Q$19,0))+SUMIFS('Budget Data'!$J:$J,'Budget Data'!$E:$E,$B39,'Budget Data'!$C:$C,$B$5,'Budget Data'!$A:$A,"&gt;="&amp;Q$19,'Budget Data'!$A:$A,"&lt;="&amp;EOMONTH(Q$19,0))+SUMIFS('Budget Data'!$J:$J,'Budget Data'!$E:$E,$B39,'Budget Data'!$C:$C,$B$6,'Budget Data'!$A:$A,"&gt;="&amp;Q$19,'Budget Data'!$A:$A,"&lt;="&amp;EOMONTH(Q$19,0)))</f>
        <v>3100</v>
      </c>
      <c r="R39" s="86">
        <f>SUMPRODUCT(SUMIFS('Allocated Transactions'!$J:$J,'Allocated Transactions'!$D:$D,$B39,'Allocated Transactions'!$C:$C,$B$7,'Allocated Transactions'!$A:$A,"&gt;="&amp;R$19,'Allocated Transactions'!$A:$A,"&lt;="&amp;EOMONTH(R$19,0))+SUMIFS('Allocated Transactions'!$J:$J,'Allocated Transactions'!$D:$D,$B39,'Allocated Transactions'!$C:$C,$B$9,'Allocated Transactions'!$A:$A,"&gt;="&amp;R$19,'Allocated Transactions'!$A:$A,"&lt;="&amp;EOMONTH(R$19,0))+SUMIFS('Allocated Transactions'!$J:$J,'Allocated Transactions'!$D:$D,$B39,'Allocated Transactions'!$C:$C,$B$8,'Allocated Transactions'!$A:$A,"&gt;="&amp;R$19,'Allocated Transactions'!$A:$A,"&lt;="&amp;EOMONTH(R$19,0))+SUMIFS('Allocated Transactions'!$J:$J,'Allocated Transactions'!$D:$D,$B39,'Allocated Transactions'!$C:$C,$B$10,'Allocated Transactions'!$A:$A,"&gt;="&amp;R$19,'Allocated Transactions'!$A:$A,"&lt;="&amp;EOMONTH(R$19,0))+SUMIFS('Allocated Transactions'!$J:$J,'Allocated Transactions'!$D:$D,$B39,'Allocated Transactions'!$C:$C,$B$11,'Allocated Transactions'!$A:$A,"&gt;="&amp;R$19,'Allocated Transactions'!$A:$A,"&lt;="&amp;EOMONTH(R$19,0))+SUMIFS('Allocated Transactions'!$J:$J,'Allocated Transactions'!$D:$D,$B39,'Allocated Transactions'!$C:$C,$B$2,'Allocated Transactions'!$A:$A,"&gt;="&amp;R$19,'Allocated Transactions'!$A:$A,"&lt;="&amp;EOMONTH(R$19,0))+SUMIFS('Allocated Transactions'!$J:$J,'Allocated Transactions'!$D:$D,$B39,'Allocated Transactions'!$C:$C,$B$4,'Allocated Transactions'!$A:$A,"&gt;="&amp;R$19,'Allocated Transactions'!$A:$A,"&lt;="&amp;EOMONTH(R$19,0))+SUMIFS('Allocated Transactions'!$J:$J,'Allocated Transactions'!$D:$D,$B39,'Allocated Transactions'!$C:$C,$B$3,'Allocated Transactions'!$A:$A,"&gt;="&amp;R$19,'Allocated Transactions'!$A:$A,"&lt;="&amp;EOMONTH(R$19,0))+SUMIFS('Allocated Transactions'!$J:$J,'Allocated Transactions'!$D:$D,$B39,'Allocated Transactions'!$C:$C,$B$5,'Allocated Transactions'!$A:$A,"&gt;="&amp;R$19,'Allocated Transactions'!$A:$A,"&lt;="&amp;EOMONTH(R$19,0))+SUMIFS('Allocated Transactions'!$J:$J,'Allocated Transactions'!$D:$D,$B39,'Allocated Transactions'!$C:$C,$B$6,'Allocated Transactions'!$A:$A,"&gt;="&amp;R$19,'Allocated Transactions'!$A:$A,"&lt;="&amp;EOMONTH(R$19,0)))</f>
        <v>3702.02</v>
      </c>
      <c r="S39" s="84">
        <f>SUMPRODUCT(SUMIFS('Budget Data'!$J:$J,'Budget Data'!$E:$E,$B39,'Budget Data'!$C:$C,$B$7,'Budget Data'!$A:$A,"&gt;="&amp;S$19,'Budget Data'!$A:$A,"&lt;="&amp;EOMONTH(S$19,0))+SUMIFS('Budget Data'!$J:$J,'Budget Data'!$E:$E,$B39,'Budget Data'!$C:$C,$B$9,'Budget Data'!$A:$A,"&gt;="&amp;S$19,'Budget Data'!$A:$A,"&lt;="&amp;EOMONTH(S$19,0))+SUMIFS('Budget Data'!$J:$J,'Budget Data'!$E:$E,$B39,'Budget Data'!$C:$C,$B$8,'Budget Data'!$A:$A,"&gt;="&amp;S$19,'Budget Data'!$A:$A,"&lt;="&amp;EOMONTH(S$19,0))+SUMIFS('Budget Data'!$J:$J,'Budget Data'!$E:$E,$B39,'Budget Data'!$C:$C,$B$10,'Budget Data'!$A:$A,"&gt;="&amp;S$19,'Budget Data'!$A:$A,"&lt;="&amp;EOMONTH(S$19,0))+SUMIFS('Budget Data'!$J:$J,'Budget Data'!$E:$E,$B39,'Budget Data'!$C:$C,$B$11,'Budget Data'!$A:$A,"&gt;="&amp;S$19,'Budget Data'!$A:$A,"&lt;="&amp;EOMONTH(S$19,0))+SUMIFS('Budget Data'!$J:$J,'Budget Data'!$E:$E,$B39,'Budget Data'!$C:$C,$B$2,'Budget Data'!$A:$A,"&gt;="&amp;S$19,'Budget Data'!$A:$A,"&lt;="&amp;EOMONTH(S$19,0))+SUMIFS('Budget Data'!$J:$J,'Budget Data'!$E:$E,$B39,'Budget Data'!$C:$C,$B$4,'Budget Data'!$A:$A,"&gt;="&amp;S$19,'Budget Data'!$A:$A,"&lt;="&amp;EOMONTH(S$19,0))+SUMIFS('Budget Data'!$J:$J,'Budget Data'!$E:$E,$B39,'Budget Data'!$C:$C,$B$3,'Budget Data'!$A:$A,"&gt;="&amp;S$19,'Budget Data'!$A:$A,"&lt;="&amp;EOMONTH(S$19,0))+SUMIFS('Budget Data'!$J:$J,'Budget Data'!$E:$E,$B39,'Budget Data'!$C:$C,$B$5,'Budget Data'!$A:$A,"&gt;="&amp;S$19,'Budget Data'!$A:$A,"&lt;="&amp;EOMONTH(S$19,0))+SUMIFS('Budget Data'!$J:$J,'Budget Data'!$E:$E,$B39,'Budget Data'!$C:$C,$B$6,'Budget Data'!$A:$A,"&gt;="&amp;S$19,'Budget Data'!$A:$A,"&lt;="&amp;EOMONTH(S$19,0)))</f>
        <v>3700</v>
      </c>
      <c r="T39" s="86">
        <f>SUMPRODUCT(SUMIFS('Allocated Transactions'!$J:$J,'Allocated Transactions'!$D:$D,$B39,'Allocated Transactions'!$C:$C,$B$7,'Allocated Transactions'!$A:$A,"&gt;="&amp;T$19,'Allocated Transactions'!$A:$A,"&lt;="&amp;EOMONTH(T$19,0))+SUMIFS('Allocated Transactions'!$J:$J,'Allocated Transactions'!$D:$D,$B39,'Allocated Transactions'!$C:$C,$B$9,'Allocated Transactions'!$A:$A,"&gt;="&amp;T$19,'Allocated Transactions'!$A:$A,"&lt;="&amp;EOMONTH(T$19,0))+SUMIFS('Allocated Transactions'!$J:$J,'Allocated Transactions'!$D:$D,$B39,'Allocated Transactions'!$C:$C,$B$8,'Allocated Transactions'!$A:$A,"&gt;="&amp;T$19,'Allocated Transactions'!$A:$A,"&lt;="&amp;EOMONTH(T$19,0))+SUMIFS('Allocated Transactions'!$J:$J,'Allocated Transactions'!$D:$D,$B39,'Allocated Transactions'!$C:$C,$B$10,'Allocated Transactions'!$A:$A,"&gt;="&amp;T$19,'Allocated Transactions'!$A:$A,"&lt;="&amp;EOMONTH(T$19,0))+SUMIFS('Allocated Transactions'!$J:$J,'Allocated Transactions'!$D:$D,$B39,'Allocated Transactions'!$C:$C,$B$11,'Allocated Transactions'!$A:$A,"&gt;="&amp;T$19,'Allocated Transactions'!$A:$A,"&lt;="&amp;EOMONTH(T$19,0))+SUMIFS('Allocated Transactions'!$J:$J,'Allocated Transactions'!$D:$D,$B39,'Allocated Transactions'!$C:$C,$B$2,'Allocated Transactions'!$A:$A,"&gt;="&amp;T$19,'Allocated Transactions'!$A:$A,"&lt;="&amp;EOMONTH(T$19,0))+SUMIFS('Allocated Transactions'!$J:$J,'Allocated Transactions'!$D:$D,$B39,'Allocated Transactions'!$C:$C,$B$4,'Allocated Transactions'!$A:$A,"&gt;="&amp;T$19,'Allocated Transactions'!$A:$A,"&lt;="&amp;EOMONTH(T$19,0))+SUMIFS('Allocated Transactions'!$J:$J,'Allocated Transactions'!$D:$D,$B39,'Allocated Transactions'!$C:$C,$B$3,'Allocated Transactions'!$A:$A,"&gt;="&amp;T$19,'Allocated Transactions'!$A:$A,"&lt;="&amp;EOMONTH(T$19,0))+SUMIFS('Allocated Transactions'!$J:$J,'Allocated Transactions'!$D:$D,$B39,'Allocated Transactions'!$C:$C,$B$5,'Allocated Transactions'!$A:$A,"&gt;="&amp;T$19,'Allocated Transactions'!$A:$A,"&lt;="&amp;EOMONTH(T$19,0))+SUMIFS('Allocated Transactions'!$J:$J,'Allocated Transactions'!$D:$D,$B39,'Allocated Transactions'!$C:$C,$B$6,'Allocated Transactions'!$A:$A,"&gt;="&amp;T$19,'Allocated Transactions'!$A:$A,"&lt;="&amp;EOMONTH(T$19,0)))</f>
        <v>3422.65</v>
      </c>
      <c r="U39" s="84">
        <f>SUMPRODUCT(SUMIFS('Budget Data'!$J:$J,'Budget Data'!$E:$E,$B39,'Budget Data'!$C:$C,$B$7,'Budget Data'!$A:$A,"&gt;="&amp;U$19,'Budget Data'!$A:$A,"&lt;="&amp;EOMONTH(U$19,0))+SUMIFS('Budget Data'!$J:$J,'Budget Data'!$E:$E,$B39,'Budget Data'!$C:$C,$B$9,'Budget Data'!$A:$A,"&gt;="&amp;U$19,'Budget Data'!$A:$A,"&lt;="&amp;EOMONTH(U$19,0))+SUMIFS('Budget Data'!$J:$J,'Budget Data'!$E:$E,$B39,'Budget Data'!$C:$C,$B$8,'Budget Data'!$A:$A,"&gt;="&amp;U$19,'Budget Data'!$A:$A,"&lt;="&amp;EOMONTH(U$19,0))+SUMIFS('Budget Data'!$J:$J,'Budget Data'!$E:$E,$B39,'Budget Data'!$C:$C,$B$10,'Budget Data'!$A:$A,"&gt;="&amp;U$19,'Budget Data'!$A:$A,"&lt;="&amp;EOMONTH(U$19,0))+SUMIFS('Budget Data'!$J:$J,'Budget Data'!$E:$E,$B39,'Budget Data'!$C:$C,$B$11,'Budget Data'!$A:$A,"&gt;="&amp;U$19,'Budget Data'!$A:$A,"&lt;="&amp;EOMONTH(U$19,0))+SUMIFS('Budget Data'!$J:$J,'Budget Data'!$E:$E,$B39,'Budget Data'!$C:$C,$B$2,'Budget Data'!$A:$A,"&gt;="&amp;U$19,'Budget Data'!$A:$A,"&lt;="&amp;EOMONTH(U$19,0))+SUMIFS('Budget Data'!$J:$J,'Budget Data'!$E:$E,$B39,'Budget Data'!$C:$C,$B$4,'Budget Data'!$A:$A,"&gt;="&amp;U$19,'Budget Data'!$A:$A,"&lt;="&amp;EOMONTH(U$19,0))+SUMIFS('Budget Data'!$J:$J,'Budget Data'!$E:$E,$B39,'Budget Data'!$C:$C,$B$3,'Budget Data'!$A:$A,"&gt;="&amp;U$19,'Budget Data'!$A:$A,"&lt;="&amp;EOMONTH(U$19,0))+SUMIFS('Budget Data'!$J:$J,'Budget Data'!$E:$E,$B39,'Budget Data'!$C:$C,$B$5,'Budget Data'!$A:$A,"&gt;="&amp;U$19,'Budget Data'!$A:$A,"&lt;="&amp;EOMONTH(U$19,0))+SUMIFS('Budget Data'!$J:$J,'Budget Data'!$E:$E,$B39,'Budget Data'!$C:$C,$B$6,'Budget Data'!$A:$A,"&gt;="&amp;U$19,'Budget Data'!$A:$A,"&lt;="&amp;EOMONTH(U$19,0)))</f>
        <v>3400</v>
      </c>
      <c r="V39" s="86">
        <f>SUMPRODUCT(SUMIFS('Allocated Transactions'!$J:$J,'Allocated Transactions'!$D:$D,$B39,'Allocated Transactions'!$C:$C,$B$7,'Allocated Transactions'!$A:$A,"&gt;="&amp;V$19,'Allocated Transactions'!$A:$A,"&lt;="&amp;EOMONTH(V$19,0))+SUMIFS('Allocated Transactions'!$J:$J,'Allocated Transactions'!$D:$D,$B39,'Allocated Transactions'!$C:$C,$B$9,'Allocated Transactions'!$A:$A,"&gt;="&amp;V$19,'Allocated Transactions'!$A:$A,"&lt;="&amp;EOMONTH(V$19,0))+SUMIFS('Allocated Transactions'!$J:$J,'Allocated Transactions'!$D:$D,$B39,'Allocated Transactions'!$C:$C,$B$8,'Allocated Transactions'!$A:$A,"&gt;="&amp;V$19,'Allocated Transactions'!$A:$A,"&lt;="&amp;EOMONTH(V$19,0))+SUMIFS('Allocated Transactions'!$J:$J,'Allocated Transactions'!$D:$D,$B39,'Allocated Transactions'!$C:$C,$B$10,'Allocated Transactions'!$A:$A,"&gt;="&amp;V$19,'Allocated Transactions'!$A:$A,"&lt;="&amp;EOMONTH(V$19,0))+SUMIFS('Allocated Transactions'!$J:$J,'Allocated Transactions'!$D:$D,$B39,'Allocated Transactions'!$C:$C,$B$11,'Allocated Transactions'!$A:$A,"&gt;="&amp;V$19,'Allocated Transactions'!$A:$A,"&lt;="&amp;EOMONTH(V$19,0))+SUMIFS('Allocated Transactions'!$J:$J,'Allocated Transactions'!$D:$D,$B39,'Allocated Transactions'!$C:$C,$B$2,'Allocated Transactions'!$A:$A,"&gt;="&amp;V$19,'Allocated Transactions'!$A:$A,"&lt;="&amp;EOMONTH(V$19,0))+SUMIFS('Allocated Transactions'!$J:$J,'Allocated Transactions'!$D:$D,$B39,'Allocated Transactions'!$C:$C,$B$4,'Allocated Transactions'!$A:$A,"&gt;="&amp;V$19,'Allocated Transactions'!$A:$A,"&lt;="&amp;EOMONTH(V$19,0))+SUMIFS('Allocated Transactions'!$J:$J,'Allocated Transactions'!$D:$D,$B39,'Allocated Transactions'!$C:$C,$B$3,'Allocated Transactions'!$A:$A,"&gt;="&amp;V$19,'Allocated Transactions'!$A:$A,"&lt;="&amp;EOMONTH(V$19,0))+SUMIFS('Allocated Transactions'!$J:$J,'Allocated Transactions'!$D:$D,$B39,'Allocated Transactions'!$C:$C,$B$5,'Allocated Transactions'!$A:$A,"&gt;="&amp;V$19,'Allocated Transactions'!$A:$A,"&lt;="&amp;EOMONTH(V$19,0))+SUMIFS('Allocated Transactions'!$J:$J,'Allocated Transactions'!$D:$D,$B39,'Allocated Transactions'!$C:$C,$B$6,'Allocated Transactions'!$A:$A,"&gt;="&amp;V$19,'Allocated Transactions'!$A:$A,"&lt;="&amp;EOMONTH(V$19,0)))</f>
        <v>3989.75</v>
      </c>
      <c r="W39" s="84">
        <f>SUMPRODUCT(SUMIFS('Budget Data'!$J:$J,'Budget Data'!$E:$E,$B39,'Budget Data'!$C:$C,$B$7,'Budget Data'!$A:$A,"&gt;="&amp;W$19,'Budget Data'!$A:$A,"&lt;="&amp;EOMONTH(W$19,0))+SUMIFS('Budget Data'!$J:$J,'Budget Data'!$E:$E,$B39,'Budget Data'!$C:$C,$B$9,'Budget Data'!$A:$A,"&gt;="&amp;W$19,'Budget Data'!$A:$A,"&lt;="&amp;EOMONTH(W$19,0))+SUMIFS('Budget Data'!$J:$J,'Budget Data'!$E:$E,$B39,'Budget Data'!$C:$C,$B$8,'Budget Data'!$A:$A,"&gt;="&amp;W$19,'Budget Data'!$A:$A,"&lt;="&amp;EOMONTH(W$19,0))+SUMIFS('Budget Data'!$J:$J,'Budget Data'!$E:$E,$B39,'Budget Data'!$C:$C,$B$10,'Budget Data'!$A:$A,"&gt;="&amp;W$19,'Budget Data'!$A:$A,"&lt;="&amp;EOMONTH(W$19,0))+SUMIFS('Budget Data'!$J:$J,'Budget Data'!$E:$E,$B39,'Budget Data'!$C:$C,$B$11,'Budget Data'!$A:$A,"&gt;="&amp;W$19,'Budget Data'!$A:$A,"&lt;="&amp;EOMONTH(W$19,0))+SUMIFS('Budget Data'!$J:$J,'Budget Data'!$E:$E,$B39,'Budget Data'!$C:$C,$B$2,'Budget Data'!$A:$A,"&gt;="&amp;W$19,'Budget Data'!$A:$A,"&lt;="&amp;EOMONTH(W$19,0))+SUMIFS('Budget Data'!$J:$J,'Budget Data'!$E:$E,$B39,'Budget Data'!$C:$C,$B$4,'Budget Data'!$A:$A,"&gt;="&amp;W$19,'Budget Data'!$A:$A,"&lt;="&amp;EOMONTH(W$19,0))+SUMIFS('Budget Data'!$J:$J,'Budget Data'!$E:$E,$B39,'Budget Data'!$C:$C,$B$3,'Budget Data'!$A:$A,"&gt;="&amp;W$19,'Budget Data'!$A:$A,"&lt;="&amp;EOMONTH(W$19,0))+SUMIFS('Budget Data'!$J:$J,'Budget Data'!$E:$E,$B39,'Budget Data'!$C:$C,$B$5,'Budget Data'!$A:$A,"&gt;="&amp;W$19,'Budget Data'!$A:$A,"&lt;="&amp;EOMONTH(W$19,0))+SUMIFS('Budget Data'!$J:$J,'Budget Data'!$E:$E,$B39,'Budget Data'!$C:$C,$B$6,'Budget Data'!$A:$A,"&gt;="&amp;W$19,'Budget Data'!$A:$A,"&lt;="&amp;EOMONTH(W$19,0)))</f>
        <v>3900</v>
      </c>
      <c r="X39" s="86">
        <f>SUMPRODUCT(SUMIFS('Allocated Transactions'!$J:$J,'Allocated Transactions'!$D:$D,$B39,'Allocated Transactions'!$C:$C,$B$7,'Allocated Transactions'!$A:$A,"&gt;="&amp;X$19,'Allocated Transactions'!$A:$A,"&lt;="&amp;EOMONTH(X$19,0))+SUMIFS('Allocated Transactions'!$J:$J,'Allocated Transactions'!$D:$D,$B39,'Allocated Transactions'!$C:$C,$B$9,'Allocated Transactions'!$A:$A,"&gt;="&amp;X$19,'Allocated Transactions'!$A:$A,"&lt;="&amp;EOMONTH(X$19,0))+SUMIFS('Allocated Transactions'!$J:$J,'Allocated Transactions'!$D:$D,$B39,'Allocated Transactions'!$C:$C,$B$8,'Allocated Transactions'!$A:$A,"&gt;="&amp;X$19,'Allocated Transactions'!$A:$A,"&lt;="&amp;EOMONTH(X$19,0))+SUMIFS('Allocated Transactions'!$J:$J,'Allocated Transactions'!$D:$D,$B39,'Allocated Transactions'!$C:$C,$B$10,'Allocated Transactions'!$A:$A,"&gt;="&amp;X$19,'Allocated Transactions'!$A:$A,"&lt;="&amp;EOMONTH(X$19,0))+SUMIFS('Allocated Transactions'!$J:$J,'Allocated Transactions'!$D:$D,$B39,'Allocated Transactions'!$C:$C,$B$11,'Allocated Transactions'!$A:$A,"&gt;="&amp;X$19,'Allocated Transactions'!$A:$A,"&lt;="&amp;EOMONTH(X$19,0))+SUMIFS('Allocated Transactions'!$J:$J,'Allocated Transactions'!$D:$D,$B39,'Allocated Transactions'!$C:$C,$B$2,'Allocated Transactions'!$A:$A,"&gt;="&amp;X$19,'Allocated Transactions'!$A:$A,"&lt;="&amp;EOMONTH(X$19,0))+SUMIFS('Allocated Transactions'!$J:$J,'Allocated Transactions'!$D:$D,$B39,'Allocated Transactions'!$C:$C,$B$4,'Allocated Transactions'!$A:$A,"&gt;="&amp;X$19,'Allocated Transactions'!$A:$A,"&lt;="&amp;EOMONTH(X$19,0))+SUMIFS('Allocated Transactions'!$J:$J,'Allocated Transactions'!$D:$D,$B39,'Allocated Transactions'!$C:$C,$B$3,'Allocated Transactions'!$A:$A,"&gt;="&amp;X$19,'Allocated Transactions'!$A:$A,"&lt;="&amp;EOMONTH(X$19,0))+SUMIFS('Allocated Transactions'!$J:$J,'Allocated Transactions'!$D:$D,$B39,'Allocated Transactions'!$C:$C,$B$5,'Allocated Transactions'!$A:$A,"&gt;="&amp;X$19,'Allocated Transactions'!$A:$A,"&lt;="&amp;EOMONTH(X$19,0))+SUMIFS('Allocated Transactions'!$J:$J,'Allocated Transactions'!$D:$D,$B39,'Allocated Transactions'!$C:$C,$B$6,'Allocated Transactions'!$A:$A,"&gt;="&amp;X$19,'Allocated Transactions'!$A:$A,"&lt;="&amp;EOMONTH(X$19,0)))</f>
        <v>2177.46</v>
      </c>
      <c r="Y39" s="84">
        <f>SUMPRODUCT(SUMIFS('Budget Data'!$J:$J,'Budget Data'!$E:$E,$B39,'Budget Data'!$C:$C,$B$7,'Budget Data'!$A:$A,"&gt;="&amp;Y$19,'Budget Data'!$A:$A,"&lt;="&amp;EOMONTH(Y$19,0))+SUMIFS('Budget Data'!$J:$J,'Budget Data'!$E:$E,$B39,'Budget Data'!$C:$C,$B$9,'Budget Data'!$A:$A,"&gt;="&amp;Y$19,'Budget Data'!$A:$A,"&lt;="&amp;EOMONTH(Y$19,0))+SUMIFS('Budget Data'!$J:$J,'Budget Data'!$E:$E,$B39,'Budget Data'!$C:$C,$B$8,'Budget Data'!$A:$A,"&gt;="&amp;Y$19,'Budget Data'!$A:$A,"&lt;="&amp;EOMONTH(Y$19,0))+SUMIFS('Budget Data'!$J:$J,'Budget Data'!$E:$E,$B39,'Budget Data'!$C:$C,$B$10,'Budget Data'!$A:$A,"&gt;="&amp;Y$19,'Budget Data'!$A:$A,"&lt;="&amp;EOMONTH(Y$19,0))+SUMIFS('Budget Data'!$J:$J,'Budget Data'!$E:$E,$B39,'Budget Data'!$C:$C,$B$11,'Budget Data'!$A:$A,"&gt;="&amp;Y$19,'Budget Data'!$A:$A,"&lt;="&amp;EOMONTH(Y$19,0))+SUMIFS('Budget Data'!$J:$J,'Budget Data'!$E:$E,$B39,'Budget Data'!$C:$C,$B$2,'Budget Data'!$A:$A,"&gt;="&amp;Y$19,'Budget Data'!$A:$A,"&lt;="&amp;EOMONTH(Y$19,0))+SUMIFS('Budget Data'!$J:$J,'Budget Data'!$E:$E,$B39,'Budget Data'!$C:$C,$B$4,'Budget Data'!$A:$A,"&gt;="&amp;Y$19,'Budget Data'!$A:$A,"&lt;="&amp;EOMONTH(Y$19,0))+SUMIFS('Budget Data'!$J:$J,'Budget Data'!$E:$E,$B39,'Budget Data'!$C:$C,$B$3,'Budget Data'!$A:$A,"&gt;="&amp;Y$19,'Budget Data'!$A:$A,"&lt;="&amp;EOMONTH(Y$19,0))+SUMIFS('Budget Data'!$J:$J,'Budget Data'!$E:$E,$B39,'Budget Data'!$C:$C,$B$5,'Budget Data'!$A:$A,"&gt;="&amp;Y$19,'Budget Data'!$A:$A,"&lt;="&amp;EOMONTH(Y$19,0))+SUMIFS('Budget Data'!$J:$J,'Budget Data'!$E:$E,$B39,'Budget Data'!$C:$C,$B$6,'Budget Data'!$A:$A,"&gt;="&amp;Y$19,'Budget Data'!$A:$A,"&lt;="&amp;EOMONTH(Y$19,0)))</f>
        <v>2200</v>
      </c>
      <c r="Z39" s="86">
        <f>SUMPRODUCT(SUMIFS('Allocated Transactions'!$J:$J,'Allocated Transactions'!$D:$D,$B39,'Allocated Transactions'!$C:$C,$B$7,'Allocated Transactions'!$A:$A,"&gt;="&amp;Z$19,'Allocated Transactions'!$A:$A,"&lt;="&amp;EOMONTH(Z$19,0))+SUMIFS('Allocated Transactions'!$J:$J,'Allocated Transactions'!$D:$D,$B39,'Allocated Transactions'!$C:$C,$B$9,'Allocated Transactions'!$A:$A,"&gt;="&amp;Z$19,'Allocated Transactions'!$A:$A,"&lt;="&amp;EOMONTH(Z$19,0))+SUMIFS('Allocated Transactions'!$J:$J,'Allocated Transactions'!$D:$D,$B39,'Allocated Transactions'!$C:$C,$B$8,'Allocated Transactions'!$A:$A,"&gt;="&amp;Z$19,'Allocated Transactions'!$A:$A,"&lt;="&amp;EOMONTH(Z$19,0))+SUMIFS('Allocated Transactions'!$J:$J,'Allocated Transactions'!$D:$D,$B39,'Allocated Transactions'!$C:$C,$B$10,'Allocated Transactions'!$A:$A,"&gt;="&amp;Z$19,'Allocated Transactions'!$A:$A,"&lt;="&amp;EOMONTH(Z$19,0))+SUMIFS('Allocated Transactions'!$J:$J,'Allocated Transactions'!$D:$D,$B39,'Allocated Transactions'!$C:$C,$B$11,'Allocated Transactions'!$A:$A,"&gt;="&amp;Z$19,'Allocated Transactions'!$A:$A,"&lt;="&amp;EOMONTH(Z$19,0))+SUMIFS('Allocated Transactions'!$J:$J,'Allocated Transactions'!$D:$D,$B39,'Allocated Transactions'!$C:$C,$B$2,'Allocated Transactions'!$A:$A,"&gt;="&amp;Z$19,'Allocated Transactions'!$A:$A,"&lt;="&amp;EOMONTH(Z$19,0))+SUMIFS('Allocated Transactions'!$J:$J,'Allocated Transactions'!$D:$D,$B39,'Allocated Transactions'!$C:$C,$B$4,'Allocated Transactions'!$A:$A,"&gt;="&amp;Z$19,'Allocated Transactions'!$A:$A,"&lt;="&amp;EOMONTH(Z$19,0))+SUMIFS('Allocated Transactions'!$J:$J,'Allocated Transactions'!$D:$D,$B39,'Allocated Transactions'!$C:$C,$B$3,'Allocated Transactions'!$A:$A,"&gt;="&amp;Z$19,'Allocated Transactions'!$A:$A,"&lt;="&amp;EOMONTH(Z$19,0))+SUMIFS('Allocated Transactions'!$J:$J,'Allocated Transactions'!$D:$D,$B39,'Allocated Transactions'!$C:$C,$B$5,'Allocated Transactions'!$A:$A,"&gt;="&amp;Z$19,'Allocated Transactions'!$A:$A,"&lt;="&amp;EOMONTH(Z$19,0))+SUMIFS('Allocated Transactions'!$J:$J,'Allocated Transactions'!$D:$D,$B39,'Allocated Transactions'!$C:$C,$B$6,'Allocated Transactions'!$A:$A,"&gt;="&amp;Z$19,'Allocated Transactions'!$A:$A,"&lt;="&amp;EOMONTH(Z$19,0)))</f>
        <v>0</v>
      </c>
      <c r="AA39" s="84">
        <f>SUMPRODUCT(SUMIFS('Budget Data'!$J:$J,'Budget Data'!$E:$E,$B39,'Budget Data'!$C:$C,$B$7,'Budget Data'!$A:$A,"&gt;="&amp;AA$19,'Budget Data'!$A:$A,"&lt;="&amp;EOMONTH(AA$19,0))+SUMIFS('Budget Data'!$J:$J,'Budget Data'!$E:$E,$B39,'Budget Data'!$C:$C,$B$9,'Budget Data'!$A:$A,"&gt;="&amp;AA$19,'Budget Data'!$A:$A,"&lt;="&amp;EOMONTH(AA$19,0))+SUMIFS('Budget Data'!$J:$J,'Budget Data'!$E:$E,$B39,'Budget Data'!$C:$C,$B$8,'Budget Data'!$A:$A,"&gt;="&amp;AA$19,'Budget Data'!$A:$A,"&lt;="&amp;EOMONTH(AA$19,0))+SUMIFS('Budget Data'!$J:$J,'Budget Data'!$E:$E,$B39,'Budget Data'!$C:$C,$B$10,'Budget Data'!$A:$A,"&gt;="&amp;AA$19,'Budget Data'!$A:$A,"&lt;="&amp;EOMONTH(AA$19,0))+SUMIFS('Budget Data'!$J:$J,'Budget Data'!$E:$E,$B39,'Budget Data'!$C:$C,$B$11,'Budget Data'!$A:$A,"&gt;="&amp;AA$19,'Budget Data'!$A:$A,"&lt;="&amp;EOMONTH(AA$19,0))+SUMIFS('Budget Data'!$J:$J,'Budget Data'!$E:$E,$B39,'Budget Data'!$C:$C,$B$2,'Budget Data'!$A:$A,"&gt;="&amp;AA$19,'Budget Data'!$A:$A,"&lt;="&amp;EOMONTH(AA$19,0))+SUMIFS('Budget Data'!$J:$J,'Budget Data'!$E:$E,$B39,'Budget Data'!$C:$C,$B$4,'Budget Data'!$A:$A,"&gt;="&amp;AA$19,'Budget Data'!$A:$A,"&lt;="&amp;EOMONTH(AA$19,0))+SUMIFS('Budget Data'!$J:$J,'Budget Data'!$E:$E,$B39,'Budget Data'!$C:$C,$B$3,'Budget Data'!$A:$A,"&gt;="&amp;AA$19,'Budget Data'!$A:$A,"&lt;="&amp;EOMONTH(AA$19,0))+SUMIFS('Budget Data'!$J:$J,'Budget Data'!$E:$E,$B39,'Budget Data'!$C:$C,$B$5,'Budget Data'!$A:$A,"&gt;="&amp;AA$19,'Budget Data'!$A:$A,"&lt;="&amp;EOMONTH(AA$19,0))+SUMIFS('Budget Data'!$J:$J,'Budget Data'!$E:$E,$B39,'Budget Data'!$C:$C,$B$6,'Budget Data'!$A:$A,"&gt;="&amp;AA$19,'Budget Data'!$A:$A,"&lt;="&amp;EOMONTH(AA$19,0)))</f>
        <v>0</v>
      </c>
      <c r="AC39" s="87">
        <f t="shared" si="2"/>
        <v>31786.2</v>
      </c>
      <c r="AD39" s="84">
        <f t="shared" si="2"/>
        <v>31500</v>
      </c>
    </row>
    <row r="40" spans="2:30" ht="15" customHeight="1">
      <c r="B40" s="12" t="str">
        <v>5410</v>
      </c>
      <c r="C40" s="160" t="str">
        <f>_xlfn.XLOOKUP(B40,'Allocated Transactions'!D:D,'Allocated Transactions'!E:E,"")</f>
        <v>Meals and Entertainment</v>
      </c>
      <c r="D40" s="86">
        <f>SUMPRODUCT(SUMIFS('Allocated Transactions'!$J:$J,'Allocated Transactions'!$D:$D,$B40,'Allocated Transactions'!$C:$C,$B$7,'Allocated Transactions'!$A:$A,"&gt;="&amp;D$19,'Allocated Transactions'!$A:$A,"&lt;="&amp;EOMONTH(D$19,0))+SUMIFS('Allocated Transactions'!$J:$J,'Allocated Transactions'!$D:$D,$B40,'Allocated Transactions'!$C:$C,$B$9,'Allocated Transactions'!$A:$A,"&gt;="&amp;D$19,'Allocated Transactions'!$A:$A,"&lt;="&amp;EOMONTH(D$19,0))+SUMIFS('Allocated Transactions'!$J:$J,'Allocated Transactions'!$D:$D,$B40,'Allocated Transactions'!$C:$C,$B$8,'Allocated Transactions'!$A:$A,"&gt;="&amp;D$19,'Allocated Transactions'!$A:$A,"&lt;="&amp;EOMONTH(D$19,0))+SUMIFS('Allocated Transactions'!$J:$J,'Allocated Transactions'!$D:$D,$B40,'Allocated Transactions'!$C:$C,$B$10,'Allocated Transactions'!$A:$A,"&gt;="&amp;D$19,'Allocated Transactions'!$A:$A,"&lt;="&amp;EOMONTH(D$19,0))+SUMIFS('Allocated Transactions'!$J:$J,'Allocated Transactions'!$D:$D,$B40,'Allocated Transactions'!$C:$C,$B$11,'Allocated Transactions'!$A:$A,"&gt;="&amp;D$19,'Allocated Transactions'!$A:$A,"&lt;="&amp;EOMONTH(D$19,0))+SUMIFS('Allocated Transactions'!$J:$J,'Allocated Transactions'!$D:$D,$B40,'Allocated Transactions'!$C:$C,$B$2,'Allocated Transactions'!$A:$A,"&gt;="&amp;D$19,'Allocated Transactions'!$A:$A,"&lt;="&amp;EOMONTH(D$19,0))+SUMIFS('Allocated Transactions'!$J:$J,'Allocated Transactions'!$D:$D,$B40,'Allocated Transactions'!$C:$C,$B$4,'Allocated Transactions'!$A:$A,"&gt;="&amp;D$19,'Allocated Transactions'!$A:$A,"&lt;="&amp;EOMONTH(D$19,0))+SUMIFS('Allocated Transactions'!$J:$J,'Allocated Transactions'!$D:$D,$B40,'Allocated Transactions'!$C:$C,$B$3,'Allocated Transactions'!$A:$A,"&gt;="&amp;D$19,'Allocated Transactions'!$A:$A,"&lt;="&amp;EOMONTH(D$19,0))+SUMIFS('Allocated Transactions'!$J:$J,'Allocated Transactions'!$D:$D,$B40,'Allocated Transactions'!$C:$C,$B$5,'Allocated Transactions'!$A:$A,"&gt;="&amp;D$19,'Allocated Transactions'!$A:$A,"&lt;="&amp;EOMONTH(D$19,0))+SUMIFS('Allocated Transactions'!$J:$J,'Allocated Transactions'!$D:$D,$B40,'Allocated Transactions'!$C:$C,$B$6,'Allocated Transactions'!$A:$A,"&gt;="&amp;D$19,'Allocated Transactions'!$A:$A,"&lt;="&amp;EOMONTH(D$19,0)))</f>
        <v>204.62</v>
      </c>
      <c r="E40" s="84">
        <f>SUMPRODUCT(SUMIFS('Budget Data'!$J:$J,'Budget Data'!$E:$E,$B40,'Budget Data'!$C:$C,$B$7,'Budget Data'!$A:$A,"&gt;="&amp;E$19,'Budget Data'!$A:$A,"&lt;="&amp;EOMONTH(E$19,0))+SUMIFS('Budget Data'!$J:$J,'Budget Data'!$E:$E,$B40,'Budget Data'!$C:$C,$B$9,'Budget Data'!$A:$A,"&gt;="&amp;E$19,'Budget Data'!$A:$A,"&lt;="&amp;EOMONTH(E$19,0))+SUMIFS('Budget Data'!$J:$J,'Budget Data'!$E:$E,$B40,'Budget Data'!$C:$C,$B$8,'Budget Data'!$A:$A,"&gt;="&amp;E$19,'Budget Data'!$A:$A,"&lt;="&amp;EOMONTH(E$19,0))+SUMIFS('Budget Data'!$J:$J,'Budget Data'!$E:$E,$B40,'Budget Data'!$C:$C,$B$10,'Budget Data'!$A:$A,"&gt;="&amp;E$19,'Budget Data'!$A:$A,"&lt;="&amp;EOMONTH(E$19,0))+SUMIFS('Budget Data'!$J:$J,'Budget Data'!$E:$E,$B40,'Budget Data'!$C:$C,$B$11,'Budget Data'!$A:$A,"&gt;="&amp;E$19,'Budget Data'!$A:$A,"&lt;="&amp;EOMONTH(E$19,0))+SUMIFS('Budget Data'!$J:$J,'Budget Data'!$E:$E,$B40,'Budget Data'!$C:$C,$B$2,'Budget Data'!$A:$A,"&gt;="&amp;E$19,'Budget Data'!$A:$A,"&lt;="&amp;EOMONTH(E$19,0))+SUMIFS('Budget Data'!$J:$J,'Budget Data'!$E:$E,$B40,'Budget Data'!$C:$C,$B$4,'Budget Data'!$A:$A,"&gt;="&amp;E$19,'Budget Data'!$A:$A,"&lt;="&amp;EOMONTH(E$19,0))+SUMIFS('Budget Data'!$J:$J,'Budget Data'!$E:$E,$B40,'Budget Data'!$C:$C,$B$3,'Budget Data'!$A:$A,"&gt;="&amp;E$19,'Budget Data'!$A:$A,"&lt;="&amp;EOMONTH(E$19,0))+SUMIFS('Budget Data'!$J:$J,'Budget Data'!$E:$E,$B40,'Budget Data'!$C:$C,$B$5,'Budget Data'!$A:$A,"&gt;="&amp;E$19,'Budget Data'!$A:$A,"&lt;="&amp;EOMONTH(E$19,0))+SUMIFS('Budget Data'!$J:$J,'Budget Data'!$E:$E,$B40,'Budget Data'!$C:$C,$B$6,'Budget Data'!$A:$A,"&gt;="&amp;E$19,'Budget Data'!$A:$A,"&lt;="&amp;EOMONTH(E$19,0)))</f>
        <v>200</v>
      </c>
      <c r="F40" s="86">
        <f>SUMPRODUCT(SUMIFS('Allocated Transactions'!$J:$J,'Allocated Transactions'!$D:$D,$B40,'Allocated Transactions'!$C:$C,$B$7,'Allocated Transactions'!$A:$A,"&gt;="&amp;F$19,'Allocated Transactions'!$A:$A,"&lt;="&amp;EOMONTH(F$19,0))+SUMIFS('Allocated Transactions'!$J:$J,'Allocated Transactions'!$D:$D,$B40,'Allocated Transactions'!$C:$C,$B$9,'Allocated Transactions'!$A:$A,"&gt;="&amp;F$19,'Allocated Transactions'!$A:$A,"&lt;="&amp;EOMONTH(F$19,0))+SUMIFS('Allocated Transactions'!$J:$J,'Allocated Transactions'!$D:$D,$B40,'Allocated Transactions'!$C:$C,$B$8,'Allocated Transactions'!$A:$A,"&gt;="&amp;F$19,'Allocated Transactions'!$A:$A,"&lt;="&amp;EOMONTH(F$19,0))+SUMIFS('Allocated Transactions'!$J:$J,'Allocated Transactions'!$D:$D,$B40,'Allocated Transactions'!$C:$C,$B$10,'Allocated Transactions'!$A:$A,"&gt;="&amp;F$19,'Allocated Transactions'!$A:$A,"&lt;="&amp;EOMONTH(F$19,0))+SUMIFS('Allocated Transactions'!$J:$J,'Allocated Transactions'!$D:$D,$B40,'Allocated Transactions'!$C:$C,$B$11,'Allocated Transactions'!$A:$A,"&gt;="&amp;F$19,'Allocated Transactions'!$A:$A,"&lt;="&amp;EOMONTH(F$19,0))+SUMIFS('Allocated Transactions'!$J:$J,'Allocated Transactions'!$D:$D,$B40,'Allocated Transactions'!$C:$C,$B$2,'Allocated Transactions'!$A:$A,"&gt;="&amp;F$19,'Allocated Transactions'!$A:$A,"&lt;="&amp;EOMONTH(F$19,0))+SUMIFS('Allocated Transactions'!$J:$J,'Allocated Transactions'!$D:$D,$B40,'Allocated Transactions'!$C:$C,$B$4,'Allocated Transactions'!$A:$A,"&gt;="&amp;F$19,'Allocated Transactions'!$A:$A,"&lt;="&amp;EOMONTH(F$19,0))+SUMIFS('Allocated Transactions'!$J:$J,'Allocated Transactions'!$D:$D,$B40,'Allocated Transactions'!$C:$C,$B$3,'Allocated Transactions'!$A:$A,"&gt;="&amp;F$19,'Allocated Transactions'!$A:$A,"&lt;="&amp;EOMONTH(F$19,0))+SUMIFS('Allocated Transactions'!$J:$J,'Allocated Transactions'!$D:$D,$B40,'Allocated Transactions'!$C:$C,$B$5,'Allocated Transactions'!$A:$A,"&gt;="&amp;F$19,'Allocated Transactions'!$A:$A,"&lt;="&amp;EOMONTH(F$19,0))+SUMIFS('Allocated Transactions'!$J:$J,'Allocated Transactions'!$D:$D,$B40,'Allocated Transactions'!$C:$C,$B$6,'Allocated Transactions'!$A:$A,"&gt;="&amp;F$19,'Allocated Transactions'!$A:$A,"&lt;="&amp;EOMONTH(F$19,0)))</f>
        <v>247.11</v>
      </c>
      <c r="G40" s="84">
        <f>SUMPRODUCT(SUMIFS('Budget Data'!$J:$J,'Budget Data'!$E:$E,$B40,'Budget Data'!$C:$C,$B$7,'Budget Data'!$A:$A,"&gt;="&amp;G$19,'Budget Data'!$A:$A,"&lt;="&amp;EOMONTH(G$19,0))+SUMIFS('Budget Data'!$J:$J,'Budget Data'!$E:$E,$B40,'Budget Data'!$C:$C,$B$9,'Budget Data'!$A:$A,"&gt;="&amp;G$19,'Budget Data'!$A:$A,"&lt;="&amp;EOMONTH(G$19,0))+SUMIFS('Budget Data'!$J:$J,'Budget Data'!$E:$E,$B40,'Budget Data'!$C:$C,$B$8,'Budget Data'!$A:$A,"&gt;="&amp;G$19,'Budget Data'!$A:$A,"&lt;="&amp;EOMONTH(G$19,0))+SUMIFS('Budget Data'!$J:$J,'Budget Data'!$E:$E,$B40,'Budget Data'!$C:$C,$B$10,'Budget Data'!$A:$A,"&gt;="&amp;G$19,'Budget Data'!$A:$A,"&lt;="&amp;EOMONTH(G$19,0))+SUMIFS('Budget Data'!$J:$J,'Budget Data'!$E:$E,$B40,'Budget Data'!$C:$C,$B$11,'Budget Data'!$A:$A,"&gt;="&amp;G$19,'Budget Data'!$A:$A,"&lt;="&amp;EOMONTH(G$19,0))+SUMIFS('Budget Data'!$J:$J,'Budget Data'!$E:$E,$B40,'Budget Data'!$C:$C,$B$2,'Budget Data'!$A:$A,"&gt;="&amp;G$19,'Budget Data'!$A:$A,"&lt;="&amp;EOMONTH(G$19,0))+SUMIFS('Budget Data'!$J:$J,'Budget Data'!$E:$E,$B40,'Budget Data'!$C:$C,$B$4,'Budget Data'!$A:$A,"&gt;="&amp;G$19,'Budget Data'!$A:$A,"&lt;="&amp;EOMONTH(G$19,0))+SUMIFS('Budget Data'!$J:$J,'Budget Data'!$E:$E,$B40,'Budget Data'!$C:$C,$B$3,'Budget Data'!$A:$A,"&gt;="&amp;G$19,'Budget Data'!$A:$A,"&lt;="&amp;EOMONTH(G$19,0))+SUMIFS('Budget Data'!$J:$J,'Budget Data'!$E:$E,$B40,'Budget Data'!$C:$C,$B$5,'Budget Data'!$A:$A,"&gt;="&amp;G$19,'Budget Data'!$A:$A,"&lt;="&amp;EOMONTH(G$19,0))+SUMIFS('Budget Data'!$J:$J,'Budget Data'!$E:$E,$B40,'Budget Data'!$C:$C,$B$6,'Budget Data'!$A:$A,"&gt;="&amp;G$19,'Budget Data'!$A:$A,"&lt;="&amp;EOMONTH(G$19,0)))</f>
        <v>200</v>
      </c>
      <c r="H40" s="86">
        <f>SUMPRODUCT(SUMIFS('Allocated Transactions'!$J:$J,'Allocated Transactions'!$D:$D,$B40,'Allocated Transactions'!$C:$C,$B$7,'Allocated Transactions'!$A:$A,"&gt;="&amp;H$19,'Allocated Transactions'!$A:$A,"&lt;="&amp;EOMONTH(H$19,0))+SUMIFS('Allocated Transactions'!$J:$J,'Allocated Transactions'!$D:$D,$B40,'Allocated Transactions'!$C:$C,$B$9,'Allocated Transactions'!$A:$A,"&gt;="&amp;H$19,'Allocated Transactions'!$A:$A,"&lt;="&amp;EOMONTH(H$19,0))+SUMIFS('Allocated Transactions'!$J:$J,'Allocated Transactions'!$D:$D,$B40,'Allocated Transactions'!$C:$C,$B$8,'Allocated Transactions'!$A:$A,"&gt;="&amp;H$19,'Allocated Transactions'!$A:$A,"&lt;="&amp;EOMONTH(H$19,0))+SUMIFS('Allocated Transactions'!$J:$J,'Allocated Transactions'!$D:$D,$B40,'Allocated Transactions'!$C:$C,$B$10,'Allocated Transactions'!$A:$A,"&gt;="&amp;H$19,'Allocated Transactions'!$A:$A,"&lt;="&amp;EOMONTH(H$19,0))+SUMIFS('Allocated Transactions'!$J:$J,'Allocated Transactions'!$D:$D,$B40,'Allocated Transactions'!$C:$C,$B$11,'Allocated Transactions'!$A:$A,"&gt;="&amp;H$19,'Allocated Transactions'!$A:$A,"&lt;="&amp;EOMONTH(H$19,0))+SUMIFS('Allocated Transactions'!$J:$J,'Allocated Transactions'!$D:$D,$B40,'Allocated Transactions'!$C:$C,$B$2,'Allocated Transactions'!$A:$A,"&gt;="&amp;H$19,'Allocated Transactions'!$A:$A,"&lt;="&amp;EOMONTH(H$19,0))+SUMIFS('Allocated Transactions'!$J:$J,'Allocated Transactions'!$D:$D,$B40,'Allocated Transactions'!$C:$C,$B$4,'Allocated Transactions'!$A:$A,"&gt;="&amp;H$19,'Allocated Transactions'!$A:$A,"&lt;="&amp;EOMONTH(H$19,0))+SUMIFS('Allocated Transactions'!$J:$J,'Allocated Transactions'!$D:$D,$B40,'Allocated Transactions'!$C:$C,$B$3,'Allocated Transactions'!$A:$A,"&gt;="&amp;H$19,'Allocated Transactions'!$A:$A,"&lt;="&amp;EOMONTH(H$19,0))+SUMIFS('Allocated Transactions'!$J:$J,'Allocated Transactions'!$D:$D,$B40,'Allocated Transactions'!$C:$C,$B$5,'Allocated Transactions'!$A:$A,"&gt;="&amp;H$19,'Allocated Transactions'!$A:$A,"&lt;="&amp;EOMONTH(H$19,0))+SUMIFS('Allocated Transactions'!$J:$J,'Allocated Transactions'!$D:$D,$B40,'Allocated Transactions'!$C:$C,$B$6,'Allocated Transactions'!$A:$A,"&gt;="&amp;H$19,'Allocated Transactions'!$A:$A,"&lt;="&amp;EOMONTH(H$19,0)))</f>
        <v>0</v>
      </c>
      <c r="I40" s="84">
        <f>SUMPRODUCT(SUMIFS('Budget Data'!$J:$J,'Budget Data'!$E:$E,$B40,'Budget Data'!$C:$C,$B$7,'Budget Data'!$A:$A,"&gt;="&amp;I$19,'Budget Data'!$A:$A,"&lt;="&amp;EOMONTH(I$19,0))+SUMIFS('Budget Data'!$J:$J,'Budget Data'!$E:$E,$B40,'Budget Data'!$C:$C,$B$9,'Budget Data'!$A:$A,"&gt;="&amp;I$19,'Budget Data'!$A:$A,"&lt;="&amp;EOMONTH(I$19,0))+SUMIFS('Budget Data'!$J:$J,'Budget Data'!$E:$E,$B40,'Budget Data'!$C:$C,$B$8,'Budget Data'!$A:$A,"&gt;="&amp;I$19,'Budget Data'!$A:$A,"&lt;="&amp;EOMONTH(I$19,0))+SUMIFS('Budget Data'!$J:$J,'Budget Data'!$E:$E,$B40,'Budget Data'!$C:$C,$B$10,'Budget Data'!$A:$A,"&gt;="&amp;I$19,'Budget Data'!$A:$A,"&lt;="&amp;EOMONTH(I$19,0))+SUMIFS('Budget Data'!$J:$J,'Budget Data'!$E:$E,$B40,'Budget Data'!$C:$C,$B$11,'Budget Data'!$A:$A,"&gt;="&amp;I$19,'Budget Data'!$A:$A,"&lt;="&amp;EOMONTH(I$19,0))+SUMIFS('Budget Data'!$J:$J,'Budget Data'!$E:$E,$B40,'Budget Data'!$C:$C,$B$2,'Budget Data'!$A:$A,"&gt;="&amp;I$19,'Budget Data'!$A:$A,"&lt;="&amp;EOMONTH(I$19,0))+SUMIFS('Budget Data'!$J:$J,'Budget Data'!$E:$E,$B40,'Budget Data'!$C:$C,$B$4,'Budget Data'!$A:$A,"&gt;="&amp;I$19,'Budget Data'!$A:$A,"&lt;="&amp;EOMONTH(I$19,0))+SUMIFS('Budget Data'!$J:$J,'Budget Data'!$E:$E,$B40,'Budget Data'!$C:$C,$B$3,'Budget Data'!$A:$A,"&gt;="&amp;I$19,'Budget Data'!$A:$A,"&lt;="&amp;EOMONTH(I$19,0))+SUMIFS('Budget Data'!$J:$J,'Budget Data'!$E:$E,$B40,'Budget Data'!$C:$C,$B$5,'Budget Data'!$A:$A,"&gt;="&amp;I$19,'Budget Data'!$A:$A,"&lt;="&amp;EOMONTH(I$19,0))+SUMIFS('Budget Data'!$J:$J,'Budget Data'!$E:$E,$B40,'Budget Data'!$C:$C,$B$6,'Budget Data'!$A:$A,"&gt;="&amp;I$19,'Budget Data'!$A:$A,"&lt;="&amp;EOMONTH(I$19,0)))</f>
        <v>0</v>
      </c>
      <c r="J40" s="86">
        <f>SUMPRODUCT(SUMIFS('Allocated Transactions'!$J:$J,'Allocated Transactions'!$D:$D,$B40,'Allocated Transactions'!$C:$C,$B$7,'Allocated Transactions'!$A:$A,"&gt;="&amp;J$19,'Allocated Transactions'!$A:$A,"&lt;="&amp;EOMONTH(J$19,0))+SUMIFS('Allocated Transactions'!$J:$J,'Allocated Transactions'!$D:$D,$B40,'Allocated Transactions'!$C:$C,$B$9,'Allocated Transactions'!$A:$A,"&gt;="&amp;J$19,'Allocated Transactions'!$A:$A,"&lt;="&amp;EOMONTH(J$19,0))+SUMIFS('Allocated Transactions'!$J:$J,'Allocated Transactions'!$D:$D,$B40,'Allocated Transactions'!$C:$C,$B$8,'Allocated Transactions'!$A:$A,"&gt;="&amp;J$19,'Allocated Transactions'!$A:$A,"&lt;="&amp;EOMONTH(J$19,0))+SUMIFS('Allocated Transactions'!$J:$J,'Allocated Transactions'!$D:$D,$B40,'Allocated Transactions'!$C:$C,$B$10,'Allocated Transactions'!$A:$A,"&gt;="&amp;J$19,'Allocated Transactions'!$A:$A,"&lt;="&amp;EOMONTH(J$19,0))+SUMIFS('Allocated Transactions'!$J:$J,'Allocated Transactions'!$D:$D,$B40,'Allocated Transactions'!$C:$C,$B$11,'Allocated Transactions'!$A:$A,"&gt;="&amp;J$19,'Allocated Transactions'!$A:$A,"&lt;="&amp;EOMONTH(J$19,0))+SUMIFS('Allocated Transactions'!$J:$J,'Allocated Transactions'!$D:$D,$B40,'Allocated Transactions'!$C:$C,$B$2,'Allocated Transactions'!$A:$A,"&gt;="&amp;J$19,'Allocated Transactions'!$A:$A,"&lt;="&amp;EOMONTH(J$19,0))+SUMIFS('Allocated Transactions'!$J:$J,'Allocated Transactions'!$D:$D,$B40,'Allocated Transactions'!$C:$C,$B$4,'Allocated Transactions'!$A:$A,"&gt;="&amp;J$19,'Allocated Transactions'!$A:$A,"&lt;="&amp;EOMONTH(J$19,0))+SUMIFS('Allocated Transactions'!$J:$J,'Allocated Transactions'!$D:$D,$B40,'Allocated Transactions'!$C:$C,$B$3,'Allocated Transactions'!$A:$A,"&gt;="&amp;J$19,'Allocated Transactions'!$A:$A,"&lt;="&amp;EOMONTH(J$19,0))+SUMIFS('Allocated Transactions'!$J:$J,'Allocated Transactions'!$D:$D,$B40,'Allocated Transactions'!$C:$C,$B$5,'Allocated Transactions'!$A:$A,"&gt;="&amp;J$19,'Allocated Transactions'!$A:$A,"&lt;="&amp;EOMONTH(J$19,0))+SUMIFS('Allocated Transactions'!$J:$J,'Allocated Transactions'!$D:$D,$B40,'Allocated Transactions'!$C:$C,$B$6,'Allocated Transactions'!$A:$A,"&gt;="&amp;J$19,'Allocated Transactions'!$A:$A,"&lt;="&amp;EOMONTH(J$19,0)))</f>
        <v>0</v>
      </c>
      <c r="K40" s="84">
        <f>SUMPRODUCT(SUMIFS('Budget Data'!$J:$J,'Budget Data'!$E:$E,$B40,'Budget Data'!$C:$C,$B$7,'Budget Data'!$A:$A,"&gt;="&amp;K$19,'Budget Data'!$A:$A,"&lt;="&amp;EOMONTH(K$19,0))+SUMIFS('Budget Data'!$J:$J,'Budget Data'!$E:$E,$B40,'Budget Data'!$C:$C,$B$9,'Budget Data'!$A:$A,"&gt;="&amp;K$19,'Budget Data'!$A:$A,"&lt;="&amp;EOMONTH(K$19,0))+SUMIFS('Budget Data'!$J:$J,'Budget Data'!$E:$E,$B40,'Budget Data'!$C:$C,$B$8,'Budget Data'!$A:$A,"&gt;="&amp;K$19,'Budget Data'!$A:$A,"&lt;="&amp;EOMONTH(K$19,0))+SUMIFS('Budget Data'!$J:$J,'Budget Data'!$E:$E,$B40,'Budget Data'!$C:$C,$B$10,'Budget Data'!$A:$A,"&gt;="&amp;K$19,'Budget Data'!$A:$A,"&lt;="&amp;EOMONTH(K$19,0))+SUMIFS('Budget Data'!$J:$J,'Budget Data'!$E:$E,$B40,'Budget Data'!$C:$C,$B$11,'Budget Data'!$A:$A,"&gt;="&amp;K$19,'Budget Data'!$A:$A,"&lt;="&amp;EOMONTH(K$19,0))+SUMIFS('Budget Data'!$J:$J,'Budget Data'!$E:$E,$B40,'Budget Data'!$C:$C,$B$2,'Budget Data'!$A:$A,"&gt;="&amp;K$19,'Budget Data'!$A:$A,"&lt;="&amp;EOMONTH(K$19,0))+SUMIFS('Budget Data'!$J:$J,'Budget Data'!$E:$E,$B40,'Budget Data'!$C:$C,$B$4,'Budget Data'!$A:$A,"&gt;="&amp;K$19,'Budget Data'!$A:$A,"&lt;="&amp;EOMONTH(K$19,0))+SUMIFS('Budget Data'!$J:$J,'Budget Data'!$E:$E,$B40,'Budget Data'!$C:$C,$B$3,'Budget Data'!$A:$A,"&gt;="&amp;K$19,'Budget Data'!$A:$A,"&lt;="&amp;EOMONTH(K$19,0))+SUMIFS('Budget Data'!$J:$J,'Budget Data'!$E:$E,$B40,'Budget Data'!$C:$C,$B$5,'Budget Data'!$A:$A,"&gt;="&amp;K$19,'Budget Data'!$A:$A,"&lt;="&amp;EOMONTH(K$19,0))+SUMIFS('Budget Data'!$J:$J,'Budget Data'!$E:$E,$B40,'Budget Data'!$C:$C,$B$6,'Budget Data'!$A:$A,"&gt;="&amp;K$19,'Budget Data'!$A:$A,"&lt;="&amp;EOMONTH(K$19,0)))</f>
        <v>0</v>
      </c>
      <c r="L40" s="86">
        <f>SUMPRODUCT(SUMIFS('Allocated Transactions'!$J:$J,'Allocated Transactions'!$D:$D,$B40,'Allocated Transactions'!$C:$C,$B$7,'Allocated Transactions'!$A:$A,"&gt;="&amp;L$19,'Allocated Transactions'!$A:$A,"&lt;="&amp;EOMONTH(L$19,0))+SUMIFS('Allocated Transactions'!$J:$J,'Allocated Transactions'!$D:$D,$B40,'Allocated Transactions'!$C:$C,$B$9,'Allocated Transactions'!$A:$A,"&gt;="&amp;L$19,'Allocated Transactions'!$A:$A,"&lt;="&amp;EOMONTH(L$19,0))+SUMIFS('Allocated Transactions'!$J:$J,'Allocated Transactions'!$D:$D,$B40,'Allocated Transactions'!$C:$C,$B$8,'Allocated Transactions'!$A:$A,"&gt;="&amp;L$19,'Allocated Transactions'!$A:$A,"&lt;="&amp;EOMONTH(L$19,0))+SUMIFS('Allocated Transactions'!$J:$J,'Allocated Transactions'!$D:$D,$B40,'Allocated Transactions'!$C:$C,$B$10,'Allocated Transactions'!$A:$A,"&gt;="&amp;L$19,'Allocated Transactions'!$A:$A,"&lt;="&amp;EOMONTH(L$19,0))+SUMIFS('Allocated Transactions'!$J:$J,'Allocated Transactions'!$D:$D,$B40,'Allocated Transactions'!$C:$C,$B$11,'Allocated Transactions'!$A:$A,"&gt;="&amp;L$19,'Allocated Transactions'!$A:$A,"&lt;="&amp;EOMONTH(L$19,0))+SUMIFS('Allocated Transactions'!$J:$J,'Allocated Transactions'!$D:$D,$B40,'Allocated Transactions'!$C:$C,$B$2,'Allocated Transactions'!$A:$A,"&gt;="&amp;L$19,'Allocated Transactions'!$A:$A,"&lt;="&amp;EOMONTH(L$19,0))+SUMIFS('Allocated Transactions'!$J:$J,'Allocated Transactions'!$D:$D,$B40,'Allocated Transactions'!$C:$C,$B$4,'Allocated Transactions'!$A:$A,"&gt;="&amp;L$19,'Allocated Transactions'!$A:$A,"&lt;="&amp;EOMONTH(L$19,0))+SUMIFS('Allocated Transactions'!$J:$J,'Allocated Transactions'!$D:$D,$B40,'Allocated Transactions'!$C:$C,$B$3,'Allocated Transactions'!$A:$A,"&gt;="&amp;L$19,'Allocated Transactions'!$A:$A,"&lt;="&amp;EOMONTH(L$19,0))+SUMIFS('Allocated Transactions'!$J:$J,'Allocated Transactions'!$D:$D,$B40,'Allocated Transactions'!$C:$C,$B$5,'Allocated Transactions'!$A:$A,"&gt;="&amp;L$19,'Allocated Transactions'!$A:$A,"&lt;="&amp;EOMONTH(L$19,0))+SUMIFS('Allocated Transactions'!$J:$J,'Allocated Transactions'!$D:$D,$B40,'Allocated Transactions'!$C:$C,$B$6,'Allocated Transactions'!$A:$A,"&gt;="&amp;L$19,'Allocated Transactions'!$A:$A,"&lt;="&amp;EOMONTH(L$19,0)))</f>
        <v>0</v>
      </c>
      <c r="M40" s="84">
        <f>SUMPRODUCT(SUMIFS('Budget Data'!$J:$J,'Budget Data'!$E:$E,$B40,'Budget Data'!$C:$C,$B$7,'Budget Data'!$A:$A,"&gt;="&amp;M$19,'Budget Data'!$A:$A,"&lt;="&amp;EOMONTH(M$19,0))+SUMIFS('Budget Data'!$J:$J,'Budget Data'!$E:$E,$B40,'Budget Data'!$C:$C,$B$9,'Budget Data'!$A:$A,"&gt;="&amp;M$19,'Budget Data'!$A:$A,"&lt;="&amp;EOMONTH(M$19,0))+SUMIFS('Budget Data'!$J:$J,'Budget Data'!$E:$E,$B40,'Budget Data'!$C:$C,$B$8,'Budget Data'!$A:$A,"&gt;="&amp;M$19,'Budget Data'!$A:$A,"&lt;="&amp;EOMONTH(M$19,0))+SUMIFS('Budget Data'!$J:$J,'Budget Data'!$E:$E,$B40,'Budget Data'!$C:$C,$B$10,'Budget Data'!$A:$A,"&gt;="&amp;M$19,'Budget Data'!$A:$A,"&lt;="&amp;EOMONTH(M$19,0))+SUMIFS('Budget Data'!$J:$J,'Budget Data'!$E:$E,$B40,'Budget Data'!$C:$C,$B$11,'Budget Data'!$A:$A,"&gt;="&amp;M$19,'Budget Data'!$A:$A,"&lt;="&amp;EOMONTH(M$19,0))+SUMIFS('Budget Data'!$J:$J,'Budget Data'!$E:$E,$B40,'Budget Data'!$C:$C,$B$2,'Budget Data'!$A:$A,"&gt;="&amp;M$19,'Budget Data'!$A:$A,"&lt;="&amp;EOMONTH(M$19,0))+SUMIFS('Budget Data'!$J:$J,'Budget Data'!$E:$E,$B40,'Budget Data'!$C:$C,$B$4,'Budget Data'!$A:$A,"&gt;="&amp;M$19,'Budget Data'!$A:$A,"&lt;="&amp;EOMONTH(M$19,0))+SUMIFS('Budget Data'!$J:$J,'Budget Data'!$E:$E,$B40,'Budget Data'!$C:$C,$B$3,'Budget Data'!$A:$A,"&gt;="&amp;M$19,'Budget Data'!$A:$A,"&lt;="&amp;EOMONTH(M$19,0))+SUMIFS('Budget Data'!$J:$J,'Budget Data'!$E:$E,$B40,'Budget Data'!$C:$C,$B$5,'Budget Data'!$A:$A,"&gt;="&amp;M$19,'Budget Data'!$A:$A,"&lt;="&amp;EOMONTH(M$19,0))+SUMIFS('Budget Data'!$J:$J,'Budget Data'!$E:$E,$B40,'Budget Data'!$C:$C,$B$6,'Budget Data'!$A:$A,"&gt;="&amp;M$19,'Budget Data'!$A:$A,"&lt;="&amp;EOMONTH(M$19,0)))</f>
        <v>0</v>
      </c>
      <c r="N40" s="86">
        <f>SUMPRODUCT(SUMIFS('Allocated Transactions'!$J:$J,'Allocated Transactions'!$D:$D,$B40,'Allocated Transactions'!$C:$C,$B$7,'Allocated Transactions'!$A:$A,"&gt;="&amp;N$19,'Allocated Transactions'!$A:$A,"&lt;="&amp;EOMONTH(N$19,0))+SUMIFS('Allocated Transactions'!$J:$J,'Allocated Transactions'!$D:$D,$B40,'Allocated Transactions'!$C:$C,$B$9,'Allocated Transactions'!$A:$A,"&gt;="&amp;N$19,'Allocated Transactions'!$A:$A,"&lt;="&amp;EOMONTH(N$19,0))+SUMIFS('Allocated Transactions'!$J:$J,'Allocated Transactions'!$D:$D,$B40,'Allocated Transactions'!$C:$C,$B$8,'Allocated Transactions'!$A:$A,"&gt;="&amp;N$19,'Allocated Transactions'!$A:$A,"&lt;="&amp;EOMONTH(N$19,0))+SUMIFS('Allocated Transactions'!$J:$J,'Allocated Transactions'!$D:$D,$B40,'Allocated Transactions'!$C:$C,$B$10,'Allocated Transactions'!$A:$A,"&gt;="&amp;N$19,'Allocated Transactions'!$A:$A,"&lt;="&amp;EOMONTH(N$19,0))+SUMIFS('Allocated Transactions'!$J:$J,'Allocated Transactions'!$D:$D,$B40,'Allocated Transactions'!$C:$C,$B$11,'Allocated Transactions'!$A:$A,"&gt;="&amp;N$19,'Allocated Transactions'!$A:$A,"&lt;="&amp;EOMONTH(N$19,0))+SUMIFS('Allocated Transactions'!$J:$J,'Allocated Transactions'!$D:$D,$B40,'Allocated Transactions'!$C:$C,$B$2,'Allocated Transactions'!$A:$A,"&gt;="&amp;N$19,'Allocated Transactions'!$A:$A,"&lt;="&amp;EOMONTH(N$19,0))+SUMIFS('Allocated Transactions'!$J:$J,'Allocated Transactions'!$D:$D,$B40,'Allocated Transactions'!$C:$C,$B$4,'Allocated Transactions'!$A:$A,"&gt;="&amp;N$19,'Allocated Transactions'!$A:$A,"&lt;="&amp;EOMONTH(N$19,0))+SUMIFS('Allocated Transactions'!$J:$J,'Allocated Transactions'!$D:$D,$B40,'Allocated Transactions'!$C:$C,$B$3,'Allocated Transactions'!$A:$A,"&gt;="&amp;N$19,'Allocated Transactions'!$A:$A,"&lt;="&amp;EOMONTH(N$19,0))+SUMIFS('Allocated Transactions'!$J:$J,'Allocated Transactions'!$D:$D,$B40,'Allocated Transactions'!$C:$C,$B$5,'Allocated Transactions'!$A:$A,"&gt;="&amp;N$19,'Allocated Transactions'!$A:$A,"&lt;="&amp;EOMONTH(N$19,0))+SUMIFS('Allocated Transactions'!$J:$J,'Allocated Transactions'!$D:$D,$B40,'Allocated Transactions'!$C:$C,$B$6,'Allocated Transactions'!$A:$A,"&gt;="&amp;N$19,'Allocated Transactions'!$A:$A,"&lt;="&amp;EOMONTH(N$19,0)))</f>
        <v>513.54</v>
      </c>
      <c r="O40" s="84">
        <f>SUMPRODUCT(SUMIFS('Budget Data'!$J:$J,'Budget Data'!$E:$E,$B40,'Budget Data'!$C:$C,$B$7,'Budget Data'!$A:$A,"&gt;="&amp;O$19,'Budget Data'!$A:$A,"&lt;="&amp;EOMONTH(O$19,0))+SUMIFS('Budget Data'!$J:$J,'Budget Data'!$E:$E,$B40,'Budget Data'!$C:$C,$B$9,'Budget Data'!$A:$A,"&gt;="&amp;O$19,'Budget Data'!$A:$A,"&lt;="&amp;EOMONTH(O$19,0))+SUMIFS('Budget Data'!$J:$J,'Budget Data'!$E:$E,$B40,'Budget Data'!$C:$C,$B$8,'Budget Data'!$A:$A,"&gt;="&amp;O$19,'Budget Data'!$A:$A,"&lt;="&amp;EOMONTH(O$19,0))+SUMIFS('Budget Data'!$J:$J,'Budget Data'!$E:$E,$B40,'Budget Data'!$C:$C,$B$10,'Budget Data'!$A:$A,"&gt;="&amp;O$19,'Budget Data'!$A:$A,"&lt;="&amp;EOMONTH(O$19,0))+SUMIFS('Budget Data'!$J:$J,'Budget Data'!$E:$E,$B40,'Budget Data'!$C:$C,$B$11,'Budget Data'!$A:$A,"&gt;="&amp;O$19,'Budget Data'!$A:$A,"&lt;="&amp;EOMONTH(O$19,0))+SUMIFS('Budget Data'!$J:$J,'Budget Data'!$E:$E,$B40,'Budget Data'!$C:$C,$B$2,'Budget Data'!$A:$A,"&gt;="&amp;O$19,'Budget Data'!$A:$A,"&lt;="&amp;EOMONTH(O$19,0))+SUMIFS('Budget Data'!$J:$J,'Budget Data'!$E:$E,$B40,'Budget Data'!$C:$C,$B$4,'Budget Data'!$A:$A,"&gt;="&amp;O$19,'Budget Data'!$A:$A,"&lt;="&amp;EOMONTH(O$19,0))+SUMIFS('Budget Data'!$J:$J,'Budget Data'!$E:$E,$B40,'Budget Data'!$C:$C,$B$3,'Budget Data'!$A:$A,"&gt;="&amp;O$19,'Budget Data'!$A:$A,"&lt;="&amp;EOMONTH(O$19,0))+SUMIFS('Budget Data'!$J:$J,'Budget Data'!$E:$E,$B40,'Budget Data'!$C:$C,$B$5,'Budget Data'!$A:$A,"&gt;="&amp;O$19,'Budget Data'!$A:$A,"&lt;="&amp;EOMONTH(O$19,0))+SUMIFS('Budget Data'!$J:$J,'Budget Data'!$E:$E,$B40,'Budget Data'!$C:$C,$B$6,'Budget Data'!$A:$A,"&gt;="&amp;O$19,'Budget Data'!$A:$A,"&lt;="&amp;EOMONTH(O$19,0)))</f>
        <v>500</v>
      </c>
      <c r="P40" s="86">
        <f>SUMPRODUCT(SUMIFS('Allocated Transactions'!$J:$J,'Allocated Transactions'!$D:$D,$B40,'Allocated Transactions'!$C:$C,$B$7,'Allocated Transactions'!$A:$A,"&gt;="&amp;P$19,'Allocated Transactions'!$A:$A,"&lt;="&amp;EOMONTH(P$19,0))+SUMIFS('Allocated Transactions'!$J:$J,'Allocated Transactions'!$D:$D,$B40,'Allocated Transactions'!$C:$C,$B$9,'Allocated Transactions'!$A:$A,"&gt;="&amp;P$19,'Allocated Transactions'!$A:$A,"&lt;="&amp;EOMONTH(P$19,0))+SUMIFS('Allocated Transactions'!$J:$J,'Allocated Transactions'!$D:$D,$B40,'Allocated Transactions'!$C:$C,$B$8,'Allocated Transactions'!$A:$A,"&gt;="&amp;P$19,'Allocated Transactions'!$A:$A,"&lt;="&amp;EOMONTH(P$19,0))+SUMIFS('Allocated Transactions'!$J:$J,'Allocated Transactions'!$D:$D,$B40,'Allocated Transactions'!$C:$C,$B$10,'Allocated Transactions'!$A:$A,"&gt;="&amp;P$19,'Allocated Transactions'!$A:$A,"&lt;="&amp;EOMONTH(P$19,0))+SUMIFS('Allocated Transactions'!$J:$J,'Allocated Transactions'!$D:$D,$B40,'Allocated Transactions'!$C:$C,$B$11,'Allocated Transactions'!$A:$A,"&gt;="&amp;P$19,'Allocated Transactions'!$A:$A,"&lt;="&amp;EOMONTH(P$19,0))+SUMIFS('Allocated Transactions'!$J:$J,'Allocated Transactions'!$D:$D,$B40,'Allocated Transactions'!$C:$C,$B$2,'Allocated Transactions'!$A:$A,"&gt;="&amp;P$19,'Allocated Transactions'!$A:$A,"&lt;="&amp;EOMONTH(P$19,0))+SUMIFS('Allocated Transactions'!$J:$J,'Allocated Transactions'!$D:$D,$B40,'Allocated Transactions'!$C:$C,$B$4,'Allocated Transactions'!$A:$A,"&gt;="&amp;P$19,'Allocated Transactions'!$A:$A,"&lt;="&amp;EOMONTH(P$19,0))+SUMIFS('Allocated Transactions'!$J:$J,'Allocated Transactions'!$D:$D,$B40,'Allocated Transactions'!$C:$C,$B$3,'Allocated Transactions'!$A:$A,"&gt;="&amp;P$19,'Allocated Transactions'!$A:$A,"&lt;="&amp;EOMONTH(P$19,0))+SUMIFS('Allocated Transactions'!$J:$J,'Allocated Transactions'!$D:$D,$B40,'Allocated Transactions'!$C:$C,$B$5,'Allocated Transactions'!$A:$A,"&gt;="&amp;P$19,'Allocated Transactions'!$A:$A,"&lt;="&amp;EOMONTH(P$19,0))+SUMIFS('Allocated Transactions'!$J:$J,'Allocated Transactions'!$D:$D,$B40,'Allocated Transactions'!$C:$C,$B$6,'Allocated Transactions'!$A:$A,"&gt;="&amp;P$19,'Allocated Transactions'!$A:$A,"&lt;="&amp;EOMONTH(P$19,0)))</f>
        <v>596.09</v>
      </c>
      <c r="Q40" s="84">
        <f>SUMPRODUCT(SUMIFS('Budget Data'!$J:$J,'Budget Data'!$E:$E,$B40,'Budget Data'!$C:$C,$B$7,'Budget Data'!$A:$A,"&gt;="&amp;Q$19,'Budget Data'!$A:$A,"&lt;="&amp;EOMONTH(Q$19,0))+SUMIFS('Budget Data'!$J:$J,'Budget Data'!$E:$E,$B40,'Budget Data'!$C:$C,$B$9,'Budget Data'!$A:$A,"&gt;="&amp;Q$19,'Budget Data'!$A:$A,"&lt;="&amp;EOMONTH(Q$19,0))+SUMIFS('Budget Data'!$J:$J,'Budget Data'!$E:$E,$B40,'Budget Data'!$C:$C,$B$8,'Budget Data'!$A:$A,"&gt;="&amp;Q$19,'Budget Data'!$A:$A,"&lt;="&amp;EOMONTH(Q$19,0))+SUMIFS('Budget Data'!$J:$J,'Budget Data'!$E:$E,$B40,'Budget Data'!$C:$C,$B$10,'Budget Data'!$A:$A,"&gt;="&amp;Q$19,'Budget Data'!$A:$A,"&lt;="&amp;EOMONTH(Q$19,0))+SUMIFS('Budget Data'!$J:$J,'Budget Data'!$E:$E,$B40,'Budget Data'!$C:$C,$B$11,'Budget Data'!$A:$A,"&gt;="&amp;Q$19,'Budget Data'!$A:$A,"&lt;="&amp;EOMONTH(Q$19,0))+SUMIFS('Budget Data'!$J:$J,'Budget Data'!$E:$E,$B40,'Budget Data'!$C:$C,$B$2,'Budget Data'!$A:$A,"&gt;="&amp;Q$19,'Budget Data'!$A:$A,"&lt;="&amp;EOMONTH(Q$19,0))+SUMIFS('Budget Data'!$J:$J,'Budget Data'!$E:$E,$B40,'Budget Data'!$C:$C,$B$4,'Budget Data'!$A:$A,"&gt;="&amp;Q$19,'Budget Data'!$A:$A,"&lt;="&amp;EOMONTH(Q$19,0))+SUMIFS('Budget Data'!$J:$J,'Budget Data'!$E:$E,$B40,'Budget Data'!$C:$C,$B$3,'Budget Data'!$A:$A,"&gt;="&amp;Q$19,'Budget Data'!$A:$A,"&lt;="&amp;EOMONTH(Q$19,0))+SUMIFS('Budget Data'!$J:$J,'Budget Data'!$E:$E,$B40,'Budget Data'!$C:$C,$B$5,'Budget Data'!$A:$A,"&gt;="&amp;Q$19,'Budget Data'!$A:$A,"&lt;="&amp;EOMONTH(Q$19,0))+SUMIFS('Budget Data'!$J:$J,'Budget Data'!$E:$E,$B40,'Budget Data'!$C:$C,$B$6,'Budget Data'!$A:$A,"&gt;="&amp;Q$19,'Budget Data'!$A:$A,"&lt;="&amp;EOMONTH(Q$19,0)))</f>
        <v>600</v>
      </c>
      <c r="R40" s="86">
        <f>SUMPRODUCT(SUMIFS('Allocated Transactions'!$J:$J,'Allocated Transactions'!$D:$D,$B40,'Allocated Transactions'!$C:$C,$B$7,'Allocated Transactions'!$A:$A,"&gt;="&amp;R$19,'Allocated Transactions'!$A:$A,"&lt;="&amp;EOMONTH(R$19,0))+SUMIFS('Allocated Transactions'!$J:$J,'Allocated Transactions'!$D:$D,$B40,'Allocated Transactions'!$C:$C,$B$9,'Allocated Transactions'!$A:$A,"&gt;="&amp;R$19,'Allocated Transactions'!$A:$A,"&lt;="&amp;EOMONTH(R$19,0))+SUMIFS('Allocated Transactions'!$J:$J,'Allocated Transactions'!$D:$D,$B40,'Allocated Transactions'!$C:$C,$B$8,'Allocated Transactions'!$A:$A,"&gt;="&amp;R$19,'Allocated Transactions'!$A:$A,"&lt;="&amp;EOMONTH(R$19,0))+SUMIFS('Allocated Transactions'!$J:$J,'Allocated Transactions'!$D:$D,$B40,'Allocated Transactions'!$C:$C,$B$10,'Allocated Transactions'!$A:$A,"&gt;="&amp;R$19,'Allocated Transactions'!$A:$A,"&lt;="&amp;EOMONTH(R$19,0))+SUMIFS('Allocated Transactions'!$J:$J,'Allocated Transactions'!$D:$D,$B40,'Allocated Transactions'!$C:$C,$B$11,'Allocated Transactions'!$A:$A,"&gt;="&amp;R$19,'Allocated Transactions'!$A:$A,"&lt;="&amp;EOMONTH(R$19,0))+SUMIFS('Allocated Transactions'!$J:$J,'Allocated Transactions'!$D:$D,$B40,'Allocated Transactions'!$C:$C,$B$2,'Allocated Transactions'!$A:$A,"&gt;="&amp;R$19,'Allocated Transactions'!$A:$A,"&lt;="&amp;EOMONTH(R$19,0))+SUMIFS('Allocated Transactions'!$J:$J,'Allocated Transactions'!$D:$D,$B40,'Allocated Transactions'!$C:$C,$B$4,'Allocated Transactions'!$A:$A,"&gt;="&amp;R$19,'Allocated Transactions'!$A:$A,"&lt;="&amp;EOMONTH(R$19,0))+SUMIFS('Allocated Transactions'!$J:$J,'Allocated Transactions'!$D:$D,$B40,'Allocated Transactions'!$C:$C,$B$3,'Allocated Transactions'!$A:$A,"&gt;="&amp;R$19,'Allocated Transactions'!$A:$A,"&lt;="&amp;EOMONTH(R$19,0))+SUMIFS('Allocated Transactions'!$J:$J,'Allocated Transactions'!$D:$D,$B40,'Allocated Transactions'!$C:$C,$B$5,'Allocated Transactions'!$A:$A,"&gt;="&amp;R$19,'Allocated Transactions'!$A:$A,"&lt;="&amp;EOMONTH(R$19,0))+SUMIFS('Allocated Transactions'!$J:$J,'Allocated Transactions'!$D:$D,$B40,'Allocated Transactions'!$C:$C,$B$6,'Allocated Transactions'!$A:$A,"&gt;="&amp;R$19,'Allocated Transactions'!$A:$A,"&lt;="&amp;EOMONTH(R$19,0)))</f>
        <v>385.68</v>
      </c>
      <c r="S40" s="84">
        <f>SUMPRODUCT(SUMIFS('Budget Data'!$J:$J,'Budget Data'!$E:$E,$B40,'Budget Data'!$C:$C,$B$7,'Budget Data'!$A:$A,"&gt;="&amp;S$19,'Budget Data'!$A:$A,"&lt;="&amp;EOMONTH(S$19,0))+SUMIFS('Budget Data'!$J:$J,'Budget Data'!$E:$E,$B40,'Budget Data'!$C:$C,$B$9,'Budget Data'!$A:$A,"&gt;="&amp;S$19,'Budget Data'!$A:$A,"&lt;="&amp;EOMONTH(S$19,0))+SUMIFS('Budget Data'!$J:$J,'Budget Data'!$E:$E,$B40,'Budget Data'!$C:$C,$B$8,'Budget Data'!$A:$A,"&gt;="&amp;S$19,'Budget Data'!$A:$A,"&lt;="&amp;EOMONTH(S$19,0))+SUMIFS('Budget Data'!$J:$J,'Budget Data'!$E:$E,$B40,'Budget Data'!$C:$C,$B$10,'Budget Data'!$A:$A,"&gt;="&amp;S$19,'Budget Data'!$A:$A,"&lt;="&amp;EOMONTH(S$19,0))+SUMIFS('Budget Data'!$J:$J,'Budget Data'!$E:$E,$B40,'Budget Data'!$C:$C,$B$11,'Budget Data'!$A:$A,"&gt;="&amp;S$19,'Budget Data'!$A:$A,"&lt;="&amp;EOMONTH(S$19,0))+SUMIFS('Budget Data'!$J:$J,'Budget Data'!$E:$E,$B40,'Budget Data'!$C:$C,$B$2,'Budget Data'!$A:$A,"&gt;="&amp;S$19,'Budget Data'!$A:$A,"&lt;="&amp;EOMONTH(S$19,0))+SUMIFS('Budget Data'!$J:$J,'Budget Data'!$E:$E,$B40,'Budget Data'!$C:$C,$B$4,'Budget Data'!$A:$A,"&gt;="&amp;S$19,'Budget Data'!$A:$A,"&lt;="&amp;EOMONTH(S$19,0))+SUMIFS('Budget Data'!$J:$J,'Budget Data'!$E:$E,$B40,'Budget Data'!$C:$C,$B$3,'Budget Data'!$A:$A,"&gt;="&amp;S$19,'Budget Data'!$A:$A,"&lt;="&amp;EOMONTH(S$19,0))+SUMIFS('Budget Data'!$J:$J,'Budget Data'!$E:$E,$B40,'Budget Data'!$C:$C,$B$5,'Budget Data'!$A:$A,"&gt;="&amp;S$19,'Budget Data'!$A:$A,"&lt;="&amp;EOMONTH(S$19,0))+SUMIFS('Budget Data'!$J:$J,'Budget Data'!$E:$E,$B40,'Budget Data'!$C:$C,$B$6,'Budget Data'!$A:$A,"&gt;="&amp;S$19,'Budget Data'!$A:$A,"&lt;="&amp;EOMONTH(S$19,0)))</f>
        <v>400</v>
      </c>
      <c r="T40" s="86">
        <f>SUMPRODUCT(SUMIFS('Allocated Transactions'!$J:$J,'Allocated Transactions'!$D:$D,$B40,'Allocated Transactions'!$C:$C,$B$7,'Allocated Transactions'!$A:$A,"&gt;="&amp;T$19,'Allocated Transactions'!$A:$A,"&lt;="&amp;EOMONTH(T$19,0))+SUMIFS('Allocated Transactions'!$J:$J,'Allocated Transactions'!$D:$D,$B40,'Allocated Transactions'!$C:$C,$B$9,'Allocated Transactions'!$A:$A,"&gt;="&amp;T$19,'Allocated Transactions'!$A:$A,"&lt;="&amp;EOMONTH(T$19,0))+SUMIFS('Allocated Transactions'!$J:$J,'Allocated Transactions'!$D:$D,$B40,'Allocated Transactions'!$C:$C,$B$8,'Allocated Transactions'!$A:$A,"&gt;="&amp;T$19,'Allocated Transactions'!$A:$A,"&lt;="&amp;EOMONTH(T$19,0))+SUMIFS('Allocated Transactions'!$J:$J,'Allocated Transactions'!$D:$D,$B40,'Allocated Transactions'!$C:$C,$B$10,'Allocated Transactions'!$A:$A,"&gt;="&amp;T$19,'Allocated Transactions'!$A:$A,"&lt;="&amp;EOMONTH(T$19,0))+SUMIFS('Allocated Transactions'!$J:$J,'Allocated Transactions'!$D:$D,$B40,'Allocated Transactions'!$C:$C,$B$11,'Allocated Transactions'!$A:$A,"&gt;="&amp;T$19,'Allocated Transactions'!$A:$A,"&lt;="&amp;EOMONTH(T$19,0))+SUMIFS('Allocated Transactions'!$J:$J,'Allocated Transactions'!$D:$D,$B40,'Allocated Transactions'!$C:$C,$B$2,'Allocated Transactions'!$A:$A,"&gt;="&amp;T$19,'Allocated Transactions'!$A:$A,"&lt;="&amp;EOMONTH(T$19,0))+SUMIFS('Allocated Transactions'!$J:$J,'Allocated Transactions'!$D:$D,$B40,'Allocated Transactions'!$C:$C,$B$4,'Allocated Transactions'!$A:$A,"&gt;="&amp;T$19,'Allocated Transactions'!$A:$A,"&lt;="&amp;EOMONTH(T$19,0))+SUMIFS('Allocated Transactions'!$J:$J,'Allocated Transactions'!$D:$D,$B40,'Allocated Transactions'!$C:$C,$B$3,'Allocated Transactions'!$A:$A,"&gt;="&amp;T$19,'Allocated Transactions'!$A:$A,"&lt;="&amp;EOMONTH(T$19,0))+SUMIFS('Allocated Transactions'!$J:$J,'Allocated Transactions'!$D:$D,$B40,'Allocated Transactions'!$C:$C,$B$5,'Allocated Transactions'!$A:$A,"&gt;="&amp;T$19,'Allocated Transactions'!$A:$A,"&lt;="&amp;EOMONTH(T$19,0))+SUMIFS('Allocated Transactions'!$J:$J,'Allocated Transactions'!$D:$D,$B40,'Allocated Transactions'!$C:$C,$B$6,'Allocated Transactions'!$A:$A,"&gt;="&amp;T$19,'Allocated Transactions'!$A:$A,"&lt;="&amp;EOMONTH(T$19,0)))</f>
        <v>477.06</v>
      </c>
      <c r="U40" s="84">
        <f>SUMPRODUCT(SUMIFS('Budget Data'!$J:$J,'Budget Data'!$E:$E,$B40,'Budget Data'!$C:$C,$B$7,'Budget Data'!$A:$A,"&gt;="&amp;U$19,'Budget Data'!$A:$A,"&lt;="&amp;EOMONTH(U$19,0))+SUMIFS('Budget Data'!$J:$J,'Budget Data'!$E:$E,$B40,'Budget Data'!$C:$C,$B$9,'Budget Data'!$A:$A,"&gt;="&amp;U$19,'Budget Data'!$A:$A,"&lt;="&amp;EOMONTH(U$19,0))+SUMIFS('Budget Data'!$J:$J,'Budget Data'!$E:$E,$B40,'Budget Data'!$C:$C,$B$8,'Budget Data'!$A:$A,"&gt;="&amp;U$19,'Budget Data'!$A:$A,"&lt;="&amp;EOMONTH(U$19,0))+SUMIFS('Budget Data'!$J:$J,'Budget Data'!$E:$E,$B40,'Budget Data'!$C:$C,$B$10,'Budget Data'!$A:$A,"&gt;="&amp;U$19,'Budget Data'!$A:$A,"&lt;="&amp;EOMONTH(U$19,0))+SUMIFS('Budget Data'!$J:$J,'Budget Data'!$E:$E,$B40,'Budget Data'!$C:$C,$B$11,'Budget Data'!$A:$A,"&gt;="&amp;U$19,'Budget Data'!$A:$A,"&lt;="&amp;EOMONTH(U$19,0))+SUMIFS('Budget Data'!$J:$J,'Budget Data'!$E:$E,$B40,'Budget Data'!$C:$C,$B$2,'Budget Data'!$A:$A,"&gt;="&amp;U$19,'Budget Data'!$A:$A,"&lt;="&amp;EOMONTH(U$19,0))+SUMIFS('Budget Data'!$J:$J,'Budget Data'!$E:$E,$B40,'Budget Data'!$C:$C,$B$4,'Budget Data'!$A:$A,"&gt;="&amp;U$19,'Budget Data'!$A:$A,"&lt;="&amp;EOMONTH(U$19,0))+SUMIFS('Budget Data'!$J:$J,'Budget Data'!$E:$E,$B40,'Budget Data'!$C:$C,$B$3,'Budget Data'!$A:$A,"&gt;="&amp;U$19,'Budget Data'!$A:$A,"&lt;="&amp;EOMONTH(U$19,0))+SUMIFS('Budget Data'!$J:$J,'Budget Data'!$E:$E,$B40,'Budget Data'!$C:$C,$B$5,'Budget Data'!$A:$A,"&gt;="&amp;U$19,'Budget Data'!$A:$A,"&lt;="&amp;EOMONTH(U$19,0))+SUMIFS('Budget Data'!$J:$J,'Budget Data'!$E:$E,$B40,'Budget Data'!$C:$C,$B$6,'Budget Data'!$A:$A,"&gt;="&amp;U$19,'Budget Data'!$A:$A,"&lt;="&amp;EOMONTH(U$19,0)))</f>
        <v>500</v>
      </c>
      <c r="V40" s="86">
        <f>SUMPRODUCT(SUMIFS('Allocated Transactions'!$J:$J,'Allocated Transactions'!$D:$D,$B40,'Allocated Transactions'!$C:$C,$B$7,'Allocated Transactions'!$A:$A,"&gt;="&amp;V$19,'Allocated Transactions'!$A:$A,"&lt;="&amp;EOMONTH(V$19,0))+SUMIFS('Allocated Transactions'!$J:$J,'Allocated Transactions'!$D:$D,$B40,'Allocated Transactions'!$C:$C,$B$9,'Allocated Transactions'!$A:$A,"&gt;="&amp;V$19,'Allocated Transactions'!$A:$A,"&lt;="&amp;EOMONTH(V$19,0))+SUMIFS('Allocated Transactions'!$J:$J,'Allocated Transactions'!$D:$D,$B40,'Allocated Transactions'!$C:$C,$B$8,'Allocated Transactions'!$A:$A,"&gt;="&amp;V$19,'Allocated Transactions'!$A:$A,"&lt;="&amp;EOMONTH(V$19,0))+SUMIFS('Allocated Transactions'!$J:$J,'Allocated Transactions'!$D:$D,$B40,'Allocated Transactions'!$C:$C,$B$10,'Allocated Transactions'!$A:$A,"&gt;="&amp;V$19,'Allocated Transactions'!$A:$A,"&lt;="&amp;EOMONTH(V$19,0))+SUMIFS('Allocated Transactions'!$J:$J,'Allocated Transactions'!$D:$D,$B40,'Allocated Transactions'!$C:$C,$B$11,'Allocated Transactions'!$A:$A,"&gt;="&amp;V$19,'Allocated Transactions'!$A:$A,"&lt;="&amp;EOMONTH(V$19,0))+SUMIFS('Allocated Transactions'!$J:$J,'Allocated Transactions'!$D:$D,$B40,'Allocated Transactions'!$C:$C,$B$2,'Allocated Transactions'!$A:$A,"&gt;="&amp;V$19,'Allocated Transactions'!$A:$A,"&lt;="&amp;EOMONTH(V$19,0))+SUMIFS('Allocated Transactions'!$J:$J,'Allocated Transactions'!$D:$D,$B40,'Allocated Transactions'!$C:$C,$B$4,'Allocated Transactions'!$A:$A,"&gt;="&amp;V$19,'Allocated Transactions'!$A:$A,"&lt;="&amp;EOMONTH(V$19,0))+SUMIFS('Allocated Transactions'!$J:$J,'Allocated Transactions'!$D:$D,$B40,'Allocated Transactions'!$C:$C,$B$3,'Allocated Transactions'!$A:$A,"&gt;="&amp;V$19,'Allocated Transactions'!$A:$A,"&lt;="&amp;EOMONTH(V$19,0))+SUMIFS('Allocated Transactions'!$J:$J,'Allocated Transactions'!$D:$D,$B40,'Allocated Transactions'!$C:$C,$B$5,'Allocated Transactions'!$A:$A,"&gt;="&amp;V$19,'Allocated Transactions'!$A:$A,"&lt;="&amp;EOMONTH(V$19,0))+SUMIFS('Allocated Transactions'!$J:$J,'Allocated Transactions'!$D:$D,$B40,'Allocated Transactions'!$C:$C,$B$6,'Allocated Transactions'!$A:$A,"&gt;="&amp;V$19,'Allocated Transactions'!$A:$A,"&lt;="&amp;EOMONTH(V$19,0)))</f>
        <v>418.88</v>
      </c>
      <c r="W40" s="84">
        <f>SUMPRODUCT(SUMIFS('Budget Data'!$J:$J,'Budget Data'!$E:$E,$B40,'Budget Data'!$C:$C,$B$7,'Budget Data'!$A:$A,"&gt;="&amp;W$19,'Budget Data'!$A:$A,"&lt;="&amp;EOMONTH(W$19,0))+SUMIFS('Budget Data'!$J:$J,'Budget Data'!$E:$E,$B40,'Budget Data'!$C:$C,$B$9,'Budget Data'!$A:$A,"&gt;="&amp;W$19,'Budget Data'!$A:$A,"&lt;="&amp;EOMONTH(W$19,0))+SUMIFS('Budget Data'!$J:$J,'Budget Data'!$E:$E,$B40,'Budget Data'!$C:$C,$B$8,'Budget Data'!$A:$A,"&gt;="&amp;W$19,'Budget Data'!$A:$A,"&lt;="&amp;EOMONTH(W$19,0))+SUMIFS('Budget Data'!$J:$J,'Budget Data'!$E:$E,$B40,'Budget Data'!$C:$C,$B$10,'Budget Data'!$A:$A,"&gt;="&amp;W$19,'Budget Data'!$A:$A,"&lt;="&amp;EOMONTH(W$19,0))+SUMIFS('Budget Data'!$J:$J,'Budget Data'!$E:$E,$B40,'Budget Data'!$C:$C,$B$11,'Budget Data'!$A:$A,"&gt;="&amp;W$19,'Budget Data'!$A:$A,"&lt;="&amp;EOMONTH(W$19,0))+SUMIFS('Budget Data'!$J:$J,'Budget Data'!$E:$E,$B40,'Budget Data'!$C:$C,$B$2,'Budget Data'!$A:$A,"&gt;="&amp;W$19,'Budget Data'!$A:$A,"&lt;="&amp;EOMONTH(W$19,0))+SUMIFS('Budget Data'!$J:$J,'Budget Data'!$E:$E,$B40,'Budget Data'!$C:$C,$B$4,'Budget Data'!$A:$A,"&gt;="&amp;W$19,'Budget Data'!$A:$A,"&lt;="&amp;EOMONTH(W$19,0))+SUMIFS('Budget Data'!$J:$J,'Budget Data'!$E:$E,$B40,'Budget Data'!$C:$C,$B$3,'Budget Data'!$A:$A,"&gt;="&amp;W$19,'Budget Data'!$A:$A,"&lt;="&amp;EOMONTH(W$19,0))+SUMIFS('Budget Data'!$J:$J,'Budget Data'!$E:$E,$B40,'Budget Data'!$C:$C,$B$5,'Budget Data'!$A:$A,"&gt;="&amp;W$19,'Budget Data'!$A:$A,"&lt;="&amp;EOMONTH(W$19,0))+SUMIFS('Budget Data'!$J:$J,'Budget Data'!$E:$E,$B40,'Budget Data'!$C:$C,$B$6,'Budget Data'!$A:$A,"&gt;="&amp;W$19,'Budget Data'!$A:$A,"&lt;="&amp;EOMONTH(W$19,0)))</f>
        <v>400</v>
      </c>
      <c r="X40" s="86">
        <f>SUMPRODUCT(SUMIFS('Allocated Transactions'!$J:$J,'Allocated Transactions'!$D:$D,$B40,'Allocated Transactions'!$C:$C,$B$7,'Allocated Transactions'!$A:$A,"&gt;="&amp;X$19,'Allocated Transactions'!$A:$A,"&lt;="&amp;EOMONTH(X$19,0))+SUMIFS('Allocated Transactions'!$J:$J,'Allocated Transactions'!$D:$D,$B40,'Allocated Transactions'!$C:$C,$B$9,'Allocated Transactions'!$A:$A,"&gt;="&amp;X$19,'Allocated Transactions'!$A:$A,"&lt;="&amp;EOMONTH(X$19,0))+SUMIFS('Allocated Transactions'!$J:$J,'Allocated Transactions'!$D:$D,$B40,'Allocated Transactions'!$C:$C,$B$8,'Allocated Transactions'!$A:$A,"&gt;="&amp;X$19,'Allocated Transactions'!$A:$A,"&lt;="&amp;EOMONTH(X$19,0))+SUMIFS('Allocated Transactions'!$J:$J,'Allocated Transactions'!$D:$D,$B40,'Allocated Transactions'!$C:$C,$B$10,'Allocated Transactions'!$A:$A,"&gt;="&amp;X$19,'Allocated Transactions'!$A:$A,"&lt;="&amp;EOMONTH(X$19,0))+SUMIFS('Allocated Transactions'!$J:$J,'Allocated Transactions'!$D:$D,$B40,'Allocated Transactions'!$C:$C,$B$11,'Allocated Transactions'!$A:$A,"&gt;="&amp;X$19,'Allocated Transactions'!$A:$A,"&lt;="&amp;EOMONTH(X$19,0))+SUMIFS('Allocated Transactions'!$J:$J,'Allocated Transactions'!$D:$D,$B40,'Allocated Transactions'!$C:$C,$B$2,'Allocated Transactions'!$A:$A,"&gt;="&amp;X$19,'Allocated Transactions'!$A:$A,"&lt;="&amp;EOMONTH(X$19,0))+SUMIFS('Allocated Transactions'!$J:$J,'Allocated Transactions'!$D:$D,$B40,'Allocated Transactions'!$C:$C,$B$4,'Allocated Transactions'!$A:$A,"&gt;="&amp;X$19,'Allocated Transactions'!$A:$A,"&lt;="&amp;EOMONTH(X$19,0))+SUMIFS('Allocated Transactions'!$J:$J,'Allocated Transactions'!$D:$D,$B40,'Allocated Transactions'!$C:$C,$B$3,'Allocated Transactions'!$A:$A,"&gt;="&amp;X$19,'Allocated Transactions'!$A:$A,"&lt;="&amp;EOMONTH(X$19,0))+SUMIFS('Allocated Transactions'!$J:$J,'Allocated Transactions'!$D:$D,$B40,'Allocated Transactions'!$C:$C,$B$5,'Allocated Transactions'!$A:$A,"&gt;="&amp;X$19,'Allocated Transactions'!$A:$A,"&lt;="&amp;EOMONTH(X$19,0))+SUMIFS('Allocated Transactions'!$J:$J,'Allocated Transactions'!$D:$D,$B40,'Allocated Transactions'!$C:$C,$B$6,'Allocated Transactions'!$A:$A,"&gt;="&amp;X$19,'Allocated Transactions'!$A:$A,"&lt;="&amp;EOMONTH(X$19,0)))</f>
        <v>0</v>
      </c>
      <c r="Y40" s="84">
        <f>SUMPRODUCT(SUMIFS('Budget Data'!$J:$J,'Budget Data'!$E:$E,$B40,'Budget Data'!$C:$C,$B$7,'Budget Data'!$A:$A,"&gt;="&amp;Y$19,'Budget Data'!$A:$A,"&lt;="&amp;EOMONTH(Y$19,0))+SUMIFS('Budget Data'!$J:$J,'Budget Data'!$E:$E,$B40,'Budget Data'!$C:$C,$B$9,'Budget Data'!$A:$A,"&gt;="&amp;Y$19,'Budget Data'!$A:$A,"&lt;="&amp;EOMONTH(Y$19,0))+SUMIFS('Budget Data'!$J:$J,'Budget Data'!$E:$E,$B40,'Budget Data'!$C:$C,$B$8,'Budget Data'!$A:$A,"&gt;="&amp;Y$19,'Budget Data'!$A:$A,"&lt;="&amp;EOMONTH(Y$19,0))+SUMIFS('Budget Data'!$J:$J,'Budget Data'!$E:$E,$B40,'Budget Data'!$C:$C,$B$10,'Budget Data'!$A:$A,"&gt;="&amp;Y$19,'Budget Data'!$A:$A,"&lt;="&amp;EOMONTH(Y$19,0))+SUMIFS('Budget Data'!$J:$J,'Budget Data'!$E:$E,$B40,'Budget Data'!$C:$C,$B$11,'Budget Data'!$A:$A,"&gt;="&amp;Y$19,'Budget Data'!$A:$A,"&lt;="&amp;EOMONTH(Y$19,0))+SUMIFS('Budget Data'!$J:$J,'Budget Data'!$E:$E,$B40,'Budget Data'!$C:$C,$B$2,'Budget Data'!$A:$A,"&gt;="&amp;Y$19,'Budget Data'!$A:$A,"&lt;="&amp;EOMONTH(Y$19,0))+SUMIFS('Budget Data'!$J:$J,'Budget Data'!$E:$E,$B40,'Budget Data'!$C:$C,$B$4,'Budget Data'!$A:$A,"&gt;="&amp;Y$19,'Budget Data'!$A:$A,"&lt;="&amp;EOMONTH(Y$19,0))+SUMIFS('Budget Data'!$J:$J,'Budget Data'!$E:$E,$B40,'Budget Data'!$C:$C,$B$3,'Budget Data'!$A:$A,"&gt;="&amp;Y$19,'Budget Data'!$A:$A,"&lt;="&amp;EOMONTH(Y$19,0))+SUMIFS('Budget Data'!$J:$J,'Budget Data'!$E:$E,$B40,'Budget Data'!$C:$C,$B$5,'Budget Data'!$A:$A,"&gt;="&amp;Y$19,'Budget Data'!$A:$A,"&lt;="&amp;EOMONTH(Y$19,0))+SUMIFS('Budget Data'!$J:$J,'Budget Data'!$E:$E,$B40,'Budget Data'!$C:$C,$B$6,'Budget Data'!$A:$A,"&gt;="&amp;Y$19,'Budget Data'!$A:$A,"&lt;="&amp;EOMONTH(Y$19,0)))</f>
        <v>0</v>
      </c>
      <c r="Z40" s="86">
        <f>SUMPRODUCT(SUMIFS('Allocated Transactions'!$J:$J,'Allocated Transactions'!$D:$D,$B40,'Allocated Transactions'!$C:$C,$B$7,'Allocated Transactions'!$A:$A,"&gt;="&amp;Z$19,'Allocated Transactions'!$A:$A,"&lt;="&amp;EOMONTH(Z$19,0))+SUMIFS('Allocated Transactions'!$J:$J,'Allocated Transactions'!$D:$D,$B40,'Allocated Transactions'!$C:$C,$B$9,'Allocated Transactions'!$A:$A,"&gt;="&amp;Z$19,'Allocated Transactions'!$A:$A,"&lt;="&amp;EOMONTH(Z$19,0))+SUMIFS('Allocated Transactions'!$J:$J,'Allocated Transactions'!$D:$D,$B40,'Allocated Transactions'!$C:$C,$B$8,'Allocated Transactions'!$A:$A,"&gt;="&amp;Z$19,'Allocated Transactions'!$A:$A,"&lt;="&amp;EOMONTH(Z$19,0))+SUMIFS('Allocated Transactions'!$J:$J,'Allocated Transactions'!$D:$D,$B40,'Allocated Transactions'!$C:$C,$B$10,'Allocated Transactions'!$A:$A,"&gt;="&amp;Z$19,'Allocated Transactions'!$A:$A,"&lt;="&amp;EOMONTH(Z$19,0))+SUMIFS('Allocated Transactions'!$J:$J,'Allocated Transactions'!$D:$D,$B40,'Allocated Transactions'!$C:$C,$B$11,'Allocated Transactions'!$A:$A,"&gt;="&amp;Z$19,'Allocated Transactions'!$A:$A,"&lt;="&amp;EOMONTH(Z$19,0))+SUMIFS('Allocated Transactions'!$J:$J,'Allocated Transactions'!$D:$D,$B40,'Allocated Transactions'!$C:$C,$B$2,'Allocated Transactions'!$A:$A,"&gt;="&amp;Z$19,'Allocated Transactions'!$A:$A,"&lt;="&amp;EOMONTH(Z$19,0))+SUMIFS('Allocated Transactions'!$J:$J,'Allocated Transactions'!$D:$D,$B40,'Allocated Transactions'!$C:$C,$B$4,'Allocated Transactions'!$A:$A,"&gt;="&amp;Z$19,'Allocated Transactions'!$A:$A,"&lt;="&amp;EOMONTH(Z$19,0))+SUMIFS('Allocated Transactions'!$J:$J,'Allocated Transactions'!$D:$D,$B40,'Allocated Transactions'!$C:$C,$B$3,'Allocated Transactions'!$A:$A,"&gt;="&amp;Z$19,'Allocated Transactions'!$A:$A,"&lt;="&amp;EOMONTH(Z$19,0))+SUMIFS('Allocated Transactions'!$J:$J,'Allocated Transactions'!$D:$D,$B40,'Allocated Transactions'!$C:$C,$B$5,'Allocated Transactions'!$A:$A,"&gt;="&amp;Z$19,'Allocated Transactions'!$A:$A,"&lt;="&amp;EOMONTH(Z$19,0))+SUMIFS('Allocated Transactions'!$J:$J,'Allocated Transactions'!$D:$D,$B40,'Allocated Transactions'!$C:$C,$B$6,'Allocated Transactions'!$A:$A,"&gt;="&amp;Z$19,'Allocated Transactions'!$A:$A,"&lt;="&amp;EOMONTH(Z$19,0)))</f>
        <v>270.13</v>
      </c>
      <c r="AA40" s="84">
        <f>SUMPRODUCT(SUMIFS('Budget Data'!$J:$J,'Budget Data'!$E:$E,$B40,'Budget Data'!$C:$C,$B$7,'Budget Data'!$A:$A,"&gt;="&amp;AA$19,'Budget Data'!$A:$A,"&lt;="&amp;EOMONTH(AA$19,0))+SUMIFS('Budget Data'!$J:$J,'Budget Data'!$E:$E,$B40,'Budget Data'!$C:$C,$B$9,'Budget Data'!$A:$A,"&gt;="&amp;AA$19,'Budget Data'!$A:$A,"&lt;="&amp;EOMONTH(AA$19,0))+SUMIFS('Budget Data'!$J:$J,'Budget Data'!$E:$E,$B40,'Budget Data'!$C:$C,$B$8,'Budget Data'!$A:$A,"&gt;="&amp;AA$19,'Budget Data'!$A:$A,"&lt;="&amp;EOMONTH(AA$19,0))+SUMIFS('Budget Data'!$J:$J,'Budget Data'!$E:$E,$B40,'Budget Data'!$C:$C,$B$10,'Budget Data'!$A:$A,"&gt;="&amp;AA$19,'Budget Data'!$A:$A,"&lt;="&amp;EOMONTH(AA$19,0))+SUMIFS('Budget Data'!$J:$J,'Budget Data'!$E:$E,$B40,'Budget Data'!$C:$C,$B$11,'Budget Data'!$A:$A,"&gt;="&amp;AA$19,'Budget Data'!$A:$A,"&lt;="&amp;EOMONTH(AA$19,0))+SUMIFS('Budget Data'!$J:$J,'Budget Data'!$E:$E,$B40,'Budget Data'!$C:$C,$B$2,'Budget Data'!$A:$A,"&gt;="&amp;AA$19,'Budget Data'!$A:$A,"&lt;="&amp;EOMONTH(AA$19,0))+SUMIFS('Budget Data'!$J:$J,'Budget Data'!$E:$E,$B40,'Budget Data'!$C:$C,$B$4,'Budget Data'!$A:$A,"&gt;="&amp;AA$19,'Budget Data'!$A:$A,"&lt;="&amp;EOMONTH(AA$19,0))+SUMIFS('Budget Data'!$J:$J,'Budget Data'!$E:$E,$B40,'Budget Data'!$C:$C,$B$3,'Budget Data'!$A:$A,"&gt;="&amp;AA$19,'Budget Data'!$A:$A,"&lt;="&amp;EOMONTH(AA$19,0))+SUMIFS('Budget Data'!$J:$J,'Budget Data'!$E:$E,$B40,'Budget Data'!$C:$C,$B$5,'Budget Data'!$A:$A,"&gt;="&amp;AA$19,'Budget Data'!$A:$A,"&lt;="&amp;EOMONTH(AA$19,0))+SUMIFS('Budget Data'!$J:$J,'Budget Data'!$E:$E,$B40,'Budget Data'!$C:$C,$B$6,'Budget Data'!$A:$A,"&gt;="&amp;AA$19,'Budget Data'!$A:$A,"&lt;="&amp;EOMONTH(AA$19,0)))</f>
        <v>300</v>
      </c>
      <c r="AC40" s="87">
        <f t="shared" si="2"/>
        <v>3113.1100000000006</v>
      </c>
      <c r="AD40" s="84">
        <f t="shared" si="2"/>
        <v>3100</v>
      </c>
    </row>
    <row r="41" spans="2:30" ht="15" customHeight="1">
      <c r="B41" s="12" t="str">
        <v>5500</v>
      </c>
      <c r="C41" s="160" t="str">
        <f>_xlfn.XLOOKUP(B41,'Allocated Transactions'!D:D,'Allocated Transactions'!E:E,"")</f>
        <v>Professional Fees - Legal</v>
      </c>
      <c r="D41" s="86">
        <f>SUMPRODUCT(SUMIFS('Allocated Transactions'!$J:$J,'Allocated Transactions'!$D:$D,$B41,'Allocated Transactions'!$C:$C,$B$7,'Allocated Transactions'!$A:$A,"&gt;="&amp;D$19,'Allocated Transactions'!$A:$A,"&lt;="&amp;EOMONTH(D$19,0))+SUMIFS('Allocated Transactions'!$J:$J,'Allocated Transactions'!$D:$D,$B41,'Allocated Transactions'!$C:$C,$B$9,'Allocated Transactions'!$A:$A,"&gt;="&amp;D$19,'Allocated Transactions'!$A:$A,"&lt;="&amp;EOMONTH(D$19,0))+SUMIFS('Allocated Transactions'!$J:$J,'Allocated Transactions'!$D:$D,$B41,'Allocated Transactions'!$C:$C,$B$8,'Allocated Transactions'!$A:$A,"&gt;="&amp;D$19,'Allocated Transactions'!$A:$A,"&lt;="&amp;EOMONTH(D$19,0))+SUMIFS('Allocated Transactions'!$J:$J,'Allocated Transactions'!$D:$D,$B41,'Allocated Transactions'!$C:$C,$B$10,'Allocated Transactions'!$A:$A,"&gt;="&amp;D$19,'Allocated Transactions'!$A:$A,"&lt;="&amp;EOMONTH(D$19,0))+SUMIFS('Allocated Transactions'!$J:$J,'Allocated Transactions'!$D:$D,$B41,'Allocated Transactions'!$C:$C,$B$11,'Allocated Transactions'!$A:$A,"&gt;="&amp;D$19,'Allocated Transactions'!$A:$A,"&lt;="&amp;EOMONTH(D$19,0))+SUMIFS('Allocated Transactions'!$J:$J,'Allocated Transactions'!$D:$D,$B41,'Allocated Transactions'!$C:$C,$B$2,'Allocated Transactions'!$A:$A,"&gt;="&amp;D$19,'Allocated Transactions'!$A:$A,"&lt;="&amp;EOMONTH(D$19,0))+SUMIFS('Allocated Transactions'!$J:$J,'Allocated Transactions'!$D:$D,$B41,'Allocated Transactions'!$C:$C,$B$4,'Allocated Transactions'!$A:$A,"&gt;="&amp;D$19,'Allocated Transactions'!$A:$A,"&lt;="&amp;EOMONTH(D$19,0))+SUMIFS('Allocated Transactions'!$J:$J,'Allocated Transactions'!$D:$D,$B41,'Allocated Transactions'!$C:$C,$B$3,'Allocated Transactions'!$A:$A,"&gt;="&amp;D$19,'Allocated Transactions'!$A:$A,"&lt;="&amp;EOMONTH(D$19,0))+SUMIFS('Allocated Transactions'!$J:$J,'Allocated Transactions'!$D:$D,$B41,'Allocated Transactions'!$C:$C,$B$5,'Allocated Transactions'!$A:$A,"&gt;="&amp;D$19,'Allocated Transactions'!$A:$A,"&lt;="&amp;EOMONTH(D$19,0))+SUMIFS('Allocated Transactions'!$J:$J,'Allocated Transactions'!$D:$D,$B41,'Allocated Transactions'!$C:$C,$B$6,'Allocated Transactions'!$A:$A,"&gt;="&amp;D$19,'Allocated Transactions'!$A:$A,"&lt;="&amp;EOMONTH(D$19,0)))</f>
        <v>0</v>
      </c>
      <c r="E41" s="84">
        <f>SUMPRODUCT(SUMIFS('Budget Data'!$J:$J,'Budget Data'!$E:$E,$B41,'Budget Data'!$C:$C,$B$7,'Budget Data'!$A:$A,"&gt;="&amp;E$19,'Budget Data'!$A:$A,"&lt;="&amp;EOMONTH(E$19,0))+SUMIFS('Budget Data'!$J:$J,'Budget Data'!$E:$E,$B41,'Budget Data'!$C:$C,$B$9,'Budget Data'!$A:$A,"&gt;="&amp;E$19,'Budget Data'!$A:$A,"&lt;="&amp;EOMONTH(E$19,0))+SUMIFS('Budget Data'!$J:$J,'Budget Data'!$E:$E,$B41,'Budget Data'!$C:$C,$B$8,'Budget Data'!$A:$A,"&gt;="&amp;E$19,'Budget Data'!$A:$A,"&lt;="&amp;EOMONTH(E$19,0))+SUMIFS('Budget Data'!$J:$J,'Budget Data'!$E:$E,$B41,'Budget Data'!$C:$C,$B$10,'Budget Data'!$A:$A,"&gt;="&amp;E$19,'Budget Data'!$A:$A,"&lt;="&amp;EOMONTH(E$19,0))+SUMIFS('Budget Data'!$J:$J,'Budget Data'!$E:$E,$B41,'Budget Data'!$C:$C,$B$11,'Budget Data'!$A:$A,"&gt;="&amp;E$19,'Budget Data'!$A:$A,"&lt;="&amp;EOMONTH(E$19,0))+SUMIFS('Budget Data'!$J:$J,'Budget Data'!$E:$E,$B41,'Budget Data'!$C:$C,$B$2,'Budget Data'!$A:$A,"&gt;="&amp;E$19,'Budget Data'!$A:$A,"&lt;="&amp;EOMONTH(E$19,0))+SUMIFS('Budget Data'!$J:$J,'Budget Data'!$E:$E,$B41,'Budget Data'!$C:$C,$B$4,'Budget Data'!$A:$A,"&gt;="&amp;E$19,'Budget Data'!$A:$A,"&lt;="&amp;EOMONTH(E$19,0))+SUMIFS('Budget Data'!$J:$J,'Budget Data'!$E:$E,$B41,'Budget Data'!$C:$C,$B$3,'Budget Data'!$A:$A,"&gt;="&amp;E$19,'Budget Data'!$A:$A,"&lt;="&amp;EOMONTH(E$19,0))+SUMIFS('Budget Data'!$J:$J,'Budget Data'!$E:$E,$B41,'Budget Data'!$C:$C,$B$5,'Budget Data'!$A:$A,"&gt;="&amp;E$19,'Budget Data'!$A:$A,"&lt;="&amp;EOMONTH(E$19,0))+SUMIFS('Budget Data'!$J:$J,'Budget Data'!$E:$E,$B41,'Budget Data'!$C:$C,$B$6,'Budget Data'!$A:$A,"&gt;="&amp;E$19,'Budget Data'!$A:$A,"&lt;="&amp;EOMONTH(E$19,0)))</f>
        <v>0</v>
      </c>
      <c r="F41" s="86">
        <f>SUMPRODUCT(SUMIFS('Allocated Transactions'!$J:$J,'Allocated Transactions'!$D:$D,$B41,'Allocated Transactions'!$C:$C,$B$7,'Allocated Transactions'!$A:$A,"&gt;="&amp;F$19,'Allocated Transactions'!$A:$A,"&lt;="&amp;EOMONTH(F$19,0))+SUMIFS('Allocated Transactions'!$J:$J,'Allocated Transactions'!$D:$D,$B41,'Allocated Transactions'!$C:$C,$B$9,'Allocated Transactions'!$A:$A,"&gt;="&amp;F$19,'Allocated Transactions'!$A:$A,"&lt;="&amp;EOMONTH(F$19,0))+SUMIFS('Allocated Transactions'!$J:$J,'Allocated Transactions'!$D:$D,$B41,'Allocated Transactions'!$C:$C,$B$8,'Allocated Transactions'!$A:$A,"&gt;="&amp;F$19,'Allocated Transactions'!$A:$A,"&lt;="&amp;EOMONTH(F$19,0))+SUMIFS('Allocated Transactions'!$J:$J,'Allocated Transactions'!$D:$D,$B41,'Allocated Transactions'!$C:$C,$B$10,'Allocated Transactions'!$A:$A,"&gt;="&amp;F$19,'Allocated Transactions'!$A:$A,"&lt;="&amp;EOMONTH(F$19,0))+SUMIFS('Allocated Transactions'!$J:$J,'Allocated Transactions'!$D:$D,$B41,'Allocated Transactions'!$C:$C,$B$11,'Allocated Transactions'!$A:$A,"&gt;="&amp;F$19,'Allocated Transactions'!$A:$A,"&lt;="&amp;EOMONTH(F$19,0))+SUMIFS('Allocated Transactions'!$J:$J,'Allocated Transactions'!$D:$D,$B41,'Allocated Transactions'!$C:$C,$B$2,'Allocated Transactions'!$A:$A,"&gt;="&amp;F$19,'Allocated Transactions'!$A:$A,"&lt;="&amp;EOMONTH(F$19,0))+SUMIFS('Allocated Transactions'!$J:$J,'Allocated Transactions'!$D:$D,$B41,'Allocated Transactions'!$C:$C,$B$4,'Allocated Transactions'!$A:$A,"&gt;="&amp;F$19,'Allocated Transactions'!$A:$A,"&lt;="&amp;EOMONTH(F$19,0))+SUMIFS('Allocated Transactions'!$J:$J,'Allocated Transactions'!$D:$D,$B41,'Allocated Transactions'!$C:$C,$B$3,'Allocated Transactions'!$A:$A,"&gt;="&amp;F$19,'Allocated Transactions'!$A:$A,"&lt;="&amp;EOMONTH(F$19,0))+SUMIFS('Allocated Transactions'!$J:$J,'Allocated Transactions'!$D:$D,$B41,'Allocated Transactions'!$C:$C,$B$5,'Allocated Transactions'!$A:$A,"&gt;="&amp;F$19,'Allocated Transactions'!$A:$A,"&lt;="&amp;EOMONTH(F$19,0))+SUMIFS('Allocated Transactions'!$J:$J,'Allocated Transactions'!$D:$D,$B41,'Allocated Transactions'!$C:$C,$B$6,'Allocated Transactions'!$A:$A,"&gt;="&amp;F$19,'Allocated Transactions'!$A:$A,"&lt;="&amp;EOMONTH(F$19,0)))</f>
        <v>2750.88</v>
      </c>
      <c r="G41" s="84">
        <f>SUMPRODUCT(SUMIFS('Budget Data'!$J:$J,'Budget Data'!$E:$E,$B41,'Budget Data'!$C:$C,$B$7,'Budget Data'!$A:$A,"&gt;="&amp;G$19,'Budget Data'!$A:$A,"&lt;="&amp;EOMONTH(G$19,0))+SUMIFS('Budget Data'!$J:$J,'Budget Data'!$E:$E,$B41,'Budget Data'!$C:$C,$B$9,'Budget Data'!$A:$A,"&gt;="&amp;G$19,'Budget Data'!$A:$A,"&lt;="&amp;EOMONTH(G$19,0))+SUMIFS('Budget Data'!$J:$J,'Budget Data'!$E:$E,$B41,'Budget Data'!$C:$C,$B$8,'Budget Data'!$A:$A,"&gt;="&amp;G$19,'Budget Data'!$A:$A,"&lt;="&amp;EOMONTH(G$19,0))+SUMIFS('Budget Data'!$J:$J,'Budget Data'!$E:$E,$B41,'Budget Data'!$C:$C,$B$10,'Budget Data'!$A:$A,"&gt;="&amp;G$19,'Budget Data'!$A:$A,"&lt;="&amp;EOMONTH(G$19,0))+SUMIFS('Budget Data'!$J:$J,'Budget Data'!$E:$E,$B41,'Budget Data'!$C:$C,$B$11,'Budget Data'!$A:$A,"&gt;="&amp;G$19,'Budget Data'!$A:$A,"&lt;="&amp;EOMONTH(G$19,0))+SUMIFS('Budget Data'!$J:$J,'Budget Data'!$E:$E,$B41,'Budget Data'!$C:$C,$B$2,'Budget Data'!$A:$A,"&gt;="&amp;G$19,'Budget Data'!$A:$A,"&lt;="&amp;EOMONTH(G$19,0))+SUMIFS('Budget Data'!$J:$J,'Budget Data'!$E:$E,$B41,'Budget Data'!$C:$C,$B$4,'Budget Data'!$A:$A,"&gt;="&amp;G$19,'Budget Data'!$A:$A,"&lt;="&amp;EOMONTH(G$19,0))+SUMIFS('Budget Data'!$J:$J,'Budget Data'!$E:$E,$B41,'Budget Data'!$C:$C,$B$3,'Budget Data'!$A:$A,"&gt;="&amp;G$19,'Budget Data'!$A:$A,"&lt;="&amp;EOMONTH(G$19,0))+SUMIFS('Budget Data'!$J:$J,'Budget Data'!$E:$E,$B41,'Budget Data'!$C:$C,$B$5,'Budget Data'!$A:$A,"&gt;="&amp;G$19,'Budget Data'!$A:$A,"&lt;="&amp;EOMONTH(G$19,0))+SUMIFS('Budget Data'!$J:$J,'Budget Data'!$E:$E,$B41,'Budget Data'!$C:$C,$B$6,'Budget Data'!$A:$A,"&gt;="&amp;G$19,'Budget Data'!$A:$A,"&lt;="&amp;EOMONTH(G$19,0)))</f>
        <v>2700</v>
      </c>
      <c r="H41" s="86">
        <f>SUMPRODUCT(SUMIFS('Allocated Transactions'!$J:$J,'Allocated Transactions'!$D:$D,$B41,'Allocated Transactions'!$C:$C,$B$7,'Allocated Transactions'!$A:$A,"&gt;="&amp;H$19,'Allocated Transactions'!$A:$A,"&lt;="&amp;EOMONTH(H$19,0))+SUMIFS('Allocated Transactions'!$J:$J,'Allocated Transactions'!$D:$D,$B41,'Allocated Transactions'!$C:$C,$B$9,'Allocated Transactions'!$A:$A,"&gt;="&amp;H$19,'Allocated Transactions'!$A:$A,"&lt;="&amp;EOMONTH(H$19,0))+SUMIFS('Allocated Transactions'!$J:$J,'Allocated Transactions'!$D:$D,$B41,'Allocated Transactions'!$C:$C,$B$8,'Allocated Transactions'!$A:$A,"&gt;="&amp;H$19,'Allocated Transactions'!$A:$A,"&lt;="&amp;EOMONTH(H$19,0))+SUMIFS('Allocated Transactions'!$J:$J,'Allocated Transactions'!$D:$D,$B41,'Allocated Transactions'!$C:$C,$B$10,'Allocated Transactions'!$A:$A,"&gt;="&amp;H$19,'Allocated Transactions'!$A:$A,"&lt;="&amp;EOMONTH(H$19,0))+SUMIFS('Allocated Transactions'!$J:$J,'Allocated Transactions'!$D:$D,$B41,'Allocated Transactions'!$C:$C,$B$11,'Allocated Transactions'!$A:$A,"&gt;="&amp;H$19,'Allocated Transactions'!$A:$A,"&lt;="&amp;EOMONTH(H$19,0))+SUMIFS('Allocated Transactions'!$J:$J,'Allocated Transactions'!$D:$D,$B41,'Allocated Transactions'!$C:$C,$B$2,'Allocated Transactions'!$A:$A,"&gt;="&amp;H$19,'Allocated Transactions'!$A:$A,"&lt;="&amp;EOMONTH(H$19,0))+SUMIFS('Allocated Transactions'!$J:$J,'Allocated Transactions'!$D:$D,$B41,'Allocated Transactions'!$C:$C,$B$4,'Allocated Transactions'!$A:$A,"&gt;="&amp;H$19,'Allocated Transactions'!$A:$A,"&lt;="&amp;EOMONTH(H$19,0))+SUMIFS('Allocated Transactions'!$J:$J,'Allocated Transactions'!$D:$D,$B41,'Allocated Transactions'!$C:$C,$B$3,'Allocated Transactions'!$A:$A,"&gt;="&amp;H$19,'Allocated Transactions'!$A:$A,"&lt;="&amp;EOMONTH(H$19,0))+SUMIFS('Allocated Transactions'!$J:$J,'Allocated Transactions'!$D:$D,$B41,'Allocated Transactions'!$C:$C,$B$5,'Allocated Transactions'!$A:$A,"&gt;="&amp;H$19,'Allocated Transactions'!$A:$A,"&lt;="&amp;EOMONTH(H$19,0))+SUMIFS('Allocated Transactions'!$J:$J,'Allocated Transactions'!$D:$D,$B41,'Allocated Transactions'!$C:$C,$B$6,'Allocated Transactions'!$A:$A,"&gt;="&amp;H$19,'Allocated Transactions'!$A:$A,"&lt;="&amp;EOMONTH(H$19,0)))</f>
        <v>0</v>
      </c>
      <c r="I41" s="84">
        <f>SUMPRODUCT(SUMIFS('Budget Data'!$J:$J,'Budget Data'!$E:$E,$B41,'Budget Data'!$C:$C,$B$7,'Budget Data'!$A:$A,"&gt;="&amp;I$19,'Budget Data'!$A:$A,"&lt;="&amp;EOMONTH(I$19,0))+SUMIFS('Budget Data'!$J:$J,'Budget Data'!$E:$E,$B41,'Budget Data'!$C:$C,$B$9,'Budget Data'!$A:$A,"&gt;="&amp;I$19,'Budget Data'!$A:$A,"&lt;="&amp;EOMONTH(I$19,0))+SUMIFS('Budget Data'!$J:$J,'Budget Data'!$E:$E,$B41,'Budget Data'!$C:$C,$B$8,'Budget Data'!$A:$A,"&gt;="&amp;I$19,'Budget Data'!$A:$A,"&lt;="&amp;EOMONTH(I$19,0))+SUMIFS('Budget Data'!$J:$J,'Budget Data'!$E:$E,$B41,'Budget Data'!$C:$C,$B$10,'Budget Data'!$A:$A,"&gt;="&amp;I$19,'Budget Data'!$A:$A,"&lt;="&amp;EOMONTH(I$19,0))+SUMIFS('Budget Data'!$J:$J,'Budget Data'!$E:$E,$B41,'Budget Data'!$C:$C,$B$11,'Budget Data'!$A:$A,"&gt;="&amp;I$19,'Budget Data'!$A:$A,"&lt;="&amp;EOMONTH(I$19,0))+SUMIFS('Budget Data'!$J:$J,'Budget Data'!$E:$E,$B41,'Budget Data'!$C:$C,$B$2,'Budget Data'!$A:$A,"&gt;="&amp;I$19,'Budget Data'!$A:$A,"&lt;="&amp;EOMONTH(I$19,0))+SUMIFS('Budget Data'!$J:$J,'Budget Data'!$E:$E,$B41,'Budget Data'!$C:$C,$B$4,'Budget Data'!$A:$A,"&gt;="&amp;I$19,'Budget Data'!$A:$A,"&lt;="&amp;EOMONTH(I$19,0))+SUMIFS('Budget Data'!$J:$J,'Budget Data'!$E:$E,$B41,'Budget Data'!$C:$C,$B$3,'Budget Data'!$A:$A,"&gt;="&amp;I$19,'Budget Data'!$A:$A,"&lt;="&amp;EOMONTH(I$19,0))+SUMIFS('Budget Data'!$J:$J,'Budget Data'!$E:$E,$B41,'Budget Data'!$C:$C,$B$5,'Budget Data'!$A:$A,"&gt;="&amp;I$19,'Budget Data'!$A:$A,"&lt;="&amp;EOMONTH(I$19,0))+SUMIFS('Budget Data'!$J:$J,'Budget Data'!$E:$E,$B41,'Budget Data'!$C:$C,$B$6,'Budget Data'!$A:$A,"&gt;="&amp;I$19,'Budget Data'!$A:$A,"&lt;="&amp;EOMONTH(I$19,0)))</f>
        <v>0</v>
      </c>
      <c r="J41" s="86">
        <f>SUMPRODUCT(SUMIFS('Allocated Transactions'!$J:$J,'Allocated Transactions'!$D:$D,$B41,'Allocated Transactions'!$C:$C,$B$7,'Allocated Transactions'!$A:$A,"&gt;="&amp;J$19,'Allocated Transactions'!$A:$A,"&lt;="&amp;EOMONTH(J$19,0))+SUMIFS('Allocated Transactions'!$J:$J,'Allocated Transactions'!$D:$D,$B41,'Allocated Transactions'!$C:$C,$B$9,'Allocated Transactions'!$A:$A,"&gt;="&amp;J$19,'Allocated Transactions'!$A:$A,"&lt;="&amp;EOMONTH(J$19,0))+SUMIFS('Allocated Transactions'!$J:$J,'Allocated Transactions'!$D:$D,$B41,'Allocated Transactions'!$C:$C,$B$8,'Allocated Transactions'!$A:$A,"&gt;="&amp;J$19,'Allocated Transactions'!$A:$A,"&lt;="&amp;EOMONTH(J$19,0))+SUMIFS('Allocated Transactions'!$J:$J,'Allocated Transactions'!$D:$D,$B41,'Allocated Transactions'!$C:$C,$B$10,'Allocated Transactions'!$A:$A,"&gt;="&amp;J$19,'Allocated Transactions'!$A:$A,"&lt;="&amp;EOMONTH(J$19,0))+SUMIFS('Allocated Transactions'!$J:$J,'Allocated Transactions'!$D:$D,$B41,'Allocated Transactions'!$C:$C,$B$11,'Allocated Transactions'!$A:$A,"&gt;="&amp;J$19,'Allocated Transactions'!$A:$A,"&lt;="&amp;EOMONTH(J$19,0))+SUMIFS('Allocated Transactions'!$J:$J,'Allocated Transactions'!$D:$D,$B41,'Allocated Transactions'!$C:$C,$B$2,'Allocated Transactions'!$A:$A,"&gt;="&amp;J$19,'Allocated Transactions'!$A:$A,"&lt;="&amp;EOMONTH(J$19,0))+SUMIFS('Allocated Transactions'!$J:$J,'Allocated Transactions'!$D:$D,$B41,'Allocated Transactions'!$C:$C,$B$4,'Allocated Transactions'!$A:$A,"&gt;="&amp;J$19,'Allocated Transactions'!$A:$A,"&lt;="&amp;EOMONTH(J$19,0))+SUMIFS('Allocated Transactions'!$J:$J,'Allocated Transactions'!$D:$D,$B41,'Allocated Transactions'!$C:$C,$B$3,'Allocated Transactions'!$A:$A,"&gt;="&amp;J$19,'Allocated Transactions'!$A:$A,"&lt;="&amp;EOMONTH(J$19,0))+SUMIFS('Allocated Transactions'!$J:$J,'Allocated Transactions'!$D:$D,$B41,'Allocated Transactions'!$C:$C,$B$5,'Allocated Transactions'!$A:$A,"&gt;="&amp;J$19,'Allocated Transactions'!$A:$A,"&lt;="&amp;EOMONTH(J$19,0))+SUMIFS('Allocated Transactions'!$J:$J,'Allocated Transactions'!$D:$D,$B41,'Allocated Transactions'!$C:$C,$B$6,'Allocated Transactions'!$A:$A,"&gt;="&amp;J$19,'Allocated Transactions'!$A:$A,"&lt;="&amp;EOMONTH(J$19,0)))</f>
        <v>0</v>
      </c>
      <c r="K41" s="84">
        <f>SUMPRODUCT(SUMIFS('Budget Data'!$J:$J,'Budget Data'!$E:$E,$B41,'Budget Data'!$C:$C,$B$7,'Budget Data'!$A:$A,"&gt;="&amp;K$19,'Budget Data'!$A:$A,"&lt;="&amp;EOMONTH(K$19,0))+SUMIFS('Budget Data'!$J:$J,'Budget Data'!$E:$E,$B41,'Budget Data'!$C:$C,$B$9,'Budget Data'!$A:$A,"&gt;="&amp;K$19,'Budget Data'!$A:$A,"&lt;="&amp;EOMONTH(K$19,0))+SUMIFS('Budget Data'!$J:$J,'Budget Data'!$E:$E,$B41,'Budget Data'!$C:$C,$B$8,'Budget Data'!$A:$A,"&gt;="&amp;K$19,'Budget Data'!$A:$A,"&lt;="&amp;EOMONTH(K$19,0))+SUMIFS('Budget Data'!$J:$J,'Budget Data'!$E:$E,$B41,'Budget Data'!$C:$C,$B$10,'Budget Data'!$A:$A,"&gt;="&amp;K$19,'Budget Data'!$A:$A,"&lt;="&amp;EOMONTH(K$19,0))+SUMIFS('Budget Data'!$J:$J,'Budget Data'!$E:$E,$B41,'Budget Data'!$C:$C,$B$11,'Budget Data'!$A:$A,"&gt;="&amp;K$19,'Budget Data'!$A:$A,"&lt;="&amp;EOMONTH(K$19,0))+SUMIFS('Budget Data'!$J:$J,'Budget Data'!$E:$E,$B41,'Budget Data'!$C:$C,$B$2,'Budget Data'!$A:$A,"&gt;="&amp;K$19,'Budget Data'!$A:$A,"&lt;="&amp;EOMONTH(K$19,0))+SUMIFS('Budget Data'!$J:$J,'Budget Data'!$E:$E,$B41,'Budget Data'!$C:$C,$B$4,'Budget Data'!$A:$A,"&gt;="&amp;K$19,'Budget Data'!$A:$A,"&lt;="&amp;EOMONTH(K$19,0))+SUMIFS('Budget Data'!$J:$J,'Budget Data'!$E:$E,$B41,'Budget Data'!$C:$C,$B$3,'Budget Data'!$A:$A,"&gt;="&amp;K$19,'Budget Data'!$A:$A,"&lt;="&amp;EOMONTH(K$19,0))+SUMIFS('Budget Data'!$J:$J,'Budget Data'!$E:$E,$B41,'Budget Data'!$C:$C,$B$5,'Budget Data'!$A:$A,"&gt;="&amp;K$19,'Budget Data'!$A:$A,"&lt;="&amp;EOMONTH(K$19,0))+SUMIFS('Budget Data'!$J:$J,'Budget Data'!$E:$E,$B41,'Budget Data'!$C:$C,$B$6,'Budget Data'!$A:$A,"&gt;="&amp;K$19,'Budget Data'!$A:$A,"&lt;="&amp;EOMONTH(K$19,0)))</f>
        <v>0</v>
      </c>
      <c r="L41" s="86">
        <f>SUMPRODUCT(SUMIFS('Allocated Transactions'!$J:$J,'Allocated Transactions'!$D:$D,$B41,'Allocated Transactions'!$C:$C,$B$7,'Allocated Transactions'!$A:$A,"&gt;="&amp;L$19,'Allocated Transactions'!$A:$A,"&lt;="&amp;EOMONTH(L$19,0))+SUMIFS('Allocated Transactions'!$J:$J,'Allocated Transactions'!$D:$D,$B41,'Allocated Transactions'!$C:$C,$B$9,'Allocated Transactions'!$A:$A,"&gt;="&amp;L$19,'Allocated Transactions'!$A:$A,"&lt;="&amp;EOMONTH(L$19,0))+SUMIFS('Allocated Transactions'!$J:$J,'Allocated Transactions'!$D:$D,$B41,'Allocated Transactions'!$C:$C,$B$8,'Allocated Transactions'!$A:$A,"&gt;="&amp;L$19,'Allocated Transactions'!$A:$A,"&lt;="&amp;EOMONTH(L$19,0))+SUMIFS('Allocated Transactions'!$J:$J,'Allocated Transactions'!$D:$D,$B41,'Allocated Transactions'!$C:$C,$B$10,'Allocated Transactions'!$A:$A,"&gt;="&amp;L$19,'Allocated Transactions'!$A:$A,"&lt;="&amp;EOMONTH(L$19,0))+SUMIFS('Allocated Transactions'!$J:$J,'Allocated Transactions'!$D:$D,$B41,'Allocated Transactions'!$C:$C,$B$11,'Allocated Transactions'!$A:$A,"&gt;="&amp;L$19,'Allocated Transactions'!$A:$A,"&lt;="&amp;EOMONTH(L$19,0))+SUMIFS('Allocated Transactions'!$J:$J,'Allocated Transactions'!$D:$D,$B41,'Allocated Transactions'!$C:$C,$B$2,'Allocated Transactions'!$A:$A,"&gt;="&amp;L$19,'Allocated Transactions'!$A:$A,"&lt;="&amp;EOMONTH(L$19,0))+SUMIFS('Allocated Transactions'!$J:$J,'Allocated Transactions'!$D:$D,$B41,'Allocated Transactions'!$C:$C,$B$4,'Allocated Transactions'!$A:$A,"&gt;="&amp;L$19,'Allocated Transactions'!$A:$A,"&lt;="&amp;EOMONTH(L$19,0))+SUMIFS('Allocated Transactions'!$J:$J,'Allocated Transactions'!$D:$D,$B41,'Allocated Transactions'!$C:$C,$B$3,'Allocated Transactions'!$A:$A,"&gt;="&amp;L$19,'Allocated Transactions'!$A:$A,"&lt;="&amp;EOMONTH(L$19,0))+SUMIFS('Allocated Transactions'!$J:$J,'Allocated Transactions'!$D:$D,$B41,'Allocated Transactions'!$C:$C,$B$5,'Allocated Transactions'!$A:$A,"&gt;="&amp;L$19,'Allocated Transactions'!$A:$A,"&lt;="&amp;EOMONTH(L$19,0))+SUMIFS('Allocated Transactions'!$J:$J,'Allocated Transactions'!$D:$D,$B41,'Allocated Transactions'!$C:$C,$B$6,'Allocated Transactions'!$A:$A,"&gt;="&amp;L$19,'Allocated Transactions'!$A:$A,"&lt;="&amp;EOMONTH(L$19,0)))</f>
        <v>0</v>
      </c>
      <c r="M41" s="84">
        <f>SUMPRODUCT(SUMIFS('Budget Data'!$J:$J,'Budget Data'!$E:$E,$B41,'Budget Data'!$C:$C,$B$7,'Budget Data'!$A:$A,"&gt;="&amp;M$19,'Budget Data'!$A:$A,"&lt;="&amp;EOMONTH(M$19,0))+SUMIFS('Budget Data'!$J:$J,'Budget Data'!$E:$E,$B41,'Budget Data'!$C:$C,$B$9,'Budget Data'!$A:$A,"&gt;="&amp;M$19,'Budget Data'!$A:$A,"&lt;="&amp;EOMONTH(M$19,0))+SUMIFS('Budget Data'!$J:$J,'Budget Data'!$E:$E,$B41,'Budget Data'!$C:$C,$B$8,'Budget Data'!$A:$A,"&gt;="&amp;M$19,'Budget Data'!$A:$A,"&lt;="&amp;EOMONTH(M$19,0))+SUMIFS('Budget Data'!$J:$J,'Budget Data'!$E:$E,$B41,'Budget Data'!$C:$C,$B$10,'Budget Data'!$A:$A,"&gt;="&amp;M$19,'Budget Data'!$A:$A,"&lt;="&amp;EOMONTH(M$19,0))+SUMIFS('Budget Data'!$J:$J,'Budget Data'!$E:$E,$B41,'Budget Data'!$C:$C,$B$11,'Budget Data'!$A:$A,"&gt;="&amp;M$19,'Budget Data'!$A:$A,"&lt;="&amp;EOMONTH(M$19,0))+SUMIFS('Budget Data'!$J:$J,'Budget Data'!$E:$E,$B41,'Budget Data'!$C:$C,$B$2,'Budget Data'!$A:$A,"&gt;="&amp;M$19,'Budget Data'!$A:$A,"&lt;="&amp;EOMONTH(M$19,0))+SUMIFS('Budget Data'!$J:$J,'Budget Data'!$E:$E,$B41,'Budget Data'!$C:$C,$B$4,'Budget Data'!$A:$A,"&gt;="&amp;M$19,'Budget Data'!$A:$A,"&lt;="&amp;EOMONTH(M$19,0))+SUMIFS('Budget Data'!$J:$J,'Budget Data'!$E:$E,$B41,'Budget Data'!$C:$C,$B$3,'Budget Data'!$A:$A,"&gt;="&amp;M$19,'Budget Data'!$A:$A,"&lt;="&amp;EOMONTH(M$19,0))+SUMIFS('Budget Data'!$J:$J,'Budget Data'!$E:$E,$B41,'Budget Data'!$C:$C,$B$5,'Budget Data'!$A:$A,"&gt;="&amp;M$19,'Budget Data'!$A:$A,"&lt;="&amp;EOMONTH(M$19,0))+SUMIFS('Budget Data'!$J:$J,'Budget Data'!$E:$E,$B41,'Budget Data'!$C:$C,$B$6,'Budget Data'!$A:$A,"&gt;="&amp;M$19,'Budget Data'!$A:$A,"&lt;="&amp;EOMONTH(M$19,0)))</f>
        <v>0</v>
      </c>
      <c r="N41" s="86">
        <f>SUMPRODUCT(SUMIFS('Allocated Transactions'!$J:$J,'Allocated Transactions'!$D:$D,$B41,'Allocated Transactions'!$C:$C,$B$7,'Allocated Transactions'!$A:$A,"&gt;="&amp;N$19,'Allocated Transactions'!$A:$A,"&lt;="&amp;EOMONTH(N$19,0))+SUMIFS('Allocated Transactions'!$J:$J,'Allocated Transactions'!$D:$D,$B41,'Allocated Transactions'!$C:$C,$B$9,'Allocated Transactions'!$A:$A,"&gt;="&amp;N$19,'Allocated Transactions'!$A:$A,"&lt;="&amp;EOMONTH(N$19,0))+SUMIFS('Allocated Transactions'!$J:$J,'Allocated Transactions'!$D:$D,$B41,'Allocated Transactions'!$C:$C,$B$8,'Allocated Transactions'!$A:$A,"&gt;="&amp;N$19,'Allocated Transactions'!$A:$A,"&lt;="&amp;EOMONTH(N$19,0))+SUMIFS('Allocated Transactions'!$J:$J,'Allocated Transactions'!$D:$D,$B41,'Allocated Transactions'!$C:$C,$B$10,'Allocated Transactions'!$A:$A,"&gt;="&amp;N$19,'Allocated Transactions'!$A:$A,"&lt;="&amp;EOMONTH(N$19,0))+SUMIFS('Allocated Transactions'!$J:$J,'Allocated Transactions'!$D:$D,$B41,'Allocated Transactions'!$C:$C,$B$11,'Allocated Transactions'!$A:$A,"&gt;="&amp;N$19,'Allocated Transactions'!$A:$A,"&lt;="&amp;EOMONTH(N$19,0))+SUMIFS('Allocated Transactions'!$J:$J,'Allocated Transactions'!$D:$D,$B41,'Allocated Transactions'!$C:$C,$B$2,'Allocated Transactions'!$A:$A,"&gt;="&amp;N$19,'Allocated Transactions'!$A:$A,"&lt;="&amp;EOMONTH(N$19,0))+SUMIFS('Allocated Transactions'!$J:$J,'Allocated Transactions'!$D:$D,$B41,'Allocated Transactions'!$C:$C,$B$4,'Allocated Transactions'!$A:$A,"&gt;="&amp;N$19,'Allocated Transactions'!$A:$A,"&lt;="&amp;EOMONTH(N$19,0))+SUMIFS('Allocated Transactions'!$J:$J,'Allocated Transactions'!$D:$D,$B41,'Allocated Transactions'!$C:$C,$B$3,'Allocated Transactions'!$A:$A,"&gt;="&amp;N$19,'Allocated Transactions'!$A:$A,"&lt;="&amp;EOMONTH(N$19,0))+SUMIFS('Allocated Transactions'!$J:$J,'Allocated Transactions'!$D:$D,$B41,'Allocated Transactions'!$C:$C,$B$5,'Allocated Transactions'!$A:$A,"&gt;="&amp;N$19,'Allocated Transactions'!$A:$A,"&lt;="&amp;EOMONTH(N$19,0))+SUMIFS('Allocated Transactions'!$J:$J,'Allocated Transactions'!$D:$D,$B41,'Allocated Transactions'!$C:$C,$B$6,'Allocated Transactions'!$A:$A,"&gt;="&amp;N$19,'Allocated Transactions'!$A:$A,"&lt;="&amp;EOMONTH(N$19,0)))</f>
        <v>0</v>
      </c>
      <c r="O41" s="84">
        <f>SUMPRODUCT(SUMIFS('Budget Data'!$J:$J,'Budget Data'!$E:$E,$B41,'Budget Data'!$C:$C,$B$7,'Budget Data'!$A:$A,"&gt;="&amp;O$19,'Budget Data'!$A:$A,"&lt;="&amp;EOMONTH(O$19,0))+SUMIFS('Budget Data'!$J:$J,'Budget Data'!$E:$E,$B41,'Budget Data'!$C:$C,$B$9,'Budget Data'!$A:$A,"&gt;="&amp;O$19,'Budget Data'!$A:$A,"&lt;="&amp;EOMONTH(O$19,0))+SUMIFS('Budget Data'!$J:$J,'Budget Data'!$E:$E,$B41,'Budget Data'!$C:$C,$B$8,'Budget Data'!$A:$A,"&gt;="&amp;O$19,'Budget Data'!$A:$A,"&lt;="&amp;EOMONTH(O$19,0))+SUMIFS('Budget Data'!$J:$J,'Budget Data'!$E:$E,$B41,'Budget Data'!$C:$C,$B$10,'Budget Data'!$A:$A,"&gt;="&amp;O$19,'Budget Data'!$A:$A,"&lt;="&amp;EOMONTH(O$19,0))+SUMIFS('Budget Data'!$J:$J,'Budget Data'!$E:$E,$B41,'Budget Data'!$C:$C,$B$11,'Budget Data'!$A:$A,"&gt;="&amp;O$19,'Budget Data'!$A:$A,"&lt;="&amp;EOMONTH(O$19,0))+SUMIFS('Budget Data'!$J:$J,'Budget Data'!$E:$E,$B41,'Budget Data'!$C:$C,$B$2,'Budget Data'!$A:$A,"&gt;="&amp;O$19,'Budget Data'!$A:$A,"&lt;="&amp;EOMONTH(O$19,0))+SUMIFS('Budget Data'!$J:$J,'Budget Data'!$E:$E,$B41,'Budget Data'!$C:$C,$B$4,'Budget Data'!$A:$A,"&gt;="&amp;O$19,'Budget Data'!$A:$A,"&lt;="&amp;EOMONTH(O$19,0))+SUMIFS('Budget Data'!$J:$J,'Budget Data'!$E:$E,$B41,'Budget Data'!$C:$C,$B$3,'Budget Data'!$A:$A,"&gt;="&amp;O$19,'Budget Data'!$A:$A,"&lt;="&amp;EOMONTH(O$19,0))+SUMIFS('Budget Data'!$J:$J,'Budget Data'!$E:$E,$B41,'Budget Data'!$C:$C,$B$5,'Budget Data'!$A:$A,"&gt;="&amp;O$19,'Budget Data'!$A:$A,"&lt;="&amp;EOMONTH(O$19,0))+SUMIFS('Budget Data'!$J:$J,'Budget Data'!$E:$E,$B41,'Budget Data'!$C:$C,$B$6,'Budget Data'!$A:$A,"&gt;="&amp;O$19,'Budget Data'!$A:$A,"&lt;="&amp;EOMONTH(O$19,0)))</f>
        <v>0</v>
      </c>
      <c r="P41" s="86">
        <f>SUMPRODUCT(SUMIFS('Allocated Transactions'!$J:$J,'Allocated Transactions'!$D:$D,$B41,'Allocated Transactions'!$C:$C,$B$7,'Allocated Transactions'!$A:$A,"&gt;="&amp;P$19,'Allocated Transactions'!$A:$A,"&lt;="&amp;EOMONTH(P$19,0))+SUMIFS('Allocated Transactions'!$J:$J,'Allocated Transactions'!$D:$D,$B41,'Allocated Transactions'!$C:$C,$B$9,'Allocated Transactions'!$A:$A,"&gt;="&amp;P$19,'Allocated Transactions'!$A:$A,"&lt;="&amp;EOMONTH(P$19,0))+SUMIFS('Allocated Transactions'!$J:$J,'Allocated Transactions'!$D:$D,$B41,'Allocated Transactions'!$C:$C,$B$8,'Allocated Transactions'!$A:$A,"&gt;="&amp;P$19,'Allocated Transactions'!$A:$A,"&lt;="&amp;EOMONTH(P$19,0))+SUMIFS('Allocated Transactions'!$J:$J,'Allocated Transactions'!$D:$D,$B41,'Allocated Transactions'!$C:$C,$B$10,'Allocated Transactions'!$A:$A,"&gt;="&amp;P$19,'Allocated Transactions'!$A:$A,"&lt;="&amp;EOMONTH(P$19,0))+SUMIFS('Allocated Transactions'!$J:$J,'Allocated Transactions'!$D:$D,$B41,'Allocated Transactions'!$C:$C,$B$11,'Allocated Transactions'!$A:$A,"&gt;="&amp;P$19,'Allocated Transactions'!$A:$A,"&lt;="&amp;EOMONTH(P$19,0))+SUMIFS('Allocated Transactions'!$J:$J,'Allocated Transactions'!$D:$D,$B41,'Allocated Transactions'!$C:$C,$B$2,'Allocated Transactions'!$A:$A,"&gt;="&amp;P$19,'Allocated Transactions'!$A:$A,"&lt;="&amp;EOMONTH(P$19,0))+SUMIFS('Allocated Transactions'!$J:$J,'Allocated Transactions'!$D:$D,$B41,'Allocated Transactions'!$C:$C,$B$4,'Allocated Transactions'!$A:$A,"&gt;="&amp;P$19,'Allocated Transactions'!$A:$A,"&lt;="&amp;EOMONTH(P$19,0))+SUMIFS('Allocated Transactions'!$J:$J,'Allocated Transactions'!$D:$D,$B41,'Allocated Transactions'!$C:$C,$B$3,'Allocated Transactions'!$A:$A,"&gt;="&amp;P$19,'Allocated Transactions'!$A:$A,"&lt;="&amp;EOMONTH(P$19,0))+SUMIFS('Allocated Transactions'!$J:$J,'Allocated Transactions'!$D:$D,$B41,'Allocated Transactions'!$C:$C,$B$5,'Allocated Transactions'!$A:$A,"&gt;="&amp;P$19,'Allocated Transactions'!$A:$A,"&lt;="&amp;EOMONTH(P$19,0))+SUMIFS('Allocated Transactions'!$J:$J,'Allocated Transactions'!$D:$D,$B41,'Allocated Transactions'!$C:$C,$B$6,'Allocated Transactions'!$A:$A,"&gt;="&amp;P$19,'Allocated Transactions'!$A:$A,"&lt;="&amp;EOMONTH(P$19,0)))</f>
        <v>0</v>
      </c>
      <c r="Q41" s="84">
        <f>SUMPRODUCT(SUMIFS('Budget Data'!$J:$J,'Budget Data'!$E:$E,$B41,'Budget Data'!$C:$C,$B$7,'Budget Data'!$A:$A,"&gt;="&amp;Q$19,'Budget Data'!$A:$A,"&lt;="&amp;EOMONTH(Q$19,0))+SUMIFS('Budget Data'!$J:$J,'Budget Data'!$E:$E,$B41,'Budget Data'!$C:$C,$B$9,'Budget Data'!$A:$A,"&gt;="&amp;Q$19,'Budget Data'!$A:$A,"&lt;="&amp;EOMONTH(Q$19,0))+SUMIFS('Budget Data'!$J:$J,'Budget Data'!$E:$E,$B41,'Budget Data'!$C:$C,$B$8,'Budget Data'!$A:$A,"&gt;="&amp;Q$19,'Budget Data'!$A:$A,"&lt;="&amp;EOMONTH(Q$19,0))+SUMIFS('Budget Data'!$J:$J,'Budget Data'!$E:$E,$B41,'Budget Data'!$C:$C,$B$10,'Budget Data'!$A:$A,"&gt;="&amp;Q$19,'Budget Data'!$A:$A,"&lt;="&amp;EOMONTH(Q$19,0))+SUMIFS('Budget Data'!$J:$J,'Budget Data'!$E:$E,$B41,'Budget Data'!$C:$C,$B$11,'Budget Data'!$A:$A,"&gt;="&amp;Q$19,'Budget Data'!$A:$A,"&lt;="&amp;EOMONTH(Q$19,0))+SUMIFS('Budget Data'!$J:$J,'Budget Data'!$E:$E,$B41,'Budget Data'!$C:$C,$B$2,'Budget Data'!$A:$A,"&gt;="&amp;Q$19,'Budget Data'!$A:$A,"&lt;="&amp;EOMONTH(Q$19,0))+SUMIFS('Budget Data'!$J:$J,'Budget Data'!$E:$E,$B41,'Budget Data'!$C:$C,$B$4,'Budget Data'!$A:$A,"&gt;="&amp;Q$19,'Budget Data'!$A:$A,"&lt;="&amp;EOMONTH(Q$19,0))+SUMIFS('Budget Data'!$J:$J,'Budget Data'!$E:$E,$B41,'Budget Data'!$C:$C,$B$3,'Budget Data'!$A:$A,"&gt;="&amp;Q$19,'Budget Data'!$A:$A,"&lt;="&amp;EOMONTH(Q$19,0))+SUMIFS('Budget Data'!$J:$J,'Budget Data'!$E:$E,$B41,'Budget Data'!$C:$C,$B$5,'Budget Data'!$A:$A,"&gt;="&amp;Q$19,'Budget Data'!$A:$A,"&lt;="&amp;EOMONTH(Q$19,0))+SUMIFS('Budget Data'!$J:$J,'Budget Data'!$E:$E,$B41,'Budget Data'!$C:$C,$B$6,'Budget Data'!$A:$A,"&gt;="&amp;Q$19,'Budget Data'!$A:$A,"&lt;="&amp;EOMONTH(Q$19,0)))</f>
        <v>0</v>
      </c>
      <c r="R41" s="86">
        <f>SUMPRODUCT(SUMIFS('Allocated Transactions'!$J:$J,'Allocated Transactions'!$D:$D,$B41,'Allocated Transactions'!$C:$C,$B$7,'Allocated Transactions'!$A:$A,"&gt;="&amp;R$19,'Allocated Transactions'!$A:$A,"&lt;="&amp;EOMONTH(R$19,0))+SUMIFS('Allocated Transactions'!$J:$J,'Allocated Transactions'!$D:$D,$B41,'Allocated Transactions'!$C:$C,$B$9,'Allocated Transactions'!$A:$A,"&gt;="&amp;R$19,'Allocated Transactions'!$A:$A,"&lt;="&amp;EOMONTH(R$19,0))+SUMIFS('Allocated Transactions'!$J:$J,'Allocated Transactions'!$D:$D,$B41,'Allocated Transactions'!$C:$C,$B$8,'Allocated Transactions'!$A:$A,"&gt;="&amp;R$19,'Allocated Transactions'!$A:$A,"&lt;="&amp;EOMONTH(R$19,0))+SUMIFS('Allocated Transactions'!$J:$J,'Allocated Transactions'!$D:$D,$B41,'Allocated Transactions'!$C:$C,$B$10,'Allocated Transactions'!$A:$A,"&gt;="&amp;R$19,'Allocated Transactions'!$A:$A,"&lt;="&amp;EOMONTH(R$19,0))+SUMIFS('Allocated Transactions'!$J:$J,'Allocated Transactions'!$D:$D,$B41,'Allocated Transactions'!$C:$C,$B$11,'Allocated Transactions'!$A:$A,"&gt;="&amp;R$19,'Allocated Transactions'!$A:$A,"&lt;="&amp;EOMONTH(R$19,0))+SUMIFS('Allocated Transactions'!$J:$J,'Allocated Transactions'!$D:$D,$B41,'Allocated Transactions'!$C:$C,$B$2,'Allocated Transactions'!$A:$A,"&gt;="&amp;R$19,'Allocated Transactions'!$A:$A,"&lt;="&amp;EOMONTH(R$19,0))+SUMIFS('Allocated Transactions'!$J:$J,'Allocated Transactions'!$D:$D,$B41,'Allocated Transactions'!$C:$C,$B$4,'Allocated Transactions'!$A:$A,"&gt;="&amp;R$19,'Allocated Transactions'!$A:$A,"&lt;="&amp;EOMONTH(R$19,0))+SUMIFS('Allocated Transactions'!$J:$J,'Allocated Transactions'!$D:$D,$B41,'Allocated Transactions'!$C:$C,$B$3,'Allocated Transactions'!$A:$A,"&gt;="&amp;R$19,'Allocated Transactions'!$A:$A,"&lt;="&amp;EOMONTH(R$19,0))+SUMIFS('Allocated Transactions'!$J:$J,'Allocated Transactions'!$D:$D,$B41,'Allocated Transactions'!$C:$C,$B$5,'Allocated Transactions'!$A:$A,"&gt;="&amp;R$19,'Allocated Transactions'!$A:$A,"&lt;="&amp;EOMONTH(R$19,0))+SUMIFS('Allocated Transactions'!$J:$J,'Allocated Transactions'!$D:$D,$B41,'Allocated Transactions'!$C:$C,$B$6,'Allocated Transactions'!$A:$A,"&gt;="&amp;R$19,'Allocated Transactions'!$A:$A,"&lt;="&amp;EOMONTH(R$19,0)))</f>
        <v>0</v>
      </c>
      <c r="S41" s="84">
        <f>SUMPRODUCT(SUMIFS('Budget Data'!$J:$J,'Budget Data'!$E:$E,$B41,'Budget Data'!$C:$C,$B$7,'Budget Data'!$A:$A,"&gt;="&amp;S$19,'Budget Data'!$A:$A,"&lt;="&amp;EOMONTH(S$19,0))+SUMIFS('Budget Data'!$J:$J,'Budget Data'!$E:$E,$B41,'Budget Data'!$C:$C,$B$9,'Budget Data'!$A:$A,"&gt;="&amp;S$19,'Budget Data'!$A:$A,"&lt;="&amp;EOMONTH(S$19,0))+SUMIFS('Budget Data'!$J:$J,'Budget Data'!$E:$E,$B41,'Budget Data'!$C:$C,$B$8,'Budget Data'!$A:$A,"&gt;="&amp;S$19,'Budget Data'!$A:$A,"&lt;="&amp;EOMONTH(S$19,0))+SUMIFS('Budget Data'!$J:$J,'Budget Data'!$E:$E,$B41,'Budget Data'!$C:$C,$B$10,'Budget Data'!$A:$A,"&gt;="&amp;S$19,'Budget Data'!$A:$A,"&lt;="&amp;EOMONTH(S$19,0))+SUMIFS('Budget Data'!$J:$J,'Budget Data'!$E:$E,$B41,'Budget Data'!$C:$C,$B$11,'Budget Data'!$A:$A,"&gt;="&amp;S$19,'Budget Data'!$A:$A,"&lt;="&amp;EOMONTH(S$19,0))+SUMIFS('Budget Data'!$J:$J,'Budget Data'!$E:$E,$B41,'Budget Data'!$C:$C,$B$2,'Budget Data'!$A:$A,"&gt;="&amp;S$19,'Budget Data'!$A:$A,"&lt;="&amp;EOMONTH(S$19,0))+SUMIFS('Budget Data'!$J:$J,'Budget Data'!$E:$E,$B41,'Budget Data'!$C:$C,$B$4,'Budget Data'!$A:$A,"&gt;="&amp;S$19,'Budget Data'!$A:$A,"&lt;="&amp;EOMONTH(S$19,0))+SUMIFS('Budget Data'!$J:$J,'Budget Data'!$E:$E,$B41,'Budget Data'!$C:$C,$B$3,'Budget Data'!$A:$A,"&gt;="&amp;S$19,'Budget Data'!$A:$A,"&lt;="&amp;EOMONTH(S$19,0))+SUMIFS('Budget Data'!$J:$J,'Budget Data'!$E:$E,$B41,'Budget Data'!$C:$C,$B$5,'Budget Data'!$A:$A,"&gt;="&amp;S$19,'Budget Data'!$A:$A,"&lt;="&amp;EOMONTH(S$19,0))+SUMIFS('Budget Data'!$J:$J,'Budget Data'!$E:$E,$B41,'Budget Data'!$C:$C,$B$6,'Budget Data'!$A:$A,"&gt;="&amp;S$19,'Budget Data'!$A:$A,"&lt;="&amp;EOMONTH(S$19,0)))</f>
        <v>0</v>
      </c>
      <c r="T41" s="86">
        <f>SUMPRODUCT(SUMIFS('Allocated Transactions'!$J:$J,'Allocated Transactions'!$D:$D,$B41,'Allocated Transactions'!$C:$C,$B$7,'Allocated Transactions'!$A:$A,"&gt;="&amp;T$19,'Allocated Transactions'!$A:$A,"&lt;="&amp;EOMONTH(T$19,0))+SUMIFS('Allocated Transactions'!$J:$J,'Allocated Transactions'!$D:$D,$B41,'Allocated Transactions'!$C:$C,$B$9,'Allocated Transactions'!$A:$A,"&gt;="&amp;T$19,'Allocated Transactions'!$A:$A,"&lt;="&amp;EOMONTH(T$19,0))+SUMIFS('Allocated Transactions'!$J:$J,'Allocated Transactions'!$D:$D,$B41,'Allocated Transactions'!$C:$C,$B$8,'Allocated Transactions'!$A:$A,"&gt;="&amp;T$19,'Allocated Transactions'!$A:$A,"&lt;="&amp;EOMONTH(T$19,0))+SUMIFS('Allocated Transactions'!$J:$J,'Allocated Transactions'!$D:$D,$B41,'Allocated Transactions'!$C:$C,$B$10,'Allocated Transactions'!$A:$A,"&gt;="&amp;T$19,'Allocated Transactions'!$A:$A,"&lt;="&amp;EOMONTH(T$19,0))+SUMIFS('Allocated Transactions'!$J:$J,'Allocated Transactions'!$D:$D,$B41,'Allocated Transactions'!$C:$C,$B$11,'Allocated Transactions'!$A:$A,"&gt;="&amp;T$19,'Allocated Transactions'!$A:$A,"&lt;="&amp;EOMONTH(T$19,0))+SUMIFS('Allocated Transactions'!$J:$J,'Allocated Transactions'!$D:$D,$B41,'Allocated Transactions'!$C:$C,$B$2,'Allocated Transactions'!$A:$A,"&gt;="&amp;T$19,'Allocated Transactions'!$A:$A,"&lt;="&amp;EOMONTH(T$19,0))+SUMIFS('Allocated Transactions'!$J:$J,'Allocated Transactions'!$D:$D,$B41,'Allocated Transactions'!$C:$C,$B$4,'Allocated Transactions'!$A:$A,"&gt;="&amp;T$19,'Allocated Transactions'!$A:$A,"&lt;="&amp;EOMONTH(T$19,0))+SUMIFS('Allocated Transactions'!$J:$J,'Allocated Transactions'!$D:$D,$B41,'Allocated Transactions'!$C:$C,$B$3,'Allocated Transactions'!$A:$A,"&gt;="&amp;T$19,'Allocated Transactions'!$A:$A,"&lt;="&amp;EOMONTH(T$19,0))+SUMIFS('Allocated Transactions'!$J:$J,'Allocated Transactions'!$D:$D,$B41,'Allocated Transactions'!$C:$C,$B$5,'Allocated Transactions'!$A:$A,"&gt;="&amp;T$19,'Allocated Transactions'!$A:$A,"&lt;="&amp;EOMONTH(T$19,0))+SUMIFS('Allocated Transactions'!$J:$J,'Allocated Transactions'!$D:$D,$B41,'Allocated Transactions'!$C:$C,$B$6,'Allocated Transactions'!$A:$A,"&gt;="&amp;T$19,'Allocated Transactions'!$A:$A,"&lt;="&amp;EOMONTH(T$19,0)))</f>
        <v>0</v>
      </c>
      <c r="U41" s="84">
        <f>SUMPRODUCT(SUMIFS('Budget Data'!$J:$J,'Budget Data'!$E:$E,$B41,'Budget Data'!$C:$C,$B$7,'Budget Data'!$A:$A,"&gt;="&amp;U$19,'Budget Data'!$A:$A,"&lt;="&amp;EOMONTH(U$19,0))+SUMIFS('Budget Data'!$J:$J,'Budget Data'!$E:$E,$B41,'Budget Data'!$C:$C,$B$9,'Budget Data'!$A:$A,"&gt;="&amp;U$19,'Budget Data'!$A:$A,"&lt;="&amp;EOMONTH(U$19,0))+SUMIFS('Budget Data'!$J:$J,'Budget Data'!$E:$E,$B41,'Budget Data'!$C:$C,$B$8,'Budget Data'!$A:$A,"&gt;="&amp;U$19,'Budget Data'!$A:$A,"&lt;="&amp;EOMONTH(U$19,0))+SUMIFS('Budget Data'!$J:$J,'Budget Data'!$E:$E,$B41,'Budget Data'!$C:$C,$B$10,'Budget Data'!$A:$A,"&gt;="&amp;U$19,'Budget Data'!$A:$A,"&lt;="&amp;EOMONTH(U$19,0))+SUMIFS('Budget Data'!$J:$J,'Budget Data'!$E:$E,$B41,'Budget Data'!$C:$C,$B$11,'Budget Data'!$A:$A,"&gt;="&amp;U$19,'Budget Data'!$A:$A,"&lt;="&amp;EOMONTH(U$19,0))+SUMIFS('Budget Data'!$J:$J,'Budget Data'!$E:$E,$B41,'Budget Data'!$C:$C,$B$2,'Budget Data'!$A:$A,"&gt;="&amp;U$19,'Budget Data'!$A:$A,"&lt;="&amp;EOMONTH(U$19,0))+SUMIFS('Budget Data'!$J:$J,'Budget Data'!$E:$E,$B41,'Budget Data'!$C:$C,$B$4,'Budget Data'!$A:$A,"&gt;="&amp;U$19,'Budget Data'!$A:$A,"&lt;="&amp;EOMONTH(U$19,0))+SUMIFS('Budget Data'!$J:$J,'Budget Data'!$E:$E,$B41,'Budget Data'!$C:$C,$B$3,'Budget Data'!$A:$A,"&gt;="&amp;U$19,'Budget Data'!$A:$A,"&lt;="&amp;EOMONTH(U$19,0))+SUMIFS('Budget Data'!$J:$J,'Budget Data'!$E:$E,$B41,'Budget Data'!$C:$C,$B$5,'Budget Data'!$A:$A,"&gt;="&amp;U$19,'Budget Data'!$A:$A,"&lt;="&amp;EOMONTH(U$19,0))+SUMIFS('Budget Data'!$J:$J,'Budget Data'!$E:$E,$B41,'Budget Data'!$C:$C,$B$6,'Budget Data'!$A:$A,"&gt;="&amp;U$19,'Budget Data'!$A:$A,"&lt;="&amp;EOMONTH(U$19,0)))</f>
        <v>0</v>
      </c>
      <c r="V41" s="86">
        <f>SUMPRODUCT(SUMIFS('Allocated Transactions'!$J:$J,'Allocated Transactions'!$D:$D,$B41,'Allocated Transactions'!$C:$C,$B$7,'Allocated Transactions'!$A:$A,"&gt;="&amp;V$19,'Allocated Transactions'!$A:$A,"&lt;="&amp;EOMONTH(V$19,0))+SUMIFS('Allocated Transactions'!$J:$J,'Allocated Transactions'!$D:$D,$B41,'Allocated Transactions'!$C:$C,$B$9,'Allocated Transactions'!$A:$A,"&gt;="&amp;V$19,'Allocated Transactions'!$A:$A,"&lt;="&amp;EOMONTH(V$19,0))+SUMIFS('Allocated Transactions'!$J:$J,'Allocated Transactions'!$D:$D,$B41,'Allocated Transactions'!$C:$C,$B$8,'Allocated Transactions'!$A:$A,"&gt;="&amp;V$19,'Allocated Transactions'!$A:$A,"&lt;="&amp;EOMONTH(V$19,0))+SUMIFS('Allocated Transactions'!$J:$J,'Allocated Transactions'!$D:$D,$B41,'Allocated Transactions'!$C:$C,$B$10,'Allocated Transactions'!$A:$A,"&gt;="&amp;V$19,'Allocated Transactions'!$A:$A,"&lt;="&amp;EOMONTH(V$19,0))+SUMIFS('Allocated Transactions'!$J:$J,'Allocated Transactions'!$D:$D,$B41,'Allocated Transactions'!$C:$C,$B$11,'Allocated Transactions'!$A:$A,"&gt;="&amp;V$19,'Allocated Transactions'!$A:$A,"&lt;="&amp;EOMONTH(V$19,0))+SUMIFS('Allocated Transactions'!$J:$J,'Allocated Transactions'!$D:$D,$B41,'Allocated Transactions'!$C:$C,$B$2,'Allocated Transactions'!$A:$A,"&gt;="&amp;V$19,'Allocated Transactions'!$A:$A,"&lt;="&amp;EOMONTH(V$19,0))+SUMIFS('Allocated Transactions'!$J:$J,'Allocated Transactions'!$D:$D,$B41,'Allocated Transactions'!$C:$C,$B$4,'Allocated Transactions'!$A:$A,"&gt;="&amp;V$19,'Allocated Transactions'!$A:$A,"&lt;="&amp;EOMONTH(V$19,0))+SUMIFS('Allocated Transactions'!$J:$J,'Allocated Transactions'!$D:$D,$B41,'Allocated Transactions'!$C:$C,$B$3,'Allocated Transactions'!$A:$A,"&gt;="&amp;V$19,'Allocated Transactions'!$A:$A,"&lt;="&amp;EOMONTH(V$19,0))+SUMIFS('Allocated Transactions'!$J:$J,'Allocated Transactions'!$D:$D,$B41,'Allocated Transactions'!$C:$C,$B$5,'Allocated Transactions'!$A:$A,"&gt;="&amp;V$19,'Allocated Transactions'!$A:$A,"&lt;="&amp;EOMONTH(V$19,0))+SUMIFS('Allocated Transactions'!$J:$J,'Allocated Transactions'!$D:$D,$B41,'Allocated Transactions'!$C:$C,$B$6,'Allocated Transactions'!$A:$A,"&gt;="&amp;V$19,'Allocated Transactions'!$A:$A,"&lt;="&amp;EOMONTH(V$19,0)))</f>
        <v>0</v>
      </c>
      <c r="W41" s="84">
        <f>SUMPRODUCT(SUMIFS('Budget Data'!$J:$J,'Budget Data'!$E:$E,$B41,'Budget Data'!$C:$C,$B$7,'Budget Data'!$A:$A,"&gt;="&amp;W$19,'Budget Data'!$A:$A,"&lt;="&amp;EOMONTH(W$19,0))+SUMIFS('Budget Data'!$J:$J,'Budget Data'!$E:$E,$B41,'Budget Data'!$C:$C,$B$9,'Budget Data'!$A:$A,"&gt;="&amp;W$19,'Budget Data'!$A:$A,"&lt;="&amp;EOMONTH(W$19,0))+SUMIFS('Budget Data'!$J:$J,'Budget Data'!$E:$E,$B41,'Budget Data'!$C:$C,$B$8,'Budget Data'!$A:$A,"&gt;="&amp;W$19,'Budget Data'!$A:$A,"&lt;="&amp;EOMONTH(W$19,0))+SUMIFS('Budget Data'!$J:$J,'Budget Data'!$E:$E,$B41,'Budget Data'!$C:$C,$B$10,'Budget Data'!$A:$A,"&gt;="&amp;W$19,'Budget Data'!$A:$A,"&lt;="&amp;EOMONTH(W$19,0))+SUMIFS('Budget Data'!$J:$J,'Budget Data'!$E:$E,$B41,'Budget Data'!$C:$C,$B$11,'Budget Data'!$A:$A,"&gt;="&amp;W$19,'Budget Data'!$A:$A,"&lt;="&amp;EOMONTH(W$19,0))+SUMIFS('Budget Data'!$J:$J,'Budget Data'!$E:$E,$B41,'Budget Data'!$C:$C,$B$2,'Budget Data'!$A:$A,"&gt;="&amp;W$19,'Budget Data'!$A:$A,"&lt;="&amp;EOMONTH(W$19,0))+SUMIFS('Budget Data'!$J:$J,'Budget Data'!$E:$E,$B41,'Budget Data'!$C:$C,$B$4,'Budget Data'!$A:$A,"&gt;="&amp;W$19,'Budget Data'!$A:$A,"&lt;="&amp;EOMONTH(W$19,0))+SUMIFS('Budget Data'!$J:$J,'Budget Data'!$E:$E,$B41,'Budget Data'!$C:$C,$B$3,'Budget Data'!$A:$A,"&gt;="&amp;W$19,'Budget Data'!$A:$A,"&lt;="&amp;EOMONTH(W$19,0))+SUMIFS('Budget Data'!$J:$J,'Budget Data'!$E:$E,$B41,'Budget Data'!$C:$C,$B$5,'Budget Data'!$A:$A,"&gt;="&amp;W$19,'Budget Data'!$A:$A,"&lt;="&amp;EOMONTH(W$19,0))+SUMIFS('Budget Data'!$J:$J,'Budget Data'!$E:$E,$B41,'Budget Data'!$C:$C,$B$6,'Budget Data'!$A:$A,"&gt;="&amp;W$19,'Budget Data'!$A:$A,"&lt;="&amp;EOMONTH(W$19,0)))</f>
        <v>0</v>
      </c>
      <c r="X41" s="86">
        <f>SUMPRODUCT(SUMIFS('Allocated Transactions'!$J:$J,'Allocated Transactions'!$D:$D,$B41,'Allocated Transactions'!$C:$C,$B$7,'Allocated Transactions'!$A:$A,"&gt;="&amp;X$19,'Allocated Transactions'!$A:$A,"&lt;="&amp;EOMONTH(X$19,0))+SUMIFS('Allocated Transactions'!$J:$J,'Allocated Transactions'!$D:$D,$B41,'Allocated Transactions'!$C:$C,$B$9,'Allocated Transactions'!$A:$A,"&gt;="&amp;X$19,'Allocated Transactions'!$A:$A,"&lt;="&amp;EOMONTH(X$19,0))+SUMIFS('Allocated Transactions'!$J:$J,'Allocated Transactions'!$D:$D,$B41,'Allocated Transactions'!$C:$C,$B$8,'Allocated Transactions'!$A:$A,"&gt;="&amp;X$19,'Allocated Transactions'!$A:$A,"&lt;="&amp;EOMONTH(X$19,0))+SUMIFS('Allocated Transactions'!$J:$J,'Allocated Transactions'!$D:$D,$B41,'Allocated Transactions'!$C:$C,$B$10,'Allocated Transactions'!$A:$A,"&gt;="&amp;X$19,'Allocated Transactions'!$A:$A,"&lt;="&amp;EOMONTH(X$19,0))+SUMIFS('Allocated Transactions'!$J:$J,'Allocated Transactions'!$D:$D,$B41,'Allocated Transactions'!$C:$C,$B$11,'Allocated Transactions'!$A:$A,"&gt;="&amp;X$19,'Allocated Transactions'!$A:$A,"&lt;="&amp;EOMONTH(X$19,0))+SUMIFS('Allocated Transactions'!$J:$J,'Allocated Transactions'!$D:$D,$B41,'Allocated Transactions'!$C:$C,$B$2,'Allocated Transactions'!$A:$A,"&gt;="&amp;X$19,'Allocated Transactions'!$A:$A,"&lt;="&amp;EOMONTH(X$19,0))+SUMIFS('Allocated Transactions'!$J:$J,'Allocated Transactions'!$D:$D,$B41,'Allocated Transactions'!$C:$C,$B$4,'Allocated Transactions'!$A:$A,"&gt;="&amp;X$19,'Allocated Transactions'!$A:$A,"&lt;="&amp;EOMONTH(X$19,0))+SUMIFS('Allocated Transactions'!$J:$J,'Allocated Transactions'!$D:$D,$B41,'Allocated Transactions'!$C:$C,$B$3,'Allocated Transactions'!$A:$A,"&gt;="&amp;X$19,'Allocated Transactions'!$A:$A,"&lt;="&amp;EOMONTH(X$19,0))+SUMIFS('Allocated Transactions'!$J:$J,'Allocated Transactions'!$D:$D,$B41,'Allocated Transactions'!$C:$C,$B$5,'Allocated Transactions'!$A:$A,"&gt;="&amp;X$19,'Allocated Transactions'!$A:$A,"&lt;="&amp;EOMONTH(X$19,0))+SUMIFS('Allocated Transactions'!$J:$J,'Allocated Transactions'!$D:$D,$B41,'Allocated Transactions'!$C:$C,$B$6,'Allocated Transactions'!$A:$A,"&gt;="&amp;X$19,'Allocated Transactions'!$A:$A,"&lt;="&amp;EOMONTH(X$19,0)))</f>
        <v>1981.66</v>
      </c>
      <c r="Y41" s="84">
        <f>SUMPRODUCT(SUMIFS('Budget Data'!$J:$J,'Budget Data'!$E:$E,$B41,'Budget Data'!$C:$C,$B$7,'Budget Data'!$A:$A,"&gt;="&amp;Y$19,'Budget Data'!$A:$A,"&lt;="&amp;EOMONTH(Y$19,0))+SUMIFS('Budget Data'!$J:$J,'Budget Data'!$E:$E,$B41,'Budget Data'!$C:$C,$B$9,'Budget Data'!$A:$A,"&gt;="&amp;Y$19,'Budget Data'!$A:$A,"&lt;="&amp;EOMONTH(Y$19,0))+SUMIFS('Budget Data'!$J:$J,'Budget Data'!$E:$E,$B41,'Budget Data'!$C:$C,$B$8,'Budget Data'!$A:$A,"&gt;="&amp;Y$19,'Budget Data'!$A:$A,"&lt;="&amp;EOMONTH(Y$19,0))+SUMIFS('Budget Data'!$J:$J,'Budget Data'!$E:$E,$B41,'Budget Data'!$C:$C,$B$10,'Budget Data'!$A:$A,"&gt;="&amp;Y$19,'Budget Data'!$A:$A,"&lt;="&amp;EOMONTH(Y$19,0))+SUMIFS('Budget Data'!$J:$J,'Budget Data'!$E:$E,$B41,'Budget Data'!$C:$C,$B$11,'Budget Data'!$A:$A,"&gt;="&amp;Y$19,'Budget Data'!$A:$A,"&lt;="&amp;EOMONTH(Y$19,0))+SUMIFS('Budget Data'!$J:$J,'Budget Data'!$E:$E,$B41,'Budget Data'!$C:$C,$B$2,'Budget Data'!$A:$A,"&gt;="&amp;Y$19,'Budget Data'!$A:$A,"&lt;="&amp;EOMONTH(Y$19,0))+SUMIFS('Budget Data'!$J:$J,'Budget Data'!$E:$E,$B41,'Budget Data'!$C:$C,$B$4,'Budget Data'!$A:$A,"&gt;="&amp;Y$19,'Budget Data'!$A:$A,"&lt;="&amp;EOMONTH(Y$19,0))+SUMIFS('Budget Data'!$J:$J,'Budget Data'!$E:$E,$B41,'Budget Data'!$C:$C,$B$3,'Budget Data'!$A:$A,"&gt;="&amp;Y$19,'Budget Data'!$A:$A,"&lt;="&amp;EOMONTH(Y$19,0))+SUMIFS('Budget Data'!$J:$J,'Budget Data'!$E:$E,$B41,'Budget Data'!$C:$C,$B$5,'Budget Data'!$A:$A,"&gt;="&amp;Y$19,'Budget Data'!$A:$A,"&lt;="&amp;EOMONTH(Y$19,0))+SUMIFS('Budget Data'!$J:$J,'Budget Data'!$E:$E,$B41,'Budget Data'!$C:$C,$B$6,'Budget Data'!$A:$A,"&gt;="&amp;Y$19,'Budget Data'!$A:$A,"&lt;="&amp;EOMONTH(Y$19,0)))</f>
        <v>2000</v>
      </c>
      <c r="Z41" s="86">
        <f>SUMPRODUCT(SUMIFS('Allocated Transactions'!$J:$J,'Allocated Transactions'!$D:$D,$B41,'Allocated Transactions'!$C:$C,$B$7,'Allocated Transactions'!$A:$A,"&gt;="&amp;Z$19,'Allocated Transactions'!$A:$A,"&lt;="&amp;EOMONTH(Z$19,0))+SUMIFS('Allocated Transactions'!$J:$J,'Allocated Transactions'!$D:$D,$B41,'Allocated Transactions'!$C:$C,$B$9,'Allocated Transactions'!$A:$A,"&gt;="&amp;Z$19,'Allocated Transactions'!$A:$A,"&lt;="&amp;EOMONTH(Z$19,0))+SUMIFS('Allocated Transactions'!$J:$J,'Allocated Transactions'!$D:$D,$B41,'Allocated Transactions'!$C:$C,$B$8,'Allocated Transactions'!$A:$A,"&gt;="&amp;Z$19,'Allocated Transactions'!$A:$A,"&lt;="&amp;EOMONTH(Z$19,0))+SUMIFS('Allocated Transactions'!$J:$J,'Allocated Transactions'!$D:$D,$B41,'Allocated Transactions'!$C:$C,$B$10,'Allocated Transactions'!$A:$A,"&gt;="&amp;Z$19,'Allocated Transactions'!$A:$A,"&lt;="&amp;EOMONTH(Z$19,0))+SUMIFS('Allocated Transactions'!$J:$J,'Allocated Transactions'!$D:$D,$B41,'Allocated Transactions'!$C:$C,$B$11,'Allocated Transactions'!$A:$A,"&gt;="&amp;Z$19,'Allocated Transactions'!$A:$A,"&lt;="&amp;EOMONTH(Z$19,0))+SUMIFS('Allocated Transactions'!$J:$J,'Allocated Transactions'!$D:$D,$B41,'Allocated Transactions'!$C:$C,$B$2,'Allocated Transactions'!$A:$A,"&gt;="&amp;Z$19,'Allocated Transactions'!$A:$A,"&lt;="&amp;EOMONTH(Z$19,0))+SUMIFS('Allocated Transactions'!$J:$J,'Allocated Transactions'!$D:$D,$B41,'Allocated Transactions'!$C:$C,$B$4,'Allocated Transactions'!$A:$A,"&gt;="&amp;Z$19,'Allocated Transactions'!$A:$A,"&lt;="&amp;EOMONTH(Z$19,0))+SUMIFS('Allocated Transactions'!$J:$J,'Allocated Transactions'!$D:$D,$B41,'Allocated Transactions'!$C:$C,$B$3,'Allocated Transactions'!$A:$A,"&gt;="&amp;Z$19,'Allocated Transactions'!$A:$A,"&lt;="&amp;EOMONTH(Z$19,0))+SUMIFS('Allocated Transactions'!$J:$J,'Allocated Transactions'!$D:$D,$B41,'Allocated Transactions'!$C:$C,$B$5,'Allocated Transactions'!$A:$A,"&gt;="&amp;Z$19,'Allocated Transactions'!$A:$A,"&lt;="&amp;EOMONTH(Z$19,0))+SUMIFS('Allocated Transactions'!$J:$J,'Allocated Transactions'!$D:$D,$B41,'Allocated Transactions'!$C:$C,$B$6,'Allocated Transactions'!$A:$A,"&gt;="&amp;Z$19,'Allocated Transactions'!$A:$A,"&lt;="&amp;EOMONTH(Z$19,0)))</f>
        <v>0</v>
      </c>
      <c r="AA41" s="84">
        <f>SUMPRODUCT(SUMIFS('Budget Data'!$J:$J,'Budget Data'!$E:$E,$B41,'Budget Data'!$C:$C,$B$7,'Budget Data'!$A:$A,"&gt;="&amp;AA$19,'Budget Data'!$A:$A,"&lt;="&amp;EOMONTH(AA$19,0))+SUMIFS('Budget Data'!$J:$J,'Budget Data'!$E:$E,$B41,'Budget Data'!$C:$C,$B$9,'Budget Data'!$A:$A,"&gt;="&amp;AA$19,'Budget Data'!$A:$A,"&lt;="&amp;EOMONTH(AA$19,0))+SUMIFS('Budget Data'!$J:$J,'Budget Data'!$E:$E,$B41,'Budget Data'!$C:$C,$B$8,'Budget Data'!$A:$A,"&gt;="&amp;AA$19,'Budget Data'!$A:$A,"&lt;="&amp;EOMONTH(AA$19,0))+SUMIFS('Budget Data'!$J:$J,'Budget Data'!$E:$E,$B41,'Budget Data'!$C:$C,$B$10,'Budget Data'!$A:$A,"&gt;="&amp;AA$19,'Budget Data'!$A:$A,"&lt;="&amp;EOMONTH(AA$19,0))+SUMIFS('Budget Data'!$J:$J,'Budget Data'!$E:$E,$B41,'Budget Data'!$C:$C,$B$11,'Budget Data'!$A:$A,"&gt;="&amp;AA$19,'Budget Data'!$A:$A,"&lt;="&amp;EOMONTH(AA$19,0))+SUMIFS('Budget Data'!$J:$J,'Budget Data'!$E:$E,$B41,'Budget Data'!$C:$C,$B$2,'Budget Data'!$A:$A,"&gt;="&amp;AA$19,'Budget Data'!$A:$A,"&lt;="&amp;EOMONTH(AA$19,0))+SUMIFS('Budget Data'!$J:$J,'Budget Data'!$E:$E,$B41,'Budget Data'!$C:$C,$B$4,'Budget Data'!$A:$A,"&gt;="&amp;AA$19,'Budget Data'!$A:$A,"&lt;="&amp;EOMONTH(AA$19,0))+SUMIFS('Budget Data'!$J:$J,'Budget Data'!$E:$E,$B41,'Budget Data'!$C:$C,$B$3,'Budget Data'!$A:$A,"&gt;="&amp;AA$19,'Budget Data'!$A:$A,"&lt;="&amp;EOMONTH(AA$19,0))+SUMIFS('Budget Data'!$J:$J,'Budget Data'!$E:$E,$B41,'Budget Data'!$C:$C,$B$5,'Budget Data'!$A:$A,"&gt;="&amp;AA$19,'Budget Data'!$A:$A,"&lt;="&amp;EOMONTH(AA$19,0))+SUMIFS('Budget Data'!$J:$J,'Budget Data'!$E:$E,$B41,'Budget Data'!$C:$C,$B$6,'Budget Data'!$A:$A,"&gt;="&amp;AA$19,'Budget Data'!$A:$A,"&lt;="&amp;EOMONTH(AA$19,0)))</f>
        <v>0</v>
      </c>
      <c r="AC41" s="87">
        <f t="shared" si="2"/>
        <v>4732.54</v>
      </c>
      <c r="AD41" s="84">
        <f t="shared" si="2"/>
        <v>4700</v>
      </c>
    </row>
    <row r="42" spans="2:30" ht="15" customHeight="1">
      <c r="B42" s="12" t="str">
        <v>5510</v>
      </c>
      <c r="C42" s="160" t="str">
        <f>_xlfn.XLOOKUP(B42,'Allocated Transactions'!D:D,'Allocated Transactions'!E:E,"")</f>
        <v>Professional Fees - Accounting/Audit</v>
      </c>
      <c r="D42" s="86">
        <f>SUMPRODUCT(SUMIFS('Allocated Transactions'!$J:$J,'Allocated Transactions'!$D:$D,$B42,'Allocated Transactions'!$C:$C,$B$7,'Allocated Transactions'!$A:$A,"&gt;="&amp;D$19,'Allocated Transactions'!$A:$A,"&lt;="&amp;EOMONTH(D$19,0))+SUMIFS('Allocated Transactions'!$J:$J,'Allocated Transactions'!$D:$D,$B42,'Allocated Transactions'!$C:$C,$B$9,'Allocated Transactions'!$A:$A,"&gt;="&amp;D$19,'Allocated Transactions'!$A:$A,"&lt;="&amp;EOMONTH(D$19,0))+SUMIFS('Allocated Transactions'!$J:$J,'Allocated Transactions'!$D:$D,$B42,'Allocated Transactions'!$C:$C,$B$8,'Allocated Transactions'!$A:$A,"&gt;="&amp;D$19,'Allocated Transactions'!$A:$A,"&lt;="&amp;EOMONTH(D$19,0))+SUMIFS('Allocated Transactions'!$J:$J,'Allocated Transactions'!$D:$D,$B42,'Allocated Transactions'!$C:$C,$B$10,'Allocated Transactions'!$A:$A,"&gt;="&amp;D$19,'Allocated Transactions'!$A:$A,"&lt;="&amp;EOMONTH(D$19,0))+SUMIFS('Allocated Transactions'!$J:$J,'Allocated Transactions'!$D:$D,$B42,'Allocated Transactions'!$C:$C,$B$11,'Allocated Transactions'!$A:$A,"&gt;="&amp;D$19,'Allocated Transactions'!$A:$A,"&lt;="&amp;EOMONTH(D$19,0))+SUMIFS('Allocated Transactions'!$J:$J,'Allocated Transactions'!$D:$D,$B42,'Allocated Transactions'!$C:$C,$B$2,'Allocated Transactions'!$A:$A,"&gt;="&amp;D$19,'Allocated Transactions'!$A:$A,"&lt;="&amp;EOMONTH(D$19,0))+SUMIFS('Allocated Transactions'!$J:$J,'Allocated Transactions'!$D:$D,$B42,'Allocated Transactions'!$C:$C,$B$4,'Allocated Transactions'!$A:$A,"&gt;="&amp;D$19,'Allocated Transactions'!$A:$A,"&lt;="&amp;EOMONTH(D$19,0))+SUMIFS('Allocated Transactions'!$J:$J,'Allocated Transactions'!$D:$D,$B42,'Allocated Transactions'!$C:$C,$B$3,'Allocated Transactions'!$A:$A,"&gt;="&amp;D$19,'Allocated Transactions'!$A:$A,"&lt;="&amp;EOMONTH(D$19,0))+SUMIFS('Allocated Transactions'!$J:$J,'Allocated Transactions'!$D:$D,$B42,'Allocated Transactions'!$C:$C,$B$5,'Allocated Transactions'!$A:$A,"&gt;="&amp;D$19,'Allocated Transactions'!$A:$A,"&lt;="&amp;EOMONTH(D$19,0))+SUMIFS('Allocated Transactions'!$J:$J,'Allocated Transactions'!$D:$D,$B42,'Allocated Transactions'!$C:$C,$B$6,'Allocated Transactions'!$A:$A,"&gt;="&amp;D$19,'Allocated Transactions'!$A:$A,"&lt;="&amp;EOMONTH(D$19,0)))</f>
        <v>0</v>
      </c>
      <c r="E42" s="84">
        <f>SUMPRODUCT(SUMIFS('Budget Data'!$J:$J,'Budget Data'!$E:$E,$B42,'Budget Data'!$C:$C,$B$7,'Budget Data'!$A:$A,"&gt;="&amp;E$19,'Budget Data'!$A:$A,"&lt;="&amp;EOMONTH(E$19,0))+SUMIFS('Budget Data'!$J:$J,'Budget Data'!$E:$E,$B42,'Budget Data'!$C:$C,$B$9,'Budget Data'!$A:$A,"&gt;="&amp;E$19,'Budget Data'!$A:$A,"&lt;="&amp;EOMONTH(E$19,0))+SUMIFS('Budget Data'!$J:$J,'Budget Data'!$E:$E,$B42,'Budget Data'!$C:$C,$B$8,'Budget Data'!$A:$A,"&gt;="&amp;E$19,'Budget Data'!$A:$A,"&lt;="&amp;EOMONTH(E$19,0))+SUMIFS('Budget Data'!$J:$J,'Budget Data'!$E:$E,$B42,'Budget Data'!$C:$C,$B$10,'Budget Data'!$A:$A,"&gt;="&amp;E$19,'Budget Data'!$A:$A,"&lt;="&amp;EOMONTH(E$19,0))+SUMIFS('Budget Data'!$J:$J,'Budget Data'!$E:$E,$B42,'Budget Data'!$C:$C,$B$11,'Budget Data'!$A:$A,"&gt;="&amp;E$19,'Budget Data'!$A:$A,"&lt;="&amp;EOMONTH(E$19,0))+SUMIFS('Budget Data'!$J:$J,'Budget Data'!$E:$E,$B42,'Budget Data'!$C:$C,$B$2,'Budget Data'!$A:$A,"&gt;="&amp;E$19,'Budget Data'!$A:$A,"&lt;="&amp;EOMONTH(E$19,0))+SUMIFS('Budget Data'!$J:$J,'Budget Data'!$E:$E,$B42,'Budget Data'!$C:$C,$B$4,'Budget Data'!$A:$A,"&gt;="&amp;E$19,'Budget Data'!$A:$A,"&lt;="&amp;EOMONTH(E$19,0))+SUMIFS('Budget Data'!$J:$J,'Budget Data'!$E:$E,$B42,'Budget Data'!$C:$C,$B$3,'Budget Data'!$A:$A,"&gt;="&amp;E$19,'Budget Data'!$A:$A,"&lt;="&amp;EOMONTH(E$19,0))+SUMIFS('Budget Data'!$J:$J,'Budget Data'!$E:$E,$B42,'Budget Data'!$C:$C,$B$5,'Budget Data'!$A:$A,"&gt;="&amp;E$19,'Budget Data'!$A:$A,"&lt;="&amp;EOMONTH(E$19,0))+SUMIFS('Budget Data'!$J:$J,'Budget Data'!$E:$E,$B42,'Budget Data'!$C:$C,$B$6,'Budget Data'!$A:$A,"&gt;="&amp;E$19,'Budget Data'!$A:$A,"&lt;="&amp;EOMONTH(E$19,0)))</f>
        <v>0</v>
      </c>
      <c r="F42" s="86">
        <f>SUMPRODUCT(SUMIFS('Allocated Transactions'!$J:$J,'Allocated Transactions'!$D:$D,$B42,'Allocated Transactions'!$C:$C,$B$7,'Allocated Transactions'!$A:$A,"&gt;="&amp;F$19,'Allocated Transactions'!$A:$A,"&lt;="&amp;EOMONTH(F$19,0))+SUMIFS('Allocated Transactions'!$J:$J,'Allocated Transactions'!$D:$D,$B42,'Allocated Transactions'!$C:$C,$B$9,'Allocated Transactions'!$A:$A,"&gt;="&amp;F$19,'Allocated Transactions'!$A:$A,"&lt;="&amp;EOMONTH(F$19,0))+SUMIFS('Allocated Transactions'!$J:$J,'Allocated Transactions'!$D:$D,$B42,'Allocated Transactions'!$C:$C,$B$8,'Allocated Transactions'!$A:$A,"&gt;="&amp;F$19,'Allocated Transactions'!$A:$A,"&lt;="&amp;EOMONTH(F$19,0))+SUMIFS('Allocated Transactions'!$J:$J,'Allocated Transactions'!$D:$D,$B42,'Allocated Transactions'!$C:$C,$B$10,'Allocated Transactions'!$A:$A,"&gt;="&amp;F$19,'Allocated Transactions'!$A:$A,"&lt;="&amp;EOMONTH(F$19,0))+SUMIFS('Allocated Transactions'!$J:$J,'Allocated Transactions'!$D:$D,$B42,'Allocated Transactions'!$C:$C,$B$11,'Allocated Transactions'!$A:$A,"&gt;="&amp;F$19,'Allocated Transactions'!$A:$A,"&lt;="&amp;EOMONTH(F$19,0))+SUMIFS('Allocated Transactions'!$J:$J,'Allocated Transactions'!$D:$D,$B42,'Allocated Transactions'!$C:$C,$B$2,'Allocated Transactions'!$A:$A,"&gt;="&amp;F$19,'Allocated Transactions'!$A:$A,"&lt;="&amp;EOMONTH(F$19,0))+SUMIFS('Allocated Transactions'!$J:$J,'Allocated Transactions'!$D:$D,$B42,'Allocated Transactions'!$C:$C,$B$4,'Allocated Transactions'!$A:$A,"&gt;="&amp;F$19,'Allocated Transactions'!$A:$A,"&lt;="&amp;EOMONTH(F$19,0))+SUMIFS('Allocated Transactions'!$J:$J,'Allocated Transactions'!$D:$D,$B42,'Allocated Transactions'!$C:$C,$B$3,'Allocated Transactions'!$A:$A,"&gt;="&amp;F$19,'Allocated Transactions'!$A:$A,"&lt;="&amp;EOMONTH(F$19,0))+SUMIFS('Allocated Transactions'!$J:$J,'Allocated Transactions'!$D:$D,$B42,'Allocated Transactions'!$C:$C,$B$5,'Allocated Transactions'!$A:$A,"&gt;="&amp;F$19,'Allocated Transactions'!$A:$A,"&lt;="&amp;EOMONTH(F$19,0))+SUMIFS('Allocated Transactions'!$J:$J,'Allocated Transactions'!$D:$D,$B42,'Allocated Transactions'!$C:$C,$B$6,'Allocated Transactions'!$A:$A,"&gt;="&amp;F$19,'Allocated Transactions'!$A:$A,"&lt;="&amp;EOMONTH(F$19,0)))</f>
        <v>0</v>
      </c>
      <c r="G42" s="84">
        <f>SUMPRODUCT(SUMIFS('Budget Data'!$J:$J,'Budget Data'!$E:$E,$B42,'Budget Data'!$C:$C,$B$7,'Budget Data'!$A:$A,"&gt;="&amp;G$19,'Budget Data'!$A:$A,"&lt;="&amp;EOMONTH(G$19,0))+SUMIFS('Budget Data'!$J:$J,'Budget Data'!$E:$E,$B42,'Budget Data'!$C:$C,$B$9,'Budget Data'!$A:$A,"&gt;="&amp;G$19,'Budget Data'!$A:$A,"&lt;="&amp;EOMONTH(G$19,0))+SUMIFS('Budget Data'!$J:$J,'Budget Data'!$E:$E,$B42,'Budget Data'!$C:$C,$B$8,'Budget Data'!$A:$A,"&gt;="&amp;G$19,'Budget Data'!$A:$A,"&lt;="&amp;EOMONTH(G$19,0))+SUMIFS('Budget Data'!$J:$J,'Budget Data'!$E:$E,$B42,'Budget Data'!$C:$C,$B$10,'Budget Data'!$A:$A,"&gt;="&amp;G$19,'Budget Data'!$A:$A,"&lt;="&amp;EOMONTH(G$19,0))+SUMIFS('Budget Data'!$J:$J,'Budget Data'!$E:$E,$B42,'Budget Data'!$C:$C,$B$11,'Budget Data'!$A:$A,"&gt;="&amp;G$19,'Budget Data'!$A:$A,"&lt;="&amp;EOMONTH(G$19,0))+SUMIFS('Budget Data'!$J:$J,'Budget Data'!$E:$E,$B42,'Budget Data'!$C:$C,$B$2,'Budget Data'!$A:$A,"&gt;="&amp;G$19,'Budget Data'!$A:$A,"&lt;="&amp;EOMONTH(G$19,0))+SUMIFS('Budget Data'!$J:$J,'Budget Data'!$E:$E,$B42,'Budget Data'!$C:$C,$B$4,'Budget Data'!$A:$A,"&gt;="&amp;G$19,'Budget Data'!$A:$A,"&lt;="&amp;EOMONTH(G$19,0))+SUMIFS('Budget Data'!$J:$J,'Budget Data'!$E:$E,$B42,'Budget Data'!$C:$C,$B$3,'Budget Data'!$A:$A,"&gt;="&amp;G$19,'Budget Data'!$A:$A,"&lt;="&amp;EOMONTH(G$19,0))+SUMIFS('Budget Data'!$J:$J,'Budget Data'!$E:$E,$B42,'Budget Data'!$C:$C,$B$5,'Budget Data'!$A:$A,"&gt;="&amp;G$19,'Budget Data'!$A:$A,"&lt;="&amp;EOMONTH(G$19,0))+SUMIFS('Budget Data'!$J:$J,'Budget Data'!$E:$E,$B42,'Budget Data'!$C:$C,$B$6,'Budget Data'!$A:$A,"&gt;="&amp;G$19,'Budget Data'!$A:$A,"&lt;="&amp;EOMONTH(G$19,0)))</f>
        <v>0</v>
      </c>
      <c r="H42" s="86">
        <f>SUMPRODUCT(SUMIFS('Allocated Transactions'!$J:$J,'Allocated Transactions'!$D:$D,$B42,'Allocated Transactions'!$C:$C,$B$7,'Allocated Transactions'!$A:$A,"&gt;="&amp;H$19,'Allocated Transactions'!$A:$A,"&lt;="&amp;EOMONTH(H$19,0))+SUMIFS('Allocated Transactions'!$J:$J,'Allocated Transactions'!$D:$D,$B42,'Allocated Transactions'!$C:$C,$B$9,'Allocated Transactions'!$A:$A,"&gt;="&amp;H$19,'Allocated Transactions'!$A:$A,"&lt;="&amp;EOMONTH(H$19,0))+SUMIFS('Allocated Transactions'!$J:$J,'Allocated Transactions'!$D:$D,$B42,'Allocated Transactions'!$C:$C,$B$8,'Allocated Transactions'!$A:$A,"&gt;="&amp;H$19,'Allocated Transactions'!$A:$A,"&lt;="&amp;EOMONTH(H$19,0))+SUMIFS('Allocated Transactions'!$J:$J,'Allocated Transactions'!$D:$D,$B42,'Allocated Transactions'!$C:$C,$B$10,'Allocated Transactions'!$A:$A,"&gt;="&amp;H$19,'Allocated Transactions'!$A:$A,"&lt;="&amp;EOMONTH(H$19,0))+SUMIFS('Allocated Transactions'!$J:$J,'Allocated Transactions'!$D:$D,$B42,'Allocated Transactions'!$C:$C,$B$11,'Allocated Transactions'!$A:$A,"&gt;="&amp;H$19,'Allocated Transactions'!$A:$A,"&lt;="&amp;EOMONTH(H$19,0))+SUMIFS('Allocated Transactions'!$J:$J,'Allocated Transactions'!$D:$D,$B42,'Allocated Transactions'!$C:$C,$B$2,'Allocated Transactions'!$A:$A,"&gt;="&amp;H$19,'Allocated Transactions'!$A:$A,"&lt;="&amp;EOMONTH(H$19,0))+SUMIFS('Allocated Transactions'!$J:$J,'Allocated Transactions'!$D:$D,$B42,'Allocated Transactions'!$C:$C,$B$4,'Allocated Transactions'!$A:$A,"&gt;="&amp;H$19,'Allocated Transactions'!$A:$A,"&lt;="&amp;EOMONTH(H$19,0))+SUMIFS('Allocated Transactions'!$J:$J,'Allocated Transactions'!$D:$D,$B42,'Allocated Transactions'!$C:$C,$B$3,'Allocated Transactions'!$A:$A,"&gt;="&amp;H$19,'Allocated Transactions'!$A:$A,"&lt;="&amp;EOMONTH(H$19,0))+SUMIFS('Allocated Transactions'!$J:$J,'Allocated Transactions'!$D:$D,$B42,'Allocated Transactions'!$C:$C,$B$5,'Allocated Transactions'!$A:$A,"&gt;="&amp;H$19,'Allocated Transactions'!$A:$A,"&lt;="&amp;EOMONTH(H$19,0))+SUMIFS('Allocated Transactions'!$J:$J,'Allocated Transactions'!$D:$D,$B42,'Allocated Transactions'!$C:$C,$B$6,'Allocated Transactions'!$A:$A,"&gt;="&amp;H$19,'Allocated Transactions'!$A:$A,"&lt;="&amp;EOMONTH(H$19,0)))</f>
        <v>21086.560000000001</v>
      </c>
      <c r="I42" s="84">
        <f>SUMPRODUCT(SUMIFS('Budget Data'!$J:$J,'Budget Data'!$E:$E,$B42,'Budget Data'!$C:$C,$B$7,'Budget Data'!$A:$A,"&gt;="&amp;I$19,'Budget Data'!$A:$A,"&lt;="&amp;EOMONTH(I$19,0))+SUMIFS('Budget Data'!$J:$J,'Budget Data'!$E:$E,$B42,'Budget Data'!$C:$C,$B$9,'Budget Data'!$A:$A,"&gt;="&amp;I$19,'Budget Data'!$A:$A,"&lt;="&amp;EOMONTH(I$19,0))+SUMIFS('Budget Data'!$J:$J,'Budget Data'!$E:$E,$B42,'Budget Data'!$C:$C,$B$8,'Budget Data'!$A:$A,"&gt;="&amp;I$19,'Budget Data'!$A:$A,"&lt;="&amp;EOMONTH(I$19,0))+SUMIFS('Budget Data'!$J:$J,'Budget Data'!$E:$E,$B42,'Budget Data'!$C:$C,$B$10,'Budget Data'!$A:$A,"&gt;="&amp;I$19,'Budget Data'!$A:$A,"&lt;="&amp;EOMONTH(I$19,0))+SUMIFS('Budget Data'!$J:$J,'Budget Data'!$E:$E,$B42,'Budget Data'!$C:$C,$B$11,'Budget Data'!$A:$A,"&gt;="&amp;I$19,'Budget Data'!$A:$A,"&lt;="&amp;EOMONTH(I$19,0))+SUMIFS('Budget Data'!$J:$J,'Budget Data'!$E:$E,$B42,'Budget Data'!$C:$C,$B$2,'Budget Data'!$A:$A,"&gt;="&amp;I$19,'Budget Data'!$A:$A,"&lt;="&amp;EOMONTH(I$19,0))+SUMIFS('Budget Data'!$J:$J,'Budget Data'!$E:$E,$B42,'Budget Data'!$C:$C,$B$4,'Budget Data'!$A:$A,"&gt;="&amp;I$19,'Budget Data'!$A:$A,"&lt;="&amp;EOMONTH(I$19,0))+SUMIFS('Budget Data'!$J:$J,'Budget Data'!$E:$E,$B42,'Budget Data'!$C:$C,$B$3,'Budget Data'!$A:$A,"&gt;="&amp;I$19,'Budget Data'!$A:$A,"&lt;="&amp;EOMONTH(I$19,0))+SUMIFS('Budget Data'!$J:$J,'Budget Data'!$E:$E,$B42,'Budget Data'!$C:$C,$B$5,'Budget Data'!$A:$A,"&gt;="&amp;I$19,'Budget Data'!$A:$A,"&lt;="&amp;EOMONTH(I$19,0))+SUMIFS('Budget Data'!$J:$J,'Budget Data'!$E:$E,$B42,'Budget Data'!$C:$C,$B$6,'Budget Data'!$A:$A,"&gt;="&amp;I$19,'Budget Data'!$A:$A,"&lt;="&amp;EOMONTH(I$19,0)))</f>
        <v>20900</v>
      </c>
      <c r="J42" s="86">
        <f>SUMPRODUCT(SUMIFS('Allocated Transactions'!$J:$J,'Allocated Transactions'!$D:$D,$B42,'Allocated Transactions'!$C:$C,$B$7,'Allocated Transactions'!$A:$A,"&gt;="&amp;J$19,'Allocated Transactions'!$A:$A,"&lt;="&amp;EOMONTH(J$19,0))+SUMIFS('Allocated Transactions'!$J:$J,'Allocated Transactions'!$D:$D,$B42,'Allocated Transactions'!$C:$C,$B$9,'Allocated Transactions'!$A:$A,"&gt;="&amp;J$19,'Allocated Transactions'!$A:$A,"&lt;="&amp;EOMONTH(J$19,0))+SUMIFS('Allocated Transactions'!$J:$J,'Allocated Transactions'!$D:$D,$B42,'Allocated Transactions'!$C:$C,$B$8,'Allocated Transactions'!$A:$A,"&gt;="&amp;J$19,'Allocated Transactions'!$A:$A,"&lt;="&amp;EOMONTH(J$19,0))+SUMIFS('Allocated Transactions'!$J:$J,'Allocated Transactions'!$D:$D,$B42,'Allocated Transactions'!$C:$C,$B$10,'Allocated Transactions'!$A:$A,"&gt;="&amp;J$19,'Allocated Transactions'!$A:$A,"&lt;="&amp;EOMONTH(J$19,0))+SUMIFS('Allocated Transactions'!$J:$J,'Allocated Transactions'!$D:$D,$B42,'Allocated Transactions'!$C:$C,$B$11,'Allocated Transactions'!$A:$A,"&gt;="&amp;J$19,'Allocated Transactions'!$A:$A,"&lt;="&amp;EOMONTH(J$19,0))+SUMIFS('Allocated Transactions'!$J:$J,'Allocated Transactions'!$D:$D,$B42,'Allocated Transactions'!$C:$C,$B$2,'Allocated Transactions'!$A:$A,"&gt;="&amp;J$19,'Allocated Transactions'!$A:$A,"&lt;="&amp;EOMONTH(J$19,0))+SUMIFS('Allocated Transactions'!$J:$J,'Allocated Transactions'!$D:$D,$B42,'Allocated Transactions'!$C:$C,$B$4,'Allocated Transactions'!$A:$A,"&gt;="&amp;J$19,'Allocated Transactions'!$A:$A,"&lt;="&amp;EOMONTH(J$19,0))+SUMIFS('Allocated Transactions'!$J:$J,'Allocated Transactions'!$D:$D,$B42,'Allocated Transactions'!$C:$C,$B$3,'Allocated Transactions'!$A:$A,"&gt;="&amp;J$19,'Allocated Transactions'!$A:$A,"&lt;="&amp;EOMONTH(J$19,0))+SUMIFS('Allocated Transactions'!$J:$J,'Allocated Transactions'!$D:$D,$B42,'Allocated Transactions'!$C:$C,$B$5,'Allocated Transactions'!$A:$A,"&gt;="&amp;J$19,'Allocated Transactions'!$A:$A,"&lt;="&amp;EOMONTH(J$19,0))+SUMIFS('Allocated Transactions'!$J:$J,'Allocated Transactions'!$D:$D,$B42,'Allocated Transactions'!$C:$C,$B$6,'Allocated Transactions'!$A:$A,"&gt;="&amp;J$19,'Allocated Transactions'!$A:$A,"&lt;="&amp;EOMONTH(J$19,0)))</f>
        <v>0</v>
      </c>
      <c r="K42" s="84">
        <f>SUMPRODUCT(SUMIFS('Budget Data'!$J:$J,'Budget Data'!$E:$E,$B42,'Budget Data'!$C:$C,$B$7,'Budget Data'!$A:$A,"&gt;="&amp;K$19,'Budget Data'!$A:$A,"&lt;="&amp;EOMONTH(K$19,0))+SUMIFS('Budget Data'!$J:$J,'Budget Data'!$E:$E,$B42,'Budget Data'!$C:$C,$B$9,'Budget Data'!$A:$A,"&gt;="&amp;K$19,'Budget Data'!$A:$A,"&lt;="&amp;EOMONTH(K$19,0))+SUMIFS('Budget Data'!$J:$J,'Budget Data'!$E:$E,$B42,'Budget Data'!$C:$C,$B$8,'Budget Data'!$A:$A,"&gt;="&amp;K$19,'Budget Data'!$A:$A,"&lt;="&amp;EOMONTH(K$19,0))+SUMIFS('Budget Data'!$J:$J,'Budget Data'!$E:$E,$B42,'Budget Data'!$C:$C,$B$10,'Budget Data'!$A:$A,"&gt;="&amp;K$19,'Budget Data'!$A:$A,"&lt;="&amp;EOMONTH(K$19,0))+SUMIFS('Budget Data'!$J:$J,'Budget Data'!$E:$E,$B42,'Budget Data'!$C:$C,$B$11,'Budget Data'!$A:$A,"&gt;="&amp;K$19,'Budget Data'!$A:$A,"&lt;="&amp;EOMONTH(K$19,0))+SUMIFS('Budget Data'!$J:$J,'Budget Data'!$E:$E,$B42,'Budget Data'!$C:$C,$B$2,'Budget Data'!$A:$A,"&gt;="&amp;K$19,'Budget Data'!$A:$A,"&lt;="&amp;EOMONTH(K$19,0))+SUMIFS('Budget Data'!$J:$J,'Budget Data'!$E:$E,$B42,'Budget Data'!$C:$C,$B$4,'Budget Data'!$A:$A,"&gt;="&amp;K$19,'Budget Data'!$A:$A,"&lt;="&amp;EOMONTH(K$19,0))+SUMIFS('Budget Data'!$J:$J,'Budget Data'!$E:$E,$B42,'Budget Data'!$C:$C,$B$3,'Budget Data'!$A:$A,"&gt;="&amp;K$19,'Budget Data'!$A:$A,"&lt;="&amp;EOMONTH(K$19,0))+SUMIFS('Budget Data'!$J:$J,'Budget Data'!$E:$E,$B42,'Budget Data'!$C:$C,$B$5,'Budget Data'!$A:$A,"&gt;="&amp;K$19,'Budget Data'!$A:$A,"&lt;="&amp;EOMONTH(K$19,0))+SUMIFS('Budget Data'!$J:$J,'Budget Data'!$E:$E,$B42,'Budget Data'!$C:$C,$B$6,'Budget Data'!$A:$A,"&gt;="&amp;K$19,'Budget Data'!$A:$A,"&lt;="&amp;EOMONTH(K$19,0)))</f>
        <v>0</v>
      </c>
      <c r="L42" s="86">
        <f>SUMPRODUCT(SUMIFS('Allocated Transactions'!$J:$J,'Allocated Transactions'!$D:$D,$B42,'Allocated Transactions'!$C:$C,$B$7,'Allocated Transactions'!$A:$A,"&gt;="&amp;L$19,'Allocated Transactions'!$A:$A,"&lt;="&amp;EOMONTH(L$19,0))+SUMIFS('Allocated Transactions'!$J:$J,'Allocated Transactions'!$D:$D,$B42,'Allocated Transactions'!$C:$C,$B$9,'Allocated Transactions'!$A:$A,"&gt;="&amp;L$19,'Allocated Transactions'!$A:$A,"&lt;="&amp;EOMONTH(L$19,0))+SUMIFS('Allocated Transactions'!$J:$J,'Allocated Transactions'!$D:$D,$B42,'Allocated Transactions'!$C:$C,$B$8,'Allocated Transactions'!$A:$A,"&gt;="&amp;L$19,'Allocated Transactions'!$A:$A,"&lt;="&amp;EOMONTH(L$19,0))+SUMIFS('Allocated Transactions'!$J:$J,'Allocated Transactions'!$D:$D,$B42,'Allocated Transactions'!$C:$C,$B$10,'Allocated Transactions'!$A:$A,"&gt;="&amp;L$19,'Allocated Transactions'!$A:$A,"&lt;="&amp;EOMONTH(L$19,0))+SUMIFS('Allocated Transactions'!$J:$J,'Allocated Transactions'!$D:$D,$B42,'Allocated Transactions'!$C:$C,$B$11,'Allocated Transactions'!$A:$A,"&gt;="&amp;L$19,'Allocated Transactions'!$A:$A,"&lt;="&amp;EOMONTH(L$19,0))+SUMIFS('Allocated Transactions'!$J:$J,'Allocated Transactions'!$D:$D,$B42,'Allocated Transactions'!$C:$C,$B$2,'Allocated Transactions'!$A:$A,"&gt;="&amp;L$19,'Allocated Transactions'!$A:$A,"&lt;="&amp;EOMONTH(L$19,0))+SUMIFS('Allocated Transactions'!$J:$J,'Allocated Transactions'!$D:$D,$B42,'Allocated Transactions'!$C:$C,$B$4,'Allocated Transactions'!$A:$A,"&gt;="&amp;L$19,'Allocated Transactions'!$A:$A,"&lt;="&amp;EOMONTH(L$19,0))+SUMIFS('Allocated Transactions'!$J:$J,'Allocated Transactions'!$D:$D,$B42,'Allocated Transactions'!$C:$C,$B$3,'Allocated Transactions'!$A:$A,"&gt;="&amp;L$19,'Allocated Transactions'!$A:$A,"&lt;="&amp;EOMONTH(L$19,0))+SUMIFS('Allocated Transactions'!$J:$J,'Allocated Transactions'!$D:$D,$B42,'Allocated Transactions'!$C:$C,$B$5,'Allocated Transactions'!$A:$A,"&gt;="&amp;L$19,'Allocated Transactions'!$A:$A,"&lt;="&amp;EOMONTH(L$19,0))+SUMIFS('Allocated Transactions'!$J:$J,'Allocated Transactions'!$D:$D,$B42,'Allocated Transactions'!$C:$C,$B$6,'Allocated Transactions'!$A:$A,"&gt;="&amp;L$19,'Allocated Transactions'!$A:$A,"&lt;="&amp;EOMONTH(L$19,0)))</f>
        <v>0</v>
      </c>
      <c r="M42" s="84">
        <f>SUMPRODUCT(SUMIFS('Budget Data'!$J:$J,'Budget Data'!$E:$E,$B42,'Budget Data'!$C:$C,$B$7,'Budget Data'!$A:$A,"&gt;="&amp;M$19,'Budget Data'!$A:$A,"&lt;="&amp;EOMONTH(M$19,0))+SUMIFS('Budget Data'!$J:$J,'Budget Data'!$E:$E,$B42,'Budget Data'!$C:$C,$B$9,'Budget Data'!$A:$A,"&gt;="&amp;M$19,'Budget Data'!$A:$A,"&lt;="&amp;EOMONTH(M$19,0))+SUMIFS('Budget Data'!$J:$J,'Budget Data'!$E:$E,$B42,'Budget Data'!$C:$C,$B$8,'Budget Data'!$A:$A,"&gt;="&amp;M$19,'Budget Data'!$A:$A,"&lt;="&amp;EOMONTH(M$19,0))+SUMIFS('Budget Data'!$J:$J,'Budget Data'!$E:$E,$B42,'Budget Data'!$C:$C,$B$10,'Budget Data'!$A:$A,"&gt;="&amp;M$19,'Budget Data'!$A:$A,"&lt;="&amp;EOMONTH(M$19,0))+SUMIFS('Budget Data'!$J:$J,'Budget Data'!$E:$E,$B42,'Budget Data'!$C:$C,$B$11,'Budget Data'!$A:$A,"&gt;="&amp;M$19,'Budget Data'!$A:$A,"&lt;="&amp;EOMONTH(M$19,0))+SUMIFS('Budget Data'!$J:$J,'Budget Data'!$E:$E,$B42,'Budget Data'!$C:$C,$B$2,'Budget Data'!$A:$A,"&gt;="&amp;M$19,'Budget Data'!$A:$A,"&lt;="&amp;EOMONTH(M$19,0))+SUMIFS('Budget Data'!$J:$J,'Budget Data'!$E:$E,$B42,'Budget Data'!$C:$C,$B$4,'Budget Data'!$A:$A,"&gt;="&amp;M$19,'Budget Data'!$A:$A,"&lt;="&amp;EOMONTH(M$19,0))+SUMIFS('Budget Data'!$J:$J,'Budget Data'!$E:$E,$B42,'Budget Data'!$C:$C,$B$3,'Budget Data'!$A:$A,"&gt;="&amp;M$19,'Budget Data'!$A:$A,"&lt;="&amp;EOMONTH(M$19,0))+SUMIFS('Budget Data'!$J:$J,'Budget Data'!$E:$E,$B42,'Budget Data'!$C:$C,$B$5,'Budget Data'!$A:$A,"&gt;="&amp;M$19,'Budget Data'!$A:$A,"&lt;="&amp;EOMONTH(M$19,0))+SUMIFS('Budget Data'!$J:$J,'Budget Data'!$E:$E,$B42,'Budget Data'!$C:$C,$B$6,'Budget Data'!$A:$A,"&gt;="&amp;M$19,'Budget Data'!$A:$A,"&lt;="&amp;EOMONTH(M$19,0)))</f>
        <v>0</v>
      </c>
      <c r="N42" s="86">
        <f>SUMPRODUCT(SUMIFS('Allocated Transactions'!$J:$J,'Allocated Transactions'!$D:$D,$B42,'Allocated Transactions'!$C:$C,$B$7,'Allocated Transactions'!$A:$A,"&gt;="&amp;N$19,'Allocated Transactions'!$A:$A,"&lt;="&amp;EOMONTH(N$19,0))+SUMIFS('Allocated Transactions'!$J:$J,'Allocated Transactions'!$D:$D,$B42,'Allocated Transactions'!$C:$C,$B$9,'Allocated Transactions'!$A:$A,"&gt;="&amp;N$19,'Allocated Transactions'!$A:$A,"&lt;="&amp;EOMONTH(N$19,0))+SUMIFS('Allocated Transactions'!$J:$J,'Allocated Transactions'!$D:$D,$B42,'Allocated Transactions'!$C:$C,$B$8,'Allocated Transactions'!$A:$A,"&gt;="&amp;N$19,'Allocated Transactions'!$A:$A,"&lt;="&amp;EOMONTH(N$19,0))+SUMIFS('Allocated Transactions'!$J:$J,'Allocated Transactions'!$D:$D,$B42,'Allocated Transactions'!$C:$C,$B$10,'Allocated Transactions'!$A:$A,"&gt;="&amp;N$19,'Allocated Transactions'!$A:$A,"&lt;="&amp;EOMONTH(N$19,0))+SUMIFS('Allocated Transactions'!$J:$J,'Allocated Transactions'!$D:$D,$B42,'Allocated Transactions'!$C:$C,$B$11,'Allocated Transactions'!$A:$A,"&gt;="&amp;N$19,'Allocated Transactions'!$A:$A,"&lt;="&amp;EOMONTH(N$19,0))+SUMIFS('Allocated Transactions'!$J:$J,'Allocated Transactions'!$D:$D,$B42,'Allocated Transactions'!$C:$C,$B$2,'Allocated Transactions'!$A:$A,"&gt;="&amp;N$19,'Allocated Transactions'!$A:$A,"&lt;="&amp;EOMONTH(N$19,0))+SUMIFS('Allocated Transactions'!$J:$J,'Allocated Transactions'!$D:$D,$B42,'Allocated Transactions'!$C:$C,$B$4,'Allocated Transactions'!$A:$A,"&gt;="&amp;N$19,'Allocated Transactions'!$A:$A,"&lt;="&amp;EOMONTH(N$19,0))+SUMIFS('Allocated Transactions'!$J:$J,'Allocated Transactions'!$D:$D,$B42,'Allocated Transactions'!$C:$C,$B$3,'Allocated Transactions'!$A:$A,"&gt;="&amp;N$19,'Allocated Transactions'!$A:$A,"&lt;="&amp;EOMONTH(N$19,0))+SUMIFS('Allocated Transactions'!$J:$J,'Allocated Transactions'!$D:$D,$B42,'Allocated Transactions'!$C:$C,$B$5,'Allocated Transactions'!$A:$A,"&gt;="&amp;N$19,'Allocated Transactions'!$A:$A,"&lt;="&amp;EOMONTH(N$19,0))+SUMIFS('Allocated Transactions'!$J:$J,'Allocated Transactions'!$D:$D,$B42,'Allocated Transactions'!$C:$C,$B$6,'Allocated Transactions'!$A:$A,"&gt;="&amp;N$19,'Allocated Transactions'!$A:$A,"&lt;="&amp;EOMONTH(N$19,0)))</f>
        <v>0</v>
      </c>
      <c r="O42" s="84">
        <f>SUMPRODUCT(SUMIFS('Budget Data'!$J:$J,'Budget Data'!$E:$E,$B42,'Budget Data'!$C:$C,$B$7,'Budget Data'!$A:$A,"&gt;="&amp;O$19,'Budget Data'!$A:$A,"&lt;="&amp;EOMONTH(O$19,0))+SUMIFS('Budget Data'!$J:$J,'Budget Data'!$E:$E,$B42,'Budget Data'!$C:$C,$B$9,'Budget Data'!$A:$A,"&gt;="&amp;O$19,'Budget Data'!$A:$A,"&lt;="&amp;EOMONTH(O$19,0))+SUMIFS('Budget Data'!$J:$J,'Budget Data'!$E:$E,$B42,'Budget Data'!$C:$C,$B$8,'Budget Data'!$A:$A,"&gt;="&amp;O$19,'Budget Data'!$A:$A,"&lt;="&amp;EOMONTH(O$19,0))+SUMIFS('Budget Data'!$J:$J,'Budget Data'!$E:$E,$B42,'Budget Data'!$C:$C,$B$10,'Budget Data'!$A:$A,"&gt;="&amp;O$19,'Budget Data'!$A:$A,"&lt;="&amp;EOMONTH(O$19,0))+SUMIFS('Budget Data'!$J:$J,'Budget Data'!$E:$E,$B42,'Budget Data'!$C:$C,$B$11,'Budget Data'!$A:$A,"&gt;="&amp;O$19,'Budget Data'!$A:$A,"&lt;="&amp;EOMONTH(O$19,0))+SUMIFS('Budget Data'!$J:$J,'Budget Data'!$E:$E,$B42,'Budget Data'!$C:$C,$B$2,'Budget Data'!$A:$A,"&gt;="&amp;O$19,'Budget Data'!$A:$A,"&lt;="&amp;EOMONTH(O$19,0))+SUMIFS('Budget Data'!$J:$J,'Budget Data'!$E:$E,$B42,'Budget Data'!$C:$C,$B$4,'Budget Data'!$A:$A,"&gt;="&amp;O$19,'Budget Data'!$A:$A,"&lt;="&amp;EOMONTH(O$19,0))+SUMIFS('Budget Data'!$J:$J,'Budget Data'!$E:$E,$B42,'Budget Data'!$C:$C,$B$3,'Budget Data'!$A:$A,"&gt;="&amp;O$19,'Budget Data'!$A:$A,"&lt;="&amp;EOMONTH(O$19,0))+SUMIFS('Budget Data'!$J:$J,'Budget Data'!$E:$E,$B42,'Budget Data'!$C:$C,$B$5,'Budget Data'!$A:$A,"&gt;="&amp;O$19,'Budget Data'!$A:$A,"&lt;="&amp;EOMONTH(O$19,0))+SUMIFS('Budget Data'!$J:$J,'Budget Data'!$E:$E,$B42,'Budget Data'!$C:$C,$B$6,'Budget Data'!$A:$A,"&gt;="&amp;O$19,'Budget Data'!$A:$A,"&lt;="&amp;EOMONTH(O$19,0)))</f>
        <v>0</v>
      </c>
      <c r="P42" s="86">
        <f>SUMPRODUCT(SUMIFS('Allocated Transactions'!$J:$J,'Allocated Transactions'!$D:$D,$B42,'Allocated Transactions'!$C:$C,$B$7,'Allocated Transactions'!$A:$A,"&gt;="&amp;P$19,'Allocated Transactions'!$A:$A,"&lt;="&amp;EOMONTH(P$19,0))+SUMIFS('Allocated Transactions'!$J:$J,'Allocated Transactions'!$D:$D,$B42,'Allocated Transactions'!$C:$C,$B$9,'Allocated Transactions'!$A:$A,"&gt;="&amp;P$19,'Allocated Transactions'!$A:$A,"&lt;="&amp;EOMONTH(P$19,0))+SUMIFS('Allocated Transactions'!$J:$J,'Allocated Transactions'!$D:$D,$B42,'Allocated Transactions'!$C:$C,$B$8,'Allocated Transactions'!$A:$A,"&gt;="&amp;P$19,'Allocated Transactions'!$A:$A,"&lt;="&amp;EOMONTH(P$19,0))+SUMIFS('Allocated Transactions'!$J:$J,'Allocated Transactions'!$D:$D,$B42,'Allocated Transactions'!$C:$C,$B$10,'Allocated Transactions'!$A:$A,"&gt;="&amp;P$19,'Allocated Transactions'!$A:$A,"&lt;="&amp;EOMONTH(P$19,0))+SUMIFS('Allocated Transactions'!$J:$J,'Allocated Transactions'!$D:$D,$B42,'Allocated Transactions'!$C:$C,$B$11,'Allocated Transactions'!$A:$A,"&gt;="&amp;P$19,'Allocated Transactions'!$A:$A,"&lt;="&amp;EOMONTH(P$19,0))+SUMIFS('Allocated Transactions'!$J:$J,'Allocated Transactions'!$D:$D,$B42,'Allocated Transactions'!$C:$C,$B$2,'Allocated Transactions'!$A:$A,"&gt;="&amp;P$19,'Allocated Transactions'!$A:$A,"&lt;="&amp;EOMONTH(P$19,0))+SUMIFS('Allocated Transactions'!$J:$J,'Allocated Transactions'!$D:$D,$B42,'Allocated Transactions'!$C:$C,$B$4,'Allocated Transactions'!$A:$A,"&gt;="&amp;P$19,'Allocated Transactions'!$A:$A,"&lt;="&amp;EOMONTH(P$19,0))+SUMIFS('Allocated Transactions'!$J:$J,'Allocated Transactions'!$D:$D,$B42,'Allocated Transactions'!$C:$C,$B$3,'Allocated Transactions'!$A:$A,"&gt;="&amp;P$19,'Allocated Transactions'!$A:$A,"&lt;="&amp;EOMONTH(P$19,0))+SUMIFS('Allocated Transactions'!$J:$J,'Allocated Transactions'!$D:$D,$B42,'Allocated Transactions'!$C:$C,$B$5,'Allocated Transactions'!$A:$A,"&gt;="&amp;P$19,'Allocated Transactions'!$A:$A,"&lt;="&amp;EOMONTH(P$19,0))+SUMIFS('Allocated Transactions'!$J:$J,'Allocated Transactions'!$D:$D,$B42,'Allocated Transactions'!$C:$C,$B$6,'Allocated Transactions'!$A:$A,"&gt;="&amp;P$19,'Allocated Transactions'!$A:$A,"&lt;="&amp;EOMONTH(P$19,0)))</f>
        <v>0</v>
      </c>
      <c r="Q42" s="84">
        <f>SUMPRODUCT(SUMIFS('Budget Data'!$J:$J,'Budget Data'!$E:$E,$B42,'Budget Data'!$C:$C,$B$7,'Budget Data'!$A:$A,"&gt;="&amp;Q$19,'Budget Data'!$A:$A,"&lt;="&amp;EOMONTH(Q$19,0))+SUMIFS('Budget Data'!$J:$J,'Budget Data'!$E:$E,$B42,'Budget Data'!$C:$C,$B$9,'Budget Data'!$A:$A,"&gt;="&amp;Q$19,'Budget Data'!$A:$A,"&lt;="&amp;EOMONTH(Q$19,0))+SUMIFS('Budget Data'!$J:$J,'Budget Data'!$E:$E,$B42,'Budget Data'!$C:$C,$B$8,'Budget Data'!$A:$A,"&gt;="&amp;Q$19,'Budget Data'!$A:$A,"&lt;="&amp;EOMONTH(Q$19,0))+SUMIFS('Budget Data'!$J:$J,'Budget Data'!$E:$E,$B42,'Budget Data'!$C:$C,$B$10,'Budget Data'!$A:$A,"&gt;="&amp;Q$19,'Budget Data'!$A:$A,"&lt;="&amp;EOMONTH(Q$19,0))+SUMIFS('Budget Data'!$J:$J,'Budget Data'!$E:$E,$B42,'Budget Data'!$C:$C,$B$11,'Budget Data'!$A:$A,"&gt;="&amp;Q$19,'Budget Data'!$A:$A,"&lt;="&amp;EOMONTH(Q$19,0))+SUMIFS('Budget Data'!$J:$J,'Budget Data'!$E:$E,$B42,'Budget Data'!$C:$C,$B$2,'Budget Data'!$A:$A,"&gt;="&amp;Q$19,'Budget Data'!$A:$A,"&lt;="&amp;EOMONTH(Q$19,0))+SUMIFS('Budget Data'!$J:$J,'Budget Data'!$E:$E,$B42,'Budget Data'!$C:$C,$B$4,'Budget Data'!$A:$A,"&gt;="&amp;Q$19,'Budget Data'!$A:$A,"&lt;="&amp;EOMONTH(Q$19,0))+SUMIFS('Budget Data'!$J:$J,'Budget Data'!$E:$E,$B42,'Budget Data'!$C:$C,$B$3,'Budget Data'!$A:$A,"&gt;="&amp;Q$19,'Budget Data'!$A:$A,"&lt;="&amp;EOMONTH(Q$19,0))+SUMIFS('Budget Data'!$J:$J,'Budget Data'!$E:$E,$B42,'Budget Data'!$C:$C,$B$5,'Budget Data'!$A:$A,"&gt;="&amp;Q$19,'Budget Data'!$A:$A,"&lt;="&amp;EOMONTH(Q$19,0))+SUMIFS('Budget Data'!$J:$J,'Budget Data'!$E:$E,$B42,'Budget Data'!$C:$C,$B$6,'Budget Data'!$A:$A,"&gt;="&amp;Q$19,'Budget Data'!$A:$A,"&lt;="&amp;EOMONTH(Q$19,0)))</f>
        <v>0</v>
      </c>
      <c r="R42" s="86">
        <f>SUMPRODUCT(SUMIFS('Allocated Transactions'!$J:$J,'Allocated Transactions'!$D:$D,$B42,'Allocated Transactions'!$C:$C,$B$7,'Allocated Transactions'!$A:$A,"&gt;="&amp;R$19,'Allocated Transactions'!$A:$A,"&lt;="&amp;EOMONTH(R$19,0))+SUMIFS('Allocated Transactions'!$J:$J,'Allocated Transactions'!$D:$D,$B42,'Allocated Transactions'!$C:$C,$B$9,'Allocated Transactions'!$A:$A,"&gt;="&amp;R$19,'Allocated Transactions'!$A:$A,"&lt;="&amp;EOMONTH(R$19,0))+SUMIFS('Allocated Transactions'!$J:$J,'Allocated Transactions'!$D:$D,$B42,'Allocated Transactions'!$C:$C,$B$8,'Allocated Transactions'!$A:$A,"&gt;="&amp;R$19,'Allocated Transactions'!$A:$A,"&lt;="&amp;EOMONTH(R$19,0))+SUMIFS('Allocated Transactions'!$J:$J,'Allocated Transactions'!$D:$D,$B42,'Allocated Transactions'!$C:$C,$B$10,'Allocated Transactions'!$A:$A,"&gt;="&amp;R$19,'Allocated Transactions'!$A:$A,"&lt;="&amp;EOMONTH(R$19,0))+SUMIFS('Allocated Transactions'!$J:$J,'Allocated Transactions'!$D:$D,$B42,'Allocated Transactions'!$C:$C,$B$11,'Allocated Transactions'!$A:$A,"&gt;="&amp;R$19,'Allocated Transactions'!$A:$A,"&lt;="&amp;EOMONTH(R$19,0))+SUMIFS('Allocated Transactions'!$J:$J,'Allocated Transactions'!$D:$D,$B42,'Allocated Transactions'!$C:$C,$B$2,'Allocated Transactions'!$A:$A,"&gt;="&amp;R$19,'Allocated Transactions'!$A:$A,"&lt;="&amp;EOMONTH(R$19,0))+SUMIFS('Allocated Transactions'!$J:$J,'Allocated Transactions'!$D:$D,$B42,'Allocated Transactions'!$C:$C,$B$4,'Allocated Transactions'!$A:$A,"&gt;="&amp;R$19,'Allocated Transactions'!$A:$A,"&lt;="&amp;EOMONTH(R$19,0))+SUMIFS('Allocated Transactions'!$J:$J,'Allocated Transactions'!$D:$D,$B42,'Allocated Transactions'!$C:$C,$B$3,'Allocated Transactions'!$A:$A,"&gt;="&amp;R$19,'Allocated Transactions'!$A:$A,"&lt;="&amp;EOMONTH(R$19,0))+SUMIFS('Allocated Transactions'!$J:$J,'Allocated Transactions'!$D:$D,$B42,'Allocated Transactions'!$C:$C,$B$5,'Allocated Transactions'!$A:$A,"&gt;="&amp;R$19,'Allocated Transactions'!$A:$A,"&lt;="&amp;EOMONTH(R$19,0))+SUMIFS('Allocated Transactions'!$J:$J,'Allocated Transactions'!$D:$D,$B42,'Allocated Transactions'!$C:$C,$B$6,'Allocated Transactions'!$A:$A,"&gt;="&amp;R$19,'Allocated Transactions'!$A:$A,"&lt;="&amp;EOMONTH(R$19,0)))</f>
        <v>0</v>
      </c>
      <c r="S42" s="84">
        <f>SUMPRODUCT(SUMIFS('Budget Data'!$J:$J,'Budget Data'!$E:$E,$B42,'Budget Data'!$C:$C,$B$7,'Budget Data'!$A:$A,"&gt;="&amp;S$19,'Budget Data'!$A:$A,"&lt;="&amp;EOMONTH(S$19,0))+SUMIFS('Budget Data'!$J:$J,'Budget Data'!$E:$E,$B42,'Budget Data'!$C:$C,$B$9,'Budget Data'!$A:$A,"&gt;="&amp;S$19,'Budget Data'!$A:$A,"&lt;="&amp;EOMONTH(S$19,0))+SUMIFS('Budget Data'!$J:$J,'Budget Data'!$E:$E,$B42,'Budget Data'!$C:$C,$B$8,'Budget Data'!$A:$A,"&gt;="&amp;S$19,'Budget Data'!$A:$A,"&lt;="&amp;EOMONTH(S$19,0))+SUMIFS('Budget Data'!$J:$J,'Budget Data'!$E:$E,$B42,'Budget Data'!$C:$C,$B$10,'Budget Data'!$A:$A,"&gt;="&amp;S$19,'Budget Data'!$A:$A,"&lt;="&amp;EOMONTH(S$19,0))+SUMIFS('Budget Data'!$J:$J,'Budget Data'!$E:$E,$B42,'Budget Data'!$C:$C,$B$11,'Budget Data'!$A:$A,"&gt;="&amp;S$19,'Budget Data'!$A:$A,"&lt;="&amp;EOMONTH(S$19,0))+SUMIFS('Budget Data'!$J:$J,'Budget Data'!$E:$E,$B42,'Budget Data'!$C:$C,$B$2,'Budget Data'!$A:$A,"&gt;="&amp;S$19,'Budget Data'!$A:$A,"&lt;="&amp;EOMONTH(S$19,0))+SUMIFS('Budget Data'!$J:$J,'Budget Data'!$E:$E,$B42,'Budget Data'!$C:$C,$B$4,'Budget Data'!$A:$A,"&gt;="&amp;S$19,'Budget Data'!$A:$A,"&lt;="&amp;EOMONTH(S$19,0))+SUMIFS('Budget Data'!$J:$J,'Budget Data'!$E:$E,$B42,'Budget Data'!$C:$C,$B$3,'Budget Data'!$A:$A,"&gt;="&amp;S$19,'Budget Data'!$A:$A,"&lt;="&amp;EOMONTH(S$19,0))+SUMIFS('Budget Data'!$J:$J,'Budget Data'!$E:$E,$B42,'Budget Data'!$C:$C,$B$5,'Budget Data'!$A:$A,"&gt;="&amp;S$19,'Budget Data'!$A:$A,"&lt;="&amp;EOMONTH(S$19,0))+SUMIFS('Budget Data'!$J:$J,'Budget Data'!$E:$E,$B42,'Budget Data'!$C:$C,$B$6,'Budget Data'!$A:$A,"&gt;="&amp;S$19,'Budget Data'!$A:$A,"&lt;="&amp;EOMONTH(S$19,0)))</f>
        <v>0</v>
      </c>
      <c r="T42" s="86">
        <f>SUMPRODUCT(SUMIFS('Allocated Transactions'!$J:$J,'Allocated Transactions'!$D:$D,$B42,'Allocated Transactions'!$C:$C,$B$7,'Allocated Transactions'!$A:$A,"&gt;="&amp;T$19,'Allocated Transactions'!$A:$A,"&lt;="&amp;EOMONTH(T$19,0))+SUMIFS('Allocated Transactions'!$J:$J,'Allocated Transactions'!$D:$D,$B42,'Allocated Transactions'!$C:$C,$B$9,'Allocated Transactions'!$A:$A,"&gt;="&amp;T$19,'Allocated Transactions'!$A:$A,"&lt;="&amp;EOMONTH(T$19,0))+SUMIFS('Allocated Transactions'!$J:$J,'Allocated Transactions'!$D:$D,$B42,'Allocated Transactions'!$C:$C,$B$8,'Allocated Transactions'!$A:$A,"&gt;="&amp;T$19,'Allocated Transactions'!$A:$A,"&lt;="&amp;EOMONTH(T$19,0))+SUMIFS('Allocated Transactions'!$J:$J,'Allocated Transactions'!$D:$D,$B42,'Allocated Transactions'!$C:$C,$B$10,'Allocated Transactions'!$A:$A,"&gt;="&amp;T$19,'Allocated Transactions'!$A:$A,"&lt;="&amp;EOMONTH(T$19,0))+SUMIFS('Allocated Transactions'!$J:$J,'Allocated Transactions'!$D:$D,$B42,'Allocated Transactions'!$C:$C,$B$11,'Allocated Transactions'!$A:$A,"&gt;="&amp;T$19,'Allocated Transactions'!$A:$A,"&lt;="&amp;EOMONTH(T$19,0))+SUMIFS('Allocated Transactions'!$J:$J,'Allocated Transactions'!$D:$D,$B42,'Allocated Transactions'!$C:$C,$B$2,'Allocated Transactions'!$A:$A,"&gt;="&amp;T$19,'Allocated Transactions'!$A:$A,"&lt;="&amp;EOMONTH(T$19,0))+SUMIFS('Allocated Transactions'!$J:$J,'Allocated Transactions'!$D:$D,$B42,'Allocated Transactions'!$C:$C,$B$4,'Allocated Transactions'!$A:$A,"&gt;="&amp;T$19,'Allocated Transactions'!$A:$A,"&lt;="&amp;EOMONTH(T$19,0))+SUMIFS('Allocated Transactions'!$J:$J,'Allocated Transactions'!$D:$D,$B42,'Allocated Transactions'!$C:$C,$B$3,'Allocated Transactions'!$A:$A,"&gt;="&amp;T$19,'Allocated Transactions'!$A:$A,"&lt;="&amp;EOMONTH(T$19,0))+SUMIFS('Allocated Transactions'!$J:$J,'Allocated Transactions'!$D:$D,$B42,'Allocated Transactions'!$C:$C,$B$5,'Allocated Transactions'!$A:$A,"&gt;="&amp;T$19,'Allocated Transactions'!$A:$A,"&lt;="&amp;EOMONTH(T$19,0))+SUMIFS('Allocated Transactions'!$J:$J,'Allocated Transactions'!$D:$D,$B42,'Allocated Transactions'!$C:$C,$B$6,'Allocated Transactions'!$A:$A,"&gt;="&amp;T$19,'Allocated Transactions'!$A:$A,"&lt;="&amp;EOMONTH(T$19,0)))</f>
        <v>6914.64</v>
      </c>
      <c r="U42" s="84">
        <f>SUMPRODUCT(SUMIFS('Budget Data'!$J:$J,'Budget Data'!$E:$E,$B42,'Budget Data'!$C:$C,$B$7,'Budget Data'!$A:$A,"&gt;="&amp;U$19,'Budget Data'!$A:$A,"&lt;="&amp;EOMONTH(U$19,0))+SUMIFS('Budget Data'!$J:$J,'Budget Data'!$E:$E,$B42,'Budget Data'!$C:$C,$B$9,'Budget Data'!$A:$A,"&gt;="&amp;U$19,'Budget Data'!$A:$A,"&lt;="&amp;EOMONTH(U$19,0))+SUMIFS('Budget Data'!$J:$J,'Budget Data'!$E:$E,$B42,'Budget Data'!$C:$C,$B$8,'Budget Data'!$A:$A,"&gt;="&amp;U$19,'Budget Data'!$A:$A,"&lt;="&amp;EOMONTH(U$19,0))+SUMIFS('Budget Data'!$J:$J,'Budget Data'!$E:$E,$B42,'Budget Data'!$C:$C,$B$10,'Budget Data'!$A:$A,"&gt;="&amp;U$19,'Budget Data'!$A:$A,"&lt;="&amp;EOMONTH(U$19,0))+SUMIFS('Budget Data'!$J:$J,'Budget Data'!$E:$E,$B42,'Budget Data'!$C:$C,$B$11,'Budget Data'!$A:$A,"&gt;="&amp;U$19,'Budget Data'!$A:$A,"&lt;="&amp;EOMONTH(U$19,0))+SUMIFS('Budget Data'!$J:$J,'Budget Data'!$E:$E,$B42,'Budget Data'!$C:$C,$B$2,'Budget Data'!$A:$A,"&gt;="&amp;U$19,'Budget Data'!$A:$A,"&lt;="&amp;EOMONTH(U$19,0))+SUMIFS('Budget Data'!$J:$J,'Budget Data'!$E:$E,$B42,'Budget Data'!$C:$C,$B$4,'Budget Data'!$A:$A,"&gt;="&amp;U$19,'Budget Data'!$A:$A,"&lt;="&amp;EOMONTH(U$19,0))+SUMIFS('Budget Data'!$J:$J,'Budget Data'!$E:$E,$B42,'Budget Data'!$C:$C,$B$3,'Budget Data'!$A:$A,"&gt;="&amp;U$19,'Budget Data'!$A:$A,"&lt;="&amp;EOMONTH(U$19,0))+SUMIFS('Budget Data'!$J:$J,'Budget Data'!$E:$E,$B42,'Budget Data'!$C:$C,$B$5,'Budget Data'!$A:$A,"&gt;="&amp;U$19,'Budget Data'!$A:$A,"&lt;="&amp;EOMONTH(U$19,0))+SUMIFS('Budget Data'!$J:$J,'Budget Data'!$E:$E,$B42,'Budget Data'!$C:$C,$B$6,'Budget Data'!$A:$A,"&gt;="&amp;U$19,'Budget Data'!$A:$A,"&lt;="&amp;EOMONTH(U$19,0)))</f>
        <v>6800</v>
      </c>
      <c r="V42" s="86">
        <f>SUMPRODUCT(SUMIFS('Allocated Transactions'!$J:$J,'Allocated Transactions'!$D:$D,$B42,'Allocated Transactions'!$C:$C,$B$7,'Allocated Transactions'!$A:$A,"&gt;="&amp;V$19,'Allocated Transactions'!$A:$A,"&lt;="&amp;EOMONTH(V$19,0))+SUMIFS('Allocated Transactions'!$J:$J,'Allocated Transactions'!$D:$D,$B42,'Allocated Transactions'!$C:$C,$B$9,'Allocated Transactions'!$A:$A,"&gt;="&amp;V$19,'Allocated Transactions'!$A:$A,"&lt;="&amp;EOMONTH(V$19,0))+SUMIFS('Allocated Transactions'!$J:$J,'Allocated Transactions'!$D:$D,$B42,'Allocated Transactions'!$C:$C,$B$8,'Allocated Transactions'!$A:$A,"&gt;="&amp;V$19,'Allocated Transactions'!$A:$A,"&lt;="&amp;EOMONTH(V$19,0))+SUMIFS('Allocated Transactions'!$J:$J,'Allocated Transactions'!$D:$D,$B42,'Allocated Transactions'!$C:$C,$B$10,'Allocated Transactions'!$A:$A,"&gt;="&amp;V$19,'Allocated Transactions'!$A:$A,"&lt;="&amp;EOMONTH(V$19,0))+SUMIFS('Allocated Transactions'!$J:$J,'Allocated Transactions'!$D:$D,$B42,'Allocated Transactions'!$C:$C,$B$11,'Allocated Transactions'!$A:$A,"&gt;="&amp;V$19,'Allocated Transactions'!$A:$A,"&lt;="&amp;EOMONTH(V$19,0))+SUMIFS('Allocated Transactions'!$J:$J,'Allocated Transactions'!$D:$D,$B42,'Allocated Transactions'!$C:$C,$B$2,'Allocated Transactions'!$A:$A,"&gt;="&amp;V$19,'Allocated Transactions'!$A:$A,"&lt;="&amp;EOMONTH(V$19,0))+SUMIFS('Allocated Transactions'!$J:$J,'Allocated Transactions'!$D:$D,$B42,'Allocated Transactions'!$C:$C,$B$4,'Allocated Transactions'!$A:$A,"&gt;="&amp;V$19,'Allocated Transactions'!$A:$A,"&lt;="&amp;EOMONTH(V$19,0))+SUMIFS('Allocated Transactions'!$J:$J,'Allocated Transactions'!$D:$D,$B42,'Allocated Transactions'!$C:$C,$B$3,'Allocated Transactions'!$A:$A,"&gt;="&amp;V$19,'Allocated Transactions'!$A:$A,"&lt;="&amp;EOMONTH(V$19,0))+SUMIFS('Allocated Transactions'!$J:$J,'Allocated Transactions'!$D:$D,$B42,'Allocated Transactions'!$C:$C,$B$5,'Allocated Transactions'!$A:$A,"&gt;="&amp;V$19,'Allocated Transactions'!$A:$A,"&lt;="&amp;EOMONTH(V$19,0))+SUMIFS('Allocated Transactions'!$J:$J,'Allocated Transactions'!$D:$D,$B42,'Allocated Transactions'!$C:$C,$B$6,'Allocated Transactions'!$A:$A,"&gt;="&amp;V$19,'Allocated Transactions'!$A:$A,"&lt;="&amp;EOMONTH(V$19,0)))</f>
        <v>0</v>
      </c>
      <c r="W42" s="84">
        <f>SUMPRODUCT(SUMIFS('Budget Data'!$J:$J,'Budget Data'!$E:$E,$B42,'Budget Data'!$C:$C,$B$7,'Budget Data'!$A:$A,"&gt;="&amp;W$19,'Budget Data'!$A:$A,"&lt;="&amp;EOMONTH(W$19,0))+SUMIFS('Budget Data'!$J:$J,'Budget Data'!$E:$E,$B42,'Budget Data'!$C:$C,$B$9,'Budget Data'!$A:$A,"&gt;="&amp;W$19,'Budget Data'!$A:$A,"&lt;="&amp;EOMONTH(W$19,0))+SUMIFS('Budget Data'!$J:$J,'Budget Data'!$E:$E,$B42,'Budget Data'!$C:$C,$B$8,'Budget Data'!$A:$A,"&gt;="&amp;W$19,'Budget Data'!$A:$A,"&lt;="&amp;EOMONTH(W$19,0))+SUMIFS('Budget Data'!$J:$J,'Budget Data'!$E:$E,$B42,'Budget Data'!$C:$C,$B$10,'Budget Data'!$A:$A,"&gt;="&amp;W$19,'Budget Data'!$A:$A,"&lt;="&amp;EOMONTH(W$19,0))+SUMIFS('Budget Data'!$J:$J,'Budget Data'!$E:$E,$B42,'Budget Data'!$C:$C,$B$11,'Budget Data'!$A:$A,"&gt;="&amp;W$19,'Budget Data'!$A:$A,"&lt;="&amp;EOMONTH(W$19,0))+SUMIFS('Budget Data'!$J:$J,'Budget Data'!$E:$E,$B42,'Budget Data'!$C:$C,$B$2,'Budget Data'!$A:$A,"&gt;="&amp;W$19,'Budget Data'!$A:$A,"&lt;="&amp;EOMONTH(W$19,0))+SUMIFS('Budget Data'!$J:$J,'Budget Data'!$E:$E,$B42,'Budget Data'!$C:$C,$B$4,'Budget Data'!$A:$A,"&gt;="&amp;W$19,'Budget Data'!$A:$A,"&lt;="&amp;EOMONTH(W$19,0))+SUMIFS('Budget Data'!$J:$J,'Budget Data'!$E:$E,$B42,'Budget Data'!$C:$C,$B$3,'Budget Data'!$A:$A,"&gt;="&amp;W$19,'Budget Data'!$A:$A,"&lt;="&amp;EOMONTH(W$19,0))+SUMIFS('Budget Data'!$J:$J,'Budget Data'!$E:$E,$B42,'Budget Data'!$C:$C,$B$5,'Budget Data'!$A:$A,"&gt;="&amp;W$19,'Budget Data'!$A:$A,"&lt;="&amp;EOMONTH(W$19,0))+SUMIFS('Budget Data'!$J:$J,'Budget Data'!$E:$E,$B42,'Budget Data'!$C:$C,$B$6,'Budget Data'!$A:$A,"&gt;="&amp;W$19,'Budget Data'!$A:$A,"&lt;="&amp;EOMONTH(W$19,0)))</f>
        <v>0</v>
      </c>
      <c r="X42" s="86">
        <f>SUMPRODUCT(SUMIFS('Allocated Transactions'!$J:$J,'Allocated Transactions'!$D:$D,$B42,'Allocated Transactions'!$C:$C,$B$7,'Allocated Transactions'!$A:$A,"&gt;="&amp;X$19,'Allocated Transactions'!$A:$A,"&lt;="&amp;EOMONTH(X$19,0))+SUMIFS('Allocated Transactions'!$J:$J,'Allocated Transactions'!$D:$D,$B42,'Allocated Transactions'!$C:$C,$B$9,'Allocated Transactions'!$A:$A,"&gt;="&amp;X$19,'Allocated Transactions'!$A:$A,"&lt;="&amp;EOMONTH(X$19,0))+SUMIFS('Allocated Transactions'!$J:$J,'Allocated Transactions'!$D:$D,$B42,'Allocated Transactions'!$C:$C,$B$8,'Allocated Transactions'!$A:$A,"&gt;="&amp;X$19,'Allocated Transactions'!$A:$A,"&lt;="&amp;EOMONTH(X$19,0))+SUMIFS('Allocated Transactions'!$J:$J,'Allocated Transactions'!$D:$D,$B42,'Allocated Transactions'!$C:$C,$B$10,'Allocated Transactions'!$A:$A,"&gt;="&amp;X$19,'Allocated Transactions'!$A:$A,"&lt;="&amp;EOMONTH(X$19,0))+SUMIFS('Allocated Transactions'!$J:$J,'Allocated Transactions'!$D:$D,$B42,'Allocated Transactions'!$C:$C,$B$11,'Allocated Transactions'!$A:$A,"&gt;="&amp;X$19,'Allocated Transactions'!$A:$A,"&lt;="&amp;EOMONTH(X$19,0))+SUMIFS('Allocated Transactions'!$J:$J,'Allocated Transactions'!$D:$D,$B42,'Allocated Transactions'!$C:$C,$B$2,'Allocated Transactions'!$A:$A,"&gt;="&amp;X$19,'Allocated Transactions'!$A:$A,"&lt;="&amp;EOMONTH(X$19,0))+SUMIFS('Allocated Transactions'!$J:$J,'Allocated Transactions'!$D:$D,$B42,'Allocated Transactions'!$C:$C,$B$4,'Allocated Transactions'!$A:$A,"&gt;="&amp;X$19,'Allocated Transactions'!$A:$A,"&lt;="&amp;EOMONTH(X$19,0))+SUMIFS('Allocated Transactions'!$J:$J,'Allocated Transactions'!$D:$D,$B42,'Allocated Transactions'!$C:$C,$B$3,'Allocated Transactions'!$A:$A,"&gt;="&amp;X$19,'Allocated Transactions'!$A:$A,"&lt;="&amp;EOMONTH(X$19,0))+SUMIFS('Allocated Transactions'!$J:$J,'Allocated Transactions'!$D:$D,$B42,'Allocated Transactions'!$C:$C,$B$5,'Allocated Transactions'!$A:$A,"&gt;="&amp;X$19,'Allocated Transactions'!$A:$A,"&lt;="&amp;EOMONTH(X$19,0))+SUMIFS('Allocated Transactions'!$J:$J,'Allocated Transactions'!$D:$D,$B42,'Allocated Transactions'!$C:$C,$B$6,'Allocated Transactions'!$A:$A,"&gt;="&amp;X$19,'Allocated Transactions'!$A:$A,"&lt;="&amp;EOMONTH(X$19,0)))</f>
        <v>0</v>
      </c>
      <c r="Y42" s="84">
        <f>SUMPRODUCT(SUMIFS('Budget Data'!$J:$J,'Budget Data'!$E:$E,$B42,'Budget Data'!$C:$C,$B$7,'Budget Data'!$A:$A,"&gt;="&amp;Y$19,'Budget Data'!$A:$A,"&lt;="&amp;EOMONTH(Y$19,0))+SUMIFS('Budget Data'!$J:$J,'Budget Data'!$E:$E,$B42,'Budget Data'!$C:$C,$B$9,'Budget Data'!$A:$A,"&gt;="&amp;Y$19,'Budget Data'!$A:$A,"&lt;="&amp;EOMONTH(Y$19,0))+SUMIFS('Budget Data'!$J:$J,'Budget Data'!$E:$E,$B42,'Budget Data'!$C:$C,$B$8,'Budget Data'!$A:$A,"&gt;="&amp;Y$19,'Budget Data'!$A:$A,"&lt;="&amp;EOMONTH(Y$19,0))+SUMIFS('Budget Data'!$J:$J,'Budget Data'!$E:$E,$B42,'Budget Data'!$C:$C,$B$10,'Budget Data'!$A:$A,"&gt;="&amp;Y$19,'Budget Data'!$A:$A,"&lt;="&amp;EOMONTH(Y$19,0))+SUMIFS('Budget Data'!$J:$J,'Budget Data'!$E:$E,$B42,'Budget Data'!$C:$C,$B$11,'Budget Data'!$A:$A,"&gt;="&amp;Y$19,'Budget Data'!$A:$A,"&lt;="&amp;EOMONTH(Y$19,0))+SUMIFS('Budget Data'!$J:$J,'Budget Data'!$E:$E,$B42,'Budget Data'!$C:$C,$B$2,'Budget Data'!$A:$A,"&gt;="&amp;Y$19,'Budget Data'!$A:$A,"&lt;="&amp;EOMONTH(Y$19,0))+SUMIFS('Budget Data'!$J:$J,'Budget Data'!$E:$E,$B42,'Budget Data'!$C:$C,$B$4,'Budget Data'!$A:$A,"&gt;="&amp;Y$19,'Budget Data'!$A:$A,"&lt;="&amp;EOMONTH(Y$19,0))+SUMIFS('Budget Data'!$J:$J,'Budget Data'!$E:$E,$B42,'Budget Data'!$C:$C,$B$3,'Budget Data'!$A:$A,"&gt;="&amp;Y$19,'Budget Data'!$A:$A,"&lt;="&amp;EOMONTH(Y$19,0))+SUMIFS('Budget Data'!$J:$J,'Budget Data'!$E:$E,$B42,'Budget Data'!$C:$C,$B$5,'Budget Data'!$A:$A,"&gt;="&amp;Y$19,'Budget Data'!$A:$A,"&lt;="&amp;EOMONTH(Y$19,0))+SUMIFS('Budget Data'!$J:$J,'Budget Data'!$E:$E,$B42,'Budget Data'!$C:$C,$B$6,'Budget Data'!$A:$A,"&gt;="&amp;Y$19,'Budget Data'!$A:$A,"&lt;="&amp;EOMONTH(Y$19,0)))</f>
        <v>0</v>
      </c>
      <c r="Z42" s="86">
        <f>SUMPRODUCT(SUMIFS('Allocated Transactions'!$J:$J,'Allocated Transactions'!$D:$D,$B42,'Allocated Transactions'!$C:$C,$B$7,'Allocated Transactions'!$A:$A,"&gt;="&amp;Z$19,'Allocated Transactions'!$A:$A,"&lt;="&amp;EOMONTH(Z$19,0))+SUMIFS('Allocated Transactions'!$J:$J,'Allocated Transactions'!$D:$D,$B42,'Allocated Transactions'!$C:$C,$B$9,'Allocated Transactions'!$A:$A,"&gt;="&amp;Z$19,'Allocated Transactions'!$A:$A,"&lt;="&amp;EOMONTH(Z$19,0))+SUMIFS('Allocated Transactions'!$J:$J,'Allocated Transactions'!$D:$D,$B42,'Allocated Transactions'!$C:$C,$B$8,'Allocated Transactions'!$A:$A,"&gt;="&amp;Z$19,'Allocated Transactions'!$A:$A,"&lt;="&amp;EOMONTH(Z$19,0))+SUMIFS('Allocated Transactions'!$J:$J,'Allocated Transactions'!$D:$D,$B42,'Allocated Transactions'!$C:$C,$B$10,'Allocated Transactions'!$A:$A,"&gt;="&amp;Z$19,'Allocated Transactions'!$A:$A,"&lt;="&amp;EOMONTH(Z$19,0))+SUMIFS('Allocated Transactions'!$J:$J,'Allocated Transactions'!$D:$D,$B42,'Allocated Transactions'!$C:$C,$B$11,'Allocated Transactions'!$A:$A,"&gt;="&amp;Z$19,'Allocated Transactions'!$A:$A,"&lt;="&amp;EOMONTH(Z$19,0))+SUMIFS('Allocated Transactions'!$J:$J,'Allocated Transactions'!$D:$D,$B42,'Allocated Transactions'!$C:$C,$B$2,'Allocated Transactions'!$A:$A,"&gt;="&amp;Z$19,'Allocated Transactions'!$A:$A,"&lt;="&amp;EOMONTH(Z$19,0))+SUMIFS('Allocated Transactions'!$J:$J,'Allocated Transactions'!$D:$D,$B42,'Allocated Transactions'!$C:$C,$B$4,'Allocated Transactions'!$A:$A,"&gt;="&amp;Z$19,'Allocated Transactions'!$A:$A,"&lt;="&amp;EOMONTH(Z$19,0))+SUMIFS('Allocated Transactions'!$J:$J,'Allocated Transactions'!$D:$D,$B42,'Allocated Transactions'!$C:$C,$B$3,'Allocated Transactions'!$A:$A,"&gt;="&amp;Z$19,'Allocated Transactions'!$A:$A,"&lt;="&amp;EOMONTH(Z$19,0))+SUMIFS('Allocated Transactions'!$J:$J,'Allocated Transactions'!$D:$D,$B42,'Allocated Transactions'!$C:$C,$B$5,'Allocated Transactions'!$A:$A,"&gt;="&amp;Z$19,'Allocated Transactions'!$A:$A,"&lt;="&amp;EOMONTH(Z$19,0))+SUMIFS('Allocated Transactions'!$J:$J,'Allocated Transactions'!$D:$D,$B42,'Allocated Transactions'!$C:$C,$B$6,'Allocated Transactions'!$A:$A,"&gt;="&amp;Z$19,'Allocated Transactions'!$A:$A,"&lt;="&amp;EOMONTH(Z$19,0)))</f>
        <v>14729.44</v>
      </c>
      <c r="AA42" s="84">
        <f>SUMPRODUCT(SUMIFS('Budget Data'!$J:$J,'Budget Data'!$E:$E,$B42,'Budget Data'!$C:$C,$B$7,'Budget Data'!$A:$A,"&gt;="&amp;AA$19,'Budget Data'!$A:$A,"&lt;="&amp;EOMONTH(AA$19,0))+SUMIFS('Budget Data'!$J:$J,'Budget Data'!$E:$E,$B42,'Budget Data'!$C:$C,$B$9,'Budget Data'!$A:$A,"&gt;="&amp;AA$19,'Budget Data'!$A:$A,"&lt;="&amp;EOMONTH(AA$19,0))+SUMIFS('Budget Data'!$J:$J,'Budget Data'!$E:$E,$B42,'Budget Data'!$C:$C,$B$8,'Budget Data'!$A:$A,"&gt;="&amp;AA$19,'Budget Data'!$A:$A,"&lt;="&amp;EOMONTH(AA$19,0))+SUMIFS('Budget Data'!$J:$J,'Budget Data'!$E:$E,$B42,'Budget Data'!$C:$C,$B$10,'Budget Data'!$A:$A,"&gt;="&amp;AA$19,'Budget Data'!$A:$A,"&lt;="&amp;EOMONTH(AA$19,0))+SUMIFS('Budget Data'!$J:$J,'Budget Data'!$E:$E,$B42,'Budget Data'!$C:$C,$B$11,'Budget Data'!$A:$A,"&gt;="&amp;AA$19,'Budget Data'!$A:$A,"&lt;="&amp;EOMONTH(AA$19,0))+SUMIFS('Budget Data'!$J:$J,'Budget Data'!$E:$E,$B42,'Budget Data'!$C:$C,$B$2,'Budget Data'!$A:$A,"&gt;="&amp;AA$19,'Budget Data'!$A:$A,"&lt;="&amp;EOMONTH(AA$19,0))+SUMIFS('Budget Data'!$J:$J,'Budget Data'!$E:$E,$B42,'Budget Data'!$C:$C,$B$4,'Budget Data'!$A:$A,"&gt;="&amp;AA$19,'Budget Data'!$A:$A,"&lt;="&amp;EOMONTH(AA$19,0))+SUMIFS('Budget Data'!$J:$J,'Budget Data'!$E:$E,$B42,'Budget Data'!$C:$C,$B$3,'Budget Data'!$A:$A,"&gt;="&amp;AA$19,'Budget Data'!$A:$A,"&lt;="&amp;EOMONTH(AA$19,0))+SUMIFS('Budget Data'!$J:$J,'Budget Data'!$E:$E,$B42,'Budget Data'!$C:$C,$B$5,'Budget Data'!$A:$A,"&gt;="&amp;AA$19,'Budget Data'!$A:$A,"&lt;="&amp;EOMONTH(AA$19,0))+SUMIFS('Budget Data'!$J:$J,'Budget Data'!$E:$E,$B42,'Budget Data'!$C:$C,$B$6,'Budget Data'!$A:$A,"&gt;="&amp;AA$19,'Budget Data'!$A:$A,"&lt;="&amp;EOMONTH(AA$19,0)))</f>
        <v>14600</v>
      </c>
      <c r="AC42" s="87">
        <f t="shared" si="2"/>
        <v>42730.64</v>
      </c>
      <c r="AD42" s="84">
        <f t="shared" si="2"/>
        <v>42300</v>
      </c>
    </row>
    <row r="43" spans="2:30" ht="15" customHeight="1">
      <c r="B43" s="12" t="str">
        <v>5600</v>
      </c>
      <c r="C43" s="160" t="str">
        <f>_xlfn.XLOOKUP(B43,'Allocated Transactions'!D:D,'Allocated Transactions'!E:E,"")</f>
        <v>Insurance</v>
      </c>
      <c r="D43" s="86">
        <f>SUMPRODUCT(SUMIFS('Allocated Transactions'!$J:$J,'Allocated Transactions'!$D:$D,$B43,'Allocated Transactions'!$C:$C,$B$7,'Allocated Transactions'!$A:$A,"&gt;="&amp;D$19,'Allocated Transactions'!$A:$A,"&lt;="&amp;EOMONTH(D$19,0))+SUMIFS('Allocated Transactions'!$J:$J,'Allocated Transactions'!$D:$D,$B43,'Allocated Transactions'!$C:$C,$B$9,'Allocated Transactions'!$A:$A,"&gt;="&amp;D$19,'Allocated Transactions'!$A:$A,"&lt;="&amp;EOMONTH(D$19,0))+SUMIFS('Allocated Transactions'!$J:$J,'Allocated Transactions'!$D:$D,$B43,'Allocated Transactions'!$C:$C,$B$8,'Allocated Transactions'!$A:$A,"&gt;="&amp;D$19,'Allocated Transactions'!$A:$A,"&lt;="&amp;EOMONTH(D$19,0))+SUMIFS('Allocated Transactions'!$J:$J,'Allocated Transactions'!$D:$D,$B43,'Allocated Transactions'!$C:$C,$B$10,'Allocated Transactions'!$A:$A,"&gt;="&amp;D$19,'Allocated Transactions'!$A:$A,"&lt;="&amp;EOMONTH(D$19,0))+SUMIFS('Allocated Transactions'!$J:$J,'Allocated Transactions'!$D:$D,$B43,'Allocated Transactions'!$C:$C,$B$11,'Allocated Transactions'!$A:$A,"&gt;="&amp;D$19,'Allocated Transactions'!$A:$A,"&lt;="&amp;EOMONTH(D$19,0))+SUMIFS('Allocated Transactions'!$J:$J,'Allocated Transactions'!$D:$D,$B43,'Allocated Transactions'!$C:$C,$B$2,'Allocated Transactions'!$A:$A,"&gt;="&amp;D$19,'Allocated Transactions'!$A:$A,"&lt;="&amp;EOMONTH(D$19,0))+SUMIFS('Allocated Transactions'!$J:$J,'Allocated Transactions'!$D:$D,$B43,'Allocated Transactions'!$C:$C,$B$4,'Allocated Transactions'!$A:$A,"&gt;="&amp;D$19,'Allocated Transactions'!$A:$A,"&lt;="&amp;EOMONTH(D$19,0))+SUMIFS('Allocated Transactions'!$J:$J,'Allocated Transactions'!$D:$D,$B43,'Allocated Transactions'!$C:$C,$B$3,'Allocated Transactions'!$A:$A,"&gt;="&amp;D$19,'Allocated Transactions'!$A:$A,"&lt;="&amp;EOMONTH(D$19,0))+SUMIFS('Allocated Transactions'!$J:$J,'Allocated Transactions'!$D:$D,$B43,'Allocated Transactions'!$C:$C,$B$5,'Allocated Transactions'!$A:$A,"&gt;="&amp;D$19,'Allocated Transactions'!$A:$A,"&lt;="&amp;EOMONTH(D$19,0))+SUMIFS('Allocated Transactions'!$J:$J,'Allocated Transactions'!$D:$D,$B43,'Allocated Transactions'!$C:$C,$B$6,'Allocated Transactions'!$A:$A,"&gt;="&amp;D$19,'Allocated Transactions'!$A:$A,"&lt;="&amp;EOMONTH(D$19,0)))</f>
        <v>2700.01</v>
      </c>
      <c r="E43" s="84">
        <f>SUMPRODUCT(SUMIFS('Budget Data'!$J:$J,'Budget Data'!$E:$E,$B43,'Budget Data'!$C:$C,$B$7,'Budget Data'!$A:$A,"&gt;="&amp;E$19,'Budget Data'!$A:$A,"&lt;="&amp;EOMONTH(E$19,0))+SUMIFS('Budget Data'!$J:$J,'Budget Data'!$E:$E,$B43,'Budget Data'!$C:$C,$B$9,'Budget Data'!$A:$A,"&gt;="&amp;E$19,'Budget Data'!$A:$A,"&lt;="&amp;EOMONTH(E$19,0))+SUMIFS('Budget Data'!$J:$J,'Budget Data'!$E:$E,$B43,'Budget Data'!$C:$C,$B$8,'Budget Data'!$A:$A,"&gt;="&amp;E$19,'Budget Data'!$A:$A,"&lt;="&amp;EOMONTH(E$19,0))+SUMIFS('Budget Data'!$J:$J,'Budget Data'!$E:$E,$B43,'Budget Data'!$C:$C,$B$10,'Budget Data'!$A:$A,"&gt;="&amp;E$19,'Budget Data'!$A:$A,"&lt;="&amp;EOMONTH(E$19,0))+SUMIFS('Budget Data'!$J:$J,'Budget Data'!$E:$E,$B43,'Budget Data'!$C:$C,$B$11,'Budget Data'!$A:$A,"&gt;="&amp;E$19,'Budget Data'!$A:$A,"&lt;="&amp;EOMONTH(E$19,0))+SUMIFS('Budget Data'!$J:$J,'Budget Data'!$E:$E,$B43,'Budget Data'!$C:$C,$B$2,'Budget Data'!$A:$A,"&gt;="&amp;E$19,'Budget Data'!$A:$A,"&lt;="&amp;EOMONTH(E$19,0))+SUMIFS('Budget Data'!$J:$J,'Budget Data'!$E:$E,$B43,'Budget Data'!$C:$C,$B$4,'Budget Data'!$A:$A,"&gt;="&amp;E$19,'Budget Data'!$A:$A,"&lt;="&amp;EOMONTH(E$19,0))+SUMIFS('Budget Data'!$J:$J,'Budget Data'!$E:$E,$B43,'Budget Data'!$C:$C,$B$3,'Budget Data'!$A:$A,"&gt;="&amp;E$19,'Budget Data'!$A:$A,"&lt;="&amp;EOMONTH(E$19,0))+SUMIFS('Budget Data'!$J:$J,'Budget Data'!$E:$E,$B43,'Budget Data'!$C:$C,$B$5,'Budget Data'!$A:$A,"&gt;="&amp;E$19,'Budget Data'!$A:$A,"&lt;="&amp;EOMONTH(E$19,0))+SUMIFS('Budget Data'!$J:$J,'Budget Data'!$E:$E,$B43,'Budget Data'!$C:$C,$B$6,'Budget Data'!$A:$A,"&gt;="&amp;E$19,'Budget Data'!$A:$A,"&lt;="&amp;EOMONTH(E$19,0)))</f>
        <v>2700</v>
      </c>
      <c r="F43" s="86">
        <f>SUMPRODUCT(SUMIFS('Allocated Transactions'!$J:$J,'Allocated Transactions'!$D:$D,$B43,'Allocated Transactions'!$C:$C,$B$7,'Allocated Transactions'!$A:$A,"&gt;="&amp;F$19,'Allocated Transactions'!$A:$A,"&lt;="&amp;EOMONTH(F$19,0))+SUMIFS('Allocated Transactions'!$J:$J,'Allocated Transactions'!$D:$D,$B43,'Allocated Transactions'!$C:$C,$B$9,'Allocated Transactions'!$A:$A,"&gt;="&amp;F$19,'Allocated Transactions'!$A:$A,"&lt;="&amp;EOMONTH(F$19,0))+SUMIFS('Allocated Transactions'!$J:$J,'Allocated Transactions'!$D:$D,$B43,'Allocated Transactions'!$C:$C,$B$8,'Allocated Transactions'!$A:$A,"&gt;="&amp;F$19,'Allocated Transactions'!$A:$A,"&lt;="&amp;EOMONTH(F$19,0))+SUMIFS('Allocated Transactions'!$J:$J,'Allocated Transactions'!$D:$D,$B43,'Allocated Transactions'!$C:$C,$B$10,'Allocated Transactions'!$A:$A,"&gt;="&amp;F$19,'Allocated Transactions'!$A:$A,"&lt;="&amp;EOMONTH(F$19,0))+SUMIFS('Allocated Transactions'!$J:$J,'Allocated Transactions'!$D:$D,$B43,'Allocated Transactions'!$C:$C,$B$11,'Allocated Transactions'!$A:$A,"&gt;="&amp;F$19,'Allocated Transactions'!$A:$A,"&lt;="&amp;EOMONTH(F$19,0))+SUMIFS('Allocated Transactions'!$J:$J,'Allocated Transactions'!$D:$D,$B43,'Allocated Transactions'!$C:$C,$B$2,'Allocated Transactions'!$A:$A,"&gt;="&amp;F$19,'Allocated Transactions'!$A:$A,"&lt;="&amp;EOMONTH(F$19,0))+SUMIFS('Allocated Transactions'!$J:$J,'Allocated Transactions'!$D:$D,$B43,'Allocated Transactions'!$C:$C,$B$4,'Allocated Transactions'!$A:$A,"&gt;="&amp;F$19,'Allocated Transactions'!$A:$A,"&lt;="&amp;EOMONTH(F$19,0))+SUMIFS('Allocated Transactions'!$J:$J,'Allocated Transactions'!$D:$D,$B43,'Allocated Transactions'!$C:$C,$B$3,'Allocated Transactions'!$A:$A,"&gt;="&amp;F$19,'Allocated Transactions'!$A:$A,"&lt;="&amp;EOMONTH(F$19,0))+SUMIFS('Allocated Transactions'!$J:$J,'Allocated Transactions'!$D:$D,$B43,'Allocated Transactions'!$C:$C,$B$5,'Allocated Transactions'!$A:$A,"&gt;="&amp;F$19,'Allocated Transactions'!$A:$A,"&lt;="&amp;EOMONTH(F$19,0))+SUMIFS('Allocated Transactions'!$J:$J,'Allocated Transactions'!$D:$D,$B43,'Allocated Transactions'!$C:$C,$B$6,'Allocated Transactions'!$A:$A,"&gt;="&amp;F$19,'Allocated Transactions'!$A:$A,"&lt;="&amp;EOMONTH(F$19,0)))</f>
        <v>2700.01</v>
      </c>
      <c r="G43" s="84">
        <f>SUMPRODUCT(SUMIFS('Budget Data'!$J:$J,'Budget Data'!$E:$E,$B43,'Budget Data'!$C:$C,$B$7,'Budget Data'!$A:$A,"&gt;="&amp;G$19,'Budget Data'!$A:$A,"&lt;="&amp;EOMONTH(G$19,0))+SUMIFS('Budget Data'!$J:$J,'Budget Data'!$E:$E,$B43,'Budget Data'!$C:$C,$B$9,'Budget Data'!$A:$A,"&gt;="&amp;G$19,'Budget Data'!$A:$A,"&lt;="&amp;EOMONTH(G$19,0))+SUMIFS('Budget Data'!$J:$J,'Budget Data'!$E:$E,$B43,'Budget Data'!$C:$C,$B$8,'Budget Data'!$A:$A,"&gt;="&amp;G$19,'Budget Data'!$A:$A,"&lt;="&amp;EOMONTH(G$19,0))+SUMIFS('Budget Data'!$J:$J,'Budget Data'!$E:$E,$B43,'Budget Data'!$C:$C,$B$10,'Budget Data'!$A:$A,"&gt;="&amp;G$19,'Budget Data'!$A:$A,"&lt;="&amp;EOMONTH(G$19,0))+SUMIFS('Budget Data'!$J:$J,'Budget Data'!$E:$E,$B43,'Budget Data'!$C:$C,$B$11,'Budget Data'!$A:$A,"&gt;="&amp;G$19,'Budget Data'!$A:$A,"&lt;="&amp;EOMONTH(G$19,0))+SUMIFS('Budget Data'!$J:$J,'Budget Data'!$E:$E,$B43,'Budget Data'!$C:$C,$B$2,'Budget Data'!$A:$A,"&gt;="&amp;G$19,'Budget Data'!$A:$A,"&lt;="&amp;EOMONTH(G$19,0))+SUMIFS('Budget Data'!$J:$J,'Budget Data'!$E:$E,$B43,'Budget Data'!$C:$C,$B$4,'Budget Data'!$A:$A,"&gt;="&amp;G$19,'Budget Data'!$A:$A,"&lt;="&amp;EOMONTH(G$19,0))+SUMIFS('Budget Data'!$J:$J,'Budget Data'!$E:$E,$B43,'Budget Data'!$C:$C,$B$3,'Budget Data'!$A:$A,"&gt;="&amp;G$19,'Budget Data'!$A:$A,"&lt;="&amp;EOMONTH(G$19,0))+SUMIFS('Budget Data'!$J:$J,'Budget Data'!$E:$E,$B43,'Budget Data'!$C:$C,$B$5,'Budget Data'!$A:$A,"&gt;="&amp;G$19,'Budget Data'!$A:$A,"&lt;="&amp;EOMONTH(G$19,0))+SUMIFS('Budget Data'!$J:$J,'Budget Data'!$E:$E,$B43,'Budget Data'!$C:$C,$B$6,'Budget Data'!$A:$A,"&gt;="&amp;G$19,'Budget Data'!$A:$A,"&lt;="&amp;EOMONTH(G$19,0)))</f>
        <v>2700</v>
      </c>
      <c r="H43" s="86">
        <f>SUMPRODUCT(SUMIFS('Allocated Transactions'!$J:$J,'Allocated Transactions'!$D:$D,$B43,'Allocated Transactions'!$C:$C,$B$7,'Allocated Transactions'!$A:$A,"&gt;="&amp;H$19,'Allocated Transactions'!$A:$A,"&lt;="&amp;EOMONTH(H$19,0))+SUMIFS('Allocated Transactions'!$J:$J,'Allocated Transactions'!$D:$D,$B43,'Allocated Transactions'!$C:$C,$B$9,'Allocated Transactions'!$A:$A,"&gt;="&amp;H$19,'Allocated Transactions'!$A:$A,"&lt;="&amp;EOMONTH(H$19,0))+SUMIFS('Allocated Transactions'!$J:$J,'Allocated Transactions'!$D:$D,$B43,'Allocated Transactions'!$C:$C,$B$8,'Allocated Transactions'!$A:$A,"&gt;="&amp;H$19,'Allocated Transactions'!$A:$A,"&lt;="&amp;EOMONTH(H$19,0))+SUMIFS('Allocated Transactions'!$J:$J,'Allocated Transactions'!$D:$D,$B43,'Allocated Transactions'!$C:$C,$B$10,'Allocated Transactions'!$A:$A,"&gt;="&amp;H$19,'Allocated Transactions'!$A:$A,"&lt;="&amp;EOMONTH(H$19,0))+SUMIFS('Allocated Transactions'!$J:$J,'Allocated Transactions'!$D:$D,$B43,'Allocated Transactions'!$C:$C,$B$11,'Allocated Transactions'!$A:$A,"&gt;="&amp;H$19,'Allocated Transactions'!$A:$A,"&lt;="&amp;EOMONTH(H$19,0))+SUMIFS('Allocated Transactions'!$J:$J,'Allocated Transactions'!$D:$D,$B43,'Allocated Transactions'!$C:$C,$B$2,'Allocated Transactions'!$A:$A,"&gt;="&amp;H$19,'Allocated Transactions'!$A:$A,"&lt;="&amp;EOMONTH(H$19,0))+SUMIFS('Allocated Transactions'!$J:$J,'Allocated Transactions'!$D:$D,$B43,'Allocated Transactions'!$C:$C,$B$4,'Allocated Transactions'!$A:$A,"&gt;="&amp;H$19,'Allocated Transactions'!$A:$A,"&lt;="&amp;EOMONTH(H$19,0))+SUMIFS('Allocated Transactions'!$J:$J,'Allocated Transactions'!$D:$D,$B43,'Allocated Transactions'!$C:$C,$B$3,'Allocated Transactions'!$A:$A,"&gt;="&amp;H$19,'Allocated Transactions'!$A:$A,"&lt;="&amp;EOMONTH(H$19,0))+SUMIFS('Allocated Transactions'!$J:$J,'Allocated Transactions'!$D:$D,$B43,'Allocated Transactions'!$C:$C,$B$5,'Allocated Transactions'!$A:$A,"&gt;="&amp;H$19,'Allocated Transactions'!$A:$A,"&lt;="&amp;EOMONTH(H$19,0))+SUMIFS('Allocated Transactions'!$J:$J,'Allocated Transactions'!$D:$D,$B43,'Allocated Transactions'!$C:$C,$B$6,'Allocated Transactions'!$A:$A,"&gt;="&amp;H$19,'Allocated Transactions'!$A:$A,"&lt;="&amp;EOMONTH(H$19,0)))</f>
        <v>2700.01</v>
      </c>
      <c r="I43" s="84">
        <f>SUMPRODUCT(SUMIFS('Budget Data'!$J:$J,'Budget Data'!$E:$E,$B43,'Budget Data'!$C:$C,$B$7,'Budget Data'!$A:$A,"&gt;="&amp;I$19,'Budget Data'!$A:$A,"&lt;="&amp;EOMONTH(I$19,0))+SUMIFS('Budget Data'!$J:$J,'Budget Data'!$E:$E,$B43,'Budget Data'!$C:$C,$B$9,'Budget Data'!$A:$A,"&gt;="&amp;I$19,'Budget Data'!$A:$A,"&lt;="&amp;EOMONTH(I$19,0))+SUMIFS('Budget Data'!$J:$J,'Budget Data'!$E:$E,$B43,'Budget Data'!$C:$C,$B$8,'Budget Data'!$A:$A,"&gt;="&amp;I$19,'Budget Data'!$A:$A,"&lt;="&amp;EOMONTH(I$19,0))+SUMIFS('Budget Data'!$J:$J,'Budget Data'!$E:$E,$B43,'Budget Data'!$C:$C,$B$10,'Budget Data'!$A:$A,"&gt;="&amp;I$19,'Budget Data'!$A:$A,"&lt;="&amp;EOMONTH(I$19,0))+SUMIFS('Budget Data'!$J:$J,'Budget Data'!$E:$E,$B43,'Budget Data'!$C:$C,$B$11,'Budget Data'!$A:$A,"&gt;="&amp;I$19,'Budget Data'!$A:$A,"&lt;="&amp;EOMONTH(I$19,0))+SUMIFS('Budget Data'!$J:$J,'Budget Data'!$E:$E,$B43,'Budget Data'!$C:$C,$B$2,'Budget Data'!$A:$A,"&gt;="&amp;I$19,'Budget Data'!$A:$A,"&lt;="&amp;EOMONTH(I$19,0))+SUMIFS('Budget Data'!$J:$J,'Budget Data'!$E:$E,$B43,'Budget Data'!$C:$C,$B$4,'Budget Data'!$A:$A,"&gt;="&amp;I$19,'Budget Data'!$A:$A,"&lt;="&amp;EOMONTH(I$19,0))+SUMIFS('Budget Data'!$J:$J,'Budget Data'!$E:$E,$B43,'Budget Data'!$C:$C,$B$3,'Budget Data'!$A:$A,"&gt;="&amp;I$19,'Budget Data'!$A:$A,"&lt;="&amp;EOMONTH(I$19,0))+SUMIFS('Budget Data'!$J:$J,'Budget Data'!$E:$E,$B43,'Budget Data'!$C:$C,$B$5,'Budget Data'!$A:$A,"&gt;="&amp;I$19,'Budget Data'!$A:$A,"&lt;="&amp;EOMONTH(I$19,0))+SUMIFS('Budget Data'!$J:$J,'Budget Data'!$E:$E,$B43,'Budget Data'!$C:$C,$B$6,'Budget Data'!$A:$A,"&gt;="&amp;I$19,'Budget Data'!$A:$A,"&lt;="&amp;EOMONTH(I$19,0)))</f>
        <v>2700</v>
      </c>
      <c r="J43" s="86">
        <f>SUMPRODUCT(SUMIFS('Allocated Transactions'!$J:$J,'Allocated Transactions'!$D:$D,$B43,'Allocated Transactions'!$C:$C,$B$7,'Allocated Transactions'!$A:$A,"&gt;="&amp;J$19,'Allocated Transactions'!$A:$A,"&lt;="&amp;EOMONTH(J$19,0))+SUMIFS('Allocated Transactions'!$J:$J,'Allocated Transactions'!$D:$D,$B43,'Allocated Transactions'!$C:$C,$B$9,'Allocated Transactions'!$A:$A,"&gt;="&amp;J$19,'Allocated Transactions'!$A:$A,"&lt;="&amp;EOMONTH(J$19,0))+SUMIFS('Allocated Transactions'!$J:$J,'Allocated Transactions'!$D:$D,$B43,'Allocated Transactions'!$C:$C,$B$8,'Allocated Transactions'!$A:$A,"&gt;="&amp;J$19,'Allocated Transactions'!$A:$A,"&lt;="&amp;EOMONTH(J$19,0))+SUMIFS('Allocated Transactions'!$J:$J,'Allocated Transactions'!$D:$D,$B43,'Allocated Transactions'!$C:$C,$B$10,'Allocated Transactions'!$A:$A,"&gt;="&amp;J$19,'Allocated Transactions'!$A:$A,"&lt;="&amp;EOMONTH(J$19,0))+SUMIFS('Allocated Transactions'!$J:$J,'Allocated Transactions'!$D:$D,$B43,'Allocated Transactions'!$C:$C,$B$11,'Allocated Transactions'!$A:$A,"&gt;="&amp;J$19,'Allocated Transactions'!$A:$A,"&lt;="&amp;EOMONTH(J$19,0))+SUMIFS('Allocated Transactions'!$J:$J,'Allocated Transactions'!$D:$D,$B43,'Allocated Transactions'!$C:$C,$B$2,'Allocated Transactions'!$A:$A,"&gt;="&amp;J$19,'Allocated Transactions'!$A:$A,"&lt;="&amp;EOMONTH(J$19,0))+SUMIFS('Allocated Transactions'!$J:$J,'Allocated Transactions'!$D:$D,$B43,'Allocated Transactions'!$C:$C,$B$4,'Allocated Transactions'!$A:$A,"&gt;="&amp;J$19,'Allocated Transactions'!$A:$A,"&lt;="&amp;EOMONTH(J$19,0))+SUMIFS('Allocated Transactions'!$J:$J,'Allocated Transactions'!$D:$D,$B43,'Allocated Transactions'!$C:$C,$B$3,'Allocated Transactions'!$A:$A,"&gt;="&amp;J$19,'Allocated Transactions'!$A:$A,"&lt;="&amp;EOMONTH(J$19,0))+SUMIFS('Allocated Transactions'!$J:$J,'Allocated Transactions'!$D:$D,$B43,'Allocated Transactions'!$C:$C,$B$5,'Allocated Transactions'!$A:$A,"&gt;="&amp;J$19,'Allocated Transactions'!$A:$A,"&lt;="&amp;EOMONTH(J$19,0))+SUMIFS('Allocated Transactions'!$J:$J,'Allocated Transactions'!$D:$D,$B43,'Allocated Transactions'!$C:$C,$B$6,'Allocated Transactions'!$A:$A,"&gt;="&amp;J$19,'Allocated Transactions'!$A:$A,"&lt;="&amp;EOMONTH(J$19,0)))</f>
        <v>2700.01</v>
      </c>
      <c r="K43" s="84">
        <f>SUMPRODUCT(SUMIFS('Budget Data'!$J:$J,'Budget Data'!$E:$E,$B43,'Budget Data'!$C:$C,$B$7,'Budget Data'!$A:$A,"&gt;="&amp;K$19,'Budget Data'!$A:$A,"&lt;="&amp;EOMONTH(K$19,0))+SUMIFS('Budget Data'!$J:$J,'Budget Data'!$E:$E,$B43,'Budget Data'!$C:$C,$B$9,'Budget Data'!$A:$A,"&gt;="&amp;K$19,'Budget Data'!$A:$A,"&lt;="&amp;EOMONTH(K$19,0))+SUMIFS('Budget Data'!$J:$J,'Budget Data'!$E:$E,$B43,'Budget Data'!$C:$C,$B$8,'Budget Data'!$A:$A,"&gt;="&amp;K$19,'Budget Data'!$A:$A,"&lt;="&amp;EOMONTH(K$19,0))+SUMIFS('Budget Data'!$J:$J,'Budget Data'!$E:$E,$B43,'Budget Data'!$C:$C,$B$10,'Budget Data'!$A:$A,"&gt;="&amp;K$19,'Budget Data'!$A:$A,"&lt;="&amp;EOMONTH(K$19,0))+SUMIFS('Budget Data'!$J:$J,'Budget Data'!$E:$E,$B43,'Budget Data'!$C:$C,$B$11,'Budget Data'!$A:$A,"&gt;="&amp;K$19,'Budget Data'!$A:$A,"&lt;="&amp;EOMONTH(K$19,0))+SUMIFS('Budget Data'!$J:$J,'Budget Data'!$E:$E,$B43,'Budget Data'!$C:$C,$B$2,'Budget Data'!$A:$A,"&gt;="&amp;K$19,'Budget Data'!$A:$A,"&lt;="&amp;EOMONTH(K$19,0))+SUMIFS('Budget Data'!$J:$J,'Budget Data'!$E:$E,$B43,'Budget Data'!$C:$C,$B$4,'Budget Data'!$A:$A,"&gt;="&amp;K$19,'Budget Data'!$A:$A,"&lt;="&amp;EOMONTH(K$19,0))+SUMIFS('Budget Data'!$J:$J,'Budget Data'!$E:$E,$B43,'Budget Data'!$C:$C,$B$3,'Budget Data'!$A:$A,"&gt;="&amp;K$19,'Budget Data'!$A:$A,"&lt;="&amp;EOMONTH(K$19,0))+SUMIFS('Budget Data'!$J:$J,'Budget Data'!$E:$E,$B43,'Budget Data'!$C:$C,$B$5,'Budget Data'!$A:$A,"&gt;="&amp;K$19,'Budget Data'!$A:$A,"&lt;="&amp;EOMONTH(K$19,0))+SUMIFS('Budget Data'!$J:$J,'Budget Data'!$E:$E,$B43,'Budget Data'!$C:$C,$B$6,'Budget Data'!$A:$A,"&gt;="&amp;K$19,'Budget Data'!$A:$A,"&lt;="&amp;EOMONTH(K$19,0)))</f>
        <v>2700</v>
      </c>
      <c r="L43" s="86">
        <f>SUMPRODUCT(SUMIFS('Allocated Transactions'!$J:$J,'Allocated Transactions'!$D:$D,$B43,'Allocated Transactions'!$C:$C,$B$7,'Allocated Transactions'!$A:$A,"&gt;="&amp;L$19,'Allocated Transactions'!$A:$A,"&lt;="&amp;EOMONTH(L$19,0))+SUMIFS('Allocated Transactions'!$J:$J,'Allocated Transactions'!$D:$D,$B43,'Allocated Transactions'!$C:$C,$B$9,'Allocated Transactions'!$A:$A,"&gt;="&amp;L$19,'Allocated Transactions'!$A:$A,"&lt;="&amp;EOMONTH(L$19,0))+SUMIFS('Allocated Transactions'!$J:$J,'Allocated Transactions'!$D:$D,$B43,'Allocated Transactions'!$C:$C,$B$8,'Allocated Transactions'!$A:$A,"&gt;="&amp;L$19,'Allocated Transactions'!$A:$A,"&lt;="&amp;EOMONTH(L$19,0))+SUMIFS('Allocated Transactions'!$J:$J,'Allocated Transactions'!$D:$D,$B43,'Allocated Transactions'!$C:$C,$B$10,'Allocated Transactions'!$A:$A,"&gt;="&amp;L$19,'Allocated Transactions'!$A:$A,"&lt;="&amp;EOMONTH(L$19,0))+SUMIFS('Allocated Transactions'!$J:$J,'Allocated Transactions'!$D:$D,$B43,'Allocated Transactions'!$C:$C,$B$11,'Allocated Transactions'!$A:$A,"&gt;="&amp;L$19,'Allocated Transactions'!$A:$A,"&lt;="&amp;EOMONTH(L$19,0))+SUMIFS('Allocated Transactions'!$J:$J,'Allocated Transactions'!$D:$D,$B43,'Allocated Transactions'!$C:$C,$B$2,'Allocated Transactions'!$A:$A,"&gt;="&amp;L$19,'Allocated Transactions'!$A:$A,"&lt;="&amp;EOMONTH(L$19,0))+SUMIFS('Allocated Transactions'!$J:$J,'Allocated Transactions'!$D:$D,$B43,'Allocated Transactions'!$C:$C,$B$4,'Allocated Transactions'!$A:$A,"&gt;="&amp;L$19,'Allocated Transactions'!$A:$A,"&lt;="&amp;EOMONTH(L$19,0))+SUMIFS('Allocated Transactions'!$J:$J,'Allocated Transactions'!$D:$D,$B43,'Allocated Transactions'!$C:$C,$B$3,'Allocated Transactions'!$A:$A,"&gt;="&amp;L$19,'Allocated Transactions'!$A:$A,"&lt;="&amp;EOMONTH(L$19,0))+SUMIFS('Allocated Transactions'!$J:$J,'Allocated Transactions'!$D:$D,$B43,'Allocated Transactions'!$C:$C,$B$5,'Allocated Transactions'!$A:$A,"&gt;="&amp;L$19,'Allocated Transactions'!$A:$A,"&lt;="&amp;EOMONTH(L$19,0))+SUMIFS('Allocated Transactions'!$J:$J,'Allocated Transactions'!$D:$D,$B43,'Allocated Transactions'!$C:$C,$B$6,'Allocated Transactions'!$A:$A,"&gt;="&amp;L$19,'Allocated Transactions'!$A:$A,"&lt;="&amp;EOMONTH(L$19,0)))</f>
        <v>2700.01</v>
      </c>
      <c r="M43" s="84">
        <f>SUMPRODUCT(SUMIFS('Budget Data'!$J:$J,'Budget Data'!$E:$E,$B43,'Budget Data'!$C:$C,$B$7,'Budget Data'!$A:$A,"&gt;="&amp;M$19,'Budget Data'!$A:$A,"&lt;="&amp;EOMONTH(M$19,0))+SUMIFS('Budget Data'!$J:$J,'Budget Data'!$E:$E,$B43,'Budget Data'!$C:$C,$B$9,'Budget Data'!$A:$A,"&gt;="&amp;M$19,'Budget Data'!$A:$A,"&lt;="&amp;EOMONTH(M$19,0))+SUMIFS('Budget Data'!$J:$J,'Budget Data'!$E:$E,$B43,'Budget Data'!$C:$C,$B$8,'Budget Data'!$A:$A,"&gt;="&amp;M$19,'Budget Data'!$A:$A,"&lt;="&amp;EOMONTH(M$19,0))+SUMIFS('Budget Data'!$J:$J,'Budget Data'!$E:$E,$B43,'Budget Data'!$C:$C,$B$10,'Budget Data'!$A:$A,"&gt;="&amp;M$19,'Budget Data'!$A:$A,"&lt;="&amp;EOMONTH(M$19,0))+SUMIFS('Budget Data'!$J:$J,'Budget Data'!$E:$E,$B43,'Budget Data'!$C:$C,$B$11,'Budget Data'!$A:$A,"&gt;="&amp;M$19,'Budget Data'!$A:$A,"&lt;="&amp;EOMONTH(M$19,0))+SUMIFS('Budget Data'!$J:$J,'Budget Data'!$E:$E,$B43,'Budget Data'!$C:$C,$B$2,'Budget Data'!$A:$A,"&gt;="&amp;M$19,'Budget Data'!$A:$A,"&lt;="&amp;EOMONTH(M$19,0))+SUMIFS('Budget Data'!$J:$J,'Budget Data'!$E:$E,$B43,'Budget Data'!$C:$C,$B$4,'Budget Data'!$A:$A,"&gt;="&amp;M$19,'Budget Data'!$A:$A,"&lt;="&amp;EOMONTH(M$19,0))+SUMIFS('Budget Data'!$J:$J,'Budget Data'!$E:$E,$B43,'Budget Data'!$C:$C,$B$3,'Budget Data'!$A:$A,"&gt;="&amp;M$19,'Budget Data'!$A:$A,"&lt;="&amp;EOMONTH(M$19,0))+SUMIFS('Budget Data'!$J:$J,'Budget Data'!$E:$E,$B43,'Budget Data'!$C:$C,$B$5,'Budget Data'!$A:$A,"&gt;="&amp;M$19,'Budget Data'!$A:$A,"&lt;="&amp;EOMONTH(M$19,0))+SUMIFS('Budget Data'!$J:$J,'Budget Data'!$E:$E,$B43,'Budget Data'!$C:$C,$B$6,'Budget Data'!$A:$A,"&gt;="&amp;M$19,'Budget Data'!$A:$A,"&lt;="&amp;EOMONTH(M$19,0)))</f>
        <v>2700</v>
      </c>
      <c r="N43" s="86">
        <f>SUMPRODUCT(SUMIFS('Allocated Transactions'!$J:$J,'Allocated Transactions'!$D:$D,$B43,'Allocated Transactions'!$C:$C,$B$7,'Allocated Transactions'!$A:$A,"&gt;="&amp;N$19,'Allocated Transactions'!$A:$A,"&lt;="&amp;EOMONTH(N$19,0))+SUMIFS('Allocated Transactions'!$J:$J,'Allocated Transactions'!$D:$D,$B43,'Allocated Transactions'!$C:$C,$B$9,'Allocated Transactions'!$A:$A,"&gt;="&amp;N$19,'Allocated Transactions'!$A:$A,"&lt;="&amp;EOMONTH(N$19,0))+SUMIFS('Allocated Transactions'!$J:$J,'Allocated Transactions'!$D:$D,$B43,'Allocated Transactions'!$C:$C,$B$8,'Allocated Transactions'!$A:$A,"&gt;="&amp;N$19,'Allocated Transactions'!$A:$A,"&lt;="&amp;EOMONTH(N$19,0))+SUMIFS('Allocated Transactions'!$J:$J,'Allocated Transactions'!$D:$D,$B43,'Allocated Transactions'!$C:$C,$B$10,'Allocated Transactions'!$A:$A,"&gt;="&amp;N$19,'Allocated Transactions'!$A:$A,"&lt;="&amp;EOMONTH(N$19,0))+SUMIFS('Allocated Transactions'!$J:$J,'Allocated Transactions'!$D:$D,$B43,'Allocated Transactions'!$C:$C,$B$11,'Allocated Transactions'!$A:$A,"&gt;="&amp;N$19,'Allocated Transactions'!$A:$A,"&lt;="&amp;EOMONTH(N$19,0))+SUMIFS('Allocated Transactions'!$J:$J,'Allocated Transactions'!$D:$D,$B43,'Allocated Transactions'!$C:$C,$B$2,'Allocated Transactions'!$A:$A,"&gt;="&amp;N$19,'Allocated Transactions'!$A:$A,"&lt;="&amp;EOMONTH(N$19,0))+SUMIFS('Allocated Transactions'!$J:$J,'Allocated Transactions'!$D:$D,$B43,'Allocated Transactions'!$C:$C,$B$4,'Allocated Transactions'!$A:$A,"&gt;="&amp;N$19,'Allocated Transactions'!$A:$A,"&lt;="&amp;EOMONTH(N$19,0))+SUMIFS('Allocated Transactions'!$J:$J,'Allocated Transactions'!$D:$D,$B43,'Allocated Transactions'!$C:$C,$B$3,'Allocated Transactions'!$A:$A,"&gt;="&amp;N$19,'Allocated Transactions'!$A:$A,"&lt;="&amp;EOMONTH(N$19,0))+SUMIFS('Allocated Transactions'!$J:$J,'Allocated Transactions'!$D:$D,$B43,'Allocated Transactions'!$C:$C,$B$5,'Allocated Transactions'!$A:$A,"&gt;="&amp;N$19,'Allocated Transactions'!$A:$A,"&lt;="&amp;EOMONTH(N$19,0))+SUMIFS('Allocated Transactions'!$J:$J,'Allocated Transactions'!$D:$D,$B43,'Allocated Transactions'!$C:$C,$B$6,'Allocated Transactions'!$A:$A,"&gt;="&amp;N$19,'Allocated Transactions'!$A:$A,"&lt;="&amp;EOMONTH(N$19,0)))</f>
        <v>2700.01</v>
      </c>
      <c r="O43" s="84">
        <f>SUMPRODUCT(SUMIFS('Budget Data'!$J:$J,'Budget Data'!$E:$E,$B43,'Budget Data'!$C:$C,$B$7,'Budget Data'!$A:$A,"&gt;="&amp;O$19,'Budget Data'!$A:$A,"&lt;="&amp;EOMONTH(O$19,0))+SUMIFS('Budget Data'!$J:$J,'Budget Data'!$E:$E,$B43,'Budget Data'!$C:$C,$B$9,'Budget Data'!$A:$A,"&gt;="&amp;O$19,'Budget Data'!$A:$A,"&lt;="&amp;EOMONTH(O$19,0))+SUMIFS('Budget Data'!$J:$J,'Budget Data'!$E:$E,$B43,'Budget Data'!$C:$C,$B$8,'Budget Data'!$A:$A,"&gt;="&amp;O$19,'Budget Data'!$A:$A,"&lt;="&amp;EOMONTH(O$19,0))+SUMIFS('Budget Data'!$J:$J,'Budget Data'!$E:$E,$B43,'Budget Data'!$C:$C,$B$10,'Budget Data'!$A:$A,"&gt;="&amp;O$19,'Budget Data'!$A:$A,"&lt;="&amp;EOMONTH(O$19,0))+SUMIFS('Budget Data'!$J:$J,'Budget Data'!$E:$E,$B43,'Budget Data'!$C:$C,$B$11,'Budget Data'!$A:$A,"&gt;="&amp;O$19,'Budget Data'!$A:$A,"&lt;="&amp;EOMONTH(O$19,0))+SUMIFS('Budget Data'!$J:$J,'Budget Data'!$E:$E,$B43,'Budget Data'!$C:$C,$B$2,'Budget Data'!$A:$A,"&gt;="&amp;O$19,'Budget Data'!$A:$A,"&lt;="&amp;EOMONTH(O$19,0))+SUMIFS('Budget Data'!$J:$J,'Budget Data'!$E:$E,$B43,'Budget Data'!$C:$C,$B$4,'Budget Data'!$A:$A,"&gt;="&amp;O$19,'Budget Data'!$A:$A,"&lt;="&amp;EOMONTH(O$19,0))+SUMIFS('Budget Data'!$J:$J,'Budget Data'!$E:$E,$B43,'Budget Data'!$C:$C,$B$3,'Budget Data'!$A:$A,"&gt;="&amp;O$19,'Budget Data'!$A:$A,"&lt;="&amp;EOMONTH(O$19,0))+SUMIFS('Budget Data'!$J:$J,'Budget Data'!$E:$E,$B43,'Budget Data'!$C:$C,$B$5,'Budget Data'!$A:$A,"&gt;="&amp;O$19,'Budget Data'!$A:$A,"&lt;="&amp;EOMONTH(O$19,0))+SUMIFS('Budget Data'!$J:$J,'Budget Data'!$E:$E,$B43,'Budget Data'!$C:$C,$B$6,'Budget Data'!$A:$A,"&gt;="&amp;O$19,'Budget Data'!$A:$A,"&lt;="&amp;EOMONTH(O$19,0)))</f>
        <v>2700</v>
      </c>
      <c r="P43" s="86">
        <f>SUMPRODUCT(SUMIFS('Allocated Transactions'!$J:$J,'Allocated Transactions'!$D:$D,$B43,'Allocated Transactions'!$C:$C,$B$7,'Allocated Transactions'!$A:$A,"&gt;="&amp;P$19,'Allocated Transactions'!$A:$A,"&lt;="&amp;EOMONTH(P$19,0))+SUMIFS('Allocated Transactions'!$J:$J,'Allocated Transactions'!$D:$D,$B43,'Allocated Transactions'!$C:$C,$B$9,'Allocated Transactions'!$A:$A,"&gt;="&amp;P$19,'Allocated Transactions'!$A:$A,"&lt;="&amp;EOMONTH(P$19,0))+SUMIFS('Allocated Transactions'!$J:$J,'Allocated Transactions'!$D:$D,$B43,'Allocated Transactions'!$C:$C,$B$8,'Allocated Transactions'!$A:$A,"&gt;="&amp;P$19,'Allocated Transactions'!$A:$A,"&lt;="&amp;EOMONTH(P$19,0))+SUMIFS('Allocated Transactions'!$J:$J,'Allocated Transactions'!$D:$D,$B43,'Allocated Transactions'!$C:$C,$B$10,'Allocated Transactions'!$A:$A,"&gt;="&amp;P$19,'Allocated Transactions'!$A:$A,"&lt;="&amp;EOMONTH(P$19,0))+SUMIFS('Allocated Transactions'!$J:$J,'Allocated Transactions'!$D:$D,$B43,'Allocated Transactions'!$C:$C,$B$11,'Allocated Transactions'!$A:$A,"&gt;="&amp;P$19,'Allocated Transactions'!$A:$A,"&lt;="&amp;EOMONTH(P$19,0))+SUMIFS('Allocated Transactions'!$J:$J,'Allocated Transactions'!$D:$D,$B43,'Allocated Transactions'!$C:$C,$B$2,'Allocated Transactions'!$A:$A,"&gt;="&amp;P$19,'Allocated Transactions'!$A:$A,"&lt;="&amp;EOMONTH(P$19,0))+SUMIFS('Allocated Transactions'!$J:$J,'Allocated Transactions'!$D:$D,$B43,'Allocated Transactions'!$C:$C,$B$4,'Allocated Transactions'!$A:$A,"&gt;="&amp;P$19,'Allocated Transactions'!$A:$A,"&lt;="&amp;EOMONTH(P$19,0))+SUMIFS('Allocated Transactions'!$J:$J,'Allocated Transactions'!$D:$D,$B43,'Allocated Transactions'!$C:$C,$B$3,'Allocated Transactions'!$A:$A,"&gt;="&amp;P$19,'Allocated Transactions'!$A:$A,"&lt;="&amp;EOMONTH(P$19,0))+SUMIFS('Allocated Transactions'!$J:$J,'Allocated Transactions'!$D:$D,$B43,'Allocated Transactions'!$C:$C,$B$5,'Allocated Transactions'!$A:$A,"&gt;="&amp;P$19,'Allocated Transactions'!$A:$A,"&lt;="&amp;EOMONTH(P$19,0))+SUMIFS('Allocated Transactions'!$J:$J,'Allocated Transactions'!$D:$D,$B43,'Allocated Transactions'!$C:$C,$B$6,'Allocated Transactions'!$A:$A,"&gt;="&amp;P$19,'Allocated Transactions'!$A:$A,"&lt;="&amp;EOMONTH(P$19,0)))</f>
        <v>2700.01</v>
      </c>
      <c r="Q43" s="84">
        <f>SUMPRODUCT(SUMIFS('Budget Data'!$J:$J,'Budget Data'!$E:$E,$B43,'Budget Data'!$C:$C,$B$7,'Budget Data'!$A:$A,"&gt;="&amp;Q$19,'Budget Data'!$A:$A,"&lt;="&amp;EOMONTH(Q$19,0))+SUMIFS('Budget Data'!$J:$J,'Budget Data'!$E:$E,$B43,'Budget Data'!$C:$C,$B$9,'Budget Data'!$A:$A,"&gt;="&amp;Q$19,'Budget Data'!$A:$A,"&lt;="&amp;EOMONTH(Q$19,0))+SUMIFS('Budget Data'!$J:$J,'Budget Data'!$E:$E,$B43,'Budget Data'!$C:$C,$B$8,'Budget Data'!$A:$A,"&gt;="&amp;Q$19,'Budget Data'!$A:$A,"&lt;="&amp;EOMONTH(Q$19,0))+SUMIFS('Budget Data'!$J:$J,'Budget Data'!$E:$E,$B43,'Budget Data'!$C:$C,$B$10,'Budget Data'!$A:$A,"&gt;="&amp;Q$19,'Budget Data'!$A:$A,"&lt;="&amp;EOMONTH(Q$19,0))+SUMIFS('Budget Data'!$J:$J,'Budget Data'!$E:$E,$B43,'Budget Data'!$C:$C,$B$11,'Budget Data'!$A:$A,"&gt;="&amp;Q$19,'Budget Data'!$A:$A,"&lt;="&amp;EOMONTH(Q$19,0))+SUMIFS('Budget Data'!$J:$J,'Budget Data'!$E:$E,$B43,'Budget Data'!$C:$C,$B$2,'Budget Data'!$A:$A,"&gt;="&amp;Q$19,'Budget Data'!$A:$A,"&lt;="&amp;EOMONTH(Q$19,0))+SUMIFS('Budget Data'!$J:$J,'Budget Data'!$E:$E,$B43,'Budget Data'!$C:$C,$B$4,'Budget Data'!$A:$A,"&gt;="&amp;Q$19,'Budget Data'!$A:$A,"&lt;="&amp;EOMONTH(Q$19,0))+SUMIFS('Budget Data'!$J:$J,'Budget Data'!$E:$E,$B43,'Budget Data'!$C:$C,$B$3,'Budget Data'!$A:$A,"&gt;="&amp;Q$19,'Budget Data'!$A:$A,"&lt;="&amp;EOMONTH(Q$19,0))+SUMIFS('Budget Data'!$J:$J,'Budget Data'!$E:$E,$B43,'Budget Data'!$C:$C,$B$5,'Budget Data'!$A:$A,"&gt;="&amp;Q$19,'Budget Data'!$A:$A,"&lt;="&amp;EOMONTH(Q$19,0))+SUMIFS('Budget Data'!$J:$J,'Budget Data'!$E:$E,$B43,'Budget Data'!$C:$C,$B$6,'Budget Data'!$A:$A,"&gt;="&amp;Q$19,'Budget Data'!$A:$A,"&lt;="&amp;EOMONTH(Q$19,0)))</f>
        <v>2700</v>
      </c>
      <c r="R43" s="86">
        <f>SUMPRODUCT(SUMIFS('Allocated Transactions'!$J:$J,'Allocated Transactions'!$D:$D,$B43,'Allocated Transactions'!$C:$C,$B$7,'Allocated Transactions'!$A:$A,"&gt;="&amp;R$19,'Allocated Transactions'!$A:$A,"&lt;="&amp;EOMONTH(R$19,0))+SUMIFS('Allocated Transactions'!$J:$J,'Allocated Transactions'!$D:$D,$B43,'Allocated Transactions'!$C:$C,$B$9,'Allocated Transactions'!$A:$A,"&gt;="&amp;R$19,'Allocated Transactions'!$A:$A,"&lt;="&amp;EOMONTH(R$19,0))+SUMIFS('Allocated Transactions'!$J:$J,'Allocated Transactions'!$D:$D,$B43,'Allocated Transactions'!$C:$C,$B$8,'Allocated Transactions'!$A:$A,"&gt;="&amp;R$19,'Allocated Transactions'!$A:$A,"&lt;="&amp;EOMONTH(R$19,0))+SUMIFS('Allocated Transactions'!$J:$J,'Allocated Transactions'!$D:$D,$B43,'Allocated Transactions'!$C:$C,$B$10,'Allocated Transactions'!$A:$A,"&gt;="&amp;R$19,'Allocated Transactions'!$A:$A,"&lt;="&amp;EOMONTH(R$19,0))+SUMIFS('Allocated Transactions'!$J:$J,'Allocated Transactions'!$D:$D,$B43,'Allocated Transactions'!$C:$C,$B$11,'Allocated Transactions'!$A:$A,"&gt;="&amp;R$19,'Allocated Transactions'!$A:$A,"&lt;="&amp;EOMONTH(R$19,0))+SUMIFS('Allocated Transactions'!$J:$J,'Allocated Transactions'!$D:$D,$B43,'Allocated Transactions'!$C:$C,$B$2,'Allocated Transactions'!$A:$A,"&gt;="&amp;R$19,'Allocated Transactions'!$A:$A,"&lt;="&amp;EOMONTH(R$19,0))+SUMIFS('Allocated Transactions'!$J:$J,'Allocated Transactions'!$D:$D,$B43,'Allocated Transactions'!$C:$C,$B$4,'Allocated Transactions'!$A:$A,"&gt;="&amp;R$19,'Allocated Transactions'!$A:$A,"&lt;="&amp;EOMONTH(R$19,0))+SUMIFS('Allocated Transactions'!$J:$J,'Allocated Transactions'!$D:$D,$B43,'Allocated Transactions'!$C:$C,$B$3,'Allocated Transactions'!$A:$A,"&gt;="&amp;R$19,'Allocated Transactions'!$A:$A,"&lt;="&amp;EOMONTH(R$19,0))+SUMIFS('Allocated Transactions'!$J:$J,'Allocated Transactions'!$D:$D,$B43,'Allocated Transactions'!$C:$C,$B$5,'Allocated Transactions'!$A:$A,"&gt;="&amp;R$19,'Allocated Transactions'!$A:$A,"&lt;="&amp;EOMONTH(R$19,0))+SUMIFS('Allocated Transactions'!$J:$J,'Allocated Transactions'!$D:$D,$B43,'Allocated Transactions'!$C:$C,$B$6,'Allocated Transactions'!$A:$A,"&gt;="&amp;R$19,'Allocated Transactions'!$A:$A,"&lt;="&amp;EOMONTH(R$19,0)))</f>
        <v>2700.01</v>
      </c>
      <c r="S43" s="84">
        <f>SUMPRODUCT(SUMIFS('Budget Data'!$J:$J,'Budget Data'!$E:$E,$B43,'Budget Data'!$C:$C,$B$7,'Budget Data'!$A:$A,"&gt;="&amp;S$19,'Budget Data'!$A:$A,"&lt;="&amp;EOMONTH(S$19,0))+SUMIFS('Budget Data'!$J:$J,'Budget Data'!$E:$E,$B43,'Budget Data'!$C:$C,$B$9,'Budget Data'!$A:$A,"&gt;="&amp;S$19,'Budget Data'!$A:$A,"&lt;="&amp;EOMONTH(S$19,0))+SUMIFS('Budget Data'!$J:$J,'Budget Data'!$E:$E,$B43,'Budget Data'!$C:$C,$B$8,'Budget Data'!$A:$A,"&gt;="&amp;S$19,'Budget Data'!$A:$A,"&lt;="&amp;EOMONTH(S$19,0))+SUMIFS('Budget Data'!$J:$J,'Budget Data'!$E:$E,$B43,'Budget Data'!$C:$C,$B$10,'Budget Data'!$A:$A,"&gt;="&amp;S$19,'Budget Data'!$A:$A,"&lt;="&amp;EOMONTH(S$19,0))+SUMIFS('Budget Data'!$J:$J,'Budget Data'!$E:$E,$B43,'Budget Data'!$C:$C,$B$11,'Budget Data'!$A:$A,"&gt;="&amp;S$19,'Budget Data'!$A:$A,"&lt;="&amp;EOMONTH(S$19,0))+SUMIFS('Budget Data'!$J:$J,'Budget Data'!$E:$E,$B43,'Budget Data'!$C:$C,$B$2,'Budget Data'!$A:$A,"&gt;="&amp;S$19,'Budget Data'!$A:$A,"&lt;="&amp;EOMONTH(S$19,0))+SUMIFS('Budget Data'!$J:$J,'Budget Data'!$E:$E,$B43,'Budget Data'!$C:$C,$B$4,'Budget Data'!$A:$A,"&gt;="&amp;S$19,'Budget Data'!$A:$A,"&lt;="&amp;EOMONTH(S$19,0))+SUMIFS('Budget Data'!$J:$J,'Budget Data'!$E:$E,$B43,'Budget Data'!$C:$C,$B$3,'Budget Data'!$A:$A,"&gt;="&amp;S$19,'Budget Data'!$A:$A,"&lt;="&amp;EOMONTH(S$19,0))+SUMIFS('Budget Data'!$J:$J,'Budget Data'!$E:$E,$B43,'Budget Data'!$C:$C,$B$5,'Budget Data'!$A:$A,"&gt;="&amp;S$19,'Budget Data'!$A:$A,"&lt;="&amp;EOMONTH(S$19,0))+SUMIFS('Budget Data'!$J:$J,'Budget Data'!$E:$E,$B43,'Budget Data'!$C:$C,$B$6,'Budget Data'!$A:$A,"&gt;="&amp;S$19,'Budget Data'!$A:$A,"&lt;="&amp;EOMONTH(S$19,0)))</f>
        <v>2700</v>
      </c>
      <c r="T43" s="86">
        <f>SUMPRODUCT(SUMIFS('Allocated Transactions'!$J:$J,'Allocated Transactions'!$D:$D,$B43,'Allocated Transactions'!$C:$C,$B$7,'Allocated Transactions'!$A:$A,"&gt;="&amp;T$19,'Allocated Transactions'!$A:$A,"&lt;="&amp;EOMONTH(T$19,0))+SUMIFS('Allocated Transactions'!$J:$J,'Allocated Transactions'!$D:$D,$B43,'Allocated Transactions'!$C:$C,$B$9,'Allocated Transactions'!$A:$A,"&gt;="&amp;T$19,'Allocated Transactions'!$A:$A,"&lt;="&amp;EOMONTH(T$19,0))+SUMIFS('Allocated Transactions'!$J:$J,'Allocated Transactions'!$D:$D,$B43,'Allocated Transactions'!$C:$C,$B$8,'Allocated Transactions'!$A:$A,"&gt;="&amp;T$19,'Allocated Transactions'!$A:$A,"&lt;="&amp;EOMONTH(T$19,0))+SUMIFS('Allocated Transactions'!$J:$J,'Allocated Transactions'!$D:$D,$B43,'Allocated Transactions'!$C:$C,$B$10,'Allocated Transactions'!$A:$A,"&gt;="&amp;T$19,'Allocated Transactions'!$A:$A,"&lt;="&amp;EOMONTH(T$19,0))+SUMIFS('Allocated Transactions'!$J:$J,'Allocated Transactions'!$D:$D,$B43,'Allocated Transactions'!$C:$C,$B$11,'Allocated Transactions'!$A:$A,"&gt;="&amp;T$19,'Allocated Transactions'!$A:$A,"&lt;="&amp;EOMONTH(T$19,0))+SUMIFS('Allocated Transactions'!$J:$J,'Allocated Transactions'!$D:$D,$B43,'Allocated Transactions'!$C:$C,$B$2,'Allocated Transactions'!$A:$A,"&gt;="&amp;T$19,'Allocated Transactions'!$A:$A,"&lt;="&amp;EOMONTH(T$19,0))+SUMIFS('Allocated Transactions'!$J:$J,'Allocated Transactions'!$D:$D,$B43,'Allocated Transactions'!$C:$C,$B$4,'Allocated Transactions'!$A:$A,"&gt;="&amp;T$19,'Allocated Transactions'!$A:$A,"&lt;="&amp;EOMONTH(T$19,0))+SUMIFS('Allocated Transactions'!$J:$J,'Allocated Transactions'!$D:$D,$B43,'Allocated Transactions'!$C:$C,$B$3,'Allocated Transactions'!$A:$A,"&gt;="&amp;T$19,'Allocated Transactions'!$A:$A,"&lt;="&amp;EOMONTH(T$19,0))+SUMIFS('Allocated Transactions'!$J:$J,'Allocated Transactions'!$D:$D,$B43,'Allocated Transactions'!$C:$C,$B$5,'Allocated Transactions'!$A:$A,"&gt;="&amp;T$19,'Allocated Transactions'!$A:$A,"&lt;="&amp;EOMONTH(T$19,0))+SUMIFS('Allocated Transactions'!$J:$J,'Allocated Transactions'!$D:$D,$B43,'Allocated Transactions'!$C:$C,$B$6,'Allocated Transactions'!$A:$A,"&gt;="&amp;T$19,'Allocated Transactions'!$A:$A,"&lt;="&amp;EOMONTH(T$19,0)))</f>
        <v>2700</v>
      </c>
      <c r="U43" s="84">
        <f>SUMPRODUCT(SUMIFS('Budget Data'!$J:$J,'Budget Data'!$E:$E,$B43,'Budget Data'!$C:$C,$B$7,'Budget Data'!$A:$A,"&gt;="&amp;U$19,'Budget Data'!$A:$A,"&lt;="&amp;EOMONTH(U$19,0))+SUMIFS('Budget Data'!$J:$J,'Budget Data'!$E:$E,$B43,'Budget Data'!$C:$C,$B$9,'Budget Data'!$A:$A,"&gt;="&amp;U$19,'Budget Data'!$A:$A,"&lt;="&amp;EOMONTH(U$19,0))+SUMIFS('Budget Data'!$J:$J,'Budget Data'!$E:$E,$B43,'Budget Data'!$C:$C,$B$8,'Budget Data'!$A:$A,"&gt;="&amp;U$19,'Budget Data'!$A:$A,"&lt;="&amp;EOMONTH(U$19,0))+SUMIFS('Budget Data'!$J:$J,'Budget Data'!$E:$E,$B43,'Budget Data'!$C:$C,$B$10,'Budget Data'!$A:$A,"&gt;="&amp;U$19,'Budget Data'!$A:$A,"&lt;="&amp;EOMONTH(U$19,0))+SUMIFS('Budget Data'!$J:$J,'Budget Data'!$E:$E,$B43,'Budget Data'!$C:$C,$B$11,'Budget Data'!$A:$A,"&gt;="&amp;U$19,'Budget Data'!$A:$A,"&lt;="&amp;EOMONTH(U$19,0))+SUMIFS('Budget Data'!$J:$J,'Budget Data'!$E:$E,$B43,'Budget Data'!$C:$C,$B$2,'Budget Data'!$A:$A,"&gt;="&amp;U$19,'Budget Data'!$A:$A,"&lt;="&amp;EOMONTH(U$19,0))+SUMIFS('Budget Data'!$J:$J,'Budget Data'!$E:$E,$B43,'Budget Data'!$C:$C,$B$4,'Budget Data'!$A:$A,"&gt;="&amp;U$19,'Budget Data'!$A:$A,"&lt;="&amp;EOMONTH(U$19,0))+SUMIFS('Budget Data'!$J:$J,'Budget Data'!$E:$E,$B43,'Budget Data'!$C:$C,$B$3,'Budget Data'!$A:$A,"&gt;="&amp;U$19,'Budget Data'!$A:$A,"&lt;="&amp;EOMONTH(U$19,0))+SUMIFS('Budget Data'!$J:$J,'Budget Data'!$E:$E,$B43,'Budget Data'!$C:$C,$B$5,'Budget Data'!$A:$A,"&gt;="&amp;U$19,'Budget Data'!$A:$A,"&lt;="&amp;EOMONTH(U$19,0))+SUMIFS('Budget Data'!$J:$J,'Budget Data'!$E:$E,$B43,'Budget Data'!$C:$C,$B$6,'Budget Data'!$A:$A,"&gt;="&amp;U$19,'Budget Data'!$A:$A,"&lt;="&amp;EOMONTH(U$19,0)))</f>
        <v>2500</v>
      </c>
      <c r="V43" s="86">
        <f>SUMPRODUCT(SUMIFS('Allocated Transactions'!$J:$J,'Allocated Transactions'!$D:$D,$B43,'Allocated Transactions'!$C:$C,$B$7,'Allocated Transactions'!$A:$A,"&gt;="&amp;V$19,'Allocated Transactions'!$A:$A,"&lt;="&amp;EOMONTH(V$19,0))+SUMIFS('Allocated Transactions'!$J:$J,'Allocated Transactions'!$D:$D,$B43,'Allocated Transactions'!$C:$C,$B$9,'Allocated Transactions'!$A:$A,"&gt;="&amp;V$19,'Allocated Transactions'!$A:$A,"&lt;="&amp;EOMONTH(V$19,0))+SUMIFS('Allocated Transactions'!$J:$J,'Allocated Transactions'!$D:$D,$B43,'Allocated Transactions'!$C:$C,$B$8,'Allocated Transactions'!$A:$A,"&gt;="&amp;V$19,'Allocated Transactions'!$A:$A,"&lt;="&amp;EOMONTH(V$19,0))+SUMIFS('Allocated Transactions'!$J:$J,'Allocated Transactions'!$D:$D,$B43,'Allocated Transactions'!$C:$C,$B$10,'Allocated Transactions'!$A:$A,"&gt;="&amp;V$19,'Allocated Transactions'!$A:$A,"&lt;="&amp;EOMONTH(V$19,0))+SUMIFS('Allocated Transactions'!$J:$J,'Allocated Transactions'!$D:$D,$B43,'Allocated Transactions'!$C:$C,$B$11,'Allocated Transactions'!$A:$A,"&gt;="&amp;V$19,'Allocated Transactions'!$A:$A,"&lt;="&amp;EOMONTH(V$19,0))+SUMIFS('Allocated Transactions'!$J:$J,'Allocated Transactions'!$D:$D,$B43,'Allocated Transactions'!$C:$C,$B$2,'Allocated Transactions'!$A:$A,"&gt;="&amp;V$19,'Allocated Transactions'!$A:$A,"&lt;="&amp;EOMONTH(V$19,0))+SUMIFS('Allocated Transactions'!$J:$J,'Allocated Transactions'!$D:$D,$B43,'Allocated Transactions'!$C:$C,$B$4,'Allocated Transactions'!$A:$A,"&gt;="&amp;V$19,'Allocated Transactions'!$A:$A,"&lt;="&amp;EOMONTH(V$19,0))+SUMIFS('Allocated Transactions'!$J:$J,'Allocated Transactions'!$D:$D,$B43,'Allocated Transactions'!$C:$C,$B$3,'Allocated Transactions'!$A:$A,"&gt;="&amp;V$19,'Allocated Transactions'!$A:$A,"&lt;="&amp;EOMONTH(V$19,0))+SUMIFS('Allocated Transactions'!$J:$J,'Allocated Transactions'!$D:$D,$B43,'Allocated Transactions'!$C:$C,$B$5,'Allocated Transactions'!$A:$A,"&gt;="&amp;V$19,'Allocated Transactions'!$A:$A,"&lt;="&amp;EOMONTH(V$19,0))+SUMIFS('Allocated Transactions'!$J:$J,'Allocated Transactions'!$D:$D,$B43,'Allocated Transactions'!$C:$C,$B$6,'Allocated Transactions'!$A:$A,"&gt;="&amp;V$19,'Allocated Transactions'!$A:$A,"&lt;="&amp;EOMONTH(V$19,0)))</f>
        <v>2700</v>
      </c>
      <c r="W43" s="84">
        <f>SUMPRODUCT(SUMIFS('Budget Data'!$J:$J,'Budget Data'!$E:$E,$B43,'Budget Data'!$C:$C,$B$7,'Budget Data'!$A:$A,"&gt;="&amp;W$19,'Budget Data'!$A:$A,"&lt;="&amp;EOMONTH(W$19,0))+SUMIFS('Budget Data'!$J:$J,'Budget Data'!$E:$E,$B43,'Budget Data'!$C:$C,$B$9,'Budget Data'!$A:$A,"&gt;="&amp;W$19,'Budget Data'!$A:$A,"&lt;="&amp;EOMONTH(W$19,0))+SUMIFS('Budget Data'!$J:$J,'Budget Data'!$E:$E,$B43,'Budget Data'!$C:$C,$B$8,'Budget Data'!$A:$A,"&gt;="&amp;W$19,'Budget Data'!$A:$A,"&lt;="&amp;EOMONTH(W$19,0))+SUMIFS('Budget Data'!$J:$J,'Budget Data'!$E:$E,$B43,'Budget Data'!$C:$C,$B$10,'Budget Data'!$A:$A,"&gt;="&amp;W$19,'Budget Data'!$A:$A,"&lt;="&amp;EOMONTH(W$19,0))+SUMIFS('Budget Data'!$J:$J,'Budget Data'!$E:$E,$B43,'Budget Data'!$C:$C,$B$11,'Budget Data'!$A:$A,"&gt;="&amp;W$19,'Budget Data'!$A:$A,"&lt;="&amp;EOMONTH(W$19,0))+SUMIFS('Budget Data'!$J:$J,'Budget Data'!$E:$E,$B43,'Budget Data'!$C:$C,$B$2,'Budget Data'!$A:$A,"&gt;="&amp;W$19,'Budget Data'!$A:$A,"&lt;="&amp;EOMONTH(W$19,0))+SUMIFS('Budget Data'!$J:$J,'Budget Data'!$E:$E,$B43,'Budget Data'!$C:$C,$B$4,'Budget Data'!$A:$A,"&gt;="&amp;W$19,'Budget Data'!$A:$A,"&lt;="&amp;EOMONTH(W$19,0))+SUMIFS('Budget Data'!$J:$J,'Budget Data'!$E:$E,$B43,'Budget Data'!$C:$C,$B$3,'Budget Data'!$A:$A,"&gt;="&amp;W$19,'Budget Data'!$A:$A,"&lt;="&amp;EOMONTH(W$19,0))+SUMIFS('Budget Data'!$J:$J,'Budget Data'!$E:$E,$B43,'Budget Data'!$C:$C,$B$5,'Budget Data'!$A:$A,"&gt;="&amp;W$19,'Budget Data'!$A:$A,"&lt;="&amp;EOMONTH(W$19,0))+SUMIFS('Budget Data'!$J:$J,'Budget Data'!$E:$E,$B43,'Budget Data'!$C:$C,$B$6,'Budget Data'!$A:$A,"&gt;="&amp;W$19,'Budget Data'!$A:$A,"&lt;="&amp;EOMONTH(W$19,0)))</f>
        <v>2500</v>
      </c>
      <c r="X43" s="86">
        <f>SUMPRODUCT(SUMIFS('Allocated Transactions'!$J:$J,'Allocated Transactions'!$D:$D,$B43,'Allocated Transactions'!$C:$C,$B$7,'Allocated Transactions'!$A:$A,"&gt;="&amp;X$19,'Allocated Transactions'!$A:$A,"&lt;="&amp;EOMONTH(X$19,0))+SUMIFS('Allocated Transactions'!$J:$J,'Allocated Transactions'!$D:$D,$B43,'Allocated Transactions'!$C:$C,$B$9,'Allocated Transactions'!$A:$A,"&gt;="&amp;X$19,'Allocated Transactions'!$A:$A,"&lt;="&amp;EOMONTH(X$19,0))+SUMIFS('Allocated Transactions'!$J:$J,'Allocated Transactions'!$D:$D,$B43,'Allocated Transactions'!$C:$C,$B$8,'Allocated Transactions'!$A:$A,"&gt;="&amp;X$19,'Allocated Transactions'!$A:$A,"&lt;="&amp;EOMONTH(X$19,0))+SUMIFS('Allocated Transactions'!$J:$J,'Allocated Transactions'!$D:$D,$B43,'Allocated Transactions'!$C:$C,$B$10,'Allocated Transactions'!$A:$A,"&gt;="&amp;X$19,'Allocated Transactions'!$A:$A,"&lt;="&amp;EOMONTH(X$19,0))+SUMIFS('Allocated Transactions'!$J:$J,'Allocated Transactions'!$D:$D,$B43,'Allocated Transactions'!$C:$C,$B$11,'Allocated Transactions'!$A:$A,"&gt;="&amp;X$19,'Allocated Transactions'!$A:$A,"&lt;="&amp;EOMONTH(X$19,0))+SUMIFS('Allocated Transactions'!$J:$J,'Allocated Transactions'!$D:$D,$B43,'Allocated Transactions'!$C:$C,$B$2,'Allocated Transactions'!$A:$A,"&gt;="&amp;X$19,'Allocated Transactions'!$A:$A,"&lt;="&amp;EOMONTH(X$19,0))+SUMIFS('Allocated Transactions'!$J:$J,'Allocated Transactions'!$D:$D,$B43,'Allocated Transactions'!$C:$C,$B$4,'Allocated Transactions'!$A:$A,"&gt;="&amp;X$19,'Allocated Transactions'!$A:$A,"&lt;="&amp;EOMONTH(X$19,0))+SUMIFS('Allocated Transactions'!$J:$J,'Allocated Transactions'!$D:$D,$B43,'Allocated Transactions'!$C:$C,$B$3,'Allocated Transactions'!$A:$A,"&gt;="&amp;X$19,'Allocated Transactions'!$A:$A,"&lt;="&amp;EOMONTH(X$19,0))+SUMIFS('Allocated Transactions'!$J:$J,'Allocated Transactions'!$D:$D,$B43,'Allocated Transactions'!$C:$C,$B$5,'Allocated Transactions'!$A:$A,"&gt;="&amp;X$19,'Allocated Transactions'!$A:$A,"&lt;="&amp;EOMONTH(X$19,0))+SUMIFS('Allocated Transactions'!$J:$J,'Allocated Transactions'!$D:$D,$B43,'Allocated Transactions'!$C:$C,$B$6,'Allocated Transactions'!$A:$A,"&gt;="&amp;X$19,'Allocated Transactions'!$A:$A,"&lt;="&amp;EOMONTH(X$19,0)))</f>
        <v>2700.0000000000005</v>
      </c>
      <c r="Y43" s="84">
        <f>SUMPRODUCT(SUMIFS('Budget Data'!$J:$J,'Budget Data'!$E:$E,$B43,'Budget Data'!$C:$C,$B$7,'Budget Data'!$A:$A,"&gt;="&amp;Y$19,'Budget Data'!$A:$A,"&lt;="&amp;EOMONTH(Y$19,0))+SUMIFS('Budget Data'!$J:$J,'Budget Data'!$E:$E,$B43,'Budget Data'!$C:$C,$B$9,'Budget Data'!$A:$A,"&gt;="&amp;Y$19,'Budget Data'!$A:$A,"&lt;="&amp;EOMONTH(Y$19,0))+SUMIFS('Budget Data'!$J:$J,'Budget Data'!$E:$E,$B43,'Budget Data'!$C:$C,$B$8,'Budget Data'!$A:$A,"&gt;="&amp;Y$19,'Budget Data'!$A:$A,"&lt;="&amp;EOMONTH(Y$19,0))+SUMIFS('Budget Data'!$J:$J,'Budget Data'!$E:$E,$B43,'Budget Data'!$C:$C,$B$10,'Budget Data'!$A:$A,"&gt;="&amp;Y$19,'Budget Data'!$A:$A,"&lt;="&amp;EOMONTH(Y$19,0))+SUMIFS('Budget Data'!$J:$J,'Budget Data'!$E:$E,$B43,'Budget Data'!$C:$C,$B$11,'Budget Data'!$A:$A,"&gt;="&amp;Y$19,'Budget Data'!$A:$A,"&lt;="&amp;EOMONTH(Y$19,0))+SUMIFS('Budget Data'!$J:$J,'Budget Data'!$E:$E,$B43,'Budget Data'!$C:$C,$B$2,'Budget Data'!$A:$A,"&gt;="&amp;Y$19,'Budget Data'!$A:$A,"&lt;="&amp;EOMONTH(Y$19,0))+SUMIFS('Budget Data'!$J:$J,'Budget Data'!$E:$E,$B43,'Budget Data'!$C:$C,$B$4,'Budget Data'!$A:$A,"&gt;="&amp;Y$19,'Budget Data'!$A:$A,"&lt;="&amp;EOMONTH(Y$19,0))+SUMIFS('Budget Data'!$J:$J,'Budget Data'!$E:$E,$B43,'Budget Data'!$C:$C,$B$3,'Budget Data'!$A:$A,"&gt;="&amp;Y$19,'Budget Data'!$A:$A,"&lt;="&amp;EOMONTH(Y$19,0))+SUMIFS('Budget Data'!$J:$J,'Budget Data'!$E:$E,$B43,'Budget Data'!$C:$C,$B$5,'Budget Data'!$A:$A,"&gt;="&amp;Y$19,'Budget Data'!$A:$A,"&lt;="&amp;EOMONTH(Y$19,0))+SUMIFS('Budget Data'!$J:$J,'Budget Data'!$E:$E,$B43,'Budget Data'!$C:$C,$B$6,'Budget Data'!$A:$A,"&gt;="&amp;Y$19,'Budget Data'!$A:$A,"&lt;="&amp;EOMONTH(Y$19,0)))</f>
        <v>2700</v>
      </c>
      <c r="Z43" s="86">
        <f>SUMPRODUCT(SUMIFS('Allocated Transactions'!$J:$J,'Allocated Transactions'!$D:$D,$B43,'Allocated Transactions'!$C:$C,$B$7,'Allocated Transactions'!$A:$A,"&gt;="&amp;Z$19,'Allocated Transactions'!$A:$A,"&lt;="&amp;EOMONTH(Z$19,0))+SUMIFS('Allocated Transactions'!$J:$J,'Allocated Transactions'!$D:$D,$B43,'Allocated Transactions'!$C:$C,$B$9,'Allocated Transactions'!$A:$A,"&gt;="&amp;Z$19,'Allocated Transactions'!$A:$A,"&lt;="&amp;EOMONTH(Z$19,0))+SUMIFS('Allocated Transactions'!$J:$J,'Allocated Transactions'!$D:$D,$B43,'Allocated Transactions'!$C:$C,$B$8,'Allocated Transactions'!$A:$A,"&gt;="&amp;Z$19,'Allocated Transactions'!$A:$A,"&lt;="&amp;EOMONTH(Z$19,0))+SUMIFS('Allocated Transactions'!$J:$J,'Allocated Transactions'!$D:$D,$B43,'Allocated Transactions'!$C:$C,$B$10,'Allocated Transactions'!$A:$A,"&gt;="&amp;Z$19,'Allocated Transactions'!$A:$A,"&lt;="&amp;EOMONTH(Z$19,0))+SUMIFS('Allocated Transactions'!$J:$J,'Allocated Transactions'!$D:$D,$B43,'Allocated Transactions'!$C:$C,$B$11,'Allocated Transactions'!$A:$A,"&gt;="&amp;Z$19,'Allocated Transactions'!$A:$A,"&lt;="&amp;EOMONTH(Z$19,0))+SUMIFS('Allocated Transactions'!$J:$J,'Allocated Transactions'!$D:$D,$B43,'Allocated Transactions'!$C:$C,$B$2,'Allocated Transactions'!$A:$A,"&gt;="&amp;Z$19,'Allocated Transactions'!$A:$A,"&lt;="&amp;EOMONTH(Z$19,0))+SUMIFS('Allocated Transactions'!$J:$J,'Allocated Transactions'!$D:$D,$B43,'Allocated Transactions'!$C:$C,$B$4,'Allocated Transactions'!$A:$A,"&gt;="&amp;Z$19,'Allocated Transactions'!$A:$A,"&lt;="&amp;EOMONTH(Z$19,0))+SUMIFS('Allocated Transactions'!$J:$J,'Allocated Transactions'!$D:$D,$B43,'Allocated Transactions'!$C:$C,$B$3,'Allocated Transactions'!$A:$A,"&gt;="&amp;Z$19,'Allocated Transactions'!$A:$A,"&lt;="&amp;EOMONTH(Z$19,0))+SUMIFS('Allocated Transactions'!$J:$J,'Allocated Transactions'!$D:$D,$B43,'Allocated Transactions'!$C:$C,$B$5,'Allocated Transactions'!$A:$A,"&gt;="&amp;Z$19,'Allocated Transactions'!$A:$A,"&lt;="&amp;EOMONTH(Z$19,0))+SUMIFS('Allocated Transactions'!$J:$J,'Allocated Transactions'!$D:$D,$B43,'Allocated Transactions'!$C:$C,$B$6,'Allocated Transactions'!$A:$A,"&gt;="&amp;Z$19,'Allocated Transactions'!$A:$A,"&lt;="&amp;EOMONTH(Z$19,0)))</f>
        <v>2700.0000000000005</v>
      </c>
      <c r="AA43" s="84">
        <f>SUMPRODUCT(SUMIFS('Budget Data'!$J:$J,'Budget Data'!$E:$E,$B43,'Budget Data'!$C:$C,$B$7,'Budget Data'!$A:$A,"&gt;="&amp;AA$19,'Budget Data'!$A:$A,"&lt;="&amp;EOMONTH(AA$19,0))+SUMIFS('Budget Data'!$J:$J,'Budget Data'!$E:$E,$B43,'Budget Data'!$C:$C,$B$9,'Budget Data'!$A:$A,"&gt;="&amp;AA$19,'Budget Data'!$A:$A,"&lt;="&amp;EOMONTH(AA$19,0))+SUMIFS('Budget Data'!$J:$J,'Budget Data'!$E:$E,$B43,'Budget Data'!$C:$C,$B$8,'Budget Data'!$A:$A,"&gt;="&amp;AA$19,'Budget Data'!$A:$A,"&lt;="&amp;EOMONTH(AA$19,0))+SUMIFS('Budget Data'!$J:$J,'Budget Data'!$E:$E,$B43,'Budget Data'!$C:$C,$B$10,'Budget Data'!$A:$A,"&gt;="&amp;AA$19,'Budget Data'!$A:$A,"&lt;="&amp;EOMONTH(AA$19,0))+SUMIFS('Budget Data'!$J:$J,'Budget Data'!$E:$E,$B43,'Budget Data'!$C:$C,$B$11,'Budget Data'!$A:$A,"&gt;="&amp;AA$19,'Budget Data'!$A:$A,"&lt;="&amp;EOMONTH(AA$19,0))+SUMIFS('Budget Data'!$J:$J,'Budget Data'!$E:$E,$B43,'Budget Data'!$C:$C,$B$2,'Budget Data'!$A:$A,"&gt;="&amp;AA$19,'Budget Data'!$A:$A,"&lt;="&amp;EOMONTH(AA$19,0))+SUMIFS('Budget Data'!$J:$J,'Budget Data'!$E:$E,$B43,'Budget Data'!$C:$C,$B$4,'Budget Data'!$A:$A,"&gt;="&amp;AA$19,'Budget Data'!$A:$A,"&lt;="&amp;EOMONTH(AA$19,0))+SUMIFS('Budget Data'!$J:$J,'Budget Data'!$E:$E,$B43,'Budget Data'!$C:$C,$B$3,'Budget Data'!$A:$A,"&gt;="&amp;AA$19,'Budget Data'!$A:$A,"&lt;="&amp;EOMONTH(AA$19,0))+SUMIFS('Budget Data'!$J:$J,'Budget Data'!$E:$E,$B43,'Budget Data'!$C:$C,$B$5,'Budget Data'!$A:$A,"&gt;="&amp;AA$19,'Budget Data'!$A:$A,"&lt;="&amp;EOMONTH(AA$19,0))+SUMIFS('Budget Data'!$J:$J,'Budget Data'!$E:$E,$B43,'Budget Data'!$C:$C,$B$6,'Budget Data'!$A:$A,"&gt;="&amp;AA$19,'Budget Data'!$A:$A,"&lt;="&amp;EOMONTH(AA$19,0)))</f>
        <v>2700</v>
      </c>
      <c r="AC43" s="87">
        <f t="shared" si="2"/>
        <v>32400.080000000002</v>
      </c>
      <c r="AD43" s="84">
        <f t="shared" si="2"/>
        <v>32000</v>
      </c>
    </row>
    <row r="44" spans="2:30" ht="15" customHeight="1">
      <c r="B44" s="12" t="str">
        <v>5700</v>
      </c>
      <c r="C44" s="160" t="str">
        <f>_xlfn.XLOOKUP(B44,'Allocated Transactions'!D:D,'Allocated Transactions'!E:E,"")</f>
        <v>Depreciation Expense</v>
      </c>
      <c r="D44" s="86">
        <f>SUMPRODUCT(SUMIFS('Allocated Transactions'!$J:$J,'Allocated Transactions'!$D:$D,$B44,'Allocated Transactions'!$C:$C,$B$7,'Allocated Transactions'!$A:$A,"&gt;="&amp;D$19,'Allocated Transactions'!$A:$A,"&lt;="&amp;EOMONTH(D$19,0))+SUMIFS('Allocated Transactions'!$J:$J,'Allocated Transactions'!$D:$D,$B44,'Allocated Transactions'!$C:$C,$B$9,'Allocated Transactions'!$A:$A,"&gt;="&amp;D$19,'Allocated Transactions'!$A:$A,"&lt;="&amp;EOMONTH(D$19,0))+SUMIFS('Allocated Transactions'!$J:$J,'Allocated Transactions'!$D:$D,$B44,'Allocated Transactions'!$C:$C,$B$8,'Allocated Transactions'!$A:$A,"&gt;="&amp;D$19,'Allocated Transactions'!$A:$A,"&lt;="&amp;EOMONTH(D$19,0))+SUMIFS('Allocated Transactions'!$J:$J,'Allocated Transactions'!$D:$D,$B44,'Allocated Transactions'!$C:$C,$B$10,'Allocated Transactions'!$A:$A,"&gt;="&amp;D$19,'Allocated Transactions'!$A:$A,"&lt;="&amp;EOMONTH(D$19,0))+SUMIFS('Allocated Transactions'!$J:$J,'Allocated Transactions'!$D:$D,$B44,'Allocated Transactions'!$C:$C,$B$11,'Allocated Transactions'!$A:$A,"&gt;="&amp;D$19,'Allocated Transactions'!$A:$A,"&lt;="&amp;EOMONTH(D$19,0))+SUMIFS('Allocated Transactions'!$J:$J,'Allocated Transactions'!$D:$D,$B44,'Allocated Transactions'!$C:$C,$B$2,'Allocated Transactions'!$A:$A,"&gt;="&amp;D$19,'Allocated Transactions'!$A:$A,"&lt;="&amp;EOMONTH(D$19,0))+SUMIFS('Allocated Transactions'!$J:$J,'Allocated Transactions'!$D:$D,$B44,'Allocated Transactions'!$C:$C,$B$4,'Allocated Transactions'!$A:$A,"&gt;="&amp;D$19,'Allocated Transactions'!$A:$A,"&lt;="&amp;EOMONTH(D$19,0))+SUMIFS('Allocated Transactions'!$J:$J,'Allocated Transactions'!$D:$D,$B44,'Allocated Transactions'!$C:$C,$B$3,'Allocated Transactions'!$A:$A,"&gt;="&amp;D$19,'Allocated Transactions'!$A:$A,"&lt;="&amp;EOMONTH(D$19,0))+SUMIFS('Allocated Transactions'!$J:$J,'Allocated Transactions'!$D:$D,$B44,'Allocated Transactions'!$C:$C,$B$5,'Allocated Transactions'!$A:$A,"&gt;="&amp;D$19,'Allocated Transactions'!$A:$A,"&lt;="&amp;EOMONTH(D$19,0))+SUMIFS('Allocated Transactions'!$J:$J,'Allocated Transactions'!$D:$D,$B44,'Allocated Transactions'!$C:$C,$B$6,'Allocated Transactions'!$A:$A,"&gt;="&amp;D$19,'Allocated Transactions'!$A:$A,"&lt;="&amp;EOMONTH(D$19,0)))</f>
        <v>2450</v>
      </c>
      <c r="E44" s="84">
        <f>SUMPRODUCT(SUMIFS('Budget Data'!$J:$J,'Budget Data'!$E:$E,$B44,'Budget Data'!$C:$C,$B$7,'Budget Data'!$A:$A,"&gt;="&amp;E$19,'Budget Data'!$A:$A,"&lt;="&amp;EOMONTH(E$19,0))+SUMIFS('Budget Data'!$J:$J,'Budget Data'!$E:$E,$B44,'Budget Data'!$C:$C,$B$9,'Budget Data'!$A:$A,"&gt;="&amp;E$19,'Budget Data'!$A:$A,"&lt;="&amp;EOMONTH(E$19,0))+SUMIFS('Budget Data'!$J:$J,'Budget Data'!$E:$E,$B44,'Budget Data'!$C:$C,$B$8,'Budget Data'!$A:$A,"&gt;="&amp;E$19,'Budget Data'!$A:$A,"&lt;="&amp;EOMONTH(E$19,0))+SUMIFS('Budget Data'!$J:$J,'Budget Data'!$E:$E,$B44,'Budget Data'!$C:$C,$B$10,'Budget Data'!$A:$A,"&gt;="&amp;E$19,'Budget Data'!$A:$A,"&lt;="&amp;EOMONTH(E$19,0))+SUMIFS('Budget Data'!$J:$J,'Budget Data'!$E:$E,$B44,'Budget Data'!$C:$C,$B$11,'Budget Data'!$A:$A,"&gt;="&amp;E$19,'Budget Data'!$A:$A,"&lt;="&amp;EOMONTH(E$19,0))+SUMIFS('Budget Data'!$J:$J,'Budget Data'!$E:$E,$B44,'Budget Data'!$C:$C,$B$2,'Budget Data'!$A:$A,"&gt;="&amp;E$19,'Budget Data'!$A:$A,"&lt;="&amp;EOMONTH(E$19,0))+SUMIFS('Budget Data'!$J:$J,'Budget Data'!$E:$E,$B44,'Budget Data'!$C:$C,$B$4,'Budget Data'!$A:$A,"&gt;="&amp;E$19,'Budget Data'!$A:$A,"&lt;="&amp;EOMONTH(E$19,0))+SUMIFS('Budget Data'!$J:$J,'Budget Data'!$E:$E,$B44,'Budget Data'!$C:$C,$B$3,'Budget Data'!$A:$A,"&gt;="&amp;E$19,'Budget Data'!$A:$A,"&lt;="&amp;EOMONTH(E$19,0))+SUMIFS('Budget Data'!$J:$J,'Budget Data'!$E:$E,$B44,'Budget Data'!$C:$C,$B$5,'Budget Data'!$A:$A,"&gt;="&amp;E$19,'Budget Data'!$A:$A,"&lt;="&amp;EOMONTH(E$19,0))+SUMIFS('Budget Data'!$J:$J,'Budget Data'!$E:$E,$B44,'Budget Data'!$C:$C,$B$6,'Budget Data'!$A:$A,"&gt;="&amp;E$19,'Budget Data'!$A:$A,"&lt;="&amp;EOMONTH(E$19,0)))</f>
        <v>2400</v>
      </c>
      <c r="F44" s="86">
        <f>SUMPRODUCT(SUMIFS('Allocated Transactions'!$J:$J,'Allocated Transactions'!$D:$D,$B44,'Allocated Transactions'!$C:$C,$B$7,'Allocated Transactions'!$A:$A,"&gt;="&amp;F$19,'Allocated Transactions'!$A:$A,"&lt;="&amp;EOMONTH(F$19,0))+SUMIFS('Allocated Transactions'!$J:$J,'Allocated Transactions'!$D:$D,$B44,'Allocated Transactions'!$C:$C,$B$9,'Allocated Transactions'!$A:$A,"&gt;="&amp;F$19,'Allocated Transactions'!$A:$A,"&lt;="&amp;EOMONTH(F$19,0))+SUMIFS('Allocated Transactions'!$J:$J,'Allocated Transactions'!$D:$D,$B44,'Allocated Transactions'!$C:$C,$B$8,'Allocated Transactions'!$A:$A,"&gt;="&amp;F$19,'Allocated Transactions'!$A:$A,"&lt;="&amp;EOMONTH(F$19,0))+SUMIFS('Allocated Transactions'!$J:$J,'Allocated Transactions'!$D:$D,$B44,'Allocated Transactions'!$C:$C,$B$10,'Allocated Transactions'!$A:$A,"&gt;="&amp;F$19,'Allocated Transactions'!$A:$A,"&lt;="&amp;EOMONTH(F$19,0))+SUMIFS('Allocated Transactions'!$J:$J,'Allocated Transactions'!$D:$D,$B44,'Allocated Transactions'!$C:$C,$B$11,'Allocated Transactions'!$A:$A,"&gt;="&amp;F$19,'Allocated Transactions'!$A:$A,"&lt;="&amp;EOMONTH(F$19,0))+SUMIFS('Allocated Transactions'!$J:$J,'Allocated Transactions'!$D:$D,$B44,'Allocated Transactions'!$C:$C,$B$2,'Allocated Transactions'!$A:$A,"&gt;="&amp;F$19,'Allocated Transactions'!$A:$A,"&lt;="&amp;EOMONTH(F$19,0))+SUMIFS('Allocated Transactions'!$J:$J,'Allocated Transactions'!$D:$D,$B44,'Allocated Transactions'!$C:$C,$B$4,'Allocated Transactions'!$A:$A,"&gt;="&amp;F$19,'Allocated Transactions'!$A:$A,"&lt;="&amp;EOMONTH(F$19,0))+SUMIFS('Allocated Transactions'!$J:$J,'Allocated Transactions'!$D:$D,$B44,'Allocated Transactions'!$C:$C,$B$3,'Allocated Transactions'!$A:$A,"&gt;="&amp;F$19,'Allocated Transactions'!$A:$A,"&lt;="&amp;EOMONTH(F$19,0))+SUMIFS('Allocated Transactions'!$J:$J,'Allocated Transactions'!$D:$D,$B44,'Allocated Transactions'!$C:$C,$B$5,'Allocated Transactions'!$A:$A,"&gt;="&amp;F$19,'Allocated Transactions'!$A:$A,"&lt;="&amp;EOMONTH(F$19,0))+SUMIFS('Allocated Transactions'!$J:$J,'Allocated Transactions'!$D:$D,$B44,'Allocated Transactions'!$C:$C,$B$6,'Allocated Transactions'!$A:$A,"&gt;="&amp;F$19,'Allocated Transactions'!$A:$A,"&lt;="&amp;EOMONTH(F$19,0)))</f>
        <v>2450</v>
      </c>
      <c r="G44" s="84">
        <f>SUMPRODUCT(SUMIFS('Budget Data'!$J:$J,'Budget Data'!$E:$E,$B44,'Budget Data'!$C:$C,$B$7,'Budget Data'!$A:$A,"&gt;="&amp;G$19,'Budget Data'!$A:$A,"&lt;="&amp;EOMONTH(G$19,0))+SUMIFS('Budget Data'!$J:$J,'Budget Data'!$E:$E,$B44,'Budget Data'!$C:$C,$B$9,'Budget Data'!$A:$A,"&gt;="&amp;G$19,'Budget Data'!$A:$A,"&lt;="&amp;EOMONTH(G$19,0))+SUMIFS('Budget Data'!$J:$J,'Budget Data'!$E:$E,$B44,'Budget Data'!$C:$C,$B$8,'Budget Data'!$A:$A,"&gt;="&amp;G$19,'Budget Data'!$A:$A,"&lt;="&amp;EOMONTH(G$19,0))+SUMIFS('Budget Data'!$J:$J,'Budget Data'!$E:$E,$B44,'Budget Data'!$C:$C,$B$10,'Budget Data'!$A:$A,"&gt;="&amp;G$19,'Budget Data'!$A:$A,"&lt;="&amp;EOMONTH(G$19,0))+SUMIFS('Budget Data'!$J:$J,'Budget Data'!$E:$E,$B44,'Budget Data'!$C:$C,$B$11,'Budget Data'!$A:$A,"&gt;="&amp;G$19,'Budget Data'!$A:$A,"&lt;="&amp;EOMONTH(G$19,0))+SUMIFS('Budget Data'!$J:$J,'Budget Data'!$E:$E,$B44,'Budget Data'!$C:$C,$B$2,'Budget Data'!$A:$A,"&gt;="&amp;G$19,'Budget Data'!$A:$A,"&lt;="&amp;EOMONTH(G$19,0))+SUMIFS('Budget Data'!$J:$J,'Budget Data'!$E:$E,$B44,'Budget Data'!$C:$C,$B$4,'Budget Data'!$A:$A,"&gt;="&amp;G$19,'Budget Data'!$A:$A,"&lt;="&amp;EOMONTH(G$19,0))+SUMIFS('Budget Data'!$J:$J,'Budget Data'!$E:$E,$B44,'Budget Data'!$C:$C,$B$3,'Budget Data'!$A:$A,"&gt;="&amp;G$19,'Budget Data'!$A:$A,"&lt;="&amp;EOMONTH(G$19,0))+SUMIFS('Budget Data'!$J:$J,'Budget Data'!$E:$E,$B44,'Budget Data'!$C:$C,$B$5,'Budget Data'!$A:$A,"&gt;="&amp;G$19,'Budget Data'!$A:$A,"&lt;="&amp;EOMONTH(G$19,0))+SUMIFS('Budget Data'!$J:$J,'Budget Data'!$E:$E,$B44,'Budget Data'!$C:$C,$B$6,'Budget Data'!$A:$A,"&gt;="&amp;G$19,'Budget Data'!$A:$A,"&lt;="&amp;EOMONTH(G$19,0)))</f>
        <v>2400</v>
      </c>
      <c r="H44" s="86">
        <f>SUMPRODUCT(SUMIFS('Allocated Transactions'!$J:$J,'Allocated Transactions'!$D:$D,$B44,'Allocated Transactions'!$C:$C,$B$7,'Allocated Transactions'!$A:$A,"&gt;="&amp;H$19,'Allocated Transactions'!$A:$A,"&lt;="&amp;EOMONTH(H$19,0))+SUMIFS('Allocated Transactions'!$J:$J,'Allocated Transactions'!$D:$D,$B44,'Allocated Transactions'!$C:$C,$B$9,'Allocated Transactions'!$A:$A,"&gt;="&amp;H$19,'Allocated Transactions'!$A:$A,"&lt;="&amp;EOMONTH(H$19,0))+SUMIFS('Allocated Transactions'!$J:$J,'Allocated Transactions'!$D:$D,$B44,'Allocated Transactions'!$C:$C,$B$8,'Allocated Transactions'!$A:$A,"&gt;="&amp;H$19,'Allocated Transactions'!$A:$A,"&lt;="&amp;EOMONTH(H$19,0))+SUMIFS('Allocated Transactions'!$J:$J,'Allocated Transactions'!$D:$D,$B44,'Allocated Transactions'!$C:$C,$B$10,'Allocated Transactions'!$A:$A,"&gt;="&amp;H$19,'Allocated Transactions'!$A:$A,"&lt;="&amp;EOMONTH(H$19,0))+SUMIFS('Allocated Transactions'!$J:$J,'Allocated Transactions'!$D:$D,$B44,'Allocated Transactions'!$C:$C,$B$11,'Allocated Transactions'!$A:$A,"&gt;="&amp;H$19,'Allocated Transactions'!$A:$A,"&lt;="&amp;EOMONTH(H$19,0))+SUMIFS('Allocated Transactions'!$J:$J,'Allocated Transactions'!$D:$D,$B44,'Allocated Transactions'!$C:$C,$B$2,'Allocated Transactions'!$A:$A,"&gt;="&amp;H$19,'Allocated Transactions'!$A:$A,"&lt;="&amp;EOMONTH(H$19,0))+SUMIFS('Allocated Transactions'!$J:$J,'Allocated Transactions'!$D:$D,$B44,'Allocated Transactions'!$C:$C,$B$4,'Allocated Transactions'!$A:$A,"&gt;="&amp;H$19,'Allocated Transactions'!$A:$A,"&lt;="&amp;EOMONTH(H$19,0))+SUMIFS('Allocated Transactions'!$J:$J,'Allocated Transactions'!$D:$D,$B44,'Allocated Transactions'!$C:$C,$B$3,'Allocated Transactions'!$A:$A,"&gt;="&amp;H$19,'Allocated Transactions'!$A:$A,"&lt;="&amp;EOMONTH(H$19,0))+SUMIFS('Allocated Transactions'!$J:$J,'Allocated Transactions'!$D:$D,$B44,'Allocated Transactions'!$C:$C,$B$5,'Allocated Transactions'!$A:$A,"&gt;="&amp;H$19,'Allocated Transactions'!$A:$A,"&lt;="&amp;EOMONTH(H$19,0))+SUMIFS('Allocated Transactions'!$J:$J,'Allocated Transactions'!$D:$D,$B44,'Allocated Transactions'!$C:$C,$B$6,'Allocated Transactions'!$A:$A,"&gt;="&amp;H$19,'Allocated Transactions'!$A:$A,"&lt;="&amp;EOMONTH(H$19,0)))</f>
        <v>2450</v>
      </c>
      <c r="I44" s="84">
        <f>SUMPRODUCT(SUMIFS('Budget Data'!$J:$J,'Budget Data'!$E:$E,$B44,'Budget Data'!$C:$C,$B$7,'Budget Data'!$A:$A,"&gt;="&amp;I$19,'Budget Data'!$A:$A,"&lt;="&amp;EOMONTH(I$19,0))+SUMIFS('Budget Data'!$J:$J,'Budget Data'!$E:$E,$B44,'Budget Data'!$C:$C,$B$9,'Budget Data'!$A:$A,"&gt;="&amp;I$19,'Budget Data'!$A:$A,"&lt;="&amp;EOMONTH(I$19,0))+SUMIFS('Budget Data'!$J:$J,'Budget Data'!$E:$E,$B44,'Budget Data'!$C:$C,$B$8,'Budget Data'!$A:$A,"&gt;="&amp;I$19,'Budget Data'!$A:$A,"&lt;="&amp;EOMONTH(I$19,0))+SUMIFS('Budget Data'!$J:$J,'Budget Data'!$E:$E,$B44,'Budget Data'!$C:$C,$B$10,'Budget Data'!$A:$A,"&gt;="&amp;I$19,'Budget Data'!$A:$A,"&lt;="&amp;EOMONTH(I$19,0))+SUMIFS('Budget Data'!$J:$J,'Budget Data'!$E:$E,$B44,'Budget Data'!$C:$C,$B$11,'Budget Data'!$A:$A,"&gt;="&amp;I$19,'Budget Data'!$A:$A,"&lt;="&amp;EOMONTH(I$19,0))+SUMIFS('Budget Data'!$J:$J,'Budget Data'!$E:$E,$B44,'Budget Data'!$C:$C,$B$2,'Budget Data'!$A:$A,"&gt;="&amp;I$19,'Budget Data'!$A:$A,"&lt;="&amp;EOMONTH(I$19,0))+SUMIFS('Budget Data'!$J:$J,'Budget Data'!$E:$E,$B44,'Budget Data'!$C:$C,$B$4,'Budget Data'!$A:$A,"&gt;="&amp;I$19,'Budget Data'!$A:$A,"&lt;="&amp;EOMONTH(I$19,0))+SUMIFS('Budget Data'!$J:$J,'Budget Data'!$E:$E,$B44,'Budget Data'!$C:$C,$B$3,'Budget Data'!$A:$A,"&gt;="&amp;I$19,'Budget Data'!$A:$A,"&lt;="&amp;EOMONTH(I$19,0))+SUMIFS('Budget Data'!$J:$J,'Budget Data'!$E:$E,$B44,'Budget Data'!$C:$C,$B$5,'Budget Data'!$A:$A,"&gt;="&amp;I$19,'Budget Data'!$A:$A,"&lt;="&amp;EOMONTH(I$19,0))+SUMIFS('Budget Data'!$J:$J,'Budget Data'!$E:$E,$B44,'Budget Data'!$C:$C,$B$6,'Budget Data'!$A:$A,"&gt;="&amp;I$19,'Budget Data'!$A:$A,"&lt;="&amp;EOMONTH(I$19,0)))</f>
        <v>2400</v>
      </c>
      <c r="J44" s="86">
        <f>SUMPRODUCT(SUMIFS('Allocated Transactions'!$J:$J,'Allocated Transactions'!$D:$D,$B44,'Allocated Transactions'!$C:$C,$B$7,'Allocated Transactions'!$A:$A,"&gt;="&amp;J$19,'Allocated Transactions'!$A:$A,"&lt;="&amp;EOMONTH(J$19,0))+SUMIFS('Allocated Transactions'!$J:$J,'Allocated Transactions'!$D:$D,$B44,'Allocated Transactions'!$C:$C,$B$9,'Allocated Transactions'!$A:$A,"&gt;="&amp;J$19,'Allocated Transactions'!$A:$A,"&lt;="&amp;EOMONTH(J$19,0))+SUMIFS('Allocated Transactions'!$J:$J,'Allocated Transactions'!$D:$D,$B44,'Allocated Transactions'!$C:$C,$B$8,'Allocated Transactions'!$A:$A,"&gt;="&amp;J$19,'Allocated Transactions'!$A:$A,"&lt;="&amp;EOMONTH(J$19,0))+SUMIFS('Allocated Transactions'!$J:$J,'Allocated Transactions'!$D:$D,$B44,'Allocated Transactions'!$C:$C,$B$10,'Allocated Transactions'!$A:$A,"&gt;="&amp;J$19,'Allocated Transactions'!$A:$A,"&lt;="&amp;EOMONTH(J$19,0))+SUMIFS('Allocated Transactions'!$J:$J,'Allocated Transactions'!$D:$D,$B44,'Allocated Transactions'!$C:$C,$B$11,'Allocated Transactions'!$A:$A,"&gt;="&amp;J$19,'Allocated Transactions'!$A:$A,"&lt;="&amp;EOMONTH(J$19,0))+SUMIFS('Allocated Transactions'!$J:$J,'Allocated Transactions'!$D:$D,$B44,'Allocated Transactions'!$C:$C,$B$2,'Allocated Transactions'!$A:$A,"&gt;="&amp;J$19,'Allocated Transactions'!$A:$A,"&lt;="&amp;EOMONTH(J$19,0))+SUMIFS('Allocated Transactions'!$J:$J,'Allocated Transactions'!$D:$D,$B44,'Allocated Transactions'!$C:$C,$B$4,'Allocated Transactions'!$A:$A,"&gt;="&amp;J$19,'Allocated Transactions'!$A:$A,"&lt;="&amp;EOMONTH(J$19,0))+SUMIFS('Allocated Transactions'!$J:$J,'Allocated Transactions'!$D:$D,$B44,'Allocated Transactions'!$C:$C,$B$3,'Allocated Transactions'!$A:$A,"&gt;="&amp;J$19,'Allocated Transactions'!$A:$A,"&lt;="&amp;EOMONTH(J$19,0))+SUMIFS('Allocated Transactions'!$J:$J,'Allocated Transactions'!$D:$D,$B44,'Allocated Transactions'!$C:$C,$B$5,'Allocated Transactions'!$A:$A,"&gt;="&amp;J$19,'Allocated Transactions'!$A:$A,"&lt;="&amp;EOMONTH(J$19,0))+SUMIFS('Allocated Transactions'!$J:$J,'Allocated Transactions'!$D:$D,$B44,'Allocated Transactions'!$C:$C,$B$6,'Allocated Transactions'!$A:$A,"&gt;="&amp;J$19,'Allocated Transactions'!$A:$A,"&lt;="&amp;EOMONTH(J$19,0)))</f>
        <v>2450</v>
      </c>
      <c r="K44" s="84">
        <f>SUMPRODUCT(SUMIFS('Budget Data'!$J:$J,'Budget Data'!$E:$E,$B44,'Budget Data'!$C:$C,$B$7,'Budget Data'!$A:$A,"&gt;="&amp;K$19,'Budget Data'!$A:$A,"&lt;="&amp;EOMONTH(K$19,0))+SUMIFS('Budget Data'!$J:$J,'Budget Data'!$E:$E,$B44,'Budget Data'!$C:$C,$B$9,'Budget Data'!$A:$A,"&gt;="&amp;K$19,'Budget Data'!$A:$A,"&lt;="&amp;EOMONTH(K$19,0))+SUMIFS('Budget Data'!$J:$J,'Budget Data'!$E:$E,$B44,'Budget Data'!$C:$C,$B$8,'Budget Data'!$A:$A,"&gt;="&amp;K$19,'Budget Data'!$A:$A,"&lt;="&amp;EOMONTH(K$19,0))+SUMIFS('Budget Data'!$J:$J,'Budget Data'!$E:$E,$B44,'Budget Data'!$C:$C,$B$10,'Budget Data'!$A:$A,"&gt;="&amp;K$19,'Budget Data'!$A:$A,"&lt;="&amp;EOMONTH(K$19,0))+SUMIFS('Budget Data'!$J:$J,'Budget Data'!$E:$E,$B44,'Budget Data'!$C:$C,$B$11,'Budget Data'!$A:$A,"&gt;="&amp;K$19,'Budget Data'!$A:$A,"&lt;="&amp;EOMONTH(K$19,0))+SUMIFS('Budget Data'!$J:$J,'Budget Data'!$E:$E,$B44,'Budget Data'!$C:$C,$B$2,'Budget Data'!$A:$A,"&gt;="&amp;K$19,'Budget Data'!$A:$A,"&lt;="&amp;EOMONTH(K$19,0))+SUMIFS('Budget Data'!$J:$J,'Budget Data'!$E:$E,$B44,'Budget Data'!$C:$C,$B$4,'Budget Data'!$A:$A,"&gt;="&amp;K$19,'Budget Data'!$A:$A,"&lt;="&amp;EOMONTH(K$19,0))+SUMIFS('Budget Data'!$J:$J,'Budget Data'!$E:$E,$B44,'Budget Data'!$C:$C,$B$3,'Budget Data'!$A:$A,"&gt;="&amp;K$19,'Budget Data'!$A:$A,"&lt;="&amp;EOMONTH(K$19,0))+SUMIFS('Budget Data'!$J:$J,'Budget Data'!$E:$E,$B44,'Budget Data'!$C:$C,$B$5,'Budget Data'!$A:$A,"&gt;="&amp;K$19,'Budget Data'!$A:$A,"&lt;="&amp;EOMONTH(K$19,0))+SUMIFS('Budget Data'!$J:$J,'Budget Data'!$E:$E,$B44,'Budget Data'!$C:$C,$B$6,'Budget Data'!$A:$A,"&gt;="&amp;K$19,'Budget Data'!$A:$A,"&lt;="&amp;EOMONTH(K$19,0)))</f>
        <v>2400</v>
      </c>
      <c r="L44" s="86">
        <f>SUMPRODUCT(SUMIFS('Allocated Transactions'!$J:$J,'Allocated Transactions'!$D:$D,$B44,'Allocated Transactions'!$C:$C,$B$7,'Allocated Transactions'!$A:$A,"&gt;="&amp;L$19,'Allocated Transactions'!$A:$A,"&lt;="&amp;EOMONTH(L$19,0))+SUMIFS('Allocated Transactions'!$J:$J,'Allocated Transactions'!$D:$D,$B44,'Allocated Transactions'!$C:$C,$B$9,'Allocated Transactions'!$A:$A,"&gt;="&amp;L$19,'Allocated Transactions'!$A:$A,"&lt;="&amp;EOMONTH(L$19,0))+SUMIFS('Allocated Transactions'!$J:$J,'Allocated Transactions'!$D:$D,$B44,'Allocated Transactions'!$C:$C,$B$8,'Allocated Transactions'!$A:$A,"&gt;="&amp;L$19,'Allocated Transactions'!$A:$A,"&lt;="&amp;EOMONTH(L$19,0))+SUMIFS('Allocated Transactions'!$J:$J,'Allocated Transactions'!$D:$D,$B44,'Allocated Transactions'!$C:$C,$B$10,'Allocated Transactions'!$A:$A,"&gt;="&amp;L$19,'Allocated Transactions'!$A:$A,"&lt;="&amp;EOMONTH(L$19,0))+SUMIFS('Allocated Transactions'!$J:$J,'Allocated Transactions'!$D:$D,$B44,'Allocated Transactions'!$C:$C,$B$11,'Allocated Transactions'!$A:$A,"&gt;="&amp;L$19,'Allocated Transactions'!$A:$A,"&lt;="&amp;EOMONTH(L$19,0))+SUMIFS('Allocated Transactions'!$J:$J,'Allocated Transactions'!$D:$D,$B44,'Allocated Transactions'!$C:$C,$B$2,'Allocated Transactions'!$A:$A,"&gt;="&amp;L$19,'Allocated Transactions'!$A:$A,"&lt;="&amp;EOMONTH(L$19,0))+SUMIFS('Allocated Transactions'!$J:$J,'Allocated Transactions'!$D:$D,$B44,'Allocated Transactions'!$C:$C,$B$4,'Allocated Transactions'!$A:$A,"&gt;="&amp;L$19,'Allocated Transactions'!$A:$A,"&lt;="&amp;EOMONTH(L$19,0))+SUMIFS('Allocated Transactions'!$J:$J,'Allocated Transactions'!$D:$D,$B44,'Allocated Transactions'!$C:$C,$B$3,'Allocated Transactions'!$A:$A,"&gt;="&amp;L$19,'Allocated Transactions'!$A:$A,"&lt;="&amp;EOMONTH(L$19,0))+SUMIFS('Allocated Transactions'!$J:$J,'Allocated Transactions'!$D:$D,$B44,'Allocated Transactions'!$C:$C,$B$5,'Allocated Transactions'!$A:$A,"&gt;="&amp;L$19,'Allocated Transactions'!$A:$A,"&lt;="&amp;EOMONTH(L$19,0))+SUMIFS('Allocated Transactions'!$J:$J,'Allocated Transactions'!$D:$D,$B44,'Allocated Transactions'!$C:$C,$B$6,'Allocated Transactions'!$A:$A,"&gt;="&amp;L$19,'Allocated Transactions'!$A:$A,"&lt;="&amp;EOMONTH(L$19,0)))</f>
        <v>2450</v>
      </c>
      <c r="M44" s="84">
        <f>SUMPRODUCT(SUMIFS('Budget Data'!$J:$J,'Budget Data'!$E:$E,$B44,'Budget Data'!$C:$C,$B$7,'Budget Data'!$A:$A,"&gt;="&amp;M$19,'Budget Data'!$A:$A,"&lt;="&amp;EOMONTH(M$19,0))+SUMIFS('Budget Data'!$J:$J,'Budget Data'!$E:$E,$B44,'Budget Data'!$C:$C,$B$9,'Budget Data'!$A:$A,"&gt;="&amp;M$19,'Budget Data'!$A:$A,"&lt;="&amp;EOMONTH(M$19,0))+SUMIFS('Budget Data'!$J:$J,'Budget Data'!$E:$E,$B44,'Budget Data'!$C:$C,$B$8,'Budget Data'!$A:$A,"&gt;="&amp;M$19,'Budget Data'!$A:$A,"&lt;="&amp;EOMONTH(M$19,0))+SUMIFS('Budget Data'!$J:$J,'Budget Data'!$E:$E,$B44,'Budget Data'!$C:$C,$B$10,'Budget Data'!$A:$A,"&gt;="&amp;M$19,'Budget Data'!$A:$A,"&lt;="&amp;EOMONTH(M$19,0))+SUMIFS('Budget Data'!$J:$J,'Budget Data'!$E:$E,$B44,'Budget Data'!$C:$C,$B$11,'Budget Data'!$A:$A,"&gt;="&amp;M$19,'Budget Data'!$A:$A,"&lt;="&amp;EOMONTH(M$19,0))+SUMIFS('Budget Data'!$J:$J,'Budget Data'!$E:$E,$B44,'Budget Data'!$C:$C,$B$2,'Budget Data'!$A:$A,"&gt;="&amp;M$19,'Budget Data'!$A:$A,"&lt;="&amp;EOMONTH(M$19,0))+SUMIFS('Budget Data'!$J:$J,'Budget Data'!$E:$E,$B44,'Budget Data'!$C:$C,$B$4,'Budget Data'!$A:$A,"&gt;="&amp;M$19,'Budget Data'!$A:$A,"&lt;="&amp;EOMONTH(M$19,0))+SUMIFS('Budget Data'!$J:$J,'Budget Data'!$E:$E,$B44,'Budget Data'!$C:$C,$B$3,'Budget Data'!$A:$A,"&gt;="&amp;M$19,'Budget Data'!$A:$A,"&lt;="&amp;EOMONTH(M$19,0))+SUMIFS('Budget Data'!$J:$J,'Budget Data'!$E:$E,$B44,'Budget Data'!$C:$C,$B$5,'Budget Data'!$A:$A,"&gt;="&amp;M$19,'Budget Data'!$A:$A,"&lt;="&amp;EOMONTH(M$19,0))+SUMIFS('Budget Data'!$J:$J,'Budget Data'!$E:$E,$B44,'Budget Data'!$C:$C,$B$6,'Budget Data'!$A:$A,"&gt;="&amp;M$19,'Budget Data'!$A:$A,"&lt;="&amp;EOMONTH(M$19,0)))</f>
        <v>2400</v>
      </c>
      <c r="N44" s="86">
        <f>SUMPRODUCT(SUMIFS('Allocated Transactions'!$J:$J,'Allocated Transactions'!$D:$D,$B44,'Allocated Transactions'!$C:$C,$B$7,'Allocated Transactions'!$A:$A,"&gt;="&amp;N$19,'Allocated Transactions'!$A:$A,"&lt;="&amp;EOMONTH(N$19,0))+SUMIFS('Allocated Transactions'!$J:$J,'Allocated Transactions'!$D:$D,$B44,'Allocated Transactions'!$C:$C,$B$9,'Allocated Transactions'!$A:$A,"&gt;="&amp;N$19,'Allocated Transactions'!$A:$A,"&lt;="&amp;EOMONTH(N$19,0))+SUMIFS('Allocated Transactions'!$J:$J,'Allocated Transactions'!$D:$D,$B44,'Allocated Transactions'!$C:$C,$B$8,'Allocated Transactions'!$A:$A,"&gt;="&amp;N$19,'Allocated Transactions'!$A:$A,"&lt;="&amp;EOMONTH(N$19,0))+SUMIFS('Allocated Transactions'!$J:$J,'Allocated Transactions'!$D:$D,$B44,'Allocated Transactions'!$C:$C,$B$10,'Allocated Transactions'!$A:$A,"&gt;="&amp;N$19,'Allocated Transactions'!$A:$A,"&lt;="&amp;EOMONTH(N$19,0))+SUMIFS('Allocated Transactions'!$J:$J,'Allocated Transactions'!$D:$D,$B44,'Allocated Transactions'!$C:$C,$B$11,'Allocated Transactions'!$A:$A,"&gt;="&amp;N$19,'Allocated Transactions'!$A:$A,"&lt;="&amp;EOMONTH(N$19,0))+SUMIFS('Allocated Transactions'!$J:$J,'Allocated Transactions'!$D:$D,$B44,'Allocated Transactions'!$C:$C,$B$2,'Allocated Transactions'!$A:$A,"&gt;="&amp;N$19,'Allocated Transactions'!$A:$A,"&lt;="&amp;EOMONTH(N$19,0))+SUMIFS('Allocated Transactions'!$J:$J,'Allocated Transactions'!$D:$D,$B44,'Allocated Transactions'!$C:$C,$B$4,'Allocated Transactions'!$A:$A,"&gt;="&amp;N$19,'Allocated Transactions'!$A:$A,"&lt;="&amp;EOMONTH(N$19,0))+SUMIFS('Allocated Transactions'!$J:$J,'Allocated Transactions'!$D:$D,$B44,'Allocated Transactions'!$C:$C,$B$3,'Allocated Transactions'!$A:$A,"&gt;="&amp;N$19,'Allocated Transactions'!$A:$A,"&lt;="&amp;EOMONTH(N$19,0))+SUMIFS('Allocated Transactions'!$J:$J,'Allocated Transactions'!$D:$D,$B44,'Allocated Transactions'!$C:$C,$B$5,'Allocated Transactions'!$A:$A,"&gt;="&amp;N$19,'Allocated Transactions'!$A:$A,"&lt;="&amp;EOMONTH(N$19,0))+SUMIFS('Allocated Transactions'!$J:$J,'Allocated Transactions'!$D:$D,$B44,'Allocated Transactions'!$C:$C,$B$6,'Allocated Transactions'!$A:$A,"&gt;="&amp;N$19,'Allocated Transactions'!$A:$A,"&lt;="&amp;EOMONTH(N$19,0)))</f>
        <v>2450</v>
      </c>
      <c r="O44" s="84">
        <f>SUMPRODUCT(SUMIFS('Budget Data'!$J:$J,'Budget Data'!$E:$E,$B44,'Budget Data'!$C:$C,$B$7,'Budget Data'!$A:$A,"&gt;="&amp;O$19,'Budget Data'!$A:$A,"&lt;="&amp;EOMONTH(O$19,0))+SUMIFS('Budget Data'!$J:$J,'Budget Data'!$E:$E,$B44,'Budget Data'!$C:$C,$B$9,'Budget Data'!$A:$A,"&gt;="&amp;O$19,'Budget Data'!$A:$A,"&lt;="&amp;EOMONTH(O$19,0))+SUMIFS('Budget Data'!$J:$J,'Budget Data'!$E:$E,$B44,'Budget Data'!$C:$C,$B$8,'Budget Data'!$A:$A,"&gt;="&amp;O$19,'Budget Data'!$A:$A,"&lt;="&amp;EOMONTH(O$19,0))+SUMIFS('Budget Data'!$J:$J,'Budget Data'!$E:$E,$B44,'Budget Data'!$C:$C,$B$10,'Budget Data'!$A:$A,"&gt;="&amp;O$19,'Budget Data'!$A:$A,"&lt;="&amp;EOMONTH(O$19,0))+SUMIFS('Budget Data'!$J:$J,'Budget Data'!$E:$E,$B44,'Budget Data'!$C:$C,$B$11,'Budget Data'!$A:$A,"&gt;="&amp;O$19,'Budget Data'!$A:$A,"&lt;="&amp;EOMONTH(O$19,0))+SUMIFS('Budget Data'!$J:$J,'Budget Data'!$E:$E,$B44,'Budget Data'!$C:$C,$B$2,'Budget Data'!$A:$A,"&gt;="&amp;O$19,'Budget Data'!$A:$A,"&lt;="&amp;EOMONTH(O$19,0))+SUMIFS('Budget Data'!$J:$J,'Budget Data'!$E:$E,$B44,'Budget Data'!$C:$C,$B$4,'Budget Data'!$A:$A,"&gt;="&amp;O$19,'Budget Data'!$A:$A,"&lt;="&amp;EOMONTH(O$19,0))+SUMIFS('Budget Data'!$J:$J,'Budget Data'!$E:$E,$B44,'Budget Data'!$C:$C,$B$3,'Budget Data'!$A:$A,"&gt;="&amp;O$19,'Budget Data'!$A:$A,"&lt;="&amp;EOMONTH(O$19,0))+SUMIFS('Budget Data'!$J:$J,'Budget Data'!$E:$E,$B44,'Budget Data'!$C:$C,$B$5,'Budget Data'!$A:$A,"&gt;="&amp;O$19,'Budget Data'!$A:$A,"&lt;="&amp;EOMONTH(O$19,0))+SUMIFS('Budget Data'!$J:$J,'Budget Data'!$E:$E,$B44,'Budget Data'!$C:$C,$B$6,'Budget Data'!$A:$A,"&gt;="&amp;O$19,'Budget Data'!$A:$A,"&lt;="&amp;EOMONTH(O$19,0)))</f>
        <v>2400</v>
      </c>
      <c r="P44" s="86">
        <f>SUMPRODUCT(SUMIFS('Allocated Transactions'!$J:$J,'Allocated Transactions'!$D:$D,$B44,'Allocated Transactions'!$C:$C,$B$7,'Allocated Transactions'!$A:$A,"&gt;="&amp;P$19,'Allocated Transactions'!$A:$A,"&lt;="&amp;EOMONTH(P$19,0))+SUMIFS('Allocated Transactions'!$J:$J,'Allocated Transactions'!$D:$D,$B44,'Allocated Transactions'!$C:$C,$B$9,'Allocated Transactions'!$A:$A,"&gt;="&amp;P$19,'Allocated Transactions'!$A:$A,"&lt;="&amp;EOMONTH(P$19,0))+SUMIFS('Allocated Transactions'!$J:$J,'Allocated Transactions'!$D:$D,$B44,'Allocated Transactions'!$C:$C,$B$8,'Allocated Transactions'!$A:$A,"&gt;="&amp;P$19,'Allocated Transactions'!$A:$A,"&lt;="&amp;EOMONTH(P$19,0))+SUMIFS('Allocated Transactions'!$J:$J,'Allocated Transactions'!$D:$D,$B44,'Allocated Transactions'!$C:$C,$B$10,'Allocated Transactions'!$A:$A,"&gt;="&amp;P$19,'Allocated Transactions'!$A:$A,"&lt;="&amp;EOMONTH(P$19,0))+SUMIFS('Allocated Transactions'!$J:$J,'Allocated Transactions'!$D:$D,$B44,'Allocated Transactions'!$C:$C,$B$11,'Allocated Transactions'!$A:$A,"&gt;="&amp;P$19,'Allocated Transactions'!$A:$A,"&lt;="&amp;EOMONTH(P$19,0))+SUMIFS('Allocated Transactions'!$J:$J,'Allocated Transactions'!$D:$D,$B44,'Allocated Transactions'!$C:$C,$B$2,'Allocated Transactions'!$A:$A,"&gt;="&amp;P$19,'Allocated Transactions'!$A:$A,"&lt;="&amp;EOMONTH(P$19,0))+SUMIFS('Allocated Transactions'!$J:$J,'Allocated Transactions'!$D:$D,$B44,'Allocated Transactions'!$C:$C,$B$4,'Allocated Transactions'!$A:$A,"&gt;="&amp;P$19,'Allocated Transactions'!$A:$A,"&lt;="&amp;EOMONTH(P$19,0))+SUMIFS('Allocated Transactions'!$J:$J,'Allocated Transactions'!$D:$D,$B44,'Allocated Transactions'!$C:$C,$B$3,'Allocated Transactions'!$A:$A,"&gt;="&amp;P$19,'Allocated Transactions'!$A:$A,"&lt;="&amp;EOMONTH(P$19,0))+SUMIFS('Allocated Transactions'!$J:$J,'Allocated Transactions'!$D:$D,$B44,'Allocated Transactions'!$C:$C,$B$5,'Allocated Transactions'!$A:$A,"&gt;="&amp;P$19,'Allocated Transactions'!$A:$A,"&lt;="&amp;EOMONTH(P$19,0))+SUMIFS('Allocated Transactions'!$J:$J,'Allocated Transactions'!$D:$D,$B44,'Allocated Transactions'!$C:$C,$B$6,'Allocated Transactions'!$A:$A,"&gt;="&amp;P$19,'Allocated Transactions'!$A:$A,"&lt;="&amp;EOMONTH(P$19,0)))</f>
        <v>2450</v>
      </c>
      <c r="Q44" s="84">
        <f>SUMPRODUCT(SUMIFS('Budget Data'!$J:$J,'Budget Data'!$E:$E,$B44,'Budget Data'!$C:$C,$B$7,'Budget Data'!$A:$A,"&gt;="&amp;Q$19,'Budget Data'!$A:$A,"&lt;="&amp;EOMONTH(Q$19,0))+SUMIFS('Budget Data'!$J:$J,'Budget Data'!$E:$E,$B44,'Budget Data'!$C:$C,$B$9,'Budget Data'!$A:$A,"&gt;="&amp;Q$19,'Budget Data'!$A:$A,"&lt;="&amp;EOMONTH(Q$19,0))+SUMIFS('Budget Data'!$J:$J,'Budget Data'!$E:$E,$B44,'Budget Data'!$C:$C,$B$8,'Budget Data'!$A:$A,"&gt;="&amp;Q$19,'Budget Data'!$A:$A,"&lt;="&amp;EOMONTH(Q$19,0))+SUMIFS('Budget Data'!$J:$J,'Budget Data'!$E:$E,$B44,'Budget Data'!$C:$C,$B$10,'Budget Data'!$A:$A,"&gt;="&amp;Q$19,'Budget Data'!$A:$A,"&lt;="&amp;EOMONTH(Q$19,0))+SUMIFS('Budget Data'!$J:$J,'Budget Data'!$E:$E,$B44,'Budget Data'!$C:$C,$B$11,'Budget Data'!$A:$A,"&gt;="&amp;Q$19,'Budget Data'!$A:$A,"&lt;="&amp;EOMONTH(Q$19,0))+SUMIFS('Budget Data'!$J:$J,'Budget Data'!$E:$E,$B44,'Budget Data'!$C:$C,$B$2,'Budget Data'!$A:$A,"&gt;="&amp;Q$19,'Budget Data'!$A:$A,"&lt;="&amp;EOMONTH(Q$19,0))+SUMIFS('Budget Data'!$J:$J,'Budget Data'!$E:$E,$B44,'Budget Data'!$C:$C,$B$4,'Budget Data'!$A:$A,"&gt;="&amp;Q$19,'Budget Data'!$A:$A,"&lt;="&amp;EOMONTH(Q$19,0))+SUMIFS('Budget Data'!$J:$J,'Budget Data'!$E:$E,$B44,'Budget Data'!$C:$C,$B$3,'Budget Data'!$A:$A,"&gt;="&amp;Q$19,'Budget Data'!$A:$A,"&lt;="&amp;EOMONTH(Q$19,0))+SUMIFS('Budget Data'!$J:$J,'Budget Data'!$E:$E,$B44,'Budget Data'!$C:$C,$B$5,'Budget Data'!$A:$A,"&gt;="&amp;Q$19,'Budget Data'!$A:$A,"&lt;="&amp;EOMONTH(Q$19,0))+SUMIFS('Budget Data'!$J:$J,'Budget Data'!$E:$E,$B44,'Budget Data'!$C:$C,$B$6,'Budget Data'!$A:$A,"&gt;="&amp;Q$19,'Budget Data'!$A:$A,"&lt;="&amp;EOMONTH(Q$19,0)))</f>
        <v>2400</v>
      </c>
      <c r="R44" s="86">
        <f>SUMPRODUCT(SUMIFS('Allocated Transactions'!$J:$J,'Allocated Transactions'!$D:$D,$B44,'Allocated Transactions'!$C:$C,$B$7,'Allocated Transactions'!$A:$A,"&gt;="&amp;R$19,'Allocated Transactions'!$A:$A,"&lt;="&amp;EOMONTH(R$19,0))+SUMIFS('Allocated Transactions'!$J:$J,'Allocated Transactions'!$D:$D,$B44,'Allocated Transactions'!$C:$C,$B$9,'Allocated Transactions'!$A:$A,"&gt;="&amp;R$19,'Allocated Transactions'!$A:$A,"&lt;="&amp;EOMONTH(R$19,0))+SUMIFS('Allocated Transactions'!$J:$J,'Allocated Transactions'!$D:$D,$B44,'Allocated Transactions'!$C:$C,$B$8,'Allocated Transactions'!$A:$A,"&gt;="&amp;R$19,'Allocated Transactions'!$A:$A,"&lt;="&amp;EOMONTH(R$19,0))+SUMIFS('Allocated Transactions'!$J:$J,'Allocated Transactions'!$D:$D,$B44,'Allocated Transactions'!$C:$C,$B$10,'Allocated Transactions'!$A:$A,"&gt;="&amp;R$19,'Allocated Transactions'!$A:$A,"&lt;="&amp;EOMONTH(R$19,0))+SUMIFS('Allocated Transactions'!$J:$J,'Allocated Transactions'!$D:$D,$B44,'Allocated Transactions'!$C:$C,$B$11,'Allocated Transactions'!$A:$A,"&gt;="&amp;R$19,'Allocated Transactions'!$A:$A,"&lt;="&amp;EOMONTH(R$19,0))+SUMIFS('Allocated Transactions'!$J:$J,'Allocated Transactions'!$D:$D,$B44,'Allocated Transactions'!$C:$C,$B$2,'Allocated Transactions'!$A:$A,"&gt;="&amp;R$19,'Allocated Transactions'!$A:$A,"&lt;="&amp;EOMONTH(R$19,0))+SUMIFS('Allocated Transactions'!$J:$J,'Allocated Transactions'!$D:$D,$B44,'Allocated Transactions'!$C:$C,$B$4,'Allocated Transactions'!$A:$A,"&gt;="&amp;R$19,'Allocated Transactions'!$A:$A,"&lt;="&amp;EOMONTH(R$19,0))+SUMIFS('Allocated Transactions'!$J:$J,'Allocated Transactions'!$D:$D,$B44,'Allocated Transactions'!$C:$C,$B$3,'Allocated Transactions'!$A:$A,"&gt;="&amp;R$19,'Allocated Transactions'!$A:$A,"&lt;="&amp;EOMONTH(R$19,0))+SUMIFS('Allocated Transactions'!$J:$J,'Allocated Transactions'!$D:$D,$B44,'Allocated Transactions'!$C:$C,$B$5,'Allocated Transactions'!$A:$A,"&gt;="&amp;R$19,'Allocated Transactions'!$A:$A,"&lt;="&amp;EOMONTH(R$19,0))+SUMIFS('Allocated Transactions'!$J:$J,'Allocated Transactions'!$D:$D,$B44,'Allocated Transactions'!$C:$C,$B$6,'Allocated Transactions'!$A:$A,"&gt;="&amp;R$19,'Allocated Transactions'!$A:$A,"&lt;="&amp;EOMONTH(R$19,0)))</f>
        <v>2450</v>
      </c>
      <c r="S44" s="84">
        <f>SUMPRODUCT(SUMIFS('Budget Data'!$J:$J,'Budget Data'!$E:$E,$B44,'Budget Data'!$C:$C,$B$7,'Budget Data'!$A:$A,"&gt;="&amp;S$19,'Budget Data'!$A:$A,"&lt;="&amp;EOMONTH(S$19,0))+SUMIFS('Budget Data'!$J:$J,'Budget Data'!$E:$E,$B44,'Budget Data'!$C:$C,$B$9,'Budget Data'!$A:$A,"&gt;="&amp;S$19,'Budget Data'!$A:$A,"&lt;="&amp;EOMONTH(S$19,0))+SUMIFS('Budget Data'!$J:$J,'Budget Data'!$E:$E,$B44,'Budget Data'!$C:$C,$B$8,'Budget Data'!$A:$A,"&gt;="&amp;S$19,'Budget Data'!$A:$A,"&lt;="&amp;EOMONTH(S$19,0))+SUMIFS('Budget Data'!$J:$J,'Budget Data'!$E:$E,$B44,'Budget Data'!$C:$C,$B$10,'Budget Data'!$A:$A,"&gt;="&amp;S$19,'Budget Data'!$A:$A,"&lt;="&amp;EOMONTH(S$19,0))+SUMIFS('Budget Data'!$J:$J,'Budget Data'!$E:$E,$B44,'Budget Data'!$C:$C,$B$11,'Budget Data'!$A:$A,"&gt;="&amp;S$19,'Budget Data'!$A:$A,"&lt;="&amp;EOMONTH(S$19,0))+SUMIFS('Budget Data'!$J:$J,'Budget Data'!$E:$E,$B44,'Budget Data'!$C:$C,$B$2,'Budget Data'!$A:$A,"&gt;="&amp;S$19,'Budget Data'!$A:$A,"&lt;="&amp;EOMONTH(S$19,0))+SUMIFS('Budget Data'!$J:$J,'Budget Data'!$E:$E,$B44,'Budget Data'!$C:$C,$B$4,'Budget Data'!$A:$A,"&gt;="&amp;S$19,'Budget Data'!$A:$A,"&lt;="&amp;EOMONTH(S$19,0))+SUMIFS('Budget Data'!$J:$J,'Budget Data'!$E:$E,$B44,'Budget Data'!$C:$C,$B$3,'Budget Data'!$A:$A,"&gt;="&amp;S$19,'Budget Data'!$A:$A,"&lt;="&amp;EOMONTH(S$19,0))+SUMIFS('Budget Data'!$J:$J,'Budget Data'!$E:$E,$B44,'Budget Data'!$C:$C,$B$5,'Budget Data'!$A:$A,"&gt;="&amp;S$19,'Budget Data'!$A:$A,"&lt;="&amp;EOMONTH(S$19,0))+SUMIFS('Budget Data'!$J:$J,'Budget Data'!$E:$E,$B44,'Budget Data'!$C:$C,$B$6,'Budget Data'!$A:$A,"&gt;="&amp;S$19,'Budget Data'!$A:$A,"&lt;="&amp;EOMONTH(S$19,0)))</f>
        <v>2400</v>
      </c>
      <c r="T44" s="86">
        <f>SUMPRODUCT(SUMIFS('Allocated Transactions'!$J:$J,'Allocated Transactions'!$D:$D,$B44,'Allocated Transactions'!$C:$C,$B$7,'Allocated Transactions'!$A:$A,"&gt;="&amp;T$19,'Allocated Transactions'!$A:$A,"&lt;="&amp;EOMONTH(T$19,0))+SUMIFS('Allocated Transactions'!$J:$J,'Allocated Transactions'!$D:$D,$B44,'Allocated Transactions'!$C:$C,$B$9,'Allocated Transactions'!$A:$A,"&gt;="&amp;T$19,'Allocated Transactions'!$A:$A,"&lt;="&amp;EOMONTH(T$19,0))+SUMIFS('Allocated Transactions'!$J:$J,'Allocated Transactions'!$D:$D,$B44,'Allocated Transactions'!$C:$C,$B$8,'Allocated Transactions'!$A:$A,"&gt;="&amp;T$19,'Allocated Transactions'!$A:$A,"&lt;="&amp;EOMONTH(T$19,0))+SUMIFS('Allocated Transactions'!$J:$J,'Allocated Transactions'!$D:$D,$B44,'Allocated Transactions'!$C:$C,$B$10,'Allocated Transactions'!$A:$A,"&gt;="&amp;T$19,'Allocated Transactions'!$A:$A,"&lt;="&amp;EOMONTH(T$19,0))+SUMIFS('Allocated Transactions'!$J:$J,'Allocated Transactions'!$D:$D,$B44,'Allocated Transactions'!$C:$C,$B$11,'Allocated Transactions'!$A:$A,"&gt;="&amp;T$19,'Allocated Transactions'!$A:$A,"&lt;="&amp;EOMONTH(T$19,0))+SUMIFS('Allocated Transactions'!$J:$J,'Allocated Transactions'!$D:$D,$B44,'Allocated Transactions'!$C:$C,$B$2,'Allocated Transactions'!$A:$A,"&gt;="&amp;T$19,'Allocated Transactions'!$A:$A,"&lt;="&amp;EOMONTH(T$19,0))+SUMIFS('Allocated Transactions'!$J:$J,'Allocated Transactions'!$D:$D,$B44,'Allocated Transactions'!$C:$C,$B$4,'Allocated Transactions'!$A:$A,"&gt;="&amp;T$19,'Allocated Transactions'!$A:$A,"&lt;="&amp;EOMONTH(T$19,0))+SUMIFS('Allocated Transactions'!$J:$J,'Allocated Transactions'!$D:$D,$B44,'Allocated Transactions'!$C:$C,$B$3,'Allocated Transactions'!$A:$A,"&gt;="&amp;T$19,'Allocated Transactions'!$A:$A,"&lt;="&amp;EOMONTH(T$19,0))+SUMIFS('Allocated Transactions'!$J:$J,'Allocated Transactions'!$D:$D,$B44,'Allocated Transactions'!$C:$C,$B$5,'Allocated Transactions'!$A:$A,"&gt;="&amp;T$19,'Allocated Transactions'!$A:$A,"&lt;="&amp;EOMONTH(T$19,0))+SUMIFS('Allocated Transactions'!$J:$J,'Allocated Transactions'!$D:$D,$B44,'Allocated Transactions'!$C:$C,$B$6,'Allocated Transactions'!$A:$A,"&gt;="&amp;T$19,'Allocated Transactions'!$A:$A,"&lt;="&amp;EOMONTH(T$19,0)))</f>
        <v>2450</v>
      </c>
      <c r="U44" s="84">
        <f>SUMPRODUCT(SUMIFS('Budget Data'!$J:$J,'Budget Data'!$E:$E,$B44,'Budget Data'!$C:$C,$B$7,'Budget Data'!$A:$A,"&gt;="&amp;U$19,'Budget Data'!$A:$A,"&lt;="&amp;EOMONTH(U$19,0))+SUMIFS('Budget Data'!$J:$J,'Budget Data'!$E:$E,$B44,'Budget Data'!$C:$C,$B$9,'Budget Data'!$A:$A,"&gt;="&amp;U$19,'Budget Data'!$A:$A,"&lt;="&amp;EOMONTH(U$19,0))+SUMIFS('Budget Data'!$J:$J,'Budget Data'!$E:$E,$B44,'Budget Data'!$C:$C,$B$8,'Budget Data'!$A:$A,"&gt;="&amp;U$19,'Budget Data'!$A:$A,"&lt;="&amp;EOMONTH(U$19,0))+SUMIFS('Budget Data'!$J:$J,'Budget Data'!$E:$E,$B44,'Budget Data'!$C:$C,$B$10,'Budget Data'!$A:$A,"&gt;="&amp;U$19,'Budget Data'!$A:$A,"&lt;="&amp;EOMONTH(U$19,0))+SUMIFS('Budget Data'!$J:$J,'Budget Data'!$E:$E,$B44,'Budget Data'!$C:$C,$B$11,'Budget Data'!$A:$A,"&gt;="&amp;U$19,'Budget Data'!$A:$A,"&lt;="&amp;EOMONTH(U$19,0))+SUMIFS('Budget Data'!$J:$J,'Budget Data'!$E:$E,$B44,'Budget Data'!$C:$C,$B$2,'Budget Data'!$A:$A,"&gt;="&amp;U$19,'Budget Data'!$A:$A,"&lt;="&amp;EOMONTH(U$19,0))+SUMIFS('Budget Data'!$J:$J,'Budget Data'!$E:$E,$B44,'Budget Data'!$C:$C,$B$4,'Budget Data'!$A:$A,"&gt;="&amp;U$19,'Budget Data'!$A:$A,"&lt;="&amp;EOMONTH(U$19,0))+SUMIFS('Budget Data'!$J:$J,'Budget Data'!$E:$E,$B44,'Budget Data'!$C:$C,$B$3,'Budget Data'!$A:$A,"&gt;="&amp;U$19,'Budget Data'!$A:$A,"&lt;="&amp;EOMONTH(U$19,0))+SUMIFS('Budget Data'!$J:$J,'Budget Data'!$E:$E,$B44,'Budget Data'!$C:$C,$B$5,'Budget Data'!$A:$A,"&gt;="&amp;U$19,'Budget Data'!$A:$A,"&lt;="&amp;EOMONTH(U$19,0))+SUMIFS('Budget Data'!$J:$J,'Budget Data'!$E:$E,$B44,'Budget Data'!$C:$C,$B$6,'Budget Data'!$A:$A,"&gt;="&amp;U$19,'Budget Data'!$A:$A,"&lt;="&amp;EOMONTH(U$19,0)))</f>
        <v>2400</v>
      </c>
      <c r="V44" s="86">
        <f>SUMPRODUCT(SUMIFS('Allocated Transactions'!$J:$J,'Allocated Transactions'!$D:$D,$B44,'Allocated Transactions'!$C:$C,$B$7,'Allocated Transactions'!$A:$A,"&gt;="&amp;V$19,'Allocated Transactions'!$A:$A,"&lt;="&amp;EOMONTH(V$19,0))+SUMIFS('Allocated Transactions'!$J:$J,'Allocated Transactions'!$D:$D,$B44,'Allocated Transactions'!$C:$C,$B$9,'Allocated Transactions'!$A:$A,"&gt;="&amp;V$19,'Allocated Transactions'!$A:$A,"&lt;="&amp;EOMONTH(V$19,0))+SUMIFS('Allocated Transactions'!$J:$J,'Allocated Transactions'!$D:$D,$B44,'Allocated Transactions'!$C:$C,$B$8,'Allocated Transactions'!$A:$A,"&gt;="&amp;V$19,'Allocated Transactions'!$A:$A,"&lt;="&amp;EOMONTH(V$19,0))+SUMIFS('Allocated Transactions'!$J:$J,'Allocated Transactions'!$D:$D,$B44,'Allocated Transactions'!$C:$C,$B$10,'Allocated Transactions'!$A:$A,"&gt;="&amp;V$19,'Allocated Transactions'!$A:$A,"&lt;="&amp;EOMONTH(V$19,0))+SUMIFS('Allocated Transactions'!$J:$J,'Allocated Transactions'!$D:$D,$B44,'Allocated Transactions'!$C:$C,$B$11,'Allocated Transactions'!$A:$A,"&gt;="&amp;V$19,'Allocated Transactions'!$A:$A,"&lt;="&amp;EOMONTH(V$19,0))+SUMIFS('Allocated Transactions'!$J:$J,'Allocated Transactions'!$D:$D,$B44,'Allocated Transactions'!$C:$C,$B$2,'Allocated Transactions'!$A:$A,"&gt;="&amp;V$19,'Allocated Transactions'!$A:$A,"&lt;="&amp;EOMONTH(V$19,0))+SUMIFS('Allocated Transactions'!$J:$J,'Allocated Transactions'!$D:$D,$B44,'Allocated Transactions'!$C:$C,$B$4,'Allocated Transactions'!$A:$A,"&gt;="&amp;V$19,'Allocated Transactions'!$A:$A,"&lt;="&amp;EOMONTH(V$19,0))+SUMIFS('Allocated Transactions'!$J:$J,'Allocated Transactions'!$D:$D,$B44,'Allocated Transactions'!$C:$C,$B$3,'Allocated Transactions'!$A:$A,"&gt;="&amp;V$19,'Allocated Transactions'!$A:$A,"&lt;="&amp;EOMONTH(V$19,0))+SUMIFS('Allocated Transactions'!$J:$J,'Allocated Transactions'!$D:$D,$B44,'Allocated Transactions'!$C:$C,$B$5,'Allocated Transactions'!$A:$A,"&gt;="&amp;V$19,'Allocated Transactions'!$A:$A,"&lt;="&amp;EOMONTH(V$19,0))+SUMIFS('Allocated Transactions'!$J:$J,'Allocated Transactions'!$D:$D,$B44,'Allocated Transactions'!$C:$C,$B$6,'Allocated Transactions'!$A:$A,"&gt;="&amp;V$19,'Allocated Transactions'!$A:$A,"&lt;="&amp;EOMONTH(V$19,0)))</f>
        <v>2450</v>
      </c>
      <c r="W44" s="84">
        <f>SUMPRODUCT(SUMIFS('Budget Data'!$J:$J,'Budget Data'!$E:$E,$B44,'Budget Data'!$C:$C,$B$7,'Budget Data'!$A:$A,"&gt;="&amp;W$19,'Budget Data'!$A:$A,"&lt;="&amp;EOMONTH(W$19,0))+SUMIFS('Budget Data'!$J:$J,'Budget Data'!$E:$E,$B44,'Budget Data'!$C:$C,$B$9,'Budget Data'!$A:$A,"&gt;="&amp;W$19,'Budget Data'!$A:$A,"&lt;="&amp;EOMONTH(W$19,0))+SUMIFS('Budget Data'!$J:$J,'Budget Data'!$E:$E,$B44,'Budget Data'!$C:$C,$B$8,'Budget Data'!$A:$A,"&gt;="&amp;W$19,'Budget Data'!$A:$A,"&lt;="&amp;EOMONTH(W$19,0))+SUMIFS('Budget Data'!$J:$J,'Budget Data'!$E:$E,$B44,'Budget Data'!$C:$C,$B$10,'Budget Data'!$A:$A,"&gt;="&amp;W$19,'Budget Data'!$A:$A,"&lt;="&amp;EOMONTH(W$19,0))+SUMIFS('Budget Data'!$J:$J,'Budget Data'!$E:$E,$B44,'Budget Data'!$C:$C,$B$11,'Budget Data'!$A:$A,"&gt;="&amp;W$19,'Budget Data'!$A:$A,"&lt;="&amp;EOMONTH(W$19,0))+SUMIFS('Budget Data'!$J:$J,'Budget Data'!$E:$E,$B44,'Budget Data'!$C:$C,$B$2,'Budget Data'!$A:$A,"&gt;="&amp;W$19,'Budget Data'!$A:$A,"&lt;="&amp;EOMONTH(W$19,0))+SUMIFS('Budget Data'!$J:$J,'Budget Data'!$E:$E,$B44,'Budget Data'!$C:$C,$B$4,'Budget Data'!$A:$A,"&gt;="&amp;W$19,'Budget Data'!$A:$A,"&lt;="&amp;EOMONTH(W$19,0))+SUMIFS('Budget Data'!$J:$J,'Budget Data'!$E:$E,$B44,'Budget Data'!$C:$C,$B$3,'Budget Data'!$A:$A,"&gt;="&amp;W$19,'Budget Data'!$A:$A,"&lt;="&amp;EOMONTH(W$19,0))+SUMIFS('Budget Data'!$J:$J,'Budget Data'!$E:$E,$B44,'Budget Data'!$C:$C,$B$5,'Budget Data'!$A:$A,"&gt;="&amp;W$19,'Budget Data'!$A:$A,"&lt;="&amp;EOMONTH(W$19,0))+SUMIFS('Budget Data'!$J:$J,'Budget Data'!$E:$E,$B44,'Budget Data'!$C:$C,$B$6,'Budget Data'!$A:$A,"&gt;="&amp;W$19,'Budget Data'!$A:$A,"&lt;="&amp;EOMONTH(W$19,0)))</f>
        <v>2400</v>
      </c>
      <c r="X44" s="86">
        <f>SUMPRODUCT(SUMIFS('Allocated Transactions'!$J:$J,'Allocated Transactions'!$D:$D,$B44,'Allocated Transactions'!$C:$C,$B$7,'Allocated Transactions'!$A:$A,"&gt;="&amp;X$19,'Allocated Transactions'!$A:$A,"&lt;="&amp;EOMONTH(X$19,0))+SUMIFS('Allocated Transactions'!$J:$J,'Allocated Transactions'!$D:$D,$B44,'Allocated Transactions'!$C:$C,$B$9,'Allocated Transactions'!$A:$A,"&gt;="&amp;X$19,'Allocated Transactions'!$A:$A,"&lt;="&amp;EOMONTH(X$19,0))+SUMIFS('Allocated Transactions'!$J:$J,'Allocated Transactions'!$D:$D,$B44,'Allocated Transactions'!$C:$C,$B$8,'Allocated Transactions'!$A:$A,"&gt;="&amp;X$19,'Allocated Transactions'!$A:$A,"&lt;="&amp;EOMONTH(X$19,0))+SUMIFS('Allocated Transactions'!$J:$J,'Allocated Transactions'!$D:$D,$B44,'Allocated Transactions'!$C:$C,$B$10,'Allocated Transactions'!$A:$A,"&gt;="&amp;X$19,'Allocated Transactions'!$A:$A,"&lt;="&amp;EOMONTH(X$19,0))+SUMIFS('Allocated Transactions'!$J:$J,'Allocated Transactions'!$D:$D,$B44,'Allocated Transactions'!$C:$C,$B$11,'Allocated Transactions'!$A:$A,"&gt;="&amp;X$19,'Allocated Transactions'!$A:$A,"&lt;="&amp;EOMONTH(X$19,0))+SUMIFS('Allocated Transactions'!$J:$J,'Allocated Transactions'!$D:$D,$B44,'Allocated Transactions'!$C:$C,$B$2,'Allocated Transactions'!$A:$A,"&gt;="&amp;X$19,'Allocated Transactions'!$A:$A,"&lt;="&amp;EOMONTH(X$19,0))+SUMIFS('Allocated Transactions'!$J:$J,'Allocated Transactions'!$D:$D,$B44,'Allocated Transactions'!$C:$C,$B$4,'Allocated Transactions'!$A:$A,"&gt;="&amp;X$19,'Allocated Transactions'!$A:$A,"&lt;="&amp;EOMONTH(X$19,0))+SUMIFS('Allocated Transactions'!$J:$J,'Allocated Transactions'!$D:$D,$B44,'Allocated Transactions'!$C:$C,$B$3,'Allocated Transactions'!$A:$A,"&gt;="&amp;X$19,'Allocated Transactions'!$A:$A,"&lt;="&amp;EOMONTH(X$19,0))+SUMIFS('Allocated Transactions'!$J:$J,'Allocated Transactions'!$D:$D,$B44,'Allocated Transactions'!$C:$C,$B$5,'Allocated Transactions'!$A:$A,"&gt;="&amp;X$19,'Allocated Transactions'!$A:$A,"&lt;="&amp;EOMONTH(X$19,0))+SUMIFS('Allocated Transactions'!$J:$J,'Allocated Transactions'!$D:$D,$B44,'Allocated Transactions'!$C:$C,$B$6,'Allocated Transactions'!$A:$A,"&gt;="&amp;X$19,'Allocated Transactions'!$A:$A,"&lt;="&amp;EOMONTH(X$19,0)))</f>
        <v>2450</v>
      </c>
      <c r="Y44" s="84">
        <f>SUMPRODUCT(SUMIFS('Budget Data'!$J:$J,'Budget Data'!$E:$E,$B44,'Budget Data'!$C:$C,$B$7,'Budget Data'!$A:$A,"&gt;="&amp;Y$19,'Budget Data'!$A:$A,"&lt;="&amp;EOMONTH(Y$19,0))+SUMIFS('Budget Data'!$J:$J,'Budget Data'!$E:$E,$B44,'Budget Data'!$C:$C,$B$9,'Budget Data'!$A:$A,"&gt;="&amp;Y$19,'Budget Data'!$A:$A,"&lt;="&amp;EOMONTH(Y$19,0))+SUMIFS('Budget Data'!$J:$J,'Budget Data'!$E:$E,$B44,'Budget Data'!$C:$C,$B$8,'Budget Data'!$A:$A,"&gt;="&amp;Y$19,'Budget Data'!$A:$A,"&lt;="&amp;EOMONTH(Y$19,0))+SUMIFS('Budget Data'!$J:$J,'Budget Data'!$E:$E,$B44,'Budget Data'!$C:$C,$B$10,'Budget Data'!$A:$A,"&gt;="&amp;Y$19,'Budget Data'!$A:$A,"&lt;="&amp;EOMONTH(Y$19,0))+SUMIFS('Budget Data'!$J:$J,'Budget Data'!$E:$E,$B44,'Budget Data'!$C:$C,$B$11,'Budget Data'!$A:$A,"&gt;="&amp;Y$19,'Budget Data'!$A:$A,"&lt;="&amp;EOMONTH(Y$19,0))+SUMIFS('Budget Data'!$J:$J,'Budget Data'!$E:$E,$B44,'Budget Data'!$C:$C,$B$2,'Budget Data'!$A:$A,"&gt;="&amp;Y$19,'Budget Data'!$A:$A,"&lt;="&amp;EOMONTH(Y$19,0))+SUMIFS('Budget Data'!$J:$J,'Budget Data'!$E:$E,$B44,'Budget Data'!$C:$C,$B$4,'Budget Data'!$A:$A,"&gt;="&amp;Y$19,'Budget Data'!$A:$A,"&lt;="&amp;EOMONTH(Y$19,0))+SUMIFS('Budget Data'!$J:$J,'Budget Data'!$E:$E,$B44,'Budget Data'!$C:$C,$B$3,'Budget Data'!$A:$A,"&gt;="&amp;Y$19,'Budget Data'!$A:$A,"&lt;="&amp;EOMONTH(Y$19,0))+SUMIFS('Budget Data'!$J:$J,'Budget Data'!$E:$E,$B44,'Budget Data'!$C:$C,$B$5,'Budget Data'!$A:$A,"&gt;="&amp;Y$19,'Budget Data'!$A:$A,"&lt;="&amp;EOMONTH(Y$19,0))+SUMIFS('Budget Data'!$J:$J,'Budget Data'!$E:$E,$B44,'Budget Data'!$C:$C,$B$6,'Budget Data'!$A:$A,"&gt;="&amp;Y$19,'Budget Data'!$A:$A,"&lt;="&amp;EOMONTH(Y$19,0)))</f>
        <v>2400</v>
      </c>
      <c r="Z44" s="86">
        <f>SUMPRODUCT(SUMIFS('Allocated Transactions'!$J:$J,'Allocated Transactions'!$D:$D,$B44,'Allocated Transactions'!$C:$C,$B$7,'Allocated Transactions'!$A:$A,"&gt;="&amp;Z$19,'Allocated Transactions'!$A:$A,"&lt;="&amp;EOMONTH(Z$19,0))+SUMIFS('Allocated Transactions'!$J:$J,'Allocated Transactions'!$D:$D,$B44,'Allocated Transactions'!$C:$C,$B$9,'Allocated Transactions'!$A:$A,"&gt;="&amp;Z$19,'Allocated Transactions'!$A:$A,"&lt;="&amp;EOMONTH(Z$19,0))+SUMIFS('Allocated Transactions'!$J:$J,'Allocated Transactions'!$D:$D,$B44,'Allocated Transactions'!$C:$C,$B$8,'Allocated Transactions'!$A:$A,"&gt;="&amp;Z$19,'Allocated Transactions'!$A:$A,"&lt;="&amp;EOMONTH(Z$19,0))+SUMIFS('Allocated Transactions'!$J:$J,'Allocated Transactions'!$D:$D,$B44,'Allocated Transactions'!$C:$C,$B$10,'Allocated Transactions'!$A:$A,"&gt;="&amp;Z$19,'Allocated Transactions'!$A:$A,"&lt;="&amp;EOMONTH(Z$19,0))+SUMIFS('Allocated Transactions'!$J:$J,'Allocated Transactions'!$D:$D,$B44,'Allocated Transactions'!$C:$C,$B$11,'Allocated Transactions'!$A:$A,"&gt;="&amp;Z$19,'Allocated Transactions'!$A:$A,"&lt;="&amp;EOMONTH(Z$19,0))+SUMIFS('Allocated Transactions'!$J:$J,'Allocated Transactions'!$D:$D,$B44,'Allocated Transactions'!$C:$C,$B$2,'Allocated Transactions'!$A:$A,"&gt;="&amp;Z$19,'Allocated Transactions'!$A:$A,"&lt;="&amp;EOMONTH(Z$19,0))+SUMIFS('Allocated Transactions'!$J:$J,'Allocated Transactions'!$D:$D,$B44,'Allocated Transactions'!$C:$C,$B$4,'Allocated Transactions'!$A:$A,"&gt;="&amp;Z$19,'Allocated Transactions'!$A:$A,"&lt;="&amp;EOMONTH(Z$19,0))+SUMIFS('Allocated Transactions'!$J:$J,'Allocated Transactions'!$D:$D,$B44,'Allocated Transactions'!$C:$C,$B$3,'Allocated Transactions'!$A:$A,"&gt;="&amp;Z$19,'Allocated Transactions'!$A:$A,"&lt;="&amp;EOMONTH(Z$19,0))+SUMIFS('Allocated Transactions'!$J:$J,'Allocated Transactions'!$D:$D,$B44,'Allocated Transactions'!$C:$C,$B$5,'Allocated Transactions'!$A:$A,"&gt;="&amp;Z$19,'Allocated Transactions'!$A:$A,"&lt;="&amp;EOMONTH(Z$19,0))+SUMIFS('Allocated Transactions'!$J:$J,'Allocated Transactions'!$D:$D,$B44,'Allocated Transactions'!$C:$C,$B$6,'Allocated Transactions'!$A:$A,"&gt;="&amp;Z$19,'Allocated Transactions'!$A:$A,"&lt;="&amp;EOMONTH(Z$19,0)))</f>
        <v>2450</v>
      </c>
      <c r="AA44" s="84">
        <f>SUMPRODUCT(SUMIFS('Budget Data'!$J:$J,'Budget Data'!$E:$E,$B44,'Budget Data'!$C:$C,$B$7,'Budget Data'!$A:$A,"&gt;="&amp;AA$19,'Budget Data'!$A:$A,"&lt;="&amp;EOMONTH(AA$19,0))+SUMIFS('Budget Data'!$J:$J,'Budget Data'!$E:$E,$B44,'Budget Data'!$C:$C,$B$9,'Budget Data'!$A:$A,"&gt;="&amp;AA$19,'Budget Data'!$A:$A,"&lt;="&amp;EOMONTH(AA$19,0))+SUMIFS('Budget Data'!$J:$J,'Budget Data'!$E:$E,$B44,'Budget Data'!$C:$C,$B$8,'Budget Data'!$A:$A,"&gt;="&amp;AA$19,'Budget Data'!$A:$A,"&lt;="&amp;EOMONTH(AA$19,0))+SUMIFS('Budget Data'!$J:$J,'Budget Data'!$E:$E,$B44,'Budget Data'!$C:$C,$B$10,'Budget Data'!$A:$A,"&gt;="&amp;AA$19,'Budget Data'!$A:$A,"&lt;="&amp;EOMONTH(AA$19,0))+SUMIFS('Budget Data'!$J:$J,'Budget Data'!$E:$E,$B44,'Budget Data'!$C:$C,$B$11,'Budget Data'!$A:$A,"&gt;="&amp;AA$19,'Budget Data'!$A:$A,"&lt;="&amp;EOMONTH(AA$19,0))+SUMIFS('Budget Data'!$J:$J,'Budget Data'!$E:$E,$B44,'Budget Data'!$C:$C,$B$2,'Budget Data'!$A:$A,"&gt;="&amp;AA$19,'Budget Data'!$A:$A,"&lt;="&amp;EOMONTH(AA$19,0))+SUMIFS('Budget Data'!$J:$J,'Budget Data'!$E:$E,$B44,'Budget Data'!$C:$C,$B$4,'Budget Data'!$A:$A,"&gt;="&amp;AA$19,'Budget Data'!$A:$A,"&lt;="&amp;EOMONTH(AA$19,0))+SUMIFS('Budget Data'!$J:$J,'Budget Data'!$E:$E,$B44,'Budget Data'!$C:$C,$B$3,'Budget Data'!$A:$A,"&gt;="&amp;AA$19,'Budget Data'!$A:$A,"&lt;="&amp;EOMONTH(AA$19,0))+SUMIFS('Budget Data'!$J:$J,'Budget Data'!$E:$E,$B44,'Budget Data'!$C:$C,$B$5,'Budget Data'!$A:$A,"&gt;="&amp;AA$19,'Budget Data'!$A:$A,"&lt;="&amp;EOMONTH(AA$19,0))+SUMIFS('Budget Data'!$J:$J,'Budget Data'!$E:$E,$B44,'Budget Data'!$C:$C,$B$6,'Budget Data'!$A:$A,"&gt;="&amp;AA$19,'Budget Data'!$A:$A,"&lt;="&amp;EOMONTH(AA$19,0)))</f>
        <v>2400</v>
      </c>
      <c r="AC44" s="87">
        <f t="shared" si="2"/>
        <v>29400</v>
      </c>
      <c r="AD44" s="84">
        <f t="shared" si="2"/>
        <v>28800</v>
      </c>
    </row>
    <row r="45" spans="2:30" ht="15" customHeight="1">
      <c r="B45" s="12" t="str">
        <v>5800</v>
      </c>
      <c r="C45" s="160" t="str">
        <f>_xlfn.XLOOKUP(B45,'Allocated Transactions'!D:D,'Allocated Transactions'!E:E,"")</f>
        <v>Bank Fees</v>
      </c>
      <c r="D45" s="86">
        <f>SUMPRODUCT(SUMIFS('Allocated Transactions'!$J:$J,'Allocated Transactions'!$D:$D,$B45,'Allocated Transactions'!$C:$C,$B$7,'Allocated Transactions'!$A:$A,"&gt;="&amp;D$19,'Allocated Transactions'!$A:$A,"&lt;="&amp;EOMONTH(D$19,0))+SUMIFS('Allocated Transactions'!$J:$J,'Allocated Transactions'!$D:$D,$B45,'Allocated Transactions'!$C:$C,$B$9,'Allocated Transactions'!$A:$A,"&gt;="&amp;D$19,'Allocated Transactions'!$A:$A,"&lt;="&amp;EOMONTH(D$19,0))+SUMIFS('Allocated Transactions'!$J:$J,'Allocated Transactions'!$D:$D,$B45,'Allocated Transactions'!$C:$C,$B$8,'Allocated Transactions'!$A:$A,"&gt;="&amp;D$19,'Allocated Transactions'!$A:$A,"&lt;="&amp;EOMONTH(D$19,0))+SUMIFS('Allocated Transactions'!$J:$J,'Allocated Transactions'!$D:$D,$B45,'Allocated Transactions'!$C:$C,$B$10,'Allocated Transactions'!$A:$A,"&gt;="&amp;D$19,'Allocated Transactions'!$A:$A,"&lt;="&amp;EOMONTH(D$19,0))+SUMIFS('Allocated Transactions'!$J:$J,'Allocated Transactions'!$D:$D,$B45,'Allocated Transactions'!$C:$C,$B$11,'Allocated Transactions'!$A:$A,"&gt;="&amp;D$19,'Allocated Transactions'!$A:$A,"&lt;="&amp;EOMONTH(D$19,0))+SUMIFS('Allocated Transactions'!$J:$J,'Allocated Transactions'!$D:$D,$B45,'Allocated Transactions'!$C:$C,$B$2,'Allocated Transactions'!$A:$A,"&gt;="&amp;D$19,'Allocated Transactions'!$A:$A,"&lt;="&amp;EOMONTH(D$19,0))+SUMIFS('Allocated Transactions'!$J:$J,'Allocated Transactions'!$D:$D,$B45,'Allocated Transactions'!$C:$C,$B$4,'Allocated Transactions'!$A:$A,"&gt;="&amp;D$19,'Allocated Transactions'!$A:$A,"&lt;="&amp;EOMONTH(D$19,0))+SUMIFS('Allocated Transactions'!$J:$J,'Allocated Transactions'!$D:$D,$B45,'Allocated Transactions'!$C:$C,$B$3,'Allocated Transactions'!$A:$A,"&gt;="&amp;D$19,'Allocated Transactions'!$A:$A,"&lt;="&amp;EOMONTH(D$19,0))+SUMIFS('Allocated Transactions'!$J:$J,'Allocated Transactions'!$D:$D,$B45,'Allocated Transactions'!$C:$C,$B$5,'Allocated Transactions'!$A:$A,"&gt;="&amp;D$19,'Allocated Transactions'!$A:$A,"&lt;="&amp;EOMONTH(D$19,0))+SUMIFS('Allocated Transactions'!$J:$J,'Allocated Transactions'!$D:$D,$B45,'Allocated Transactions'!$C:$C,$B$6,'Allocated Transactions'!$A:$A,"&gt;="&amp;D$19,'Allocated Transactions'!$A:$A,"&lt;="&amp;EOMONTH(D$19,0)))</f>
        <v>82.71</v>
      </c>
      <c r="E45" s="84">
        <f>SUMPRODUCT(SUMIFS('Budget Data'!$J:$J,'Budget Data'!$E:$E,$B45,'Budget Data'!$C:$C,$B$7,'Budget Data'!$A:$A,"&gt;="&amp;E$19,'Budget Data'!$A:$A,"&lt;="&amp;EOMONTH(E$19,0))+SUMIFS('Budget Data'!$J:$J,'Budget Data'!$E:$E,$B45,'Budget Data'!$C:$C,$B$9,'Budget Data'!$A:$A,"&gt;="&amp;E$19,'Budget Data'!$A:$A,"&lt;="&amp;EOMONTH(E$19,0))+SUMIFS('Budget Data'!$J:$J,'Budget Data'!$E:$E,$B45,'Budget Data'!$C:$C,$B$8,'Budget Data'!$A:$A,"&gt;="&amp;E$19,'Budget Data'!$A:$A,"&lt;="&amp;EOMONTH(E$19,0))+SUMIFS('Budget Data'!$J:$J,'Budget Data'!$E:$E,$B45,'Budget Data'!$C:$C,$B$10,'Budget Data'!$A:$A,"&gt;="&amp;E$19,'Budget Data'!$A:$A,"&lt;="&amp;EOMONTH(E$19,0))+SUMIFS('Budget Data'!$J:$J,'Budget Data'!$E:$E,$B45,'Budget Data'!$C:$C,$B$11,'Budget Data'!$A:$A,"&gt;="&amp;E$19,'Budget Data'!$A:$A,"&lt;="&amp;EOMONTH(E$19,0))+SUMIFS('Budget Data'!$J:$J,'Budget Data'!$E:$E,$B45,'Budget Data'!$C:$C,$B$2,'Budget Data'!$A:$A,"&gt;="&amp;E$19,'Budget Data'!$A:$A,"&lt;="&amp;EOMONTH(E$19,0))+SUMIFS('Budget Data'!$J:$J,'Budget Data'!$E:$E,$B45,'Budget Data'!$C:$C,$B$4,'Budget Data'!$A:$A,"&gt;="&amp;E$19,'Budget Data'!$A:$A,"&lt;="&amp;EOMONTH(E$19,0))+SUMIFS('Budget Data'!$J:$J,'Budget Data'!$E:$E,$B45,'Budget Data'!$C:$C,$B$3,'Budget Data'!$A:$A,"&gt;="&amp;E$19,'Budget Data'!$A:$A,"&lt;="&amp;EOMONTH(E$19,0))+SUMIFS('Budget Data'!$J:$J,'Budget Data'!$E:$E,$B45,'Budget Data'!$C:$C,$B$5,'Budget Data'!$A:$A,"&gt;="&amp;E$19,'Budget Data'!$A:$A,"&lt;="&amp;EOMONTH(E$19,0))+SUMIFS('Budget Data'!$J:$J,'Budget Data'!$E:$E,$B45,'Budget Data'!$C:$C,$B$6,'Budget Data'!$A:$A,"&gt;="&amp;E$19,'Budget Data'!$A:$A,"&lt;="&amp;EOMONTH(E$19,0)))</f>
        <v>100</v>
      </c>
      <c r="F45" s="86">
        <f>SUMPRODUCT(SUMIFS('Allocated Transactions'!$J:$J,'Allocated Transactions'!$D:$D,$B45,'Allocated Transactions'!$C:$C,$B$7,'Allocated Transactions'!$A:$A,"&gt;="&amp;F$19,'Allocated Transactions'!$A:$A,"&lt;="&amp;EOMONTH(F$19,0))+SUMIFS('Allocated Transactions'!$J:$J,'Allocated Transactions'!$D:$D,$B45,'Allocated Transactions'!$C:$C,$B$9,'Allocated Transactions'!$A:$A,"&gt;="&amp;F$19,'Allocated Transactions'!$A:$A,"&lt;="&amp;EOMONTH(F$19,0))+SUMIFS('Allocated Transactions'!$J:$J,'Allocated Transactions'!$D:$D,$B45,'Allocated Transactions'!$C:$C,$B$8,'Allocated Transactions'!$A:$A,"&gt;="&amp;F$19,'Allocated Transactions'!$A:$A,"&lt;="&amp;EOMONTH(F$19,0))+SUMIFS('Allocated Transactions'!$J:$J,'Allocated Transactions'!$D:$D,$B45,'Allocated Transactions'!$C:$C,$B$10,'Allocated Transactions'!$A:$A,"&gt;="&amp;F$19,'Allocated Transactions'!$A:$A,"&lt;="&amp;EOMONTH(F$19,0))+SUMIFS('Allocated Transactions'!$J:$J,'Allocated Transactions'!$D:$D,$B45,'Allocated Transactions'!$C:$C,$B$11,'Allocated Transactions'!$A:$A,"&gt;="&amp;F$19,'Allocated Transactions'!$A:$A,"&lt;="&amp;EOMONTH(F$19,0))+SUMIFS('Allocated Transactions'!$J:$J,'Allocated Transactions'!$D:$D,$B45,'Allocated Transactions'!$C:$C,$B$2,'Allocated Transactions'!$A:$A,"&gt;="&amp;F$19,'Allocated Transactions'!$A:$A,"&lt;="&amp;EOMONTH(F$19,0))+SUMIFS('Allocated Transactions'!$J:$J,'Allocated Transactions'!$D:$D,$B45,'Allocated Transactions'!$C:$C,$B$4,'Allocated Transactions'!$A:$A,"&gt;="&amp;F$19,'Allocated Transactions'!$A:$A,"&lt;="&amp;EOMONTH(F$19,0))+SUMIFS('Allocated Transactions'!$J:$J,'Allocated Transactions'!$D:$D,$B45,'Allocated Transactions'!$C:$C,$B$3,'Allocated Transactions'!$A:$A,"&gt;="&amp;F$19,'Allocated Transactions'!$A:$A,"&lt;="&amp;EOMONTH(F$19,0))+SUMIFS('Allocated Transactions'!$J:$J,'Allocated Transactions'!$D:$D,$B45,'Allocated Transactions'!$C:$C,$B$5,'Allocated Transactions'!$A:$A,"&gt;="&amp;F$19,'Allocated Transactions'!$A:$A,"&lt;="&amp;EOMONTH(F$19,0))+SUMIFS('Allocated Transactions'!$J:$J,'Allocated Transactions'!$D:$D,$B45,'Allocated Transactions'!$C:$C,$B$6,'Allocated Transactions'!$A:$A,"&gt;="&amp;F$19,'Allocated Transactions'!$A:$A,"&lt;="&amp;EOMONTH(F$19,0)))</f>
        <v>108.25</v>
      </c>
      <c r="G45" s="84">
        <f>SUMPRODUCT(SUMIFS('Budget Data'!$J:$J,'Budget Data'!$E:$E,$B45,'Budget Data'!$C:$C,$B$7,'Budget Data'!$A:$A,"&gt;="&amp;G$19,'Budget Data'!$A:$A,"&lt;="&amp;EOMONTH(G$19,0))+SUMIFS('Budget Data'!$J:$J,'Budget Data'!$E:$E,$B45,'Budget Data'!$C:$C,$B$9,'Budget Data'!$A:$A,"&gt;="&amp;G$19,'Budget Data'!$A:$A,"&lt;="&amp;EOMONTH(G$19,0))+SUMIFS('Budget Data'!$J:$J,'Budget Data'!$E:$E,$B45,'Budget Data'!$C:$C,$B$8,'Budget Data'!$A:$A,"&gt;="&amp;G$19,'Budget Data'!$A:$A,"&lt;="&amp;EOMONTH(G$19,0))+SUMIFS('Budget Data'!$J:$J,'Budget Data'!$E:$E,$B45,'Budget Data'!$C:$C,$B$10,'Budget Data'!$A:$A,"&gt;="&amp;G$19,'Budget Data'!$A:$A,"&lt;="&amp;EOMONTH(G$19,0))+SUMIFS('Budget Data'!$J:$J,'Budget Data'!$E:$E,$B45,'Budget Data'!$C:$C,$B$11,'Budget Data'!$A:$A,"&gt;="&amp;G$19,'Budget Data'!$A:$A,"&lt;="&amp;EOMONTH(G$19,0))+SUMIFS('Budget Data'!$J:$J,'Budget Data'!$E:$E,$B45,'Budget Data'!$C:$C,$B$2,'Budget Data'!$A:$A,"&gt;="&amp;G$19,'Budget Data'!$A:$A,"&lt;="&amp;EOMONTH(G$19,0))+SUMIFS('Budget Data'!$J:$J,'Budget Data'!$E:$E,$B45,'Budget Data'!$C:$C,$B$4,'Budget Data'!$A:$A,"&gt;="&amp;G$19,'Budget Data'!$A:$A,"&lt;="&amp;EOMONTH(G$19,0))+SUMIFS('Budget Data'!$J:$J,'Budget Data'!$E:$E,$B45,'Budget Data'!$C:$C,$B$3,'Budget Data'!$A:$A,"&gt;="&amp;G$19,'Budget Data'!$A:$A,"&lt;="&amp;EOMONTH(G$19,0))+SUMIFS('Budget Data'!$J:$J,'Budget Data'!$E:$E,$B45,'Budget Data'!$C:$C,$B$5,'Budget Data'!$A:$A,"&gt;="&amp;G$19,'Budget Data'!$A:$A,"&lt;="&amp;EOMONTH(G$19,0))+SUMIFS('Budget Data'!$J:$J,'Budget Data'!$E:$E,$B45,'Budget Data'!$C:$C,$B$6,'Budget Data'!$A:$A,"&gt;="&amp;G$19,'Budget Data'!$A:$A,"&lt;="&amp;EOMONTH(G$19,0)))</f>
        <v>100</v>
      </c>
      <c r="H45" s="86">
        <f>SUMPRODUCT(SUMIFS('Allocated Transactions'!$J:$J,'Allocated Transactions'!$D:$D,$B45,'Allocated Transactions'!$C:$C,$B$7,'Allocated Transactions'!$A:$A,"&gt;="&amp;H$19,'Allocated Transactions'!$A:$A,"&lt;="&amp;EOMONTH(H$19,0))+SUMIFS('Allocated Transactions'!$J:$J,'Allocated Transactions'!$D:$D,$B45,'Allocated Transactions'!$C:$C,$B$9,'Allocated Transactions'!$A:$A,"&gt;="&amp;H$19,'Allocated Transactions'!$A:$A,"&lt;="&amp;EOMONTH(H$19,0))+SUMIFS('Allocated Transactions'!$J:$J,'Allocated Transactions'!$D:$D,$B45,'Allocated Transactions'!$C:$C,$B$8,'Allocated Transactions'!$A:$A,"&gt;="&amp;H$19,'Allocated Transactions'!$A:$A,"&lt;="&amp;EOMONTH(H$19,0))+SUMIFS('Allocated Transactions'!$J:$J,'Allocated Transactions'!$D:$D,$B45,'Allocated Transactions'!$C:$C,$B$10,'Allocated Transactions'!$A:$A,"&gt;="&amp;H$19,'Allocated Transactions'!$A:$A,"&lt;="&amp;EOMONTH(H$19,0))+SUMIFS('Allocated Transactions'!$J:$J,'Allocated Transactions'!$D:$D,$B45,'Allocated Transactions'!$C:$C,$B$11,'Allocated Transactions'!$A:$A,"&gt;="&amp;H$19,'Allocated Transactions'!$A:$A,"&lt;="&amp;EOMONTH(H$19,0))+SUMIFS('Allocated Transactions'!$J:$J,'Allocated Transactions'!$D:$D,$B45,'Allocated Transactions'!$C:$C,$B$2,'Allocated Transactions'!$A:$A,"&gt;="&amp;H$19,'Allocated Transactions'!$A:$A,"&lt;="&amp;EOMONTH(H$19,0))+SUMIFS('Allocated Transactions'!$J:$J,'Allocated Transactions'!$D:$D,$B45,'Allocated Transactions'!$C:$C,$B$4,'Allocated Transactions'!$A:$A,"&gt;="&amp;H$19,'Allocated Transactions'!$A:$A,"&lt;="&amp;EOMONTH(H$19,0))+SUMIFS('Allocated Transactions'!$J:$J,'Allocated Transactions'!$D:$D,$B45,'Allocated Transactions'!$C:$C,$B$3,'Allocated Transactions'!$A:$A,"&gt;="&amp;H$19,'Allocated Transactions'!$A:$A,"&lt;="&amp;EOMONTH(H$19,0))+SUMIFS('Allocated Transactions'!$J:$J,'Allocated Transactions'!$D:$D,$B45,'Allocated Transactions'!$C:$C,$B$5,'Allocated Transactions'!$A:$A,"&gt;="&amp;H$19,'Allocated Transactions'!$A:$A,"&lt;="&amp;EOMONTH(H$19,0))+SUMIFS('Allocated Transactions'!$J:$J,'Allocated Transactions'!$D:$D,$B45,'Allocated Transactions'!$C:$C,$B$6,'Allocated Transactions'!$A:$A,"&gt;="&amp;H$19,'Allocated Transactions'!$A:$A,"&lt;="&amp;EOMONTH(H$19,0)))</f>
        <v>93.19</v>
      </c>
      <c r="I45" s="84">
        <f>SUMPRODUCT(SUMIFS('Budget Data'!$J:$J,'Budget Data'!$E:$E,$B45,'Budget Data'!$C:$C,$B$7,'Budget Data'!$A:$A,"&gt;="&amp;I$19,'Budget Data'!$A:$A,"&lt;="&amp;EOMONTH(I$19,0))+SUMIFS('Budget Data'!$J:$J,'Budget Data'!$E:$E,$B45,'Budget Data'!$C:$C,$B$9,'Budget Data'!$A:$A,"&gt;="&amp;I$19,'Budget Data'!$A:$A,"&lt;="&amp;EOMONTH(I$19,0))+SUMIFS('Budget Data'!$J:$J,'Budget Data'!$E:$E,$B45,'Budget Data'!$C:$C,$B$8,'Budget Data'!$A:$A,"&gt;="&amp;I$19,'Budget Data'!$A:$A,"&lt;="&amp;EOMONTH(I$19,0))+SUMIFS('Budget Data'!$J:$J,'Budget Data'!$E:$E,$B45,'Budget Data'!$C:$C,$B$10,'Budget Data'!$A:$A,"&gt;="&amp;I$19,'Budget Data'!$A:$A,"&lt;="&amp;EOMONTH(I$19,0))+SUMIFS('Budget Data'!$J:$J,'Budget Data'!$E:$E,$B45,'Budget Data'!$C:$C,$B$11,'Budget Data'!$A:$A,"&gt;="&amp;I$19,'Budget Data'!$A:$A,"&lt;="&amp;EOMONTH(I$19,0))+SUMIFS('Budget Data'!$J:$J,'Budget Data'!$E:$E,$B45,'Budget Data'!$C:$C,$B$2,'Budget Data'!$A:$A,"&gt;="&amp;I$19,'Budget Data'!$A:$A,"&lt;="&amp;EOMONTH(I$19,0))+SUMIFS('Budget Data'!$J:$J,'Budget Data'!$E:$E,$B45,'Budget Data'!$C:$C,$B$4,'Budget Data'!$A:$A,"&gt;="&amp;I$19,'Budget Data'!$A:$A,"&lt;="&amp;EOMONTH(I$19,0))+SUMIFS('Budget Data'!$J:$J,'Budget Data'!$E:$E,$B45,'Budget Data'!$C:$C,$B$3,'Budget Data'!$A:$A,"&gt;="&amp;I$19,'Budget Data'!$A:$A,"&lt;="&amp;EOMONTH(I$19,0))+SUMIFS('Budget Data'!$J:$J,'Budget Data'!$E:$E,$B45,'Budget Data'!$C:$C,$B$5,'Budget Data'!$A:$A,"&gt;="&amp;I$19,'Budget Data'!$A:$A,"&lt;="&amp;EOMONTH(I$19,0))+SUMIFS('Budget Data'!$J:$J,'Budget Data'!$E:$E,$B45,'Budget Data'!$C:$C,$B$6,'Budget Data'!$A:$A,"&gt;="&amp;I$19,'Budget Data'!$A:$A,"&lt;="&amp;EOMONTH(I$19,0)))</f>
        <v>100</v>
      </c>
      <c r="J45" s="86">
        <f>SUMPRODUCT(SUMIFS('Allocated Transactions'!$J:$J,'Allocated Transactions'!$D:$D,$B45,'Allocated Transactions'!$C:$C,$B$7,'Allocated Transactions'!$A:$A,"&gt;="&amp;J$19,'Allocated Transactions'!$A:$A,"&lt;="&amp;EOMONTH(J$19,0))+SUMIFS('Allocated Transactions'!$J:$J,'Allocated Transactions'!$D:$D,$B45,'Allocated Transactions'!$C:$C,$B$9,'Allocated Transactions'!$A:$A,"&gt;="&amp;J$19,'Allocated Transactions'!$A:$A,"&lt;="&amp;EOMONTH(J$19,0))+SUMIFS('Allocated Transactions'!$J:$J,'Allocated Transactions'!$D:$D,$B45,'Allocated Transactions'!$C:$C,$B$8,'Allocated Transactions'!$A:$A,"&gt;="&amp;J$19,'Allocated Transactions'!$A:$A,"&lt;="&amp;EOMONTH(J$19,0))+SUMIFS('Allocated Transactions'!$J:$J,'Allocated Transactions'!$D:$D,$B45,'Allocated Transactions'!$C:$C,$B$10,'Allocated Transactions'!$A:$A,"&gt;="&amp;J$19,'Allocated Transactions'!$A:$A,"&lt;="&amp;EOMONTH(J$19,0))+SUMIFS('Allocated Transactions'!$J:$J,'Allocated Transactions'!$D:$D,$B45,'Allocated Transactions'!$C:$C,$B$11,'Allocated Transactions'!$A:$A,"&gt;="&amp;J$19,'Allocated Transactions'!$A:$A,"&lt;="&amp;EOMONTH(J$19,0))+SUMIFS('Allocated Transactions'!$J:$J,'Allocated Transactions'!$D:$D,$B45,'Allocated Transactions'!$C:$C,$B$2,'Allocated Transactions'!$A:$A,"&gt;="&amp;J$19,'Allocated Transactions'!$A:$A,"&lt;="&amp;EOMONTH(J$19,0))+SUMIFS('Allocated Transactions'!$J:$J,'Allocated Transactions'!$D:$D,$B45,'Allocated Transactions'!$C:$C,$B$4,'Allocated Transactions'!$A:$A,"&gt;="&amp;J$19,'Allocated Transactions'!$A:$A,"&lt;="&amp;EOMONTH(J$19,0))+SUMIFS('Allocated Transactions'!$J:$J,'Allocated Transactions'!$D:$D,$B45,'Allocated Transactions'!$C:$C,$B$3,'Allocated Transactions'!$A:$A,"&gt;="&amp;J$19,'Allocated Transactions'!$A:$A,"&lt;="&amp;EOMONTH(J$19,0))+SUMIFS('Allocated Transactions'!$J:$J,'Allocated Transactions'!$D:$D,$B45,'Allocated Transactions'!$C:$C,$B$5,'Allocated Transactions'!$A:$A,"&gt;="&amp;J$19,'Allocated Transactions'!$A:$A,"&lt;="&amp;EOMONTH(J$19,0))+SUMIFS('Allocated Transactions'!$J:$J,'Allocated Transactions'!$D:$D,$B45,'Allocated Transactions'!$C:$C,$B$6,'Allocated Transactions'!$A:$A,"&gt;="&amp;J$19,'Allocated Transactions'!$A:$A,"&lt;="&amp;EOMONTH(J$19,0)))</f>
        <v>78.31</v>
      </c>
      <c r="K45" s="84">
        <f>SUMPRODUCT(SUMIFS('Budget Data'!$J:$J,'Budget Data'!$E:$E,$B45,'Budget Data'!$C:$C,$B$7,'Budget Data'!$A:$A,"&gt;="&amp;K$19,'Budget Data'!$A:$A,"&lt;="&amp;EOMONTH(K$19,0))+SUMIFS('Budget Data'!$J:$J,'Budget Data'!$E:$E,$B45,'Budget Data'!$C:$C,$B$9,'Budget Data'!$A:$A,"&gt;="&amp;K$19,'Budget Data'!$A:$A,"&lt;="&amp;EOMONTH(K$19,0))+SUMIFS('Budget Data'!$J:$J,'Budget Data'!$E:$E,$B45,'Budget Data'!$C:$C,$B$8,'Budget Data'!$A:$A,"&gt;="&amp;K$19,'Budget Data'!$A:$A,"&lt;="&amp;EOMONTH(K$19,0))+SUMIFS('Budget Data'!$J:$J,'Budget Data'!$E:$E,$B45,'Budget Data'!$C:$C,$B$10,'Budget Data'!$A:$A,"&gt;="&amp;K$19,'Budget Data'!$A:$A,"&lt;="&amp;EOMONTH(K$19,0))+SUMIFS('Budget Data'!$J:$J,'Budget Data'!$E:$E,$B45,'Budget Data'!$C:$C,$B$11,'Budget Data'!$A:$A,"&gt;="&amp;K$19,'Budget Data'!$A:$A,"&lt;="&amp;EOMONTH(K$19,0))+SUMIFS('Budget Data'!$J:$J,'Budget Data'!$E:$E,$B45,'Budget Data'!$C:$C,$B$2,'Budget Data'!$A:$A,"&gt;="&amp;K$19,'Budget Data'!$A:$A,"&lt;="&amp;EOMONTH(K$19,0))+SUMIFS('Budget Data'!$J:$J,'Budget Data'!$E:$E,$B45,'Budget Data'!$C:$C,$B$4,'Budget Data'!$A:$A,"&gt;="&amp;K$19,'Budget Data'!$A:$A,"&lt;="&amp;EOMONTH(K$19,0))+SUMIFS('Budget Data'!$J:$J,'Budget Data'!$E:$E,$B45,'Budget Data'!$C:$C,$B$3,'Budget Data'!$A:$A,"&gt;="&amp;K$19,'Budget Data'!$A:$A,"&lt;="&amp;EOMONTH(K$19,0))+SUMIFS('Budget Data'!$J:$J,'Budget Data'!$E:$E,$B45,'Budget Data'!$C:$C,$B$5,'Budget Data'!$A:$A,"&gt;="&amp;K$19,'Budget Data'!$A:$A,"&lt;="&amp;EOMONTH(K$19,0))+SUMIFS('Budget Data'!$J:$J,'Budget Data'!$E:$E,$B45,'Budget Data'!$C:$C,$B$6,'Budget Data'!$A:$A,"&gt;="&amp;K$19,'Budget Data'!$A:$A,"&lt;="&amp;EOMONTH(K$19,0)))</f>
        <v>100</v>
      </c>
      <c r="L45" s="86">
        <f>SUMPRODUCT(SUMIFS('Allocated Transactions'!$J:$J,'Allocated Transactions'!$D:$D,$B45,'Allocated Transactions'!$C:$C,$B$7,'Allocated Transactions'!$A:$A,"&gt;="&amp;L$19,'Allocated Transactions'!$A:$A,"&lt;="&amp;EOMONTH(L$19,0))+SUMIFS('Allocated Transactions'!$J:$J,'Allocated Transactions'!$D:$D,$B45,'Allocated Transactions'!$C:$C,$B$9,'Allocated Transactions'!$A:$A,"&gt;="&amp;L$19,'Allocated Transactions'!$A:$A,"&lt;="&amp;EOMONTH(L$19,0))+SUMIFS('Allocated Transactions'!$J:$J,'Allocated Transactions'!$D:$D,$B45,'Allocated Transactions'!$C:$C,$B$8,'Allocated Transactions'!$A:$A,"&gt;="&amp;L$19,'Allocated Transactions'!$A:$A,"&lt;="&amp;EOMONTH(L$19,0))+SUMIFS('Allocated Transactions'!$J:$J,'Allocated Transactions'!$D:$D,$B45,'Allocated Transactions'!$C:$C,$B$10,'Allocated Transactions'!$A:$A,"&gt;="&amp;L$19,'Allocated Transactions'!$A:$A,"&lt;="&amp;EOMONTH(L$19,0))+SUMIFS('Allocated Transactions'!$J:$J,'Allocated Transactions'!$D:$D,$B45,'Allocated Transactions'!$C:$C,$B$11,'Allocated Transactions'!$A:$A,"&gt;="&amp;L$19,'Allocated Transactions'!$A:$A,"&lt;="&amp;EOMONTH(L$19,0))+SUMIFS('Allocated Transactions'!$J:$J,'Allocated Transactions'!$D:$D,$B45,'Allocated Transactions'!$C:$C,$B$2,'Allocated Transactions'!$A:$A,"&gt;="&amp;L$19,'Allocated Transactions'!$A:$A,"&lt;="&amp;EOMONTH(L$19,0))+SUMIFS('Allocated Transactions'!$J:$J,'Allocated Transactions'!$D:$D,$B45,'Allocated Transactions'!$C:$C,$B$4,'Allocated Transactions'!$A:$A,"&gt;="&amp;L$19,'Allocated Transactions'!$A:$A,"&lt;="&amp;EOMONTH(L$19,0))+SUMIFS('Allocated Transactions'!$J:$J,'Allocated Transactions'!$D:$D,$B45,'Allocated Transactions'!$C:$C,$B$3,'Allocated Transactions'!$A:$A,"&gt;="&amp;L$19,'Allocated Transactions'!$A:$A,"&lt;="&amp;EOMONTH(L$19,0))+SUMIFS('Allocated Transactions'!$J:$J,'Allocated Transactions'!$D:$D,$B45,'Allocated Transactions'!$C:$C,$B$5,'Allocated Transactions'!$A:$A,"&gt;="&amp;L$19,'Allocated Transactions'!$A:$A,"&lt;="&amp;EOMONTH(L$19,0))+SUMIFS('Allocated Transactions'!$J:$J,'Allocated Transactions'!$D:$D,$B45,'Allocated Transactions'!$C:$C,$B$6,'Allocated Transactions'!$A:$A,"&gt;="&amp;L$19,'Allocated Transactions'!$A:$A,"&lt;="&amp;EOMONTH(L$19,0)))</f>
        <v>78.150000000000006</v>
      </c>
      <c r="M45" s="84">
        <f>SUMPRODUCT(SUMIFS('Budget Data'!$J:$J,'Budget Data'!$E:$E,$B45,'Budget Data'!$C:$C,$B$7,'Budget Data'!$A:$A,"&gt;="&amp;M$19,'Budget Data'!$A:$A,"&lt;="&amp;EOMONTH(M$19,0))+SUMIFS('Budget Data'!$J:$J,'Budget Data'!$E:$E,$B45,'Budget Data'!$C:$C,$B$9,'Budget Data'!$A:$A,"&gt;="&amp;M$19,'Budget Data'!$A:$A,"&lt;="&amp;EOMONTH(M$19,0))+SUMIFS('Budget Data'!$J:$J,'Budget Data'!$E:$E,$B45,'Budget Data'!$C:$C,$B$8,'Budget Data'!$A:$A,"&gt;="&amp;M$19,'Budget Data'!$A:$A,"&lt;="&amp;EOMONTH(M$19,0))+SUMIFS('Budget Data'!$J:$J,'Budget Data'!$E:$E,$B45,'Budget Data'!$C:$C,$B$10,'Budget Data'!$A:$A,"&gt;="&amp;M$19,'Budget Data'!$A:$A,"&lt;="&amp;EOMONTH(M$19,0))+SUMIFS('Budget Data'!$J:$J,'Budget Data'!$E:$E,$B45,'Budget Data'!$C:$C,$B$11,'Budget Data'!$A:$A,"&gt;="&amp;M$19,'Budget Data'!$A:$A,"&lt;="&amp;EOMONTH(M$19,0))+SUMIFS('Budget Data'!$J:$J,'Budget Data'!$E:$E,$B45,'Budget Data'!$C:$C,$B$2,'Budget Data'!$A:$A,"&gt;="&amp;M$19,'Budget Data'!$A:$A,"&lt;="&amp;EOMONTH(M$19,0))+SUMIFS('Budget Data'!$J:$J,'Budget Data'!$E:$E,$B45,'Budget Data'!$C:$C,$B$4,'Budget Data'!$A:$A,"&gt;="&amp;M$19,'Budget Data'!$A:$A,"&lt;="&amp;EOMONTH(M$19,0))+SUMIFS('Budget Data'!$J:$J,'Budget Data'!$E:$E,$B45,'Budget Data'!$C:$C,$B$3,'Budget Data'!$A:$A,"&gt;="&amp;M$19,'Budget Data'!$A:$A,"&lt;="&amp;EOMONTH(M$19,0))+SUMIFS('Budget Data'!$J:$J,'Budget Data'!$E:$E,$B45,'Budget Data'!$C:$C,$B$5,'Budget Data'!$A:$A,"&gt;="&amp;M$19,'Budget Data'!$A:$A,"&lt;="&amp;EOMONTH(M$19,0))+SUMIFS('Budget Data'!$J:$J,'Budget Data'!$E:$E,$B45,'Budget Data'!$C:$C,$B$6,'Budget Data'!$A:$A,"&gt;="&amp;M$19,'Budget Data'!$A:$A,"&lt;="&amp;EOMONTH(M$19,0)))</f>
        <v>100</v>
      </c>
      <c r="N45" s="86">
        <f>SUMPRODUCT(SUMIFS('Allocated Transactions'!$J:$J,'Allocated Transactions'!$D:$D,$B45,'Allocated Transactions'!$C:$C,$B$7,'Allocated Transactions'!$A:$A,"&gt;="&amp;N$19,'Allocated Transactions'!$A:$A,"&lt;="&amp;EOMONTH(N$19,0))+SUMIFS('Allocated Transactions'!$J:$J,'Allocated Transactions'!$D:$D,$B45,'Allocated Transactions'!$C:$C,$B$9,'Allocated Transactions'!$A:$A,"&gt;="&amp;N$19,'Allocated Transactions'!$A:$A,"&lt;="&amp;EOMONTH(N$19,0))+SUMIFS('Allocated Transactions'!$J:$J,'Allocated Transactions'!$D:$D,$B45,'Allocated Transactions'!$C:$C,$B$8,'Allocated Transactions'!$A:$A,"&gt;="&amp;N$19,'Allocated Transactions'!$A:$A,"&lt;="&amp;EOMONTH(N$19,0))+SUMIFS('Allocated Transactions'!$J:$J,'Allocated Transactions'!$D:$D,$B45,'Allocated Transactions'!$C:$C,$B$10,'Allocated Transactions'!$A:$A,"&gt;="&amp;N$19,'Allocated Transactions'!$A:$A,"&lt;="&amp;EOMONTH(N$19,0))+SUMIFS('Allocated Transactions'!$J:$J,'Allocated Transactions'!$D:$D,$B45,'Allocated Transactions'!$C:$C,$B$11,'Allocated Transactions'!$A:$A,"&gt;="&amp;N$19,'Allocated Transactions'!$A:$A,"&lt;="&amp;EOMONTH(N$19,0))+SUMIFS('Allocated Transactions'!$J:$J,'Allocated Transactions'!$D:$D,$B45,'Allocated Transactions'!$C:$C,$B$2,'Allocated Transactions'!$A:$A,"&gt;="&amp;N$19,'Allocated Transactions'!$A:$A,"&lt;="&amp;EOMONTH(N$19,0))+SUMIFS('Allocated Transactions'!$J:$J,'Allocated Transactions'!$D:$D,$B45,'Allocated Transactions'!$C:$C,$B$4,'Allocated Transactions'!$A:$A,"&gt;="&amp;N$19,'Allocated Transactions'!$A:$A,"&lt;="&amp;EOMONTH(N$19,0))+SUMIFS('Allocated Transactions'!$J:$J,'Allocated Transactions'!$D:$D,$B45,'Allocated Transactions'!$C:$C,$B$3,'Allocated Transactions'!$A:$A,"&gt;="&amp;N$19,'Allocated Transactions'!$A:$A,"&lt;="&amp;EOMONTH(N$19,0))+SUMIFS('Allocated Transactions'!$J:$J,'Allocated Transactions'!$D:$D,$B45,'Allocated Transactions'!$C:$C,$B$5,'Allocated Transactions'!$A:$A,"&gt;="&amp;N$19,'Allocated Transactions'!$A:$A,"&lt;="&amp;EOMONTH(N$19,0))+SUMIFS('Allocated Transactions'!$J:$J,'Allocated Transactions'!$D:$D,$B45,'Allocated Transactions'!$C:$C,$B$6,'Allocated Transactions'!$A:$A,"&gt;="&amp;N$19,'Allocated Transactions'!$A:$A,"&lt;="&amp;EOMONTH(N$19,0)))</f>
        <v>81.73</v>
      </c>
      <c r="O45" s="84">
        <f>SUMPRODUCT(SUMIFS('Budget Data'!$J:$J,'Budget Data'!$E:$E,$B45,'Budget Data'!$C:$C,$B$7,'Budget Data'!$A:$A,"&gt;="&amp;O$19,'Budget Data'!$A:$A,"&lt;="&amp;EOMONTH(O$19,0))+SUMIFS('Budget Data'!$J:$J,'Budget Data'!$E:$E,$B45,'Budget Data'!$C:$C,$B$9,'Budget Data'!$A:$A,"&gt;="&amp;O$19,'Budget Data'!$A:$A,"&lt;="&amp;EOMONTH(O$19,0))+SUMIFS('Budget Data'!$J:$J,'Budget Data'!$E:$E,$B45,'Budget Data'!$C:$C,$B$8,'Budget Data'!$A:$A,"&gt;="&amp;O$19,'Budget Data'!$A:$A,"&lt;="&amp;EOMONTH(O$19,0))+SUMIFS('Budget Data'!$J:$J,'Budget Data'!$E:$E,$B45,'Budget Data'!$C:$C,$B$10,'Budget Data'!$A:$A,"&gt;="&amp;O$19,'Budget Data'!$A:$A,"&lt;="&amp;EOMONTH(O$19,0))+SUMIFS('Budget Data'!$J:$J,'Budget Data'!$E:$E,$B45,'Budget Data'!$C:$C,$B$11,'Budget Data'!$A:$A,"&gt;="&amp;O$19,'Budget Data'!$A:$A,"&lt;="&amp;EOMONTH(O$19,0))+SUMIFS('Budget Data'!$J:$J,'Budget Data'!$E:$E,$B45,'Budget Data'!$C:$C,$B$2,'Budget Data'!$A:$A,"&gt;="&amp;O$19,'Budget Data'!$A:$A,"&lt;="&amp;EOMONTH(O$19,0))+SUMIFS('Budget Data'!$J:$J,'Budget Data'!$E:$E,$B45,'Budget Data'!$C:$C,$B$4,'Budget Data'!$A:$A,"&gt;="&amp;O$19,'Budget Data'!$A:$A,"&lt;="&amp;EOMONTH(O$19,0))+SUMIFS('Budget Data'!$J:$J,'Budget Data'!$E:$E,$B45,'Budget Data'!$C:$C,$B$3,'Budget Data'!$A:$A,"&gt;="&amp;O$19,'Budget Data'!$A:$A,"&lt;="&amp;EOMONTH(O$19,0))+SUMIFS('Budget Data'!$J:$J,'Budget Data'!$E:$E,$B45,'Budget Data'!$C:$C,$B$5,'Budget Data'!$A:$A,"&gt;="&amp;O$19,'Budget Data'!$A:$A,"&lt;="&amp;EOMONTH(O$19,0))+SUMIFS('Budget Data'!$J:$J,'Budget Data'!$E:$E,$B45,'Budget Data'!$C:$C,$B$6,'Budget Data'!$A:$A,"&gt;="&amp;O$19,'Budget Data'!$A:$A,"&lt;="&amp;EOMONTH(O$19,0)))</f>
        <v>100</v>
      </c>
      <c r="P45" s="86">
        <f>SUMPRODUCT(SUMIFS('Allocated Transactions'!$J:$J,'Allocated Transactions'!$D:$D,$B45,'Allocated Transactions'!$C:$C,$B$7,'Allocated Transactions'!$A:$A,"&gt;="&amp;P$19,'Allocated Transactions'!$A:$A,"&lt;="&amp;EOMONTH(P$19,0))+SUMIFS('Allocated Transactions'!$J:$J,'Allocated Transactions'!$D:$D,$B45,'Allocated Transactions'!$C:$C,$B$9,'Allocated Transactions'!$A:$A,"&gt;="&amp;P$19,'Allocated Transactions'!$A:$A,"&lt;="&amp;EOMONTH(P$19,0))+SUMIFS('Allocated Transactions'!$J:$J,'Allocated Transactions'!$D:$D,$B45,'Allocated Transactions'!$C:$C,$B$8,'Allocated Transactions'!$A:$A,"&gt;="&amp;P$19,'Allocated Transactions'!$A:$A,"&lt;="&amp;EOMONTH(P$19,0))+SUMIFS('Allocated Transactions'!$J:$J,'Allocated Transactions'!$D:$D,$B45,'Allocated Transactions'!$C:$C,$B$10,'Allocated Transactions'!$A:$A,"&gt;="&amp;P$19,'Allocated Transactions'!$A:$A,"&lt;="&amp;EOMONTH(P$19,0))+SUMIFS('Allocated Transactions'!$J:$J,'Allocated Transactions'!$D:$D,$B45,'Allocated Transactions'!$C:$C,$B$11,'Allocated Transactions'!$A:$A,"&gt;="&amp;P$19,'Allocated Transactions'!$A:$A,"&lt;="&amp;EOMONTH(P$19,0))+SUMIFS('Allocated Transactions'!$J:$J,'Allocated Transactions'!$D:$D,$B45,'Allocated Transactions'!$C:$C,$B$2,'Allocated Transactions'!$A:$A,"&gt;="&amp;P$19,'Allocated Transactions'!$A:$A,"&lt;="&amp;EOMONTH(P$19,0))+SUMIFS('Allocated Transactions'!$J:$J,'Allocated Transactions'!$D:$D,$B45,'Allocated Transactions'!$C:$C,$B$4,'Allocated Transactions'!$A:$A,"&gt;="&amp;P$19,'Allocated Transactions'!$A:$A,"&lt;="&amp;EOMONTH(P$19,0))+SUMIFS('Allocated Transactions'!$J:$J,'Allocated Transactions'!$D:$D,$B45,'Allocated Transactions'!$C:$C,$B$3,'Allocated Transactions'!$A:$A,"&gt;="&amp;P$19,'Allocated Transactions'!$A:$A,"&lt;="&amp;EOMONTH(P$19,0))+SUMIFS('Allocated Transactions'!$J:$J,'Allocated Transactions'!$D:$D,$B45,'Allocated Transactions'!$C:$C,$B$5,'Allocated Transactions'!$A:$A,"&gt;="&amp;P$19,'Allocated Transactions'!$A:$A,"&lt;="&amp;EOMONTH(P$19,0))+SUMIFS('Allocated Transactions'!$J:$J,'Allocated Transactions'!$D:$D,$B45,'Allocated Transactions'!$C:$C,$B$6,'Allocated Transactions'!$A:$A,"&gt;="&amp;P$19,'Allocated Transactions'!$A:$A,"&lt;="&amp;EOMONTH(P$19,0)))</f>
        <v>91.86</v>
      </c>
      <c r="Q45" s="84">
        <f>SUMPRODUCT(SUMIFS('Budget Data'!$J:$J,'Budget Data'!$E:$E,$B45,'Budget Data'!$C:$C,$B$7,'Budget Data'!$A:$A,"&gt;="&amp;Q$19,'Budget Data'!$A:$A,"&lt;="&amp;EOMONTH(Q$19,0))+SUMIFS('Budget Data'!$J:$J,'Budget Data'!$E:$E,$B45,'Budget Data'!$C:$C,$B$9,'Budget Data'!$A:$A,"&gt;="&amp;Q$19,'Budget Data'!$A:$A,"&lt;="&amp;EOMONTH(Q$19,0))+SUMIFS('Budget Data'!$J:$J,'Budget Data'!$E:$E,$B45,'Budget Data'!$C:$C,$B$8,'Budget Data'!$A:$A,"&gt;="&amp;Q$19,'Budget Data'!$A:$A,"&lt;="&amp;EOMONTH(Q$19,0))+SUMIFS('Budget Data'!$J:$J,'Budget Data'!$E:$E,$B45,'Budget Data'!$C:$C,$B$10,'Budget Data'!$A:$A,"&gt;="&amp;Q$19,'Budget Data'!$A:$A,"&lt;="&amp;EOMONTH(Q$19,0))+SUMIFS('Budget Data'!$J:$J,'Budget Data'!$E:$E,$B45,'Budget Data'!$C:$C,$B$11,'Budget Data'!$A:$A,"&gt;="&amp;Q$19,'Budget Data'!$A:$A,"&lt;="&amp;EOMONTH(Q$19,0))+SUMIFS('Budget Data'!$J:$J,'Budget Data'!$E:$E,$B45,'Budget Data'!$C:$C,$B$2,'Budget Data'!$A:$A,"&gt;="&amp;Q$19,'Budget Data'!$A:$A,"&lt;="&amp;EOMONTH(Q$19,0))+SUMIFS('Budget Data'!$J:$J,'Budget Data'!$E:$E,$B45,'Budget Data'!$C:$C,$B$4,'Budget Data'!$A:$A,"&gt;="&amp;Q$19,'Budget Data'!$A:$A,"&lt;="&amp;EOMONTH(Q$19,0))+SUMIFS('Budget Data'!$J:$J,'Budget Data'!$E:$E,$B45,'Budget Data'!$C:$C,$B$3,'Budget Data'!$A:$A,"&gt;="&amp;Q$19,'Budget Data'!$A:$A,"&lt;="&amp;EOMONTH(Q$19,0))+SUMIFS('Budget Data'!$J:$J,'Budget Data'!$E:$E,$B45,'Budget Data'!$C:$C,$B$5,'Budget Data'!$A:$A,"&gt;="&amp;Q$19,'Budget Data'!$A:$A,"&lt;="&amp;EOMONTH(Q$19,0))+SUMIFS('Budget Data'!$J:$J,'Budget Data'!$E:$E,$B45,'Budget Data'!$C:$C,$B$6,'Budget Data'!$A:$A,"&gt;="&amp;Q$19,'Budget Data'!$A:$A,"&lt;="&amp;EOMONTH(Q$19,0)))</f>
        <v>100</v>
      </c>
      <c r="R45" s="86">
        <f>SUMPRODUCT(SUMIFS('Allocated Transactions'!$J:$J,'Allocated Transactions'!$D:$D,$B45,'Allocated Transactions'!$C:$C,$B$7,'Allocated Transactions'!$A:$A,"&gt;="&amp;R$19,'Allocated Transactions'!$A:$A,"&lt;="&amp;EOMONTH(R$19,0))+SUMIFS('Allocated Transactions'!$J:$J,'Allocated Transactions'!$D:$D,$B45,'Allocated Transactions'!$C:$C,$B$9,'Allocated Transactions'!$A:$A,"&gt;="&amp;R$19,'Allocated Transactions'!$A:$A,"&lt;="&amp;EOMONTH(R$19,0))+SUMIFS('Allocated Transactions'!$J:$J,'Allocated Transactions'!$D:$D,$B45,'Allocated Transactions'!$C:$C,$B$8,'Allocated Transactions'!$A:$A,"&gt;="&amp;R$19,'Allocated Transactions'!$A:$A,"&lt;="&amp;EOMONTH(R$19,0))+SUMIFS('Allocated Transactions'!$J:$J,'Allocated Transactions'!$D:$D,$B45,'Allocated Transactions'!$C:$C,$B$10,'Allocated Transactions'!$A:$A,"&gt;="&amp;R$19,'Allocated Transactions'!$A:$A,"&lt;="&amp;EOMONTH(R$19,0))+SUMIFS('Allocated Transactions'!$J:$J,'Allocated Transactions'!$D:$D,$B45,'Allocated Transactions'!$C:$C,$B$11,'Allocated Transactions'!$A:$A,"&gt;="&amp;R$19,'Allocated Transactions'!$A:$A,"&lt;="&amp;EOMONTH(R$19,0))+SUMIFS('Allocated Transactions'!$J:$J,'Allocated Transactions'!$D:$D,$B45,'Allocated Transactions'!$C:$C,$B$2,'Allocated Transactions'!$A:$A,"&gt;="&amp;R$19,'Allocated Transactions'!$A:$A,"&lt;="&amp;EOMONTH(R$19,0))+SUMIFS('Allocated Transactions'!$J:$J,'Allocated Transactions'!$D:$D,$B45,'Allocated Transactions'!$C:$C,$B$4,'Allocated Transactions'!$A:$A,"&gt;="&amp;R$19,'Allocated Transactions'!$A:$A,"&lt;="&amp;EOMONTH(R$19,0))+SUMIFS('Allocated Transactions'!$J:$J,'Allocated Transactions'!$D:$D,$B45,'Allocated Transactions'!$C:$C,$B$3,'Allocated Transactions'!$A:$A,"&gt;="&amp;R$19,'Allocated Transactions'!$A:$A,"&lt;="&amp;EOMONTH(R$19,0))+SUMIFS('Allocated Transactions'!$J:$J,'Allocated Transactions'!$D:$D,$B45,'Allocated Transactions'!$C:$C,$B$5,'Allocated Transactions'!$A:$A,"&gt;="&amp;R$19,'Allocated Transactions'!$A:$A,"&lt;="&amp;EOMONTH(R$19,0))+SUMIFS('Allocated Transactions'!$J:$J,'Allocated Transactions'!$D:$D,$B45,'Allocated Transactions'!$C:$C,$B$6,'Allocated Transactions'!$A:$A,"&gt;="&amp;R$19,'Allocated Transactions'!$A:$A,"&lt;="&amp;EOMONTH(R$19,0)))</f>
        <v>58.68</v>
      </c>
      <c r="S45" s="84">
        <f>SUMPRODUCT(SUMIFS('Budget Data'!$J:$J,'Budget Data'!$E:$E,$B45,'Budget Data'!$C:$C,$B$7,'Budget Data'!$A:$A,"&gt;="&amp;S$19,'Budget Data'!$A:$A,"&lt;="&amp;EOMONTH(S$19,0))+SUMIFS('Budget Data'!$J:$J,'Budget Data'!$E:$E,$B45,'Budget Data'!$C:$C,$B$9,'Budget Data'!$A:$A,"&gt;="&amp;S$19,'Budget Data'!$A:$A,"&lt;="&amp;EOMONTH(S$19,0))+SUMIFS('Budget Data'!$J:$J,'Budget Data'!$E:$E,$B45,'Budget Data'!$C:$C,$B$8,'Budget Data'!$A:$A,"&gt;="&amp;S$19,'Budget Data'!$A:$A,"&lt;="&amp;EOMONTH(S$19,0))+SUMIFS('Budget Data'!$J:$J,'Budget Data'!$E:$E,$B45,'Budget Data'!$C:$C,$B$10,'Budget Data'!$A:$A,"&gt;="&amp;S$19,'Budget Data'!$A:$A,"&lt;="&amp;EOMONTH(S$19,0))+SUMIFS('Budget Data'!$J:$J,'Budget Data'!$E:$E,$B45,'Budget Data'!$C:$C,$B$11,'Budget Data'!$A:$A,"&gt;="&amp;S$19,'Budget Data'!$A:$A,"&lt;="&amp;EOMONTH(S$19,0))+SUMIFS('Budget Data'!$J:$J,'Budget Data'!$E:$E,$B45,'Budget Data'!$C:$C,$B$2,'Budget Data'!$A:$A,"&gt;="&amp;S$19,'Budget Data'!$A:$A,"&lt;="&amp;EOMONTH(S$19,0))+SUMIFS('Budget Data'!$J:$J,'Budget Data'!$E:$E,$B45,'Budget Data'!$C:$C,$B$4,'Budget Data'!$A:$A,"&gt;="&amp;S$19,'Budget Data'!$A:$A,"&lt;="&amp;EOMONTH(S$19,0))+SUMIFS('Budget Data'!$J:$J,'Budget Data'!$E:$E,$B45,'Budget Data'!$C:$C,$B$3,'Budget Data'!$A:$A,"&gt;="&amp;S$19,'Budget Data'!$A:$A,"&lt;="&amp;EOMONTH(S$19,0))+SUMIFS('Budget Data'!$J:$J,'Budget Data'!$E:$E,$B45,'Budget Data'!$C:$C,$B$5,'Budget Data'!$A:$A,"&gt;="&amp;S$19,'Budget Data'!$A:$A,"&lt;="&amp;EOMONTH(S$19,0))+SUMIFS('Budget Data'!$J:$J,'Budget Data'!$E:$E,$B45,'Budget Data'!$C:$C,$B$6,'Budget Data'!$A:$A,"&gt;="&amp;S$19,'Budget Data'!$A:$A,"&lt;="&amp;EOMONTH(S$19,0)))</f>
        <v>100</v>
      </c>
      <c r="T45" s="86">
        <f>SUMPRODUCT(SUMIFS('Allocated Transactions'!$J:$J,'Allocated Transactions'!$D:$D,$B45,'Allocated Transactions'!$C:$C,$B$7,'Allocated Transactions'!$A:$A,"&gt;="&amp;T$19,'Allocated Transactions'!$A:$A,"&lt;="&amp;EOMONTH(T$19,0))+SUMIFS('Allocated Transactions'!$J:$J,'Allocated Transactions'!$D:$D,$B45,'Allocated Transactions'!$C:$C,$B$9,'Allocated Transactions'!$A:$A,"&gt;="&amp;T$19,'Allocated Transactions'!$A:$A,"&lt;="&amp;EOMONTH(T$19,0))+SUMIFS('Allocated Transactions'!$J:$J,'Allocated Transactions'!$D:$D,$B45,'Allocated Transactions'!$C:$C,$B$8,'Allocated Transactions'!$A:$A,"&gt;="&amp;T$19,'Allocated Transactions'!$A:$A,"&lt;="&amp;EOMONTH(T$19,0))+SUMIFS('Allocated Transactions'!$J:$J,'Allocated Transactions'!$D:$D,$B45,'Allocated Transactions'!$C:$C,$B$10,'Allocated Transactions'!$A:$A,"&gt;="&amp;T$19,'Allocated Transactions'!$A:$A,"&lt;="&amp;EOMONTH(T$19,0))+SUMIFS('Allocated Transactions'!$J:$J,'Allocated Transactions'!$D:$D,$B45,'Allocated Transactions'!$C:$C,$B$11,'Allocated Transactions'!$A:$A,"&gt;="&amp;T$19,'Allocated Transactions'!$A:$A,"&lt;="&amp;EOMONTH(T$19,0))+SUMIFS('Allocated Transactions'!$J:$J,'Allocated Transactions'!$D:$D,$B45,'Allocated Transactions'!$C:$C,$B$2,'Allocated Transactions'!$A:$A,"&gt;="&amp;T$19,'Allocated Transactions'!$A:$A,"&lt;="&amp;EOMONTH(T$19,0))+SUMIFS('Allocated Transactions'!$J:$J,'Allocated Transactions'!$D:$D,$B45,'Allocated Transactions'!$C:$C,$B$4,'Allocated Transactions'!$A:$A,"&gt;="&amp;T$19,'Allocated Transactions'!$A:$A,"&lt;="&amp;EOMONTH(T$19,0))+SUMIFS('Allocated Transactions'!$J:$J,'Allocated Transactions'!$D:$D,$B45,'Allocated Transactions'!$C:$C,$B$3,'Allocated Transactions'!$A:$A,"&gt;="&amp;T$19,'Allocated Transactions'!$A:$A,"&lt;="&amp;EOMONTH(T$19,0))+SUMIFS('Allocated Transactions'!$J:$J,'Allocated Transactions'!$D:$D,$B45,'Allocated Transactions'!$C:$C,$B$5,'Allocated Transactions'!$A:$A,"&gt;="&amp;T$19,'Allocated Transactions'!$A:$A,"&lt;="&amp;EOMONTH(T$19,0))+SUMIFS('Allocated Transactions'!$J:$J,'Allocated Transactions'!$D:$D,$B45,'Allocated Transactions'!$C:$C,$B$6,'Allocated Transactions'!$A:$A,"&gt;="&amp;T$19,'Allocated Transactions'!$A:$A,"&lt;="&amp;EOMONTH(T$19,0)))</f>
        <v>82.24</v>
      </c>
      <c r="U45" s="84">
        <f>SUMPRODUCT(SUMIFS('Budget Data'!$J:$J,'Budget Data'!$E:$E,$B45,'Budget Data'!$C:$C,$B$7,'Budget Data'!$A:$A,"&gt;="&amp;U$19,'Budget Data'!$A:$A,"&lt;="&amp;EOMONTH(U$19,0))+SUMIFS('Budget Data'!$J:$J,'Budget Data'!$E:$E,$B45,'Budget Data'!$C:$C,$B$9,'Budget Data'!$A:$A,"&gt;="&amp;U$19,'Budget Data'!$A:$A,"&lt;="&amp;EOMONTH(U$19,0))+SUMIFS('Budget Data'!$J:$J,'Budget Data'!$E:$E,$B45,'Budget Data'!$C:$C,$B$8,'Budget Data'!$A:$A,"&gt;="&amp;U$19,'Budget Data'!$A:$A,"&lt;="&amp;EOMONTH(U$19,0))+SUMIFS('Budget Data'!$J:$J,'Budget Data'!$E:$E,$B45,'Budget Data'!$C:$C,$B$10,'Budget Data'!$A:$A,"&gt;="&amp;U$19,'Budget Data'!$A:$A,"&lt;="&amp;EOMONTH(U$19,0))+SUMIFS('Budget Data'!$J:$J,'Budget Data'!$E:$E,$B45,'Budget Data'!$C:$C,$B$11,'Budget Data'!$A:$A,"&gt;="&amp;U$19,'Budget Data'!$A:$A,"&lt;="&amp;EOMONTH(U$19,0))+SUMIFS('Budget Data'!$J:$J,'Budget Data'!$E:$E,$B45,'Budget Data'!$C:$C,$B$2,'Budget Data'!$A:$A,"&gt;="&amp;U$19,'Budget Data'!$A:$A,"&lt;="&amp;EOMONTH(U$19,0))+SUMIFS('Budget Data'!$J:$J,'Budget Data'!$E:$E,$B45,'Budget Data'!$C:$C,$B$4,'Budget Data'!$A:$A,"&gt;="&amp;U$19,'Budget Data'!$A:$A,"&lt;="&amp;EOMONTH(U$19,0))+SUMIFS('Budget Data'!$J:$J,'Budget Data'!$E:$E,$B45,'Budget Data'!$C:$C,$B$3,'Budget Data'!$A:$A,"&gt;="&amp;U$19,'Budget Data'!$A:$A,"&lt;="&amp;EOMONTH(U$19,0))+SUMIFS('Budget Data'!$J:$J,'Budget Data'!$E:$E,$B45,'Budget Data'!$C:$C,$B$5,'Budget Data'!$A:$A,"&gt;="&amp;U$19,'Budget Data'!$A:$A,"&lt;="&amp;EOMONTH(U$19,0))+SUMIFS('Budget Data'!$J:$J,'Budget Data'!$E:$E,$B45,'Budget Data'!$C:$C,$B$6,'Budget Data'!$A:$A,"&gt;="&amp;U$19,'Budget Data'!$A:$A,"&lt;="&amp;EOMONTH(U$19,0)))</f>
        <v>100</v>
      </c>
      <c r="V45" s="86">
        <f>SUMPRODUCT(SUMIFS('Allocated Transactions'!$J:$J,'Allocated Transactions'!$D:$D,$B45,'Allocated Transactions'!$C:$C,$B$7,'Allocated Transactions'!$A:$A,"&gt;="&amp;V$19,'Allocated Transactions'!$A:$A,"&lt;="&amp;EOMONTH(V$19,0))+SUMIFS('Allocated Transactions'!$J:$J,'Allocated Transactions'!$D:$D,$B45,'Allocated Transactions'!$C:$C,$B$9,'Allocated Transactions'!$A:$A,"&gt;="&amp;V$19,'Allocated Transactions'!$A:$A,"&lt;="&amp;EOMONTH(V$19,0))+SUMIFS('Allocated Transactions'!$J:$J,'Allocated Transactions'!$D:$D,$B45,'Allocated Transactions'!$C:$C,$B$8,'Allocated Transactions'!$A:$A,"&gt;="&amp;V$19,'Allocated Transactions'!$A:$A,"&lt;="&amp;EOMONTH(V$19,0))+SUMIFS('Allocated Transactions'!$J:$J,'Allocated Transactions'!$D:$D,$B45,'Allocated Transactions'!$C:$C,$B$10,'Allocated Transactions'!$A:$A,"&gt;="&amp;V$19,'Allocated Transactions'!$A:$A,"&lt;="&amp;EOMONTH(V$19,0))+SUMIFS('Allocated Transactions'!$J:$J,'Allocated Transactions'!$D:$D,$B45,'Allocated Transactions'!$C:$C,$B$11,'Allocated Transactions'!$A:$A,"&gt;="&amp;V$19,'Allocated Transactions'!$A:$A,"&lt;="&amp;EOMONTH(V$19,0))+SUMIFS('Allocated Transactions'!$J:$J,'Allocated Transactions'!$D:$D,$B45,'Allocated Transactions'!$C:$C,$B$2,'Allocated Transactions'!$A:$A,"&gt;="&amp;V$19,'Allocated Transactions'!$A:$A,"&lt;="&amp;EOMONTH(V$19,0))+SUMIFS('Allocated Transactions'!$J:$J,'Allocated Transactions'!$D:$D,$B45,'Allocated Transactions'!$C:$C,$B$4,'Allocated Transactions'!$A:$A,"&gt;="&amp;V$19,'Allocated Transactions'!$A:$A,"&lt;="&amp;EOMONTH(V$19,0))+SUMIFS('Allocated Transactions'!$J:$J,'Allocated Transactions'!$D:$D,$B45,'Allocated Transactions'!$C:$C,$B$3,'Allocated Transactions'!$A:$A,"&gt;="&amp;V$19,'Allocated Transactions'!$A:$A,"&lt;="&amp;EOMONTH(V$19,0))+SUMIFS('Allocated Transactions'!$J:$J,'Allocated Transactions'!$D:$D,$B45,'Allocated Transactions'!$C:$C,$B$5,'Allocated Transactions'!$A:$A,"&gt;="&amp;V$19,'Allocated Transactions'!$A:$A,"&lt;="&amp;EOMONTH(V$19,0))+SUMIFS('Allocated Transactions'!$J:$J,'Allocated Transactions'!$D:$D,$B45,'Allocated Transactions'!$C:$C,$B$6,'Allocated Transactions'!$A:$A,"&gt;="&amp;V$19,'Allocated Transactions'!$A:$A,"&lt;="&amp;EOMONTH(V$19,0)))</f>
        <v>79.44</v>
      </c>
      <c r="W45" s="84">
        <f>SUMPRODUCT(SUMIFS('Budget Data'!$J:$J,'Budget Data'!$E:$E,$B45,'Budget Data'!$C:$C,$B$7,'Budget Data'!$A:$A,"&gt;="&amp;W$19,'Budget Data'!$A:$A,"&lt;="&amp;EOMONTH(W$19,0))+SUMIFS('Budget Data'!$J:$J,'Budget Data'!$E:$E,$B45,'Budget Data'!$C:$C,$B$9,'Budget Data'!$A:$A,"&gt;="&amp;W$19,'Budget Data'!$A:$A,"&lt;="&amp;EOMONTH(W$19,0))+SUMIFS('Budget Data'!$J:$J,'Budget Data'!$E:$E,$B45,'Budget Data'!$C:$C,$B$8,'Budget Data'!$A:$A,"&gt;="&amp;W$19,'Budget Data'!$A:$A,"&lt;="&amp;EOMONTH(W$19,0))+SUMIFS('Budget Data'!$J:$J,'Budget Data'!$E:$E,$B45,'Budget Data'!$C:$C,$B$10,'Budget Data'!$A:$A,"&gt;="&amp;W$19,'Budget Data'!$A:$A,"&lt;="&amp;EOMONTH(W$19,0))+SUMIFS('Budget Data'!$J:$J,'Budget Data'!$E:$E,$B45,'Budget Data'!$C:$C,$B$11,'Budget Data'!$A:$A,"&gt;="&amp;W$19,'Budget Data'!$A:$A,"&lt;="&amp;EOMONTH(W$19,0))+SUMIFS('Budget Data'!$J:$J,'Budget Data'!$E:$E,$B45,'Budget Data'!$C:$C,$B$2,'Budget Data'!$A:$A,"&gt;="&amp;W$19,'Budget Data'!$A:$A,"&lt;="&amp;EOMONTH(W$19,0))+SUMIFS('Budget Data'!$J:$J,'Budget Data'!$E:$E,$B45,'Budget Data'!$C:$C,$B$4,'Budget Data'!$A:$A,"&gt;="&amp;W$19,'Budget Data'!$A:$A,"&lt;="&amp;EOMONTH(W$19,0))+SUMIFS('Budget Data'!$J:$J,'Budget Data'!$E:$E,$B45,'Budget Data'!$C:$C,$B$3,'Budget Data'!$A:$A,"&gt;="&amp;W$19,'Budget Data'!$A:$A,"&lt;="&amp;EOMONTH(W$19,0))+SUMIFS('Budget Data'!$J:$J,'Budget Data'!$E:$E,$B45,'Budget Data'!$C:$C,$B$5,'Budget Data'!$A:$A,"&gt;="&amp;W$19,'Budget Data'!$A:$A,"&lt;="&amp;EOMONTH(W$19,0))+SUMIFS('Budget Data'!$J:$J,'Budget Data'!$E:$E,$B45,'Budget Data'!$C:$C,$B$6,'Budget Data'!$A:$A,"&gt;="&amp;W$19,'Budget Data'!$A:$A,"&lt;="&amp;EOMONTH(W$19,0)))</f>
        <v>100</v>
      </c>
      <c r="X45" s="86">
        <f>SUMPRODUCT(SUMIFS('Allocated Transactions'!$J:$J,'Allocated Transactions'!$D:$D,$B45,'Allocated Transactions'!$C:$C,$B$7,'Allocated Transactions'!$A:$A,"&gt;="&amp;X$19,'Allocated Transactions'!$A:$A,"&lt;="&amp;EOMONTH(X$19,0))+SUMIFS('Allocated Transactions'!$J:$J,'Allocated Transactions'!$D:$D,$B45,'Allocated Transactions'!$C:$C,$B$9,'Allocated Transactions'!$A:$A,"&gt;="&amp;X$19,'Allocated Transactions'!$A:$A,"&lt;="&amp;EOMONTH(X$19,0))+SUMIFS('Allocated Transactions'!$J:$J,'Allocated Transactions'!$D:$D,$B45,'Allocated Transactions'!$C:$C,$B$8,'Allocated Transactions'!$A:$A,"&gt;="&amp;X$19,'Allocated Transactions'!$A:$A,"&lt;="&amp;EOMONTH(X$19,0))+SUMIFS('Allocated Transactions'!$J:$J,'Allocated Transactions'!$D:$D,$B45,'Allocated Transactions'!$C:$C,$B$10,'Allocated Transactions'!$A:$A,"&gt;="&amp;X$19,'Allocated Transactions'!$A:$A,"&lt;="&amp;EOMONTH(X$19,0))+SUMIFS('Allocated Transactions'!$J:$J,'Allocated Transactions'!$D:$D,$B45,'Allocated Transactions'!$C:$C,$B$11,'Allocated Transactions'!$A:$A,"&gt;="&amp;X$19,'Allocated Transactions'!$A:$A,"&lt;="&amp;EOMONTH(X$19,0))+SUMIFS('Allocated Transactions'!$J:$J,'Allocated Transactions'!$D:$D,$B45,'Allocated Transactions'!$C:$C,$B$2,'Allocated Transactions'!$A:$A,"&gt;="&amp;X$19,'Allocated Transactions'!$A:$A,"&lt;="&amp;EOMONTH(X$19,0))+SUMIFS('Allocated Transactions'!$J:$J,'Allocated Transactions'!$D:$D,$B45,'Allocated Transactions'!$C:$C,$B$4,'Allocated Transactions'!$A:$A,"&gt;="&amp;X$19,'Allocated Transactions'!$A:$A,"&lt;="&amp;EOMONTH(X$19,0))+SUMIFS('Allocated Transactions'!$J:$J,'Allocated Transactions'!$D:$D,$B45,'Allocated Transactions'!$C:$C,$B$3,'Allocated Transactions'!$A:$A,"&gt;="&amp;X$19,'Allocated Transactions'!$A:$A,"&lt;="&amp;EOMONTH(X$19,0))+SUMIFS('Allocated Transactions'!$J:$J,'Allocated Transactions'!$D:$D,$B45,'Allocated Transactions'!$C:$C,$B$5,'Allocated Transactions'!$A:$A,"&gt;="&amp;X$19,'Allocated Transactions'!$A:$A,"&lt;="&amp;EOMONTH(X$19,0))+SUMIFS('Allocated Transactions'!$J:$J,'Allocated Transactions'!$D:$D,$B45,'Allocated Transactions'!$C:$C,$B$6,'Allocated Transactions'!$A:$A,"&gt;="&amp;X$19,'Allocated Transactions'!$A:$A,"&lt;="&amp;EOMONTH(X$19,0)))</f>
        <v>118.91</v>
      </c>
      <c r="Y45" s="84">
        <f>SUMPRODUCT(SUMIFS('Budget Data'!$J:$J,'Budget Data'!$E:$E,$B45,'Budget Data'!$C:$C,$B$7,'Budget Data'!$A:$A,"&gt;="&amp;Y$19,'Budget Data'!$A:$A,"&lt;="&amp;EOMONTH(Y$19,0))+SUMIFS('Budget Data'!$J:$J,'Budget Data'!$E:$E,$B45,'Budget Data'!$C:$C,$B$9,'Budget Data'!$A:$A,"&gt;="&amp;Y$19,'Budget Data'!$A:$A,"&lt;="&amp;EOMONTH(Y$19,0))+SUMIFS('Budget Data'!$J:$J,'Budget Data'!$E:$E,$B45,'Budget Data'!$C:$C,$B$8,'Budget Data'!$A:$A,"&gt;="&amp;Y$19,'Budget Data'!$A:$A,"&lt;="&amp;EOMONTH(Y$19,0))+SUMIFS('Budget Data'!$J:$J,'Budget Data'!$E:$E,$B45,'Budget Data'!$C:$C,$B$10,'Budget Data'!$A:$A,"&gt;="&amp;Y$19,'Budget Data'!$A:$A,"&lt;="&amp;EOMONTH(Y$19,0))+SUMIFS('Budget Data'!$J:$J,'Budget Data'!$E:$E,$B45,'Budget Data'!$C:$C,$B$11,'Budget Data'!$A:$A,"&gt;="&amp;Y$19,'Budget Data'!$A:$A,"&lt;="&amp;EOMONTH(Y$19,0))+SUMIFS('Budget Data'!$J:$J,'Budget Data'!$E:$E,$B45,'Budget Data'!$C:$C,$B$2,'Budget Data'!$A:$A,"&gt;="&amp;Y$19,'Budget Data'!$A:$A,"&lt;="&amp;EOMONTH(Y$19,0))+SUMIFS('Budget Data'!$J:$J,'Budget Data'!$E:$E,$B45,'Budget Data'!$C:$C,$B$4,'Budget Data'!$A:$A,"&gt;="&amp;Y$19,'Budget Data'!$A:$A,"&lt;="&amp;EOMONTH(Y$19,0))+SUMIFS('Budget Data'!$J:$J,'Budget Data'!$E:$E,$B45,'Budget Data'!$C:$C,$B$3,'Budget Data'!$A:$A,"&gt;="&amp;Y$19,'Budget Data'!$A:$A,"&lt;="&amp;EOMONTH(Y$19,0))+SUMIFS('Budget Data'!$J:$J,'Budget Data'!$E:$E,$B45,'Budget Data'!$C:$C,$B$5,'Budget Data'!$A:$A,"&gt;="&amp;Y$19,'Budget Data'!$A:$A,"&lt;="&amp;EOMONTH(Y$19,0))+SUMIFS('Budget Data'!$J:$J,'Budget Data'!$E:$E,$B45,'Budget Data'!$C:$C,$B$6,'Budget Data'!$A:$A,"&gt;="&amp;Y$19,'Budget Data'!$A:$A,"&lt;="&amp;EOMONTH(Y$19,0)))</f>
        <v>100</v>
      </c>
      <c r="Z45" s="86">
        <f>SUMPRODUCT(SUMIFS('Allocated Transactions'!$J:$J,'Allocated Transactions'!$D:$D,$B45,'Allocated Transactions'!$C:$C,$B$7,'Allocated Transactions'!$A:$A,"&gt;="&amp;Z$19,'Allocated Transactions'!$A:$A,"&lt;="&amp;EOMONTH(Z$19,0))+SUMIFS('Allocated Transactions'!$J:$J,'Allocated Transactions'!$D:$D,$B45,'Allocated Transactions'!$C:$C,$B$9,'Allocated Transactions'!$A:$A,"&gt;="&amp;Z$19,'Allocated Transactions'!$A:$A,"&lt;="&amp;EOMONTH(Z$19,0))+SUMIFS('Allocated Transactions'!$J:$J,'Allocated Transactions'!$D:$D,$B45,'Allocated Transactions'!$C:$C,$B$8,'Allocated Transactions'!$A:$A,"&gt;="&amp;Z$19,'Allocated Transactions'!$A:$A,"&lt;="&amp;EOMONTH(Z$19,0))+SUMIFS('Allocated Transactions'!$J:$J,'Allocated Transactions'!$D:$D,$B45,'Allocated Transactions'!$C:$C,$B$10,'Allocated Transactions'!$A:$A,"&gt;="&amp;Z$19,'Allocated Transactions'!$A:$A,"&lt;="&amp;EOMONTH(Z$19,0))+SUMIFS('Allocated Transactions'!$J:$J,'Allocated Transactions'!$D:$D,$B45,'Allocated Transactions'!$C:$C,$B$11,'Allocated Transactions'!$A:$A,"&gt;="&amp;Z$19,'Allocated Transactions'!$A:$A,"&lt;="&amp;EOMONTH(Z$19,0))+SUMIFS('Allocated Transactions'!$J:$J,'Allocated Transactions'!$D:$D,$B45,'Allocated Transactions'!$C:$C,$B$2,'Allocated Transactions'!$A:$A,"&gt;="&amp;Z$19,'Allocated Transactions'!$A:$A,"&lt;="&amp;EOMONTH(Z$19,0))+SUMIFS('Allocated Transactions'!$J:$J,'Allocated Transactions'!$D:$D,$B45,'Allocated Transactions'!$C:$C,$B$4,'Allocated Transactions'!$A:$A,"&gt;="&amp;Z$19,'Allocated Transactions'!$A:$A,"&lt;="&amp;EOMONTH(Z$19,0))+SUMIFS('Allocated Transactions'!$J:$J,'Allocated Transactions'!$D:$D,$B45,'Allocated Transactions'!$C:$C,$B$3,'Allocated Transactions'!$A:$A,"&gt;="&amp;Z$19,'Allocated Transactions'!$A:$A,"&lt;="&amp;EOMONTH(Z$19,0))+SUMIFS('Allocated Transactions'!$J:$J,'Allocated Transactions'!$D:$D,$B45,'Allocated Transactions'!$C:$C,$B$5,'Allocated Transactions'!$A:$A,"&gt;="&amp;Z$19,'Allocated Transactions'!$A:$A,"&lt;="&amp;EOMONTH(Z$19,0))+SUMIFS('Allocated Transactions'!$J:$J,'Allocated Transactions'!$D:$D,$B45,'Allocated Transactions'!$C:$C,$B$6,'Allocated Transactions'!$A:$A,"&gt;="&amp;Z$19,'Allocated Transactions'!$A:$A,"&lt;="&amp;EOMONTH(Z$19,0)))</f>
        <v>57.27</v>
      </c>
      <c r="AA45" s="84">
        <f>SUMPRODUCT(SUMIFS('Budget Data'!$J:$J,'Budget Data'!$E:$E,$B45,'Budget Data'!$C:$C,$B$7,'Budget Data'!$A:$A,"&gt;="&amp;AA$19,'Budget Data'!$A:$A,"&lt;="&amp;EOMONTH(AA$19,0))+SUMIFS('Budget Data'!$J:$J,'Budget Data'!$E:$E,$B45,'Budget Data'!$C:$C,$B$9,'Budget Data'!$A:$A,"&gt;="&amp;AA$19,'Budget Data'!$A:$A,"&lt;="&amp;EOMONTH(AA$19,0))+SUMIFS('Budget Data'!$J:$J,'Budget Data'!$E:$E,$B45,'Budget Data'!$C:$C,$B$8,'Budget Data'!$A:$A,"&gt;="&amp;AA$19,'Budget Data'!$A:$A,"&lt;="&amp;EOMONTH(AA$19,0))+SUMIFS('Budget Data'!$J:$J,'Budget Data'!$E:$E,$B45,'Budget Data'!$C:$C,$B$10,'Budget Data'!$A:$A,"&gt;="&amp;AA$19,'Budget Data'!$A:$A,"&lt;="&amp;EOMONTH(AA$19,0))+SUMIFS('Budget Data'!$J:$J,'Budget Data'!$E:$E,$B45,'Budget Data'!$C:$C,$B$11,'Budget Data'!$A:$A,"&gt;="&amp;AA$19,'Budget Data'!$A:$A,"&lt;="&amp;EOMONTH(AA$19,0))+SUMIFS('Budget Data'!$J:$J,'Budget Data'!$E:$E,$B45,'Budget Data'!$C:$C,$B$2,'Budget Data'!$A:$A,"&gt;="&amp;AA$19,'Budget Data'!$A:$A,"&lt;="&amp;EOMONTH(AA$19,0))+SUMIFS('Budget Data'!$J:$J,'Budget Data'!$E:$E,$B45,'Budget Data'!$C:$C,$B$4,'Budget Data'!$A:$A,"&gt;="&amp;AA$19,'Budget Data'!$A:$A,"&lt;="&amp;EOMONTH(AA$19,0))+SUMIFS('Budget Data'!$J:$J,'Budget Data'!$E:$E,$B45,'Budget Data'!$C:$C,$B$3,'Budget Data'!$A:$A,"&gt;="&amp;AA$19,'Budget Data'!$A:$A,"&lt;="&amp;EOMONTH(AA$19,0))+SUMIFS('Budget Data'!$J:$J,'Budget Data'!$E:$E,$B45,'Budget Data'!$C:$C,$B$5,'Budget Data'!$A:$A,"&gt;="&amp;AA$19,'Budget Data'!$A:$A,"&lt;="&amp;EOMONTH(AA$19,0))+SUMIFS('Budget Data'!$J:$J,'Budget Data'!$E:$E,$B45,'Budget Data'!$C:$C,$B$6,'Budget Data'!$A:$A,"&gt;="&amp;AA$19,'Budget Data'!$A:$A,"&lt;="&amp;EOMONTH(AA$19,0)))</f>
        <v>100</v>
      </c>
      <c r="AC45" s="87">
        <f t="shared" si="2"/>
        <v>1010.7399999999999</v>
      </c>
      <c r="AD45" s="84">
        <f t="shared" si="2"/>
        <v>1200</v>
      </c>
    </row>
    <row r="46" spans="2:30" ht="15" customHeight="1">
      <c r="B46" s="12" t="str">
        <v>5900</v>
      </c>
      <c r="C46" s="160" t="str">
        <f>_xlfn.XLOOKUP(B46,'Allocated Transactions'!D:D,'Allocated Transactions'!E:E,"")</f>
        <v>Interest Expense</v>
      </c>
      <c r="D46" s="86">
        <f>SUMPRODUCT(SUMIFS('Allocated Transactions'!$J:$J,'Allocated Transactions'!$D:$D,$B46,'Allocated Transactions'!$C:$C,$B$7,'Allocated Transactions'!$A:$A,"&gt;="&amp;D$19,'Allocated Transactions'!$A:$A,"&lt;="&amp;EOMONTH(D$19,0))+SUMIFS('Allocated Transactions'!$J:$J,'Allocated Transactions'!$D:$D,$B46,'Allocated Transactions'!$C:$C,$B$9,'Allocated Transactions'!$A:$A,"&gt;="&amp;D$19,'Allocated Transactions'!$A:$A,"&lt;="&amp;EOMONTH(D$19,0))+SUMIFS('Allocated Transactions'!$J:$J,'Allocated Transactions'!$D:$D,$B46,'Allocated Transactions'!$C:$C,$B$8,'Allocated Transactions'!$A:$A,"&gt;="&amp;D$19,'Allocated Transactions'!$A:$A,"&lt;="&amp;EOMONTH(D$19,0))+SUMIFS('Allocated Transactions'!$J:$J,'Allocated Transactions'!$D:$D,$B46,'Allocated Transactions'!$C:$C,$B$10,'Allocated Transactions'!$A:$A,"&gt;="&amp;D$19,'Allocated Transactions'!$A:$A,"&lt;="&amp;EOMONTH(D$19,0))+SUMIFS('Allocated Transactions'!$J:$J,'Allocated Transactions'!$D:$D,$B46,'Allocated Transactions'!$C:$C,$B$11,'Allocated Transactions'!$A:$A,"&gt;="&amp;D$19,'Allocated Transactions'!$A:$A,"&lt;="&amp;EOMONTH(D$19,0))+SUMIFS('Allocated Transactions'!$J:$J,'Allocated Transactions'!$D:$D,$B46,'Allocated Transactions'!$C:$C,$B$2,'Allocated Transactions'!$A:$A,"&gt;="&amp;D$19,'Allocated Transactions'!$A:$A,"&lt;="&amp;EOMONTH(D$19,0))+SUMIFS('Allocated Transactions'!$J:$J,'Allocated Transactions'!$D:$D,$B46,'Allocated Transactions'!$C:$C,$B$4,'Allocated Transactions'!$A:$A,"&gt;="&amp;D$19,'Allocated Transactions'!$A:$A,"&lt;="&amp;EOMONTH(D$19,0))+SUMIFS('Allocated Transactions'!$J:$J,'Allocated Transactions'!$D:$D,$B46,'Allocated Transactions'!$C:$C,$B$3,'Allocated Transactions'!$A:$A,"&gt;="&amp;D$19,'Allocated Transactions'!$A:$A,"&lt;="&amp;EOMONTH(D$19,0))+SUMIFS('Allocated Transactions'!$J:$J,'Allocated Transactions'!$D:$D,$B46,'Allocated Transactions'!$C:$C,$B$5,'Allocated Transactions'!$A:$A,"&gt;="&amp;D$19,'Allocated Transactions'!$A:$A,"&lt;="&amp;EOMONTH(D$19,0))+SUMIFS('Allocated Transactions'!$J:$J,'Allocated Transactions'!$D:$D,$B46,'Allocated Transactions'!$C:$C,$B$6,'Allocated Transactions'!$A:$A,"&gt;="&amp;D$19,'Allocated Transactions'!$A:$A,"&lt;="&amp;EOMONTH(D$19,0)))</f>
        <v>389.58</v>
      </c>
      <c r="E46" s="84">
        <f>SUMPRODUCT(SUMIFS('Budget Data'!$J:$J,'Budget Data'!$E:$E,$B46,'Budget Data'!$C:$C,$B$7,'Budget Data'!$A:$A,"&gt;="&amp;E$19,'Budget Data'!$A:$A,"&lt;="&amp;EOMONTH(E$19,0))+SUMIFS('Budget Data'!$J:$J,'Budget Data'!$E:$E,$B46,'Budget Data'!$C:$C,$B$9,'Budget Data'!$A:$A,"&gt;="&amp;E$19,'Budget Data'!$A:$A,"&lt;="&amp;EOMONTH(E$19,0))+SUMIFS('Budget Data'!$J:$J,'Budget Data'!$E:$E,$B46,'Budget Data'!$C:$C,$B$8,'Budget Data'!$A:$A,"&gt;="&amp;E$19,'Budget Data'!$A:$A,"&lt;="&amp;EOMONTH(E$19,0))+SUMIFS('Budget Data'!$J:$J,'Budget Data'!$E:$E,$B46,'Budget Data'!$C:$C,$B$10,'Budget Data'!$A:$A,"&gt;="&amp;E$19,'Budget Data'!$A:$A,"&lt;="&amp;EOMONTH(E$19,0))+SUMIFS('Budget Data'!$J:$J,'Budget Data'!$E:$E,$B46,'Budget Data'!$C:$C,$B$11,'Budget Data'!$A:$A,"&gt;="&amp;E$19,'Budget Data'!$A:$A,"&lt;="&amp;EOMONTH(E$19,0))+SUMIFS('Budget Data'!$J:$J,'Budget Data'!$E:$E,$B46,'Budget Data'!$C:$C,$B$2,'Budget Data'!$A:$A,"&gt;="&amp;E$19,'Budget Data'!$A:$A,"&lt;="&amp;EOMONTH(E$19,0))+SUMIFS('Budget Data'!$J:$J,'Budget Data'!$E:$E,$B46,'Budget Data'!$C:$C,$B$4,'Budget Data'!$A:$A,"&gt;="&amp;E$19,'Budget Data'!$A:$A,"&lt;="&amp;EOMONTH(E$19,0))+SUMIFS('Budget Data'!$J:$J,'Budget Data'!$E:$E,$B46,'Budget Data'!$C:$C,$B$3,'Budget Data'!$A:$A,"&gt;="&amp;E$19,'Budget Data'!$A:$A,"&lt;="&amp;EOMONTH(E$19,0))+SUMIFS('Budget Data'!$J:$J,'Budget Data'!$E:$E,$B46,'Budget Data'!$C:$C,$B$5,'Budget Data'!$A:$A,"&gt;="&amp;E$19,'Budget Data'!$A:$A,"&lt;="&amp;EOMONTH(E$19,0))+SUMIFS('Budget Data'!$J:$J,'Budget Data'!$E:$E,$B46,'Budget Data'!$C:$C,$B$6,'Budget Data'!$A:$A,"&gt;="&amp;E$19,'Budget Data'!$A:$A,"&lt;="&amp;EOMONTH(E$19,0)))</f>
        <v>400</v>
      </c>
      <c r="F46" s="86">
        <f>SUMPRODUCT(SUMIFS('Allocated Transactions'!$J:$J,'Allocated Transactions'!$D:$D,$B46,'Allocated Transactions'!$C:$C,$B$7,'Allocated Transactions'!$A:$A,"&gt;="&amp;F$19,'Allocated Transactions'!$A:$A,"&lt;="&amp;EOMONTH(F$19,0))+SUMIFS('Allocated Transactions'!$J:$J,'Allocated Transactions'!$D:$D,$B46,'Allocated Transactions'!$C:$C,$B$9,'Allocated Transactions'!$A:$A,"&gt;="&amp;F$19,'Allocated Transactions'!$A:$A,"&lt;="&amp;EOMONTH(F$19,0))+SUMIFS('Allocated Transactions'!$J:$J,'Allocated Transactions'!$D:$D,$B46,'Allocated Transactions'!$C:$C,$B$8,'Allocated Transactions'!$A:$A,"&gt;="&amp;F$19,'Allocated Transactions'!$A:$A,"&lt;="&amp;EOMONTH(F$19,0))+SUMIFS('Allocated Transactions'!$J:$J,'Allocated Transactions'!$D:$D,$B46,'Allocated Transactions'!$C:$C,$B$10,'Allocated Transactions'!$A:$A,"&gt;="&amp;F$19,'Allocated Transactions'!$A:$A,"&lt;="&amp;EOMONTH(F$19,0))+SUMIFS('Allocated Transactions'!$J:$J,'Allocated Transactions'!$D:$D,$B46,'Allocated Transactions'!$C:$C,$B$11,'Allocated Transactions'!$A:$A,"&gt;="&amp;F$19,'Allocated Transactions'!$A:$A,"&lt;="&amp;EOMONTH(F$19,0))+SUMIFS('Allocated Transactions'!$J:$J,'Allocated Transactions'!$D:$D,$B46,'Allocated Transactions'!$C:$C,$B$2,'Allocated Transactions'!$A:$A,"&gt;="&amp;F$19,'Allocated Transactions'!$A:$A,"&lt;="&amp;EOMONTH(F$19,0))+SUMIFS('Allocated Transactions'!$J:$J,'Allocated Transactions'!$D:$D,$B46,'Allocated Transactions'!$C:$C,$B$4,'Allocated Transactions'!$A:$A,"&gt;="&amp;F$19,'Allocated Transactions'!$A:$A,"&lt;="&amp;EOMONTH(F$19,0))+SUMIFS('Allocated Transactions'!$J:$J,'Allocated Transactions'!$D:$D,$B46,'Allocated Transactions'!$C:$C,$B$3,'Allocated Transactions'!$A:$A,"&gt;="&amp;F$19,'Allocated Transactions'!$A:$A,"&lt;="&amp;EOMONTH(F$19,0))+SUMIFS('Allocated Transactions'!$J:$J,'Allocated Transactions'!$D:$D,$B46,'Allocated Transactions'!$C:$C,$B$5,'Allocated Transactions'!$A:$A,"&gt;="&amp;F$19,'Allocated Transactions'!$A:$A,"&lt;="&amp;EOMONTH(F$19,0))+SUMIFS('Allocated Transactions'!$J:$J,'Allocated Transactions'!$D:$D,$B46,'Allocated Transactions'!$C:$C,$B$6,'Allocated Transactions'!$A:$A,"&gt;="&amp;F$19,'Allocated Transactions'!$A:$A,"&lt;="&amp;EOMONTH(F$19,0)))</f>
        <v>389.58</v>
      </c>
      <c r="G46" s="84">
        <f>SUMPRODUCT(SUMIFS('Budget Data'!$J:$J,'Budget Data'!$E:$E,$B46,'Budget Data'!$C:$C,$B$7,'Budget Data'!$A:$A,"&gt;="&amp;G$19,'Budget Data'!$A:$A,"&lt;="&amp;EOMONTH(G$19,0))+SUMIFS('Budget Data'!$J:$J,'Budget Data'!$E:$E,$B46,'Budget Data'!$C:$C,$B$9,'Budget Data'!$A:$A,"&gt;="&amp;G$19,'Budget Data'!$A:$A,"&lt;="&amp;EOMONTH(G$19,0))+SUMIFS('Budget Data'!$J:$J,'Budget Data'!$E:$E,$B46,'Budget Data'!$C:$C,$B$8,'Budget Data'!$A:$A,"&gt;="&amp;G$19,'Budget Data'!$A:$A,"&lt;="&amp;EOMONTH(G$19,0))+SUMIFS('Budget Data'!$J:$J,'Budget Data'!$E:$E,$B46,'Budget Data'!$C:$C,$B$10,'Budget Data'!$A:$A,"&gt;="&amp;G$19,'Budget Data'!$A:$A,"&lt;="&amp;EOMONTH(G$19,0))+SUMIFS('Budget Data'!$J:$J,'Budget Data'!$E:$E,$B46,'Budget Data'!$C:$C,$B$11,'Budget Data'!$A:$A,"&gt;="&amp;G$19,'Budget Data'!$A:$A,"&lt;="&amp;EOMONTH(G$19,0))+SUMIFS('Budget Data'!$J:$J,'Budget Data'!$E:$E,$B46,'Budget Data'!$C:$C,$B$2,'Budget Data'!$A:$A,"&gt;="&amp;G$19,'Budget Data'!$A:$A,"&lt;="&amp;EOMONTH(G$19,0))+SUMIFS('Budget Data'!$J:$J,'Budget Data'!$E:$E,$B46,'Budget Data'!$C:$C,$B$4,'Budget Data'!$A:$A,"&gt;="&amp;G$19,'Budget Data'!$A:$A,"&lt;="&amp;EOMONTH(G$19,0))+SUMIFS('Budget Data'!$J:$J,'Budget Data'!$E:$E,$B46,'Budget Data'!$C:$C,$B$3,'Budget Data'!$A:$A,"&gt;="&amp;G$19,'Budget Data'!$A:$A,"&lt;="&amp;EOMONTH(G$19,0))+SUMIFS('Budget Data'!$J:$J,'Budget Data'!$E:$E,$B46,'Budget Data'!$C:$C,$B$5,'Budget Data'!$A:$A,"&gt;="&amp;G$19,'Budget Data'!$A:$A,"&lt;="&amp;EOMONTH(G$19,0))+SUMIFS('Budget Data'!$J:$J,'Budget Data'!$E:$E,$B46,'Budget Data'!$C:$C,$B$6,'Budget Data'!$A:$A,"&gt;="&amp;G$19,'Budget Data'!$A:$A,"&lt;="&amp;EOMONTH(G$19,0)))</f>
        <v>400</v>
      </c>
      <c r="H46" s="86">
        <f>SUMPRODUCT(SUMIFS('Allocated Transactions'!$J:$J,'Allocated Transactions'!$D:$D,$B46,'Allocated Transactions'!$C:$C,$B$7,'Allocated Transactions'!$A:$A,"&gt;="&amp;H$19,'Allocated Transactions'!$A:$A,"&lt;="&amp;EOMONTH(H$19,0))+SUMIFS('Allocated Transactions'!$J:$J,'Allocated Transactions'!$D:$D,$B46,'Allocated Transactions'!$C:$C,$B$9,'Allocated Transactions'!$A:$A,"&gt;="&amp;H$19,'Allocated Transactions'!$A:$A,"&lt;="&amp;EOMONTH(H$19,0))+SUMIFS('Allocated Transactions'!$J:$J,'Allocated Transactions'!$D:$D,$B46,'Allocated Transactions'!$C:$C,$B$8,'Allocated Transactions'!$A:$A,"&gt;="&amp;H$19,'Allocated Transactions'!$A:$A,"&lt;="&amp;EOMONTH(H$19,0))+SUMIFS('Allocated Transactions'!$J:$J,'Allocated Transactions'!$D:$D,$B46,'Allocated Transactions'!$C:$C,$B$10,'Allocated Transactions'!$A:$A,"&gt;="&amp;H$19,'Allocated Transactions'!$A:$A,"&lt;="&amp;EOMONTH(H$19,0))+SUMIFS('Allocated Transactions'!$J:$J,'Allocated Transactions'!$D:$D,$B46,'Allocated Transactions'!$C:$C,$B$11,'Allocated Transactions'!$A:$A,"&gt;="&amp;H$19,'Allocated Transactions'!$A:$A,"&lt;="&amp;EOMONTH(H$19,0))+SUMIFS('Allocated Transactions'!$J:$J,'Allocated Transactions'!$D:$D,$B46,'Allocated Transactions'!$C:$C,$B$2,'Allocated Transactions'!$A:$A,"&gt;="&amp;H$19,'Allocated Transactions'!$A:$A,"&lt;="&amp;EOMONTH(H$19,0))+SUMIFS('Allocated Transactions'!$J:$J,'Allocated Transactions'!$D:$D,$B46,'Allocated Transactions'!$C:$C,$B$4,'Allocated Transactions'!$A:$A,"&gt;="&amp;H$19,'Allocated Transactions'!$A:$A,"&lt;="&amp;EOMONTH(H$19,0))+SUMIFS('Allocated Transactions'!$J:$J,'Allocated Transactions'!$D:$D,$B46,'Allocated Transactions'!$C:$C,$B$3,'Allocated Transactions'!$A:$A,"&gt;="&amp;H$19,'Allocated Transactions'!$A:$A,"&lt;="&amp;EOMONTH(H$19,0))+SUMIFS('Allocated Transactions'!$J:$J,'Allocated Transactions'!$D:$D,$B46,'Allocated Transactions'!$C:$C,$B$5,'Allocated Transactions'!$A:$A,"&gt;="&amp;H$19,'Allocated Transactions'!$A:$A,"&lt;="&amp;EOMONTH(H$19,0))+SUMIFS('Allocated Transactions'!$J:$J,'Allocated Transactions'!$D:$D,$B46,'Allocated Transactions'!$C:$C,$B$6,'Allocated Transactions'!$A:$A,"&gt;="&amp;H$19,'Allocated Transactions'!$A:$A,"&lt;="&amp;EOMONTH(H$19,0)))</f>
        <v>389.58</v>
      </c>
      <c r="I46" s="84">
        <f>SUMPRODUCT(SUMIFS('Budget Data'!$J:$J,'Budget Data'!$E:$E,$B46,'Budget Data'!$C:$C,$B$7,'Budget Data'!$A:$A,"&gt;="&amp;I$19,'Budget Data'!$A:$A,"&lt;="&amp;EOMONTH(I$19,0))+SUMIFS('Budget Data'!$J:$J,'Budget Data'!$E:$E,$B46,'Budget Data'!$C:$C,$B$9,'Budget Data'!$A:$A,"&gt;="&amp;I$19,'Budget Data'!$A:$A,"&lt;="&amp;EOMONTH(I$19,0))+SUMIFS('Budget Data'!$J:$J,'Budget Data'!$E:$E,$B46,'Budget Data'!$C:$C,$B$8,'Budget Data'!$A:$A,"&gt;="&amp;I$19,'Budget Data'!$A:$A,"&lt;="&amp;EOMONTH(I$19,0))+SUMIFS('Budget Data'!$J:$J,'Budget Data'!$E:$E,$B46,'Budget Data'!$C:$C,$B$10,'Budget Data'!$A:$A,"&gt;="&amp;I$19,'Budget Data'!$A:$A,"&lt;="&amp;EOMONTH(I$19,0))+SUMIFS('Budget Data'!$J:$J,'Budget Data'!$E:$E,$B46,'Budget Data'!$C:$C,$B$11,'Budget Data'!$A:$A,"&gt;="&amp;I$19,'Budget Data'!$A:$A,"&lt;="&amp;EOMONTH(I$19,0))+SUMIFS('Budget Data'!$J:$J,'Budget Data'!$E:$E,$B46,'Budget Data'!$C:$C,$B$2,'Budget Data'!$A:$A,"&gt;="&amp;I$19,'Budget Data'!$A:$A,"&lt;="&amp;EOMONTH(I$19,0))+SUMIFS('Budget Data'!$J:$J,'Budget Data'!$E:$E,$B46,'Budget Data'!$C:$C,$B$4,'Budget Data'!$A:$A,"&gt;="&amp;I$19,'Budget Data'!$A:$A,"&lt;="&amp;EOMONTH(I$19,0))+SUMIFS('Budget Data'!$J:$J,'Budget Data'!$E:$E,$B46,'Budget Data'!$C:$C,$B$3,'Budget Data'!$A:$A,"&gt;="&amp;I$19,'Budget Data'!$A:$A,"&lt;="&amp;EOMONTH(I$19,0))+SUMIFS('Budget Data'!$J:$J,'Budget Data'!$E:$E,$B46,'Budget Data'!$C:$C,$B$5,'Budget Data'!$A:$A,"&gt;="&amp;I$19,'Budget Data'!$A:$A,"&lt;="&amp;EOMONTH(I$19,0))+SUMIFS('Budget Data'!$J:$J,'Budget Data'!$E:$E,$B46,'Budget Data'!$C:$C,$B$6,'Budget Data'!$A:$A,"&gt;="&amp;I$19,'Budget Data'!$A:$A,"&lt;="&amp;EOMONTH(I$19,0)))</f>
        <v>400</v>
      </c>
      <c r="J46" s="86">
        <f>SUMPRODUCT(SUMIFS('Allocated Transactions'!$J:$J,'Allocated Transactions'!$D:$D,$B46,'Allocated Transactions'!$C:$C,$B$7,'Allocated Transactions'!$A:$A,"&gt;="&amp;J$19,'Allocated Transactions'!$A:$A,"&lt;="&amp;EOMONTH(J$19,0))+SUMIFS('Allocated Transactions'!$J:$J,'Allocated Transactions'!$D:$D,$B46,'Allocated Transactions'!$C:$C,$B$9,'Allocated Transactions'!$A:$A,"&gt;="&amp;J$19,'Allocated Transactions'!$A:$A,"&lt;="&amp;EOMONTH(J$19,0))+SUMIFS('Allocated Transactions'!$J:$J,'Allocated Transactions'!$D:$D,$B46,'Allocated Transactions'!$C:$C,$B$8,'Allocated Transactions'!$A:$A,"&gt;="&amp;J$19,'Allocated Transactions'!$A:$A,"&lt;="&amp;EOMONTH(J$19,0))+SUMIFS('Allocated Transactions'!$J:$J,'Allocated Transactions'!$D:$D,$B46,'Allocated Transactions'!$C:$C,$B$10,'Allocated Transactions'!$A:$A,"&gt;="&amp;J$19,'Allocated Transactions'!$A:$A,"&lt;="&amp;EOMONTH(J$19,0))+SUMIFS('Allocated Transactions'!$J:$J,'Allocated Transactions'!$D:$D,$B46,'Allocated Transactions'!$C:$C,$B$11,'Allocated Transactions'!$A:$A,"&gt;="&amp;J$19,'Allocated Transactions'!$A:$A,"&lt;="&amp;EOMONTH(J$19,0))+SUMIFS('Allocated Transactions'!$J:$J,'Allocated Transactions'!$D:$D,$B46,'Allocated Transactions'!$C:$C,$B$2,'Allocated Transactions'!$A:$A,"&gt;="&amp;J$19,'Allocated Transactions'!$A:$A,"&lt;="&amp;EOMONTH(J$19,0))+SUMIFS('Allocated Transactions'!$J:$J,'Allocated Transactions'!$D:$D,$B46,'Allocated Transactions'!$C:$C,$B$4,'Allocated Transactions'!$A:$A,"&gt;="&amp;J$19,'Allocated Transactions'!$A:$A,"&lt;="&amp;EOMONTH(J$19,0))+SUMIFS('Allocated Transactions'!$J:$J,'Allocated Transactions'!$D:$D,$B46,'Allocated Transactions'!$C:$C,$B$3,'Allocated Transactions'!$A:$A,"&gt;="&amp;J$19,'Allocated Transactions'!$A:$A,"&lt;="&amp;EOMONTH(J$19,0))+SUMIFS('Allocated Transactions'!$J:$J,'Allocated Transactions'!$D:$D,$B46,'Allocated Transactions'!$C:$C,$B$5,'Allocated Transactions'!$A:$A,"&gt;="&amp;J$19,'Allocated Transactions'!$A:$A,"&lt;="&amp;EOMONTH(J$19,0))+SUMIFS('Allocated Transactions'!$J:$J,'Allocated Transactions'!$D:$D,$B46,'Allocated Transactions'!$C:$C,$B$6,'Allocated Transactions'!$A:$A,"&gt;="&amp;J$19,'Allocated Transactions'!$A:$A,"&lt;="&amp;EOMONTH(J$19,0)))</f>
        <v>389.58</v>
      </c>
      <c r="K46" s="84">
        <f>SUMPRODUCT(SUMIFS('Budget Data'!$J:$J,'Budget Data'!$E:$E,$B46,'Budget Data'!$C:$C,$B$7,'Budget Data'!$A:$A,"&gt;="&amp;K$19,'Budget Data'!$A:$A,"&lt;="&amp;EOMONTH(K$19,0))+SUMIFS('Budget Data'!$J:$J,'Budget Data'!$E:$E,$B46,'Budget Data'!$C:$C,$B$9,'Budget Data'!$A:$A,"&gt;="&amp;K$19,'Budget Data'!$A:$A,"&lt;="&amp;EOMONTH(K$19,0))+SUMIFS('Budget Data'!$J:$J,'Budget Data'!$E:$E,$B46,'Budget Data'!$C:$C,$B$8,'Budget Data'!$A:$A,"&gt;="&amp;K$19,'Budget Data'!$A:$A,"&lt;="&amp;EOMONTH(K$19,0))+SUMIFS('Budget Data'!$J:$J,'Budget Data'!$E:$E,$B46,'Budget Data'!$C:$C,$B$10,'Budget Data'!$A:$A,"&gt;="&amp;K$19,'Budget Data'!$A:$A,"&lt;="&amp;EOMONTH(K$19,0))+SUMIFS('Budget Data'!$J:$J,'Budget Data'!$E:$E,$B46,'Budget Data'!$C:$C,$B$11,'Budget Data'!$A:$A,"&gt;="&amp;K$19,'Budget Data'!$A:$A,"&lt;="&amp;EOMONTH(K$19,0))+SUMIFS('Budget Data'!$J:$J,'Budget Data'!$E:$E,$B46,'Budget Data'!$C:$C,$B$2,'Budget Data'!$A:$A,"&gt;="&amp;K$19,'Budget Data'!$A:$A,"&lt;="&amp;EOMONTH(K$19,0))+SUMIFS('Budget Data'!$J:$J,'Budget Data'!$E:$E,$B46,'Budget Data'!$C:$C,$B$4,'Budget Data'!$A:$A,"&gt;="&amp;K$19,'Budget Data'!$A:$A,"&lt;="&amp;EOMONTH(K$19,0))+SUMIFS('Budget Data'!$J:$J,'Budget Data'!$E:$E,$B46,'Budget Data'!$C:$C,$B$3,'Budget Data'!$A:$A,"&gt;="&amp;K$19,'Budget Data'!$A:$A,"&lt;="&amp;EOMONTH(K$19,0))+SUMIFS('Budget Data'!$J:$J,'Budget Data'!$E:$E,$B46,'Budget Data'!$C:$C,$B$5,'Budget Data'!$A:$A,"&gt;="&amp;K$19,'Budget Data'!$A:$A,"&lt;="&amp;EOMONTH(K$19,0))+SUMIFS('Budget Data'!$J:$J,'Budget Data'!$E:$E,$B46,'Budget Data'!$C:$C,$B$6,'Budget Data'!$A:$A,"&gt;="&amp;K$19,'Budget Data'!$A:$A,"&lt;="&amp;EOMONTH(K$19,0)))</f>
        <v>400</v>
      </c>
      <c r="L46" s="86">
        <f>SUMPRODUCT(SUMIFS('Allocated Transactions'!$J:$J,'Allocated Transactions'!$D:$D,$B46,'Allocated Transactions'!$C:$C,$B$7,'Allocated Transactions'!$A:$A,"&gt;="&amp;L$19,'Allocated Transactions'!$A:$A,"&lt;="&amp;EOMONTH(L$19,0))+SUMIFS('Allocated Transactions'!$J:$J,'Allocated Transactions'!$D:$D,$B46,'Allocated Transactions'!$C:$C,$B$9,'Allocated Transactions'!$A:$A,"&gt;="&amp;L$19,'Allocated Transactions'!$A:$A,"&lt;="&amp;EOMONTH(L$19,0))+SUMIFS('Allocated Transactions'!$J:$J,'Allocated Transactions'!$D:$D,$B46,'Allocated Transactions'!$C:$C,$B$8,'Allocated Transactions'!$A:$A,"&gt;="&amp;L$19,'Allocated Transactions'!$A:$A,"&lt;="&amp;EOMONTH(L$19,0))+SUMIFS('Allocated Transactions'!$J:$J,'Allocated Transactions'!$D:$D,$B46,'Allocated Transactions'!$C:$C,$B$10,'Allocated Transactions'!$A:$A,"&gt;="&amp;L$19,'Allocated Transactions'!$A:$A,"&lt;="&amp;EOMONTH(L$19,0))+SUMIFS('Allocated Transactions'!$J:$J,'Allocated Transactions'!$D:$D,$B46,'Allocated Transactions'!$C:$C,$B$11,'Allocated Transactions'!$A:$A,"&gt;="&amp;L$19,'Allocated Transactions'!$A:$A,"&lt;="&amp;EOMONTH(L$19,0))+SUMIFS('Allocated Transactions'!$J:$J,'Allocated Transactions'!$D:$D,$B46,'Allocated Transactions'!$C:$C,$B$2,'Allocated Transactions'!$A:$A,"&gt;="&amp;L$19,'Allocated Transactions'!$A:$A,"&lt;="&amp;EOMONTH(L$19,0))+SUMIFS('Allocated Transactions'!$J:$J,'Allocated Transactions'!$D:$D,$B46,'Allocated Transactions'!$C:$C,$B$4,'Allocated Transactions'!$A:$A,"&gt;="&amp;L$19,'Allocated Transactions'!$A:$A,"&lt;="&amp;EOMONTH(L$19,0))+SUMIFS('Allocated Transactions'!$J:$J,'Allocated Transactions'!$D:$D,$B46,'Allocated Transactions'!$C:$C,$B$3,'Allocated Transactions'!$A:$A,"&gt;="&amp;L$19,'Allocated Transactions'!$A:$A,"&lt;="&amp;EOMONTH(L$19,0))+SUMIFS('Allocated Transactions'!$J:$J,'Allocated Transactions'!$D:$D,$B46,'Allocated Transactions'!$C:$C,$B$5,'Allocated Transactions'!$A:$A,"&gt;="&amp;L$19,'Allocated Transactions'!$A:$A,"&lt;="&amp;EOMONTH(L$19,0))+SUMIFS('Allocated Transactions'!$J:$J,'Allocated Transactions'!$D:$D,$B46,'Allocated Transactions'!$C:$C,$B$6,'Allocated Transactions'!$A:$A,"&gt;="&amp;L$19,'Allocated Transactions'!$A:$A,"&lt;="&amp;EOMONTH(L$19,0)))</f>
        <v>389.58</v>
      </c>
      <c r="M46" s="84">
        <f>SUMPRODUCT(SUMIFS('Budget Data'!$J:$J,'Budget Data'!$E:$E,$B46,'Budget Data'!$C:$C,$B$7,'Budget Data'!$A:$A,"&gt;="&amp;M$19,'Budget Data'!$A:$A,"&lt;="&amp;EOMONTH(M$19,0))+SUMIFS('Budget Data'!$J:$J,'Budget Data'!$E:$E,$B46,'Budget Data'!$C:$C,$B$9,'Budget Data'!$A:$A,"&gt;="&amp;M$19,'Budget Data'!$A:$A,"&lt;="&amp;EOMONTH(M$19,0))+SUMIFS('Budget Data'!$J:$J,'Budget Data'!$E:$E,$B46,'Budget Data'!$C:$C,$B$8,'Budget Data'!$A:$A,"&gt;="&amp;M$19,'Budget Data'!$A:$A,"&lt;="&amp;EOMONTH(M$19,0))+SUMIFS('Budget Data'!$J:$J,'Budget Data'!$E:$E,$B46,'Budget Data'!$C:$C,$B$10,'Budget Data'!$A:$A,"&gt;="&amp;M$19,'Budget Data'!$A:$A,"&lt;="&amp;EOMONTH(M$19,0))+SUMIFS('Budget Data'!$J:$J,'Budget Data'!$E:$E,$B46,'Budget Data'!$C:$C,$B$11,'Budget Data'!$A:$A,"&gt;="&amp;M$19,'Budget Data'!$A:$A,"&lt;="&amp;EOMONTH(M$19,0))+SUMIFS('Budget Data'!$J:$J,'Budget Data'!$E:$E,$B46,'Budget Data'!$C:$C,$B$2,'Budget Data'!$A:$A,"&gt;="&amp;M$19,'Budget Data'!$A:$A,"&lt;="&amp;EOMONTH(M$19,0))+SUMIFS('Budget Data'!$J:$J,'Budget Data'!$E:$E,$B46,'Budget Data'!$C:$C,$B$4,'Budget Data'!$A:$A,"&gt;="&amp;M$19,'Budget Data'!$A:$A,"&lt;="&amp;EOMONTH(M$19,0))+SUMIFS('Budget Data'!$J:$J,'Budget Data'!$E:$E,$B46,'Budget Data'!$C:$C,$B$3,'Budget Data'!$A:$A,"&gt;="&amp;M$19,'Budget Data'!$A:$A,"&lt;="&amp;EOMONTH(M$19,0))+SUMIFS('Budget Data'!$J:$J,'Budget Data'!$E:$E,$B46,'Budget Data'!$C:$C,$B$5,'Budget Data'!$A:$A,"&gt;="&amp;M$19,'Budget Data'!$A:$A,"&lt;="&amp;EOMONTH(M$19,0))+SUMIFS('Budget Data'!$J:$J,'Budget Data'!$E:$E,$B46,'Budget Data'!$C:$C,$B$6,'Budget Data'!$A:$A,"&gt;="&amp;M$19,'Budget Data'!$A:$A,"&lt;="&amp;EOMONTH(M$19,0)))</f>
        <v>400</v>
      </c>
      <c r="N46" s="86">
        <f>SUMPRODUCT(SUMIFS('Allocated Transactions'!$J:$J,'Allocated Transactions'!$D:$D,$B46,'Allocated Transactions'!$C:$C,$B$7,'Allocated Transactions'!$A:$A,"&gt;="&amp;N$19,'Allocated Transactions'!$A:$A,"&lt;="&amp;EOMONTH(N$19,0))+SUMIFS('Allocated Transactions'!$J:$J,'Allocated Transactions'!$D:$D,$B46,'Allocated Transactions'!$C:$C,$B$9,'Allocated Transactions'!$A:$A,"&gt;="&amp;N$19,'Allocated Transactions'!$A:$A,"&lt;="&amp;EOMONTH(N$19,0))+SUMIFS('Allocated Transactions'!$J:$J,'Allocated Transactions'!$D:$D,$B46,'Allocated Transactions'!$C:$C,$B$8,'Allocated Transactions'!$A:$A,"&gt;="&amp;N$19,'Allocated Transactions'!$A:$A,"&lt;="&amp;EOMONTH(N$19,0))+SUMIFS('Allocated Transactions'!$J:$J,'Allocated Transactions'!$D:$D,$B46,'Allocated Transactions'!$C:$C,$B$10,'Allocated Transactions'!$A:$A,"&gt;="&amp;N$19,'Allocated Transactions'!$A:$A,"&lt;="&amp;EOMONTH(N$19,0))+SUMIFS('Allocated Transactions'!$J:$J,'Allocated Transactions'!$D:$D,$B46,'Allocated Transactions'!$C:$C,$B$11,'Allocated Transactions'!$A:$A,"&gt;="&amp;N$19,'Allocated Transactions'!$A:$A,"&lt;="&amp;EOMONTH(N$19,0))+SUMIFS('Allocated Transactions'!$J:$J,'Allocated Transactions'!$D:$D,$B46,'Allocated Transactions'!$C:$C,$B$2,'Allocated Transactions'!$A:$A,"&gt;="&amp;N$19,'Allocated Transactions'!$A:$A,"&lt;="&amp;EOMONTH(N$19,0))+SUMIFS('Allocated Transactions'!$J:$J,'Allocated Transactions'!$D:$D,$B46,'Allocated Transactions'!$C:$C,$B$4,'Allocated Transactions'!$A:$A,"&gt;="&amp;N$19,'Allocated Transactions'!$A:$A,"&lt;="&amp;EOMONTH(N$19,0))+SUMIFS('Allocated Transactions'!$J:$J,'Allocated Transactions'!$D:$D,$B46,'Allocated Transactions'!$C:$C,$B$3,'Allocated Transactions'!$A:$A,"&gt;="&amp;N$19,'Allocated Transactions'!$A:$A,"&lt;="&amp;EOMONTH(N$19,0))+SUMIFS('Allocated Transactions'!$J:$J,'Allocated Transactions'!$D:$D,$B46,'Allocated Transactions'!$C:$C,$B$5,'Allocated Transactions'!$A:$A,"&gt;="&amp;N$19,'Allocated Transactions'!$A:$A,"&lt;="&amp;EOMONTH(N$19,0))+SUMIFS('Allocated Transactions'!$J:$J,'Allocated Transactions'!$D:$D,$B46,'Allocated Transactions'!$C:$C,$B$6,'Allocated Transactions'!$A:$A,"&gt;="&amp;N$19,'Allocated Transactions'!$A:$A,"&lt;="&amp;EOMONTH(N$19,0)))</f>
        <v>389.58</v>
      </c>
      <c r="O46" s="84">
        <f>SUMPRODUCT(SUMIFS('Budget Data'!$J:$J,'Budget Data'!$E:$E,$B46,'Budget Data'!$C:$C,$B$7,'Budget Data'!$A:$A,"&gt;="&amp;O$19,'Budget Data'!$A:$A,"&lt;="&amp;EOMONTH(O$19,0))+SUMIFS('Budget Data'!$J:$J,'Budget Data'!$E:$E,$B46,'Budget Data'!$C:$C,$B$9,'Budget Data'!$A:$A,"&gt;="&amp;O$19,'Budget Data'!$A:$A,"&lt;="&amp;EOMONTH(O$19,0))+SUMIFS('Budget Data'!$J:$J,'Budget Data'!$E:$E,$B46,'Budget Data'!$C:$C,$B$8,'Budget Data'!$A:$A,"&gt;="&amp;O$19,'Budget Data'!$A:$A,"&lt;="&amp;EOMONTH(O$19,0))+SUMIFS('Budget Data'!$J:$J,'Budget Data'!$E:$E,$B46,'Budget Data'!$C:$C,$B$10,'Budget Data'!$A:$A,"&gt;="&amp;O$19,'Budget Data'!$A:$A,"&lt;="&amp;EOMONTH(O$19,0))+SUMIFS('Budget Data'!$J:$J,'Budget Data'!$E:$E,$B46,'Budget Data'!$C:$C,$B$11,'Budget Data'!$A:$A,"&gt;="&amp;O$19,'Budget Data'!$A:$A,"&lt;="&amp;EOMONTH(O$19,0))+SUMIFS('Budget Data'!$J:$J,'Budget Data'!$E:$E,$B46,'Budget Data'!$C:$C,$B$2,'Budget Data'!$A:$A,"&gt;="&amp;O$19,'Budget Data'!$A:$A,"&lt;="&amp;EOMONTH(O$19,0))+SUMIFS('Budget Data'!$J:$J,'Budget Data'!$E:$E,$B46,'Budget Data'!$C:$C,$B$4,'Budget Data'!$A:$A,"&gt;="&amp;O$19,'Budget Data'!$A:$A,"&lt;="&amp;EOMONTH(O$19,0))+SUMIFS('Budget Data'!$J:$J,'Budget Data'!$E:$E,$B46,'Budget Data'!$C:$C,$B$3,'Budget Data'!$A:$A,"&gt;="&amp;O$19,'Budget Data'!$A:$A,"&lt;="&amp;EOMONTH(O$19,0))+SUMIFS('Budget Data'!$J:$J,'Budget Data'!$E:$E,$B46,'Budget Data'!$C:$C,$B$5,'Budget Data'!$A:$A,"&gt;="&amp;O$19,'Budget Data'!$A:$A,"&lt;="&amp;EOMONTH(O$19,0))+SUMIFS('Budget Data'!$J:$J,'Budget Data'!$E:$E,$B46,'Budget Data'!$C:$C,$B$6,'Budget Data'!$A:$A,"&gt;="&amp;O$19,'Budget Data'!$A:$A,"&lt;="&amp;EOMONTH(O$19,0)))</f>
        <v>400</v>
      </c>
      <c r="P46" s="86">
        <f>SUMPRODUCT(SUMIFS('Allocated Transactions'!$J:$J,'Allocated Transactions'!$D:$D,$B46,'Allocated Transactions'!$C:$C,$B$7,'Allocated Transactions'!$A:$A,"&gt;="&amp;P$19,'Allocated Transactions'!$A:$A,"&lt;="&amp;EOMONTH(P$19,0))+SUMIFS('Allocated Transactions'!$J:$J,'Allocated Transactions'!$D:$D,$B46,'Allocated Transactions'!$C:$C,$B$9,'Allocated Transactions'!$A:$A,"&gt;="&amp;P$19,'Allocated Transactions'!$A:$A,"&lt;="&amp;EOMONTH(P$19,0))+SUMIFS('Allocated Transactions'!$J:$J,'Allocated Transactions'!$D:$D,$B46,'Allocated Transactions'!$C:$C,$B$8,'Allocated Transactions'!$A:$A,"&gt;="&amp;P$19,'Allocated Transactions'!$A:$A,"&lt;="&amp;EOMONTH(P$19,0))+SUMIFS('Allocated Transactions'!$J:$J,'Allocated Transactions'!$D:$D,$B46,'Allocated Transactions'!$C:$C,$B$10,'Allocated Transactions'!$A:$A,"&gt;="&amp;P$19,'Allocated Transactions'!$A:$A,"&lt;="&amp;EOMONTH(P$19,0))+SUMIFS('Allocated Transactions'!$J:$J,'Allocated Transactions'!$D:$D,$B46,'Allocated Transactions'!$C:$C,$B$11,'Allocated Transactions'!$A:$A,"&gt;="&amp;P$19,'Allocated Transactions'!$A:$A,"&lt;="&amp;EOMONTH(P$19,0))+SUMIFS('Allocated Transactions'!$J:$J,'Allocated Transactions'!$D:$D,$B46,'Allocated Transactions'!$C:$C,$B$2,'Allocated Transactions'!$A:$A,"&gt;="&amp;P$19,'Allocated Transactions'!$A:$A,"&lt;="&amp;EOMONTH(P$19,0))+SUMIFS('Allocated Transactions'!$J:$J,'Allocated Transactions'!$D:$D,$B46,'Allocated Transactions'!$C:$C,$B$4,'Allocated Transactions'!$A:$A,"&gt;="&amp;P$19,'Allocated Transactions'!$A:$A,"&lt;="&amp;EOMONTH(P$19,0))+SUMIFS('Allocated Transactions'!$J:$J,'Allocated Transactions'!$D:$D,$B46,'Allocated Transactions'!$C:$C,$B$3,'Allocated Transactions'!$A:$A,"&gt;="&amp;P$19,'Allocated Transactions'!$A:$A,"&lt;="&amp;EOMONTH(P$19,0))+SUMIFS('Allocated Transactions'!$J:$J,'Allocated Transactions'!$D:$D,$B46,'Allocated Transactions'!$C:$C,$B$5,'Allocated Transactions'!$A:$A,"&gt;="&amp;P$19,'Allocated Transactions'!$A:$A,"&lt;="&amp;EOMONTH(P$19,0))+SUMIFS('Allocated Transactions'!$J:$J,'Allocated Transactions'!$D:$D,$B46,'Allocated Transactions'!$C:$C,$B$6,'Allocated Transactions'!$A:$A,"&gt;="&amp;P$19,'Allocated Transactions'!$A:$A,"&lt;="&amp;EOMONTH(P$19,0)))</f>
        <v>389.58</v>
      </c>
      <c r="Q46" s="84">
        <f>SUMPRODUCT(SUMIFS('Budget Data'!$J:$J,'Budget Data'!$E:$E,$B46,'Budget Data'!$C:$C,$B$7,'Budget Data'!$A:$A,"&gt;="&amp;Q$19,'Budget Data'!$A:$A,"&lt;="&amp;EOMONTH(Q$19,0))+SUMIFS('Budget Data'!$J:$J,'Budget Data'!$E:$E,$B46,'Budget Data'!$C:$C,$B$9,'Budget Data'!$A:$A,"&gt;="&amp;Q$19,'Budget Data'!$A:$A,"&lt;="&amp;EOMONTH(Q$19,0))+SUMIFS('Budget Data'!$J:$J,'Budget Data'!$E:$E,$B46,'Budget Data'!$C:$C,$B$8,'Budget Data'!$A:$A,"&gt;="&amp;Q$19,'Budget Data'!$A:$A,"&lt;="&amp;EOMONTH(Q$19,0))+SUMIFS('Budget Data'!$J:$J,'Budget Data'!$E:$E,$B46,'Budget Data'!$C:$C,$B$10,'Budget Data'!$A:$A,"&gt;="&amp;Q$19,'Budget Data'!$A:$A,"&lt;="&amp;EOMONTH(Q$19,0))+SUMIFS('Budget Data'!$J:$J,'Budget Data'!$E:$E,$B46,'Budget Data'!$C:$C,$B$11,'Budget Data'!$A:$A,"&gt;="&amp;Q$19,'Budget Data'!$A:$A,"&lt;="&amp;EOMONTH(Q$19,0))+SUMIFS('Budget Data'!$J:$J,'Budget Data'!$E:$E,$B46,'Budget Data'!$C:$C,$B$2,'Budget Data'!$A:$A,"&gt;="&amp;Q$19,'Budget Data'!$A:$A,"&lt;="&amp;EOMONTH(Q$19,0))+SUMIFS('Budget Data'!$J:$J,'Budget Data'!$E:$E,$B46,'Budget Data'!$C:$C,$B$4,'Budget Data'!$A:$A,"&gt;="&amp;Q$19,'Budget Data'!$A:$A,"&lt;="&amp;EOMONTH(Q$19,0))+SUMIFS('Budget Data'!$J:$J,'Budget Data'!$E:$E,$B46,'Budget Data'!$C:$C,$B$3,'Budget Data'!$A:$A,"&gt;="&amp;Q$19,'Budget Data'!$A:$A,"&lt;="&amp;EOMONTH(Q$19,0))+SUMIFS('Budget Data'!$J:$J,'Budget Data'!$E:$E,$B46,'Budget Data'!$C:$C,$B$5,'Budget Data'!$A:$A,"&gt;="&amp;Q$19,'Budget Data'!$A:$A,"&lt;="&amp;EOMONTH(Q$19,0))+SUMIFS('Budget Data'!$J:$J,'Budget Data'!$E:$E,$B46,'Budget Data'!$C:$C,$B$6,'Budget Data'!$A:$A,"&gt;="&amp;Q$19,'Budget Data'!$A:$A,"&lt;="&amp;EOMONTH(Q$19,0)))</f>
        <v>400</v>
      </c>
      <c r="R46" s="86">
        <f>SUMPRODUCT(SUMIFS('Allocated Transactions'!$J:$J,'Allocated Transactions'!$D:$D,$B46,'Allocated Transactions'!$C:$C,$B$7,'Allocated Transactions'!$A:$A,"&gt;="&amp;R$19,'Allocated Transactions'!$A:$A,"&lt;="&amp;EOMONTH(R$19,0))+SUMIFS('Allocated Transactions'!$J:$J,'Allocated Transactions'!$D:$D,$B46,'Allocated Transactions'!$C:$C,$B$9,'Allocated Transactions'!$A:$A,"&gt;="&amp;R$19,'Allocated Transactions'!$A:$A,"&lt;="&amp;EOMONTH(R$19,0))+SUMIFS('Allocated Transactions'!$J:$J,'Allocated Transactions'!$D:$D,$B46,'Allocated Transactions'!$C:$C,$B$8,'Allocated Transactions'!$A:$A,"&gt;="&amp;R$19,'Allocated Transactions'!$A:$A,"&lt;="&amp;EOMONTH(R$19,0))+SUMIFS('Allocated Transactions'!$J:$J,'Allocated Transactions'!$D:$D,$B46,'Allocated Transactions'!$C:$C,$B$10,'Allocated Transactions'!$A:$A,"&gt;="&amp;R$19,'Allocated Transactions'!$A:$A,"&lt;="&amp;EOMONTH(R$19,0))+SUMIFS('Allocated Transactions'!$J:$J,'Allocated Transactions'!$D:$D,$B46,'Allocated Transactions'!$C:$C,$B$11,'Allocated Transactions'!$A:$A,"&gt;="&amp;R$19,'Allocated Transactions'!$A:$A,"&lt;="&amp;EOMONTH(R$19,0))+SUMIFS('Allocated Transactions'!$J:$J,'Allocated Transactions'!$D:$D,$B46,'Allocated Transactions'!$C:$C,$B$2,'Allocated Transactions'!$A:$A,"&gt;="&amp;R$19,'Allocated Transactions'!$A:$A,"&lt;="&amp;EOMONTH(R$19,0))+SUMIFS('Allocated Transactions'!$J:$J,'Allocated Transactions'!$D:$D,$B46,'Allocated Transactions'!$C:$C,$B$4,'Allocated Transactions'!$A:$A,"&gt;="&amp;R$19,'Allocated Transactions'!$A:$A,"&lt;="&amp;EOMONTH(R$19,0))+SUMIFS('Allocated Transactions'!$J:$J,'Allocated Transactions'!$D:$D,$B46,'Allocated Transactions'!$C:$C,$B$3,'Allocated Transactions'!$A:$A,"&gt;="&amp;R$19,'Allocated Transactions'!$A:$A,"&lt;="&amp;EOMONTH(R$19,0))+SUMIFS('Allocated Transactions'!$J:$J,'Allocated Transactions'!$D:$D,$B46,'Allocated Transactions'!$C:$C,$B$5,'Allocated Transactions'!$A:$A,"&gt;="&amp;R$19,'Allocated Transactions'!$A:$A,"&lt;="&amp;EOMONTH(R$19,0))+SUMIFS('Allocated Transactions'!$J:$J,'Allocated Transactions'!$D:$D,$B46,'Allocated Transactions'!$C:$C,$B$6,'Allocated Transactions'!$A:$A,"&gt;="&amp;R$19,'Allocated Transactions'!$A:$A,"&lt;="&amp;EOMONTH(R$19,0)))</f>
        <v>389.58</v>
      </c>
      <c r="S46" s="84">
        <f>SUMPRODUCT(SUMIFS('Budget Data'!$J:$J,'Budget Data'!$E:$E,$B46,'Budget Data'!$C:$C,$B$7,'Budget Data'!$A:$A,"&gt;="&amp;S$19,'Budget Data'!$A:$A,"&lt;="&amp;EOMONTH(S$19,0))+SUMIFS('Budget Data'!$J:$J,'Budget Data'!$E:$E,$B46,'Budget Data'!$C:$C,$B$9,'Budget Data'!$A:$A,"&gt;="&amp;S$19,'Budget Data'!$A:$A,"&lt;="&amp;EOMONTH(S$19,0))+SUMIFS('Budget Data'!$J:$J,'Budget Data'!$E:$E,$B46,'Budget Data'!$C:$C,$B$8,'Budget Data'!$A:$A,"&gt;="&amp;S$19,'Budget Data'!$A:$A,"&lt;="&amp;EOMONTH(S$19,0))+SUMIFS('Budget Data'!$J:$J,'Budget Data'!$E:$E,$B46,'Budget Data'!$C:$C,$B$10,'Budget Data'!$A:$A,"&gt;="&amp;S$19,'Budget Data'!$A:$A,"&lt;="&amp;EOMONTH(S$19,0))+SUMIFS('Budget Data'!$J:$J,'Budget Data'!$E:$E,$B46,'Budget Data'!$C:$C,$B$11,'Budget Data'!$A:$A,"&gt;="&amp;S$19,'Budget Data'!$A:$A,"&lt;="&amp;EOMONTH(S$19,0))+SUMIFS('Budget Data'!$J:$J,'Budget Data'!$E:$E,$B46,'Budget Data'!$C:$C,$B$2,'Budget Data'!$A:$A,"&gt;="&amp;S$19,'Budget Data'!$A:$A,"&lt;="&amp;EOMONTH(S$19,0))+SUMIFS('Budget Data'!$J:$J,'Budget Data'!$E:$E,$B46,'Budget Data'!$C:$C,$B$4,'Budget Data'!$A:$A,"&gt;="&amp;S$19,'Budget Data'!$A:$A,"&lt;="&amp;EOMONTH(S$19,0))+SUMIFS('Budget Data'!$J:$J,'Budget Data'!$E:$E,$B46,'Budget Data'!$C:$C,$B$3,'Budget Data'!$A:$A,"&gt;="&amp;S$19,'Budget Data'!$A:$A,"&lt;="&amp;EOMONTH(S$19,0))+SUMIFS('Budget Data'!$J:$J,'Budget Data'!$E:$E,$B46,'Budget Data'!$C:$C,$B$5,'Budget Data'!$A:$A,"&gt;="&amp;S$19,'Budget Data'!$A:$A,"&lt;="&amp;EOMONTH(S$19,0))+SUMIFS('Budget Data'!$J:$J,'Budget Data'!$E:$E,$B46,'Budget Data'!$C:$C,$B$6,'Budget Data'!$A:$A,"&gt;="&amp;S$19,'Budget Data'!$A:$A,"&lt;="&amp;EOMONTH(S$19,0)))</f>
        <v>400</v>
      </c>
      <c r="T46" s="86">
        <f>SUMPRODUCT(SUMIFS('Allocated Transactions'!$J:$J,'Allocated Transactions'!$D:$D,$B46,'Allocated Transactions'!$C:$C,$B$7,'Allocated Transactions'!$A:$A,"&gt;="&amp;T$19,'Allocated Transactions'!$A:$A,"&lt;="&amp;EOMONTH(T$19,0))+SUMIFS('Allocated Transactions'!$J:$J,'Allocated Transactions'!$D:$D,$B46,'Allocated Transactions'!$C:$C,$B$9,'Allocated Transactions'!$A:$A,"&gt;="&amp;T$19,'Allocated Transactions'!$A:$A,"&lt;="&amp;EOMONTH(T$19,0))+SUMIFS('Allocated Transactions'!$J:$J,'Allocated Transactions'!$D:$D,$B46,'Allocated Transactions'!$C:$C,$B$8,'Allocated Transactions'!$A:$A,"&gt;="&amp;T$19,'Allocated Transactions'!$A:$A,"&lt;="&amp;EOMONTH(T$19,0))+SUMIFS('Allocated Transactions'!$J:$J,'Allocated Transactions'!$D:$D,$B46,'Allocated Transactions'!$C:$C,$B$10,'Allocated Transactions'!$A:$A,"&gt;="&amp;T$19,'Allocated Transactions'!$A:$A,"&lt;="&amp;EOMONTH(T$19,0))+SUMIFS('Allocated Transactions'!$J:$J,'Allocated Transactions'!$D:$D,$B46,'Allocated Transactions'!$C:$C,$B$11,'Allocated Transactions'!$A:$A,"&gt;="&amp;T$19,'Allocated Transactions'!$A:$A,"&lt;="&amp;EOMONTH(T$19,0))+SUMIFS('Allocated Transactions'!$J:$J,'Allocated Transactions'!$D:$D,$B46,'Allocated Transactions'!$C:$C,$B$2,'Allocated Transactions'!$A:$A,"&gt;="&amp;T$19,'Allocated Transactions'!$A:$A,"&lt;="&amp;EOMONTH(T$19,0))+SUMIFS('Allocated Transactions'!$J:$J,'Allocated Transactions'!$D:$D,$B46,'Allocated Transactions'!$C:$C,$B$4,'Allocated Transactions'!$A:$A,"&gt;="&amp;T$19,'Allocated Transactions'!$A:$A,"&lt;="&amp;EOMONTH(T$19,0))+SUMIFS('Allocated Transactions'!$J:$J,'Allocated Transactions'!$D:$D,$B46,'Allocated Transactions'!$C:$C,$B$3,'Allocated Transactions'!$A:$A,"&gt;="&amp;T$19,'Allocated Transactions'!$A:$A,"&lt;="&amp;EOMONTH(T$19,0))+SUMIFS('Allocated Transactions'!$J:$J,'Allocated Transactions'!$D:$D,$B46,'Allocated Transactions'!$C:$C,$B$5,'Allocated Transactions'!$A:$A,"&gt;="&amp;T$19,'Allocated Transactions'!$A:$A,"&lt;="&amp;EOMONTH(T$19,0))+SUMIFS('Allocated Transactions'!$J:$J,'Allocated Transactions'!$D:$D,$B46,'Allocated Transactions'!$C:$C,$B$6,'Allocated Transactions'!$A:$A,"&gt;="&amp;T$19,'Allocated Transactions'!$A:$A,"&lt;="&amp;EOMONTH(T$19,0)))</f>
        <v>389.58</v>
      </c>
      <c r="U46" s="84">
        <f>SUMPRODUCT(SUMIFS('Budget Data'!$J:$J,'Budget Data'!$E:$E,$B46,'Budget Data'!$C:$C,$B$7,'Budget Data'!$A:$A,"&gt;="&amp;U$19,'Budget Data'!$A:$A,"&lt;="&amp;EOMONTH(U$19,0))+SUMIFS('Budget Data'!$J:$J,'Budget Data'!$E:$E,$B46,'Budget Data'!$C:$C,$B$9,'Budget Data'!$A:$A,"&gt;="&amp;U$19,'Budget Data'!$A:$A,"&lt;="&amp;EOMONTH(U$19,0))+SUMIFS('Budget Data'!$J:$J,'Budget Data'!$E:$E,$B46,'Budget Data'!$C:$C,$B$8,'Budget Data'!$A:$A,"&gt;="&amp;U$19,'Budget Data'!$A:$A,"&lt;="&amp;EOMONTH(U$19,0))+SUMIFS('Budget Data'!$J:$J,'Budget Data'!$E:$E,$B46,'Budget Data'!$C:$C,$B$10,'Budget Data'!$A:$A,"&gt;="&amp;U$19,'Budget Data'!$A:$A,"&lt;="&amp;EOMONTH(U$19,0))+SUMIFS('Budget Data'!$J:$J,'Budget Data'!$E:$E,$B46,'Budget Data'!$C:$C,$B$11,'Budget Data'!$A:$A,"&gt;="&amp;U$19,'Budget Data'!$A:$A,"&lt;="&amp;EOMONTH(U$19,0))+SUMIFS('Budget Data'!$J:$J,'Budget Data'!$E:$E,$B46,'Budget Data'!$C:$C,$B$2,'Budget Data'!$A:$A,"&gt;="&amp;U$19,'Budget Data'!$A:$A,"&lt;="&amp;EOMONTH(U$19,0))+SUMIFS('Budget Data'!$J:$J,'Budget Data'!$E:$E,$B46,'Budget Data'!$C:$C,$B$4,'Budget Data'!$A:$A,"&gt;="&amp;U$19,'Budget Data'!$A:$A,"&lt;="&amp;EOMONTH(U$19,0))+SUMIFS('Budget Data'!$J:$J,'Budget Data'!$E:$E,$B46,'Budget Data'!$C:$C,$B$3,'Budget Data'!$A:$A,"&gt;="&amp;U$19,'Budget Data'!$A:$A,"&lt;="&amp;EOMONTH(U$19,0))+SUMIFS('Budget Data'!$J:$J,'Budget Data'!$E:$E,$B46,'Budget Data'!$C:$C,$B$5,'Budget Data'!$A:$A,"&gt;="&amp;U$19,'Budget Data'!$A:$A,"&lt;="&amp;EOMONTH(U$19,0))+SUMIFS('Budget Data'!$J:$J,'Budget Data'!$E:$E,$B46,'Budget Data'!$C:$C,$B$6,'Budget Data'!$A:$A,"&gt;="&amp;U$19,'Budget Data'!$A:$A,"&lt;="&amp;EOMONTH(U$19,0)))</f>
        <v>400</v>
      </c>
      <c r="V46" s="86">
        <f>SUMPRODUCT(SUMIFS('Allocated Transactions'!$J:$J,'Allocated Transactions'!$D:$D,$B46,'Allocated Transactions'!$C:$C,$B$7,'Allocated Transactions'!$A:$A,"&gt;="&amp;V$19,'Allocated Transactions'!$A:$A,"&lt;="&amp;EOMONTH(V$19,0))+SUMIFS('Allocated Transactions'!$J:$J,'Allocated Transactions'!$D:$D,$B46,'Allocated Transactions'!$C:$C,$B$9,'Allocated Transactions'!$A:$A,"&gt;="&amp;V$19,'Allocated Transactions'!$A:$A,"&lt;="&amp;EOMONTH(V$19,0))+SUMIFS('Allocated Transactions'!$J:$J,'Allocated Transactions'!$D:$D,$B46,'Allocated Transactions'!$C:$C,$B$8,'Allocated Transactions'!$A:$A,"&gt;="&amp;V$19,'Allocated Transactions'!$A:$A,"&lt;="&amp;EOMONTH(V$19,0))+SUMIFS('Allocated Transactions'!$J:$J,'Allocated Transactions'!$D:$D,$B46,'Allocated Transactions'!$C:$C,$B$10,'Allocated Transactions'!$A:$A,"&gt;="&amp;V$19,'Allocated Transactions'!$A:$A,"&lt;="&amp;EOMONTH(V$19,0))+SUMIFS('Allocated Transactions'!$J:$J,'Allocated Transactions'!$D:$D,$B46,'Allocated Transactions'!$C:$C,$B$11,'Allocated Transactions'!$A:$A,"&gt;="&amp;V$19,'Allocated Transactions'!$A:$A,"&lt;="&amp;EOMONTH(V$19,0))+SUMIFS('Allocated Transactions'!$J:$J,'Allocated Transactions'!$D:$D,$B46,'Allocated Transactions'!$C:$C,$B$2,'Allocated Transactions'!$A:$A,"&gt;="&amp;V$19,'Allocated Transactions'!$A:$A,"&lt;="&amp;EOMONTH(V$19,0))+SUMIFS('Allocated Transactions'!$J:$J,'Allocated Transactions'!$D:$D,$B46,'Allocated Transactions'!$C:$C,$B$4,'Allocated Transactions'!$A:$A,"&gt;="&amp;V$19,'Allocated Transactions'!$A:$A,"&lt;="&amp;EOMONTH(V$19,0))+SUMIFS('Allocated Transactions'!$J:$J,'Allocated Transactions'!$D:$D,$B46,'Allocated Transactions'!$C:$C,$B$3,'Allocated Transactions'!$A:$A,"&gt;="&amp;V$19,'Allocated Transactions'!$A:$A,"&lt;="&amp;EOMONTH(V$19,0))+SUMIFS('Allocated Transactions'!$J:$J,'Allocated Transactions'!$D:$D,$B46,'Allocated Transactions'!$C:$C,$B$5,'Allocated Transactions'!$A:$A,"&gt;="&amp;V$19,'Allocated Transactions'!$A:$A,"&lt;="&amp;EOMONTH(V$19,0))+SUMIFS('Allocated Transactions'!$J:$J,'Allocated Transactions'!$D:$D,$B46,'Allocated Transactions'!$C:$C,$B$6,'Allocated Transactions'!$A:$A,"&gt;="&amp;V$19,'Allocated Transactions'!$A:$A,"&lt;="&amp;EOMONTH(V$19,0)))</f>
        <v>389.58</v>
      </c>
      <c r="W46" s="84">
        <f>SUMPRODUCT(SUMIFS('Budget Data'!$J:$J,'Budget Data'!$E:$E,$B46,'Budget Data'!$C:$C,$B$7,'Budget Data'!$A:$A,"&gt;="&amp;W$19,'Budget Data'!$A:$A,"&lt;="&amp;EOMONTH(W$19,0))+SUMIFS('Budget Data'!$J:$J,'Budget Data'!$E:$E,$B46,'Budget Data'!$C:$C,$B$9,'Budget Data'!$A:$A,"&gt;="&amp;W$19,'Budget Data'!$A:$A,"&lt;="&amp;EOMONTH(W$19,0))+SUMIFS('Budget Data'!$J:$J,'Budget Data'!$E:$E,$B46,'Budget Data'!$C:$C,$B$8,'Budget Data'!$A:$A,"&gt;="&amp;W$19,'Budget Data'!$A:$A,"&lt;="&amp;EOMONTH(W$19,0))+SUMIFS('Budget Data'!$J:$J,'Budget Data'!$E:$E,$B46,'Budget Data'!$C:$C,$B$10,'Budget Data'!$A:$A,"&gt;="&amp;W$19,'Budget Data'!$A:$A,"&lt;="&amp;EOMONTH(W$19,0))+SUMIFS('Budget Data'!$J:$J,'Budget Data'!$E:$E,$B46,'Budget Data'!$C:$C,$B$11,'Budget Data'!$A:$A,"&gt;="&amp;W$19,'Budget Data'!$A:$A,"&lt;="&amp;EOMONTH(W$19,0))+SUMIFS('Budget Data'!$J:$J,'Budget Data'!$E:$E,$B46,'Budget Data'!$C:$C,$B$2,'Budget Data'!$A:$A,"&gt;="&amp;W$19,'Budget Data'!$A:$A,"&lt;="&amp;EOMONTH(W$19,0))+SUMIFS('Budget Data'!$J:$J,'Budget Data'!$E:$E,$B46,'Budget Data'!$C:$C,$B$4,'Budget Data'!$A:$A,"&gt;="&amp;W$19,'Budget Data'!$A:$A,"&lt;="&amp;EOMONTH(W$19,0))+SUMIFS('Budget Data'!$J:$J,'Budget Data'!$E:$E,$B46,'Budget Data'!$C:$C,$B$3,'Budget Data'!$A:$A,"&gt;="&amp;W$19,'Budget Data'!$A:$A,"&lt;="&amp;EOMONTH(W$19,0))+SUMIFS('Budget Data'!$J:$J,'Budget Data'!$E:$E,$B46,'Budget Data'!$C:$C,$B$5,'Budget Data'!$A:$A,"&gt;="&amp;W$19,'Budget Data'!$A:$A,"&lt;="&amp;EOMONTH(W$19,0))+SUMIFS('Budget Data'!$J:$J,'Budget Data'!$E:$E,$B46,'Budget Data'!$C:$C,$B$6,'Budget Data'!$A:$A,"&gt;="&amp;W$19,'Budget Data'!$A:$A,"&lt;="&amp;EOMONTH(W$19,0)))</f>
        <v>400</v>
      </c>
      <c r="X46" s="86">
        <f>SUMPRODUCT(SUMIFS('Allocated Transactions'!$J:$J,'Allocated Transactions'!$D:$D,$B46,'Allocated Transactions'!$C:$C,$B$7,'Allocated Transactions'!$A:$A,"&gt;="&amp;X$19,'Allocated Transactions'!$A:$A,"&lt;="&amp;EOMONTH(X$19,0))+SUMIFS('Allocated Transactions'!$J:$J,'Allocated Transactions'!$D:$D,$B46,'Allocated Transactions'!$C:$C,$B$9,'Allocated Transactions'!$A:$A,"&gt;="&amp;X$19,'Allocated Transactions'!$A:$A,"&lt;="&amp;EOMONTH(X$19,0))+SUMIFS('Allocated Transactions'!$J:$J,'Allocated Transactions'!$D:$D,$B46,'Allocated Transactions'!$C:$C,$B$8,'Allocated Transactions'!$A:$A,"&gt;="&amp;X$19,'Allocated Transactions'!$A:$A,"&lt;="&amp;EOMONTH(X$19,0))+SUMIFS('Allocated Transactions'!$J:$J,'Allocated Transactions'!$D:$D,$B46,'Allocated Transactions'!$C:$C,$B$10,'Allocated Transactions'!$A:$A,"&gt;="&amp;X$19,'Allocated Transactions'!$A:$A,"&lt;="&amp;EOMONTH(X$19,0))+SUMIFS('Allocated Transactions'!$J:$J,'Allocated Transactions'!$D:$D,$B46,'Allocated Transactions'!$C:$C,$B$11,'Allocated Transactions'!$A:$A,"&gt;="&amp;X$19,'Allocated Transactions'!$A:$A,"&lt;="&amp;EOMONTH(X$19,0))+SUMIFS('Allocated Transactions'!$J:$J,'Allocated Transactions'!$D:$D,$B46,'Allocated Transactions'!$C:$C,$B$2,'Allocated Transactions'!$A:$A,"&gt;="&amp;X$19,'Allocated Transactions'!$A:$A,"&lt;="&amp;EOMONTH(X$19,0))+SUMIFS('Allocated Transactions'!$J:$J,'Allocated Transactions'!$D:$D,$B46,'Allocated Transactions'!$C:$C,$B$4,'Allocated Transactions'!$A:$A,"&gt;="&amp;X$19,'Allocated Transactions'!$A:$A,"&lt;="&amp;EOMONTH(X$19,0))+SUMIFS('Allocated Transactions'!$J:$J,'Allocated Transactions'!$D:$D,$B46,'Allocated Transactions'!$C:$C,$B$3,'Allocated Transactions'!$A:$A,"&gt;="&amp;X$19,'Allocated Transactions'!$A:$A,"&lt;="&amp;EOMONTH(X$19,0))+SUMIFS('Allocated Transactions'!$J:$J,'Allocated Transactions'!$D:$D,$B46,'Allocated Transactions'!$C:$C,$B$5,'Allocated Transactions'!$A:$A,"&gt;="&amp;X$19,'Allocated Transactions'!$A:$A,"&lt;="&amp;EOMONTH(X$19,0))+SUMIFS('Allocated Transactions'!$J:$J,'Allocated Transactions'!$D:$D,$B46,'Allocated Transactions'!$C:$C,$B$6,'Allocated Transactions'!$A:$A,"&gt;="&amp;X$19,'Allocated Transactions'!$A:$A,"&lt;="&amp;EOMONTH(X$19,0)))</f>
        <v>389.58</v>
      </c>
      <c r="Y46" s="84">
        <f>SUMPRODUCT(SUMIFS('Budget Data'!$J:$J,'Budget Data'!$E:$E,$B46,'Budget Data'!$C:$C,$B$7,'Budget Data'!$A:$A,"&gt;="&amp;Y$19,'Budget Data'!$A:$A,"&lt;="&amp;EOMONTH(Y$19,0))+SUMIFS('Budget Data'!$J:$J,'Budget Data'!$E:$E,$B46,'Budget Data'!$C:$C,$B$9,'Budget Data'!$A:$A,"&gt;="&amp;Y$19,'Budget Data'!$A:$A,"&lt;="&amp;EOMONTH(Y$19,0))+SUMIFS('Budget Data'!$J:$J,'Budget Data'!$E:$E,$B46,'Budget Data'!$C:$C,$B$8,'Budget Data'!$A:$A,"&gt;="&amp;Y$19,'Budget Data'!$A:$A,"&lt;="&amp;EOMONTH(Y$19,0))+SUMIFS('Budget Data'!$J:$J,'Budget Data'!$E:$E,$B46,'Budget Data'!$C:$C,$B$10,'Budget Data'!$A:$A,"&gt;="&amp;Y$19,'Budget Data'!$A:$A,"&lt;="&amp;EOMONTH(Y$19,0))+SUMIFS('Budget Data'!$J:$J,'Budget Data'!$E:$E,$B46,'Budget Data'!$C:$C,$B$11,'Budget Data'!$A:$A,"&gt;="&amp;Y$19,'Budget Data'!$A:$A,"&lt;="&amp;EOMONTH(Y$19,0))+SUMIFS('Budget Data'!$J:$J,'Budget Data'!$E:$E,$B46,'Budget Data'!$C:$C,$B$2,'Budget Data'!$A:$A,"&gt;="&amp;Y$19,'Budget Data'!$A:$A,"&lt;="&amp;EOMONTH(Y$19,0))+SUMIFS('Budget Data'!$J:$J,'Budget Data'!$E:$E,$B46,'Budget Data'!$C:$C,$B$4,'Budget Data'!$A:$A,"&gt;="&amp;Y$19,'Budget Data'!$A:$A,"&lt;="&amp;EOMONTH(Y$19,0))+SUMIFS('Budget Data'!$J:$J,'Budget Data'!$E:$E,$B46,'Budget Data'!$C:$C,$B$3,'Budget Data'!$A:$A,"&gt;="&amp;Y$19,'Budget Data'!$A:$A,"&lt;="&amp;EOMONTH(Y$19,0))+SUMIFS('Budget Data'!$J:$J,'Budget Data'!$E:$E,$B46,'Budget Data'!$C:$C,$B$5,'Budget Data'!$A:$A,"&gt;="&amp;Y$19,'Budget Data'!$A:$A,"&lt;="&amp;EOMONTH(Y$19,0))+SUMIFS('Budget Data'!$J:$J,'Budget Data'!$E:$E,$B46,'Budget Data'!$C:$C,$B$6,'Budget Data'!$A:$A,"&gt;="&amp;Y$19,'Budget Data'!$A:$A,"&lt;="&amp;EOMONTH(Y$19,0)))</f>
        <v>400</v>
      </c>
      <c r="Z46" s="86">
        <f>SUMPRODUCT(SUMIFS('Allocated Transactions'!$J:$J,'Allocated Transactions'!$D:$D,$B46,'Allocated Transactions'!$C:$C,$B$7,'Allocated Transactions'!$A:$A,"&gt;="&amp;Z$19,'Allocated Transactions'!$A:$A,"&lt;="&amp;EOMONTH(Z$19,0))+SUMIFS('Allocated Transactions'!$J:$J,'Allocated Transactions'!$D:$D,$B46,'Allocated Transactions'!$C:$C,$B$9,'Allocated Transactions'!$A:$A,"&gt;="&amp;Z$19,'Allocated Transactions'!$A:$A,"&lt;="&amp;EOMONTH(Z$19,0))+SUMIFS('Allocated Transactions'!$J:$J,'Allocated Transactions'!$D:$D,$B46,'Allocated Transactions'!$C:$C,$B$8,'Allocated Transactions'!$A:$A,"&gt;="&amp;Z$19,'Allocated Transactions'!$A:$A,"&lt;="&amp;EOMONTH(Z$19,0))+SUMIFS('Allocated Transactions'!$J:$J,'Allocated Transactions'!$D:$D,$B46,'Allocated Transactions'!$C:$C,$B$10,'Allocated Transactions'!$A:$A,"&gt;="&amp;Z$19,'Allocated Transactions'!$A:$A,"&lt;="&amp;EOMONTH(Z$19,0))+SUMIFS('Allocated Transactions'!$J:$J,'Allocated Transactions'!$D:$D,$B46,'Allocated Transactions'!$C:$C,$B$11,'Allocated Transactions'!$A:$A,"&gt;="&amp;Z$19,'Allocated Transactions'!$A:$A,"&lt;="&amp;EOMONTH(Z$19,0))+SUMIFS('Allocated Transactions'!$J:$J,'Allocated Transactions'!$D:$D,$B46,'Allocated Transactions'!$C:$C,$B$2,'Allocated Transactions'!$A:$A,"&gt;="&amp;Z$19,'Allocated Transactions'!$A:$A,"&lt;="&amp;EOMONTH(Z$19,0))+SUMIFS('Allocated Transactions'!$J:$J,'Allocated Transactions'!$D:$D,$B46,'Allocated Transactions'!$C:$C,$B$4,'Allocated Transactions'!$A:$A,"&gt;="&amp;Z$19,'Allocated Transactions'!$A:$A,"&lt;="&amp;EOMONTH(Z$19,0))+SUMIFS('Allocated Transactions'!$J:$J,'Allocated Transactions'!$D:$D,$B46,'Allocated Transactions'!$C:$C,$B$3,'Allocated Transactions'!$A:$A,"&gt;="&amp;Z$19,'Allocated Transactions'!$A:$A,"&lt;="&amp;EOMONTH(Z$19,0))+SUMIFS('Allocated Transactions'!$J:$J,'Allocated Transactions'!$D:$D,$B46,'Allocated Transactions'!$C:$C,$B$5,'Allocated Transactions'!$A:$A,"&gt;="&amp;Z$19,'Allocated Transactions'!$A:$A,"&lt;="&amp;EOMONTH(Z$19,0))+SUMIFS('Allocated Transactions'!$J:$J,'Allocated Transactions'!$D:$D,$B46,'Allocated Transactions'!$C:$C,$B$6,'Allocated Transactions'!$A:$A,"&gt;="&amp;Z$19,'Allocated Transactions'!$A:$A,"&lt;="&amp;EOMONTH(Z$19,0)))</f>
        <v>389.58</v>
      </c>
      <c r="AA46" s="84">
        <f>SUMPRODUCT(SUMIFS('Budget Data'!$J:$J,'Budget Data'!$E:$E,$B46,'Budget Data'!$C:$C,$B$7,'Budget Data'!$A:$A,"&gt;="&amp;AA$19,'Budget Data'!$A:$A,"&lt;="&amp;EOMONTH(AA$19,0))+SUMIFS('Budget Data'!$J:$J,'Budget Data'!$E:$E,$B46,'Budget Data'!$C:$C,$B$9,'Budget Data'!$A:$A,"&gt;="&amp;AA$19,'Budget Data'!$A:$A,"&lt;="&amp;EOMONTH(AA$19,0))+SUMIFS('Budget Data'!$J:$J,'Budget Data'!$E:$E,$B46,'Budget Data'!$C:$C,$B$8,'Budget Data'!$A:$A,"&gt;="&amp;AA$19,'Budget Data'!$A:$A,"&lt;="&amp;EOMONTH(AA$19,0))+SUMIFS('Budget Data'!$J:$J,'Budget Data'!$E:$E,$B46,'Budget Data'!$C:$C,$B$10,'Budget Data'!$A:$A,"&gt;="&amp;AA$19,'Budget Data'!$A:$A,"&lt;="&amp;EOMONTH(AA$19,0))+SUMIFS('Budget Data'!$J:$J,'Budget Data'!$E:$E,$B46,'Budget Data'!$C:$C,$B$11,'Budget Data'!$A:$A,"&gt;="&amp;AA$19,'Budget Data'!$A:$A,"&lt;="&amp;EOMONTH(AA$19,0))+SUMIFS('Budget Data'!$J:$J,'Budget Data'!$E:$E,$B46,'Budget Data'!$C:$C,$B$2,'Budget Data'!$A:$A,"&gt;="&amp;AA$19,'Budget Data'!$A:$A,"&lt;="&amp;EOMONTH(AA$19,0))+SUMIFS('Budget Data'!$J:$J,'Budget Data'!$E:$E,$B46,'Budget Data'!$C:$C,$B$4,'Budget Data'!$A:$A,"&gt;="&amp;AA$19,'Budget Data'!$A:$A,"&lt;="&amp;EOMONTH(AA$19,0))+SUMIFS('Budget Data'!$J:$J,'Budget Data'!$E:$E,$B46,'Budget Data'!$C:$C,$B$3,'Budget Data'!$A:$A,"&gt;="&amp;AA$19,'Budget Data'!$A:$A,"&lt;="&amp;EOMONTH(AA$19,0))+SUMIFS('Budget Data'!$J:$J,'Budget Data'!$E:$E,$B46,'Budget Data'!$C:$C,$B$5,'Budget Data'!$A:$A,"&gt;="&amp;AA$19,'Budget Data'!$A:$A,"&lt;="&amp;EOMONTH(AA$19,0))+SUMIFS('Budget Data'!$J:$J,'Budget Data'!$E:$E,$B46,'Budget Data'!$C:$C,$B$6,'Budget Data'!$A:$A,"&gt;="&amp;AA$19,'Budget Data'!$A:$A,"&lt;="&amp;EOMONTH(AA$19,0)))</f>
        <v>400</v>
      </c>
      <c r="AC46" s="87">
        <f t="shared" si="2"/>
        <v>4674.96</v>
      </c>
      <c r="AD46" s="84">
        <f t="shared" si="2"/>
        <v>4800</v>
      </c>
    </row>
    <row r="47" spans="2:30" ht="15" customHeight="1">
      <c r="B47" s="12" t="str">
        <v>5950</v>
      </c>
      <c r="C47" s="160" t="str">
        <f>_xlfn.XLOOKUP(B47,'Allocated Transactions'!D:D,'Allocated Transactions'!E:E,"")</f>
        <v>Miscellaneous Expense</v>
      </c>
      <c r="D47" s="86">
        <f>SUMPRODUCT(SUMIFS('Allocated Transactions'!$J:$J,'Allocated Transactions'!$D:$D,$B47,'Allocated Transactions'!$C:$C,$B$7,'Allocated Transactions'!$A:$A,"&gt;="&amp;D$19,'Allocated Transactions'!$A:$A,"&lt;="&amp;EOMONTH(D$19,0))+SUMIFS('Allocated Transactions'!$J:$J,'Allocated Transactions'!$D:$D,$B47,'Allocated Transactions'!$C:$C,$B$9,'Allocated Transactions'!$A:$A,"&gt;="&amp;D$19,'Allocated Transactions'!$A:$A,"&lt;="&amp;EOMONTH(D$19,0))+SUMIFS('Allocated Transactions'!$J:$J,'Allocated Transactions'!$D:$D,$B47,'Allocated Transactions'!$C:$C,$B$8,'Allocated Transactions'!$A:$A,"&gt;="&amp;D$19,'Allocated Transactions'!$A:$A,"&lt;="&amp;EOMONTH(D$19,0))+SUMIFS('Allocated Transactions'!$J:$J,'Allocated Transactions'!$D:$D,$B47,'Allocated Transactions'!$C:$C,$B$10,'Allocated Transactions'!$A:$A,"&gt;="&amp;D$19,'Allocated Transactions'!$A:$A,"&lt;="&amp;EOMONTH(D$19,0))+SUMIFS('Allocated Transactions'!$J:$J,'Allocated Transactions'!$D:$D,$B47,'Allocated Transactions'!$C:$C,$B$11,'Allocated Transactions'!$A:$A,"&gt;="&amp;D$19,'Allocated Transactions'!$A:$A,"&lt;="&amp;EOMONTH(D$19,0))+SUMIFS('Allocated Transactions'!$J:$J,'Allocated Transactions'!$D:$D,$B47,'Allocated Transactions'!$C:$C,$B$2,'Allocated Transactions'!$A:$A,"&gt;="&amp;D$19,'Allocated Transactions'!$A:$A,"&lt;="&amp;EOMONTH(D$19,0))+SUMIFS('Allocated Transactions'!$J:$J,'Allocated Transactions'!$D:$D,$B47,'Allocated Transactions'!$C:$C,$B$4,'Allocated Transactions'!$A:$A,"&gt;="&amp;D$19,'Allocated Transactions'!$A:$A,"&lt;="&amp;EOMONTH(D$19,0))+SUMIFS('Allocated Transactions'!$J:$J,'Allocated Transactions'!$D:$D,$B47,'Allocated Transactions'!$C:$C,$B$3,'Allocated Transactions'!$A:$A,"&gt;="&amp;D$19,'Allocated Transactions'!$A:$A,"&lt;="&amp;EOMONTH(D$19,0))+SUMIFS('Allocated Transactions'!$J:$J,'Allocated Transactions'!$D:$D,$B47,'Allocated Transactions'!$C:$C,$B$5,'Allocated Transactions'!$A:$A,"&gt;="&amp;D$19,'Allocated Transactions'!$A:$A,"&lt;="&amp;EOMONTH(D$19,0))+SUMIFS('Allocated Transactions'!$J:$J,'Allocated Transactions'!$D:$D,$B47,'Allocated Transactions'!$C:$C,$B$6,'Allocated Transactions'!$A:$A,"&gt;="&amp;D$19,'Allocated Transactions'!$A:$A,"&lt;="&amp;EOMONTH(D$19,0)))</f>
        <v>0</v>
      </c>
      <c r="E47" s="84">
        <f>SUMPRODUCT(SUMIFS('Budget Data'!$J:$J,'Budget Data'!$E:$E,$B47,'Budget Data'!$C:$C,$B$7,'Budget Data'!$A:$A,"&gt;="&amp;E$19,'Budget Data'!$A:$A,"&lt;="&amp;EOMONTH(E$19,0))+SUMIFS('Budget Data'!$J:$J,'Budget Data'!$E:$E,$B47,'Budget Data'!$C:$C,$B$9,'Budget Data'!$A:$A,"&gt;="&amp;E$19,'Budget Data'!$A:$A,"&lt;="&amp;EOMONTH(E$19,0))+SUMIFS('Budget Data'!$J:$J,'Budget Data'!$E:$E,$B47,'Budget Data'!$C:$C,$B$8,'Budget Data'!$A:$A,"&gt;="&amp;E$19,'Budget Data'!$A:$A,"&lt;="&amp;EOMONTH(E$19,0))+SUMIFS('Budget Data'!$J:$J,'Budget Data'!$E:$E,$B47,'Budget Data'!$C:$C,$B$10,'Budget Data'!$A:$A,"&gt;="&amp;E$19,'Budget Data'!$A:$A,"&lt;="&amp;EOMONTH(E$19,0))+SUMIFS('Budget Data'!$J:$J,'Budget Data'!$E:$E,$B47,'Budget Data'!$C:$C,$B$11,'Budget Data'!$A:$A,"&gt;="&amp;E$19,'Budget Data'!$A:$A,"&lt;="&amp;EOMONTH(E$19,0))+SUMIFS('Budget Data'!$J:$J,'Budget Data'!$E:$E,$B47,'Budget Data'!$C:$C,$B$2,'Budget Data'!$A:$A,"&gt;="&amp;E$19,'Budget Data'!$A:$A,"&lt;="&amp;EOMONTH(E$19,0))+SUMIFS('Budget Data'!$J:$J,'Budget Data'!$E:$E,$B47,'Budget Data'!$C:$C,$B$4,'Budget Data'!$A:$A,"&gt;="&amp;E$19,'Budget Data'!$A:$A,"&lt;="&amp;EOMONTH(E$19,0))+SUMIFS('Budget Data'!$J:$J,'Budget Data'!$E:$E,$B47,'Budget Data'!$C:$C,$B$3,'Budget Data'!$A:$A,"&gt;="&amp;E$19,'Budget Data'!$A:$A,"&lt;="&amp;EOMONTH(E$19,0))+SUMIFS('Budget Data'!$J:$J,'Budget Data'!$E:$E,$B47,'Budget Data'!$C:$C,$B$5,'Budget Data'!$A:$A,"&gt;="&amp;E$19,'Budget Data'!$A:$A,"&lt;="&amp;EOMONTH(E$19,0))+SUMIFS('Budget Data'!$J:$J,'Budget Data'!$E:$E,$B47,'Budget Data'!$C:$C,$B$6,'Budget Data'!$A:$A,"&gt;="&amp;E$19,'Budget Data'!$A:$A,"&lt;="&amp;EOMONTH(E$19,0)))</f>
        <v>0</v>
      </c>
      <c r="F47" s="86">
        <f>SUMPRODUCT(SUMIFS('Allocated Transactions'!$J:$J,'Allocated Transactions'!$D:$D,$B47,'Allocated Transactions'!$C:$C,$B$7,'Allocated Transactions'!$A:$A,"&gt;="&amp;F$19,'Allocated Transactions'!$A:$A,"&lt;="&amp;EOMONTH(F$19,0))+SUMIFS('Allocated Transactions'!$J:$J,'Allocated Transactions'!$D:$D,$B47,'Allocated Transactions'!$C:$C,$B$9,'Allocated Transactions'!$A:$A,"&gt;="&amp;F$19,'Allocated Transactions'!$A:$A,"&lt;="&amp;EOMONTH(F$19,0))+SUMIFS('Allocated Transactions'!$J:$J,'Allocated Transactions'!$D:$D,$B47,'Allocated Transactions'!$C:$C,$B$8,'Allocated Transactions'!$A:$A,"&gt;="&amp;F$19,'Allocated Transactions'!$A:$A,"&lt;="&amp;EOMONTH(F$19,0))+SUMIFS('Allocated Transactions'!$J:$J,'Allocated Transactions'!$D:$D,$B47,'Allocated Transactions'!$C:$C,$B$10,'Allocated Transactions'!$A:$A,"&gt;="&amp;F$19,'Allocated Transactions'!$A:$A,"&lt;="&amp;EOMONTH(F$19,0))+SUMIFS('Allocated Transactions'!$J:$J,'Allocated Transactions'!$D:$D,$B47,'Allocated Transactions'!$C:$C,$B$11,'Allocated Transactions'!$A:$A,"&gt;="&amp;F$19,'Allocated Transactions'!$A:$A,"&lt;="&amp;EOMONTH(F$19,0))+SUMIFS('Allocated Transactions'!$J:$J,'Allocated Transactions'!$D:$D,$B47,'Allocated Transactions'!$C:$C,$B$2,'Allocated Transactions'!$A:$A,"&gt;="&amp;F$19,'Allocated Transactions'!$A:$A,"&lt;="&amp;EOMONTH(F$19,0))+SUMIFS('Allocated Transactions'!$J:$J,'Allocated Transactions'!$D:$D,$B47,'Allocated Transactions'!$C:$C,$B$4,'Allocated Transactions'!$A:$A,"&gt;="&amp;F$19,'Allocated Transactions'!$A:$A,"&lt;="&amp;EOMONTH(F$19,0))+SUMIFS('Allocated Transactions'!$J:$J,'Allocated Transactions'!$D:$D,$B47,'Allocated Transactions'!$C:$C,$B$3,'Allocated Transactions'!$A:$A,"&gt;="&amp;F$19,'Allocated Transactions'!$A:$A,"&lt;="&amp;EOMONTH(F$19,0))+SUMIFS('Allocated Transactions'!$J:$J,'Allocated Transactions'!$D:$D,$B47,'Allocated Transactions'!$C:$C,$B$5,'Allocated Transactions'!$A:$A,"&gt;="&amp;F$19,'Allocated Transactions'!$A:$A,"&lt;="&amp;EOMONTH(F$19,0))+SUMIFS('Allocated Transactions'!$J:$J,'Allocated Transactions'!$D:$D,$B47,'Allocated Transactions'!$C:$C,$B$6,'Allocated Transactions'!$A:$A,"&gt;="&amp;F$19,'Allocated Transactions'!$A:$A,"&lt;="&amp;EOMONTH(F$19,0)))</f>
        <v>523.03</v>
      </c>
      <c r="G47" s="84">
        <f>SUMPRODUCT(SUMIFS('Budget Data'!$J:$J,'Budget Data'!$E:$E,$B47,'Budget Data'!$C:$C,$B$7,'Budget Data'!$A:$A,"&gt;="&amp;G$19,'Budget Data'!$A:$A,"&lt;="&amp;EOMONTH(G$19,0))+SUMIFS('Budget Data'!$J:$J,'Budget Data'!$E:$E,$B47,'Budget Data'!$C:$C,$B$9,'Budget Data'!$A:$A,"&gt;="&amp;G$19,'Budget Data'!$A:$A,"&lt;="&amp;EOMONTH(G$19,0))+SUMIFS('Budget Data'!$J:$J,'Budget Data'!$E:$E,$B47,'Budget Data'!$C:$C,$B$8,'Budget Data'!$A:$A,"&gt;="&amp;G$19,'Budget Data'!$A:$A,"&lt;="&amp;EOMONTH(G$19,0))+SUMIFS('Budget Data'!$J:$J,'Budget Data'!$E:$E,$B47,'Budget Data'!$C:$C,$B$10,'Budget Data'!$A:$A,"&gt;="&amp;G$19,'Budget Data'!$A:$A,"&lt;="&amp;EOMONTH(G$19,0))+SUMIFS('Budget Data'!$J:$J,'Budget Data'!$E:$E,$B47,'Budget Data'!$C:$C,$B$11,'Budget Data'!$A:$A,"&gt;="&amp;G$19,'Budget Data'!$A:$A,"&lt;="&amp;EOMONTH(G$19,0))+SUMIFS('Budget Data'!$J:$J,'Budget Data'!$E:$E,$B47,'Budget Data'!$C:$C,$B$2,'Budget Data'!$A:$A,"&gt;="&amp;G$19,'Budget Data'!$A:$A,"&lt;="&amp;EOMONTH(G$19,0))+SUMIFS('Budget Data'!$J:$J,'Budget Data'!$E:$E,$B47,'Budget Data'!$C:$C,$B$4,'Budget Data'!$A:$A,"&gt;="&amp;G$19,'Budget Data'!$A:$A,"&lt;="&amp;EOMONTH(G$19,0))+SUMIFS('Budget Data'!$J:$J,'Budget Data'!$E:$E,$B47,'Budget Data'!$C:$C,$B$3,'Budget Data'!$A:$A,"&gt;="&amp;G$19,'Budget Data'!$A:$A,"&lt;="&amp;EOMONTH(G$19,0))+SUMIFS('Budget Data'!$J:$J,'Budget Data'!$E:$E,$B47,'Budget Data'!$C:$C,$B$5,'Budget Data'!$A:$A,"&gt;="&amp;G$19,'Budget Data'!$A:$A,"&lt;="&amp;EOMONTH(G$19,0))+SUMIFS('Budget Data'!$J:$J,'Budget Data'!$E:$E,$B47,'Budget Data'!$C:$C,$B$6,'Budget Data'!$A:$A,"&gt;="&amp;G$19,'Budget Data'!$A:$A,"&lt;="&amp;EOMONTH(G$19,0)))</f>
        <v>500</v>
      </c>
      <c r="H47" s="86">
        <f>SUMPRODUCT(SUMIFS('Allocated Transactions'!$J:$J,'Allocated Transactions'!$D:$D,$B47,'Allocated Transactions'!$C:$C,$B$7,'Allocated Transactions'!$A:$A,"&gt;="&amp;H$19,'Allocated Transactions'!$A:$A,"&lt;="&amp;EOMONTH(H$19,0))+SUMIFS('Allocated Transactions'!$J:$J,'Allocated Transactions'!$D:$D,$B47,'Allocated Transactions'!$C:$C,$B$9,'Allocated Transactions'!$A:$A,"&gt;="&amp;H$19,'Allocated Transactions'!$A:$A,"&lt;="&amp;EOMONTH(H$19,0))+SUMIFS('Allocated Transactions'!$J:$J,'Allocated Transactions'!$D:$D,$B47,'Allocated Transactions'!$C:$C,$B$8,'Allocated Transactions'!$A:$A,"&gt;="&amp;H$19,'Allocated Transactions'!$A:$A,"&lt;="&amp;EOMONTH(H$19,0))+SUMIFS('Allocated Transactions'!$J:$J,'Allocated Transactions'!$D:$D,$B47,'Allocated Transactions'!$C:$C,$B$10,'Allocated Transactions'!$A:$A,"&gt;="&amp;H$19,'Allocated Transactions'!$A:$A,"&lt;="&amp;EOMONTH(H$19,0))+SUMIFS('Allocated Transactions'!$J:$J,'Allocated Transactions'!$D:$D,$B47,'Allocated Transactions'!$C:$C,$B$11,'Allocated Transactions'!$A:$A,"&gt;="&amp;H$19,'Allocated Transactions'!$A:$A,"&lt;="&amp;EOMONTH(H$19,0))+SUMIFS('Allocated Transactions'!$J:$J,'Allocated Transactions'!$D:$D,$B47,'Allocated Transactions'!$C:$C,$B$2,'Allocated Transactions'!$A:$A,"&gt;="&amp;H$19,'Allocated Transactions'!$A:$A,"&lt;="&amp;EOMONTH(H$19,0))+SUMIFS('Allocated Transactions'!$J:$J,'Allocated Transactions'!$D:$D,$B47,'Allocated Transactions'!$C:$C,$B$4,'Allocated Transactions'!$A:$A,"&gt;="&amp;H$19,'Allocated Transactions'!$A:$A,"&lt;="&amp;EOMONTH(H$19,0))+SUMIFS('Allocated Transactions'!$J:$J,'Allocated Transactions'!$D:$D,$B47,'Allocated Transactions'!$C:$C,$B$3,'Allocated Transactions'!$A:$A,"&gt;="&amp;H$19,'Allocated Transactions'!$A:$A,"&lt;="&amp;EOMONTH(H$19,0))+SUMIFS('Allocated Transactions'!$J:$J,'Allocated Transactions'!$D:$D,$B47,'Allocated Transactions'!$C:$C,$B$5,'Allocated Transactions'!$A:$A,"&gt;="&amp;H$19,'Allocated Transactions'!$A:$A,"&lt;="&amp;EOMONTH(H$19,0))+SUMIFS('Allocated Transactions'!$J:$J,'Allocated Transactions'!$D:$D,$B47,'Allocated Transactions'!$C:$C,$B$6,'Allocated Transactions'!$A:$A,"&gt;="&amp;H$19,'Allocated Transactions'!$A:$A,"&lt;="&amp;EOMONTH(H$19,0)))</f>
        <v>0</v>
      </c>
      <c r="I47" s="84">
        <f>SUMPRODUCT(SUMIFS('Budget Data'!$J:$J,'Budget Data'!$E:$E,$B47,'Budget Data'!$C:$C,$B$7,'Budget Data'!$A:$A,"&gt;="&amp;I$19,'Budget Data'!$A:$A,"&lt;="&amp;EOMONTH(I$19,0))+SUMIFS('Budget Data'!$J:$J,'Budget Data'!$E:$E,$B47,'Budget Data'!$C:$C,$B$9,'Budget Data'!$A:$A,"&gt;="&amp;I$19,'Budget Data'!$A:$A,"&lt;="&amp;EOMONTH(I$19,0))+SUMIFS('Budget Data'!$J:$J,'Budget Data'!$E:$E,$B47,'Budget Data'!$C:$C,$B$8,'Budget Data'!$A:$A,"&gt;="&amp;I$19,'Budget Data'!$A:$A,"&lt;="&amp;EOMONTH(I$19,0))+SUMIFS('Budget Data'!$J:$J,'Budget Data'!$E:$E,$B47,'Budget Data'!$C:$C,$B$10,'Budget Data'!$A:$A,"&gt;="&amp;I$19,'Budget Data'!$A:$A,"&lt;="&amp;EOMONTH(I$19,0))+SUMIFS('Budget Data'!$J:$J,'Budget Data'!$E:$E,$B47,'Budget Data'!$C:$C,$B$11,'Budget Data'!$A:$A,"&gt;="&amp;I$19,'Budget Data'!$A:$A,"&lt;="&amp;EOMONTH(I$19,0))+SUMIFS('Budget Data'!$J:$J,'Budget Data'!$E:$E,$B47,'Budget Data'!$C:$C,$B$2,'Budget Data'!$A:$A,"&gt;="&amp;I$19,'Budget Data'!$A:$A,"&lt;="&amp;EOMONTH(I$19,0))+SUMIFS('Budget Data'!$J:$J,'Budget Data'!$E:$E,$B47,'Budget Data'!$C:$C,$B$4,'Budget Data'!$A:$A,"&gt;="&amp;I$19,'Budget Data'!$A:$A,"&lt;="&amp;EOMONTH(I$19,0))+SUMIFS('Budget Data'!$J:$J,'Budget Data'!$E:$E,$B47,'Budget Data'!$C:$C,$B$3,'Budget Data'!$A:$A,"&gt;="&amp;I$19,'Budget Data'!$A:$A,"&lt;="&amp;EOMONTH(I$19,0))+SUMIFS('Budget Data'!$J:$J,'Budget Data'!$E:$E,$B47,'Budget Data'!$C:$C,$B$5,'Budget Data'!$A:$A,"&gt;="&amp;I$19,'Budget Data'!$A:$A,"&lt;="&amp;EOMONTH(I$19,0))+SUMIFS('Budget Data'!$J:$J,'Budget Data'!$E:$E,$B47,'Budget Data'!$C:$C,$B$6,'Budget Data'!$A:$A,"&gt;="&amp;I$19,'Budget Data'!$A:$A,"&lt;="&amp;EOMONTH(I$19,0)))</f>
        <v>0</v>
      </c>
      <c r="J47" s="86">
        <f>SUMPRODUCT(SUMIFS('Allocated Transactions'!$J:$J,'Allocated Transactions'!$D:$D,$B47,'Allocated Transactions'!$C:$C,$B$7,'Allocated Transactions'!$A:$A,"&gt;="&amp;J$19,'Allocated Transactions'!$A:$A,"&lt;="&amp;EOMONTH(J$19,0))+SUMIFS('Allocated Transactions'!$J:$J,'Allocated Transactions'!$D:$D,$B47,'Allocated Transactions'!$C:$C,$B$9,'Allocated Transactions'!$A:$A,"&gt;="&amp;J$19,'Allocated Transactions'!$A:$A,"&lt;="&amp;EOMONTH(J$19,0))+SUMIFS('Allocated Transactions'!$J:$J,'Allocated Transactions'!$D:$D,$B47,'Allocated Transactions'!$C:$C,$B$8,'Allocated Transactions'!$A:$A,"&gt;="&amp;J$19,'Allocated Transactions'!$A:$A,"&lt;="&amp;EOMONTH(J$19,0))+SUMIFS('Allocated Transactions'!$J:$J,'Allocated Transactions'!$D:$D,$B47,'Allocated Transactions'!$C:$C,$B$10,'Allocated Transactions'!$A:$A,"&gt;="&amp;J$19,'Allocated Transactions'!$A:$A,"&lt;="&amp;EOMONTH(J$19,0))+SUMIFS('Allocated Transactions'!$J:$J,'Allocated Transactions'!$D:$D,$B47,'Allocated Transactions'!$C:$C,$B$11,'Allocated Transactions'!$A:$A,"&gt;="&amp;J$19,'Allocated Transactions'!$A:$A,"&lt;="&amp;EOMONTH(J$19,0))+SUMIFS('Allocated Transactions'!$J:$J,'Allocated Transactions'!$D:$D,$B47,'Allocated Transactions'!$C:$C,$B$2,'Allocated Transactions'!$A:$A,"&gt;="&amp;J$19,'Allocated Transactions'!$A:$A,"&lt;="&amp;EOMONTH(J$19,0))+SUMIFS('Allocated Transactions'!$J:$J,'Allocated Transactions'!$D:$D,$B47,'Allocated Transactions'!$C:$C,$B$4,'Allocated Transactions'!$A:$A,"&gt;="&amp;J$19,'Allocated Transactions'!$A:$A,"&lt;="&amp;EOMONTH(J$19,0))+SUMIFS('Allocated Transactions'!$J:$J,'Allocated Transactions'!$D:$D,$B47,'Allocated Transactions'!$C:$C,$B$3,'Allocated Transactions'!$A:$A,"&gt;="&amp;J$19,'Allocated Transactions'!$A:$A,"&lt;="&amp;EOMONTH(J$19,0))+SUMIFS('Allocated Transactions'!$J:$J,'Allocated Transactions'!$D:$D,$B47,'Allocated Transactions'!$C:$C,$B$5,'Allocated Transactions'!$A:$A,"&gt;="&amp;J$19,'Allocated Transactions'!$A:$A,"&lt;="&amp;EOMONTH(J$19,0))+SUMIFS('Allocated Transactions'!$J:$J,'Allocated Transactions'!$D:$D,$B47,'Allocated Transactions'!$C:$C,$B$6,'Allocated Transactions'!$A:$A,"&gt;="&amp;J$19,'Allocated Transactions'!$A:$A,"&lt;="&amp;EOMONTH(J$19,0)))</f>
        <v>0</v>
      </c>
      <c r="K47" s="84">
        <f>SUMPRODUCT(SUMIFS('Budget Data'!$J:$J,'Budget Data'!$E:$E,$B47,'Budget Data'!$C:$C,$B$7,'Budget Data'!$A:$A,"&gt;="&amp;K$19,'Budget Data'!$A:$A,"&lt;="&amp;EOMONTH(K$19,0))+SUMIFS('Budget Data'!$J:$J,'Budget Data'!$E:$E,$B47,'Budget Data'!$C:$C,$B$9,'Budget Data'!$A:$A,"&gt;="&amp;K$19,'Budget Data'!$A:$A,"&lt;="&amp;EOMONTH(K$19,0))+SUMIFS('Budget Data'!$J:$J,'Budget Data'!$E:$E,$B47,'Budget Data'!$C:$C,$B$8,'Budget Data'!$A:$A,"&gt;="&amp;K$19,'Budget Data'!$A:$A,"&lt;="&amp;EOMONTH(K$19,0))+SUMIFS('Budget Data'!$J:$J,'Budget Data'!$E:$E,$B47,'Budget Data'!$C:$C,$B$10,'Budget Data'!$A:$A,"&gt;="&amp;K$19,'Budget Data'!$A:$A,"&lt;="&amp;EOMONTH(K$19,0))+SUMIFS('Budget Data'!$J:$J,'Budget Data'!$E:$E,$B47,'Budget Data'!$C:$C,$B$11,'Budget Data'!$A:$A,"&gt;="&amp;K$19,'Budget Data'!$A:$A,"&lt;="&amp;EOMONTH(K$19,0))+SUMIFS('Budget Data'!$J:$J,'Budget Data'!$E:$E,$B47,'Budget Data'!$C:$C,$B$2,'Budget Data'!$A:$A,"&gt;="&amp;K$19,'Budget Data'!$A:$A,"&lt;="&amp;EOMONTH(K$19,0))+SUMIFS('Budget Data'!$J:$J,'Budget Data'!$E:$E,$B47,'Budget Data'!$C:$C,$B$4,'Budget Data'!$A:$A,"&gt;="&amp;K$19,'Budget Data'!$A:$A,"&lt;="&amp;EOMONTH(K$19,0))+SUMIFS('Budget Data'!$J:$J,'Budget Data'!$E:$E,$B47,'Budget Data'!$C:$C,$B$3,'Budget Data'!$A:$A,"&gt;="&amp;K$19,'Budget Data'!$A:$A,"&lt;="&amp;EOMONTH(K$19,0))+SUMIFS('Budget Data'!$J:$J,'Budget Data'!$E:$E,$B47,'Budget Data'!$C:$C,$B$5,'Budget Data'!$A:$A,"&gt;="&amp;K$19,'Budget Data'!$A:$A,"&lt;="&amp;EOMONTH(K$19,0))+SUMIFS('Budget Data'!$J:$J,'Budget Data'!$E:$E,$B47,'Budget Data'!$C:$C,$B$6,'Budget Data'!$A:$A,"&gt;="&amp;K$19,'Budget Data'!$A:$A,"&lt;="&amp;EOMONTH(K$19,0)))</f>
        <v>0</v>
      </c>
      <c r="L47" s="86">
        <f>SUMPRODUCT(SUMIFS('Allocated Transactions'!$J:$J,'Allocated Transactions'!$D:$D,$B47,'Allocated Transactions'!$C:$C,$B$7,'Allocated Transactions'!$A:$A,"&gt;="&amp;L$19,'Allocated Transactions'!$A:$A,"&lt;="&amp;EOMONTH(L$19,0))+SUMIFS('Allocated Transactions'!$J:$J,'Allocated Transactions'!$D:$D,$B47,'Allocated Transactions'!$C:$C,$B$9,'Allocated Transactions'!$A:$A,"&gt;="&amp;L$19,'Allocated Transactions'!$A:$A,"&lt;="&amp;EOMONTH(L$19,0))+SUMIFS('Allocated Transactions'!$J:$J,'Allocated Transactions'!$D:$D,$B47,'Allocated Transactions'!$C:$C,$B$8,'Allocated Transactions'!$A:$A,"&gt;="&amp;L$19,'Allocated Transactions'!$A:$A,"&lt;="&amp;EOMONTH(L$19,0))+SUMIFS('Allocated Transactions'!$J:$J,'Allocated Transactions'!$D:$D,$B47,'Allocated Transactions'!$C:$C,$B$10,'Allocated Transactions'!$A:$A,"&gt;="&amp;L$19,'Allocated Transactions'!$A:$A,"&lt;="&amp;EOMONTH(L$19,0))+SUMIFS('Allocated Transactions'!$J:$J,'Allocated Transactions'!$D:$D,$B47,'Allocated Transactions'!$C:$C,$B$11,'Allocated Transactions'!$A:$A,"&gt;="&amp;L$19,'Allocated Transactions'!$A:$A,"&lt;="&amp;EOMONTH(L$19,0))+SUMIFS('Allocated Transactions'!$J:$J,'Allocated Transactions'!$D:$D,$B47,'Allocated Transactions'!$C:$C,$B$2,'Allocated Transactions'!$A:$A,"&gt;="&amp;L$19,'Allocated Transactions'!$A:$A,"&lt;="&amp;EOMONTH(L$19,0))+SUMIFS('Allocated Transactions'!$J:$J,'Allocated Transactions'!$D:$D,$B47,'Allocated Transactions'!$C:$C,$B$4,'Allocated Transactions'!$A:$A,"&gt;="&amp;L$19,'Allocated Transactions'!$A:$A,"&lt;="&amp;EOMONTH(L$19,0))+SUMIFS('Allocated Transactions'!$J:$J,'Allocated Transactions'!$D:$D,$B47,'Allocated Transactions'!$C:$C,$B$3,'Allocated Transactions'!$A:$A,"&gt;="&amp;L$19,'Allocated Transactions'!$A:$A,"&lt;="&amp;EOMONTH(L$19,0))+SUMIFS('Allocated Transactions'!$J:$J,'Allocated Transactions'!$D:$D,$B47,'Allocated Transactions'!$C:$C,$B$5,'Allocated Transactions'!$A:$A,"&gt;="&amp;L$19,'Allocated Transactions'!$A:$A,"&lt;="&amp;EOMONTH(L$19,0))+SUMIFS('Allocated Transactions'!$J:$J,'Allocated Transactions'!$D:$D,$B47,'Allocated Transactions'!$C:$C,$B$6,'Allocated Transactions'!$A:$A,"&gt;="&amp;L$19,'Allocated Transactions'!$A:$A,"&lt;="&amp;EOMONTH(L$19,0)))</f>
        <v>0</v>
      </c>
      <c r="M47" s="84">
        <f>SUMPRODUCT(SUMIFS('Budget Data'!$J:$J,'Budget Data'!$E:$E,$B47,'Budget Data'!$C:$C,$B$7,'Budget Data'!$A:$A,"&gt;="&amp;M$19,'Budget Data'!$A:$A,"&lt;="&amp;EOMONTH(M$19,0))+SUMIFS('Budget Data'!$J:$J,'Budget Data'!$E:$E,$B47,'Budget Data'!$C:$C,$B$9,'Budget Data'!$A:$A,"&gt;="&amp;M$19,'Budget Data'!$A:$A,"&lt;="&amp;EOMONTH(M$19,0))+SUMIFS('Budget Data'!$J:$J,'Budget Data'!$E:$E,$B47,'Budget Data'!$C:$C,$B$8,'Budget Data'!$A:$A,"&gt;="&amp;M$19,'Budget Data'!$A:$A,"&lt;="&amp;EOMONTH(M$19,0))+SUMIFS('Budget Data'!$J:$J,'Budget Data'!$E:$E,$B47,'Budget Data'!$C:$C,$B$10,'Budget Data'!$A:$A,"&gt;="&amp;M$19,'Budget Data'!$A:$A,"&lt;="&amp;EOMONTH(M$19,0))+SUMIFS('Budget Data'!$J:$J,'Budget Data'!$E:$E,$B47,'Budget Data'!$C:$C,$B$11,'Budget Data'!$A:$A,"&gt;="&amp;M$19,'Budget Data'!$A:$A,"&lt;="&amp;EOMONTH(M$19,0))+SUMIFS('Budget Data'!$J:$J,'Budget Data'!$E:$E,$B47,'Budget Data'!$C:$C,$B$2,'Budget Data'!$A:$A,"&gt;="&amp;M$19,'Budget Data'!$A:$A,"&lt;="&amp;EOMONTH(M$19,0))+SUMIFS('Budget Data'!$J:$J,'Budget Data'!$E:$E,$B47,'Budget Data'!$C:$C,$B$4,'Budget Data'!$A:$A,"&gt;="&amp;M$19,'Budget Data'!$A:$A,"&lt;="&amp;EOMONTH(M$19,0))+SUMIFS('Budget Data'!$J:$J,'Budget Data'!$E:$E,$B47,'Budget Data'!$C:$C,$B$3,'Budget Data'!$A:$A,"&gt;="&amp;M$19,'Budget Data'!$A:$A,"&lt;="&amp;EOMONTH(M$19,0))+SUMIFS('Budget Data'!$J:$J,'Budget Data'!$E:$E,$B47,'Budget Data'!$C:$C,$B$5,'Budget Data'!$A:$A,"&gt;="&amp;M$19,'Budget Data'!$A:$A,"&lt;="&amp;EOMONTH(M$19,0))+SUMIFS('Budget Data'!$J:$J,'Budget Data'!$E:$E,$B47,'Budget Data'!$C:$C,$B$6,'Budget Data'!$A:$A,"&gt;="&amp;M$19,'Budget Data'!$A:$A,"&lt;="&amp;EOMONTH(M$19,0)))</f>
        <v>0</v>
      </c>
      <c r="N47" s="86">
        <f>SUMPRODUCT(SUMIFS('Allocated Transactions'!$J:$J,'Allocated Transactions'!$D:$D,$B47,'Allocated Transactions'!$C:$C,$B$7,'Allocated Transactions'!$A:$A,"&gt;="&amp;N$19,'Allocated Transactions'!$A:$A,"&lt;="&amp;EOMONTH(N$19,0))+SUMIFS('Allocated Transactions'!$J:$J,'Allocated Transactions'!$D:$D,$B47,'Allocated Transactions'!$C:$C,$B$9,'Allocated Transactions'!$A:$A,"&gt;="&amp;N$19,'Allocated Transactions'!$A:$A,"&lt;="&amp;EOMONTH(N$19,0))+SUMIFS('Allocated Transactions'!$J:$J,'Allocated Transactions'!$D:$D,$B47,'Allocated Transactions'!$C:$C,$B$8,'Allocated Transactions'!$A:$A,"&gt;="&amp;N$19,'Allocated Transactions'!$A:$A,"&lt;="&amp;EOMONTH(N$19,0))+SUMIFS('Allocated Transactions'!$J:$J,'Allocated Transactions'!$D:$D,$B47,'Allocated Transactions'!$C:$C,$B$10,'Allocated Transactions'!$A:$A,"&gt;="&amp;N$19,'Allocated Transactions'!$A:$A,"&lt;="&amp;EOMONTH(N$19,0))+SUMIFS('Allocated Transactions'!$J:$J,'Allocated Transactions'!$D:$D,$B47,'Allocated Transactions'!$C:$C,$B$11,'Allocated Transactions'!$A:$A,"&gt;="&amp;N$19,'Allocated Transactions'!$A:$A,"&lt;="&amp;EOMONTH(N$19,0))+SUMIFS('Allocated Transactions'!$J:$J,'Allocated Transactions'!$D:$D,$B47,'Allocated Transactions'!$C:$C,$B$2,'Allocated Transactions'!$A:$A,"&gt;="&amp;N$19,'Allocated Transactions'!$A:$A,"&lt;="&amp;EOMONTH(N$19,0))+SUMIFS('Allocated Transactions'!$J:$J,'Allocated Transactions'!$D:$D,$B47,'Allocated Transactions'!$C:$C,$B$4,'Allocated Transactions'!$A:$A,"&gt;="&amp;N$19,'Allocated Transactions'!$A:$A,"&lt;="&amp;EOMONTH(N$19,0))+SUMIFS('Allocated Transactions'!$J:$J,'Allocated Transactions'!$D:$D,$B47,'Allocated Transactions'!$C:$C,$B$3,'Allocated Transactions'!$A:$A,"&gt;="&amp;N$19,'Allocated Transactions'!$A:$A,"&lt;="&amp;EOMONTH(N$19,0))+SUMIFS('Allocated Transactions'!$J:$J,'Allocated Transactions'!$D:$D,$B47,'Allocated Transactions'!$C:$C,$B$5,'Allocated Transactions'!$A:$A,"&gt;="&amp;N$19,'Allocated Transactions'!$A:$A,"&lt;="&amp;EOMONTH(N$19,0))+SUMIFS('Allocated Transactions'!$J:$J,'Allocated Transactions'!$D:$D,$B47,'Allocated Transactions'!$C:$C,$B$6,'Allocated Transactions'!$A:$A,"&gt;="&amp;N$19,'Allocated Transactions'!$A:$A,"&lt;="&amp;EOMONTH(N$19,0)))</f>
        <v>0</v>
      </c>
      <c r="O47" s="84">
        <f>SUMPRODUCT(SUMIFS('Budget Data'!$J:$J,'Budget Data'!$E:$E,$B47,'Budget Data'!$C:$C,$B$7,'Budget Data'!$A:$A,"&gt;="&amp;O$19,'Budget Data'!$A:$A,"&lt;="&amp;EOMONTH(O$19,0))+SUMIFS('Budget Data'!$J:$J,'Budget Data'!$E:$E,$B47,'Budget Data'!$C:$C,$B$9,'Budget Data'!$A:$A,"&gt;="&amp;O$19,'Budget Data'!$A:$A,"&lt;="&amp;EOMONTH(O$19,0))+SUMIFS('Budget Data'!$J:$J,'Budget Data'!$E:$E,$B47,'Budget Data'!$C:$C,$B$8,'Budget Data'!$A:$A,"&gt;="&amp;O$19,'Budget Data'!$A:$A,"&lt;="&amp;EOMONTH(O$19,0))+SUMIFS('Budget Data'!$J:$J,'Budget Data'!$E:$E,$B47,'Budget Data'!$C:$C,$B$10,'Budget Data'!$A:$A,"&gt;="&amp;O$19,'Budget Data'!$A:$A,"&lt;="&amp;EOMONTH(O$19,0))+SUMIFS('Budget Data'!$J:$J,'Budget Data'!$E:$E,$B47,'Budget Data'!$C:$C,$B$11,'Budget Data'!$A:$A,"&gt;="&amp;O$19,'Budget Data'!$A:$A,"&lt;="&amp;EOMONTH(O$19,0))+SUMIFS('Budget Data'!$J:$J,'Budget Data'!$E:$E,$B47,'Budget Data'!$C:$C,$B$2,'Budget Data'!$A:$A,"&gt;="&amp;O$19,'Budget Data'!$A:$A,"&lt;="&amp;EOMONTH(O$19,0))+SUMIFS('Budget Data'!$J:$J,'Budget Data'!$E:$E,$B47,'Budget Data'!$C:$C,$B$4,'Budget Data'!$A:$A,"&gt;="&amp;O$19,'Budget Data'!$A:$A,"&lt;="&amp;EOMONTH(O$19,0))+SUMIFS('Budget Data'!$J:$J,'Budget Data'!$E:$E,$B47,'Budget Data'!$C:$C,$B$3,'Budget Data'!$A:$A,"&gt;="&amp;O$19,'Budget Data'!$A:$A,"&lt;="&amp;EOMONTH(O$19,0))+SUMIFS('Budget Data'!$J:$J,'Budget Data'!$E:$E,$B47,'Budget Data'!$C:$C,$B$5,'Budget Data'!$A:$A,"&gt;="&amp;O$19,'Budget Data'!$A:$A,"&lt;="&amp;EOMONTH(O$19,0))+SUMIFS('Budget Data'!$J:$J,'Budget Data'!$E:$E,$B47,'Budget Data'!$C:$C,$B$6,'Budget Data'!$A:$A,"&gt;="&amp;O$19,'Budget Data'!$A:$A,"&lt;="&amp;EOMONTH(O$19,0)))</f>
        <v>0</v>
      </c>
      <c r="P47" s="86">
        <f>SUMPRODUCT(SUMIFS('Allocated Transactions'!$J:$J,'Allocated Transactions'!$D:$D,$B47,'Allocated Transactions'!$C:$C,$B$7,'Allocated Transactions'!$A:$A,"&gt;="&amp;P$19,'Allocated Transactions'!$A:$A,"&lt;="&amp;EOMONTH(P$19,0))+SUMIFS('Allocated Transactions'!$J:$J,'Allocated Transactions'!$D:$D,$B47,'Allocated Transactions'!$C:$C,$B$9,'Allocated Transactions'!$A:$A,"&gt;="&amp;P$19,'Allocated Transactions'!$A:$A,"&lt;="&amp;EOMONTH(P$19,0))+SUMIFS('Allocated Transactions'!$J:$J,'Allocated Transactions'!$D:$D,$B47,'Allocated Transactions'!$C:$C,$B$8,'Allocated Transactions'!$A:$A,"&gt;="&amp;P$19,'Allocated Transactions'!$A:$A,"&lt;="&amp;EOMONTH(P$19,0))+SUMIFS('Allocated Transactions'!$J:$J,'Allocated Transactions'!$D:$D,$B47,'Allocated Transactions'!$C:$C,$B$10,'Allocated Transactions'!$A:$A,"&gt;="&amp;P$19,'Allocated Transactions'!$A:$A,"&lt;="&amp;EOMONTH(P$19,0))+SUMIFS('Allocated Transactions'!$J:$J,'Allocated Transactions'!$D:$D,$B47,'Allocated Transactions'!$C:$C,$B$11,'Allocated Transactions'!$A:$A,"&gt;="&amp;P$19,'Allocated Transactions'!$A:$A,"&lt;="&amp;EOMONTH(P$19,0))+SUMIFS('Allocated Transactions'!$J:$J,'Allocated Transactions'!$D:$D,$B47,'Allocated Transactions'!$C:$C,$B$2,'Allocated Transactions'!$A:$A,"&gt;="&amp;P$19,'Allocated Transactions'!$A:$A,"&lt;="&amp;EOMONTH(P$19,0))+SUMIFS('Allocated Transactions'!$J:$J,'Allocated Transactions'!$D:$D,$B47,'Allocated Transactions'!$C:$C,$B$4,'Allocated Transactions'!$A:$A,"&gt;="&amp;P$19,'Allocated Transactions'!$A:$A,"&lt;="&amp;EOMONTH(P$19,0))+SUMIFS('Allocated Transactions'!$J:$J,'Allocated Transactions'!$D:$D,$B47,'Allocated Transactions'!$C:$C,$B$3,'Allocated Transactions'!$A:$A,"&gt;="&amp;P$19,'Allocated Transactions'!$A:$A,"&lt;="&amp;EOMONTH(P$19,0))+SUMIFS('Allocated Transactions'!$J:$J,'Allocated Transactions'!$D:$D,$B47,'Allocated Transactions'!$C:$C,$B$5,'Allocated Transactions'!$A:$A,"&gt;="&amp;P$19,'Allocated Transactions'!$A:$A,"&lt;="&amp;EOMONTH(P$19,0))+SUMIFS('Allocated Transactions'!$J:$J,'Allocated Transactions'!$D:$D,$B47,'Allocated Transactions'!$C:$C,$B$6,'Allocated Transactions'!$A:$A,"&gt;="&amp;P$19,'Allocated Transactions'!$A:$A,"&lt;="&amp;EOMONTH(P$19,0)))</f>
        <v>0</v>
      </c>
      <c r="Q47" s="84">
        <f>SUMPRODUCT(SUMIFS('Budget Data'!$J:$J,'Budget Data'!$E:$E,$B47,'Budget Data'!$C:$C,$B$7,'Budget Data'!$A:$A,"&gt;="&amp;Q$19,'Budget Data'!$A:$A,"&lt;="&amp;EOMONTH(Q$19,0))+SUMIFS('Budget Data'!$J:$J,'Budget Data'!$E:$E,$B47,'Budget Data'!$C:$C,$B$9,'Budget Data'!$A:$A,"&gt;="&amp;Q$19,'Budget Data'!$A:$A,"&lt;="&amp;EOMONTH(Q$19,0))+SUMIFS('Budget Data'!$J:$J,'Budget Data'!$E:$E,$B47,'Budget Data'!$C:$C,$B$8,'Budget Data'!$A:$A,"&gt;="&amp;Q$19,'Budget Data'!$A:$A,"&lt;="&amp;EOMONTH(Q$19,0))+SUMIFS('Budget Data'!$J:$J,'Budget Data'!$E:$E,$B47,'Budget Data'!$C:$C,$B$10,'Budget Data'!$A:$A,"&gt;="&amp;Q$19,'Budget Data'!$A:$A,"&lt;="&amp;EOMONTH(Q$19,0))+SUMIFS('Budget Data'!$J:$J,'Budget Data'!$E:$E,$B47,'Budget Data'!$C:$C,$B$11,'Budget Data'!$A:$A,"&gt;="&amp;Q$19,'Budget Data'!$A:$A,"&lt;="&amp;EOMONTH(Q$19,0))+SUMIFS('Budget Data'!$J:$J,'Budget Data'!$E:$E,$B47,'Budget Data'!$C:$C,$B$2,'Budget Data'!$A:$A,"&gt;="&amp;Q$19,'Budget Data'!$A:$A,"&lt;="&amp;EOMONTH(Q$19,0))+SUMIFS('Budget Data'!$J:$J,'Budget Data'!$E:$E,$B47,'Budget Data'!$C:$C,$B$4,'Budget Data'!$A:$A,"&gt;="&amp;Q$19,'Budget Data'!$A:$A,"&lt;="&amp;EOMONTH(Q$19,0))+SUMIFS('Budget Data'!$J:$J,'Budget Data'!$E:$E,$B47,'Budget Data'!$C:$C,$B$3,'Budget Data'!$A:$A,"&gt;="&amp;Q$19,'Budget Data'!$A:$A,"&lt;="&amp;EOMONTH(Q$19,0))+SUMIFS('Budget Data'!$J:$J,'Budget Data'!$E:$E,$B47,'Budget Data'!$C:$C,$B$5,'Budget Data'!$A:$A,"&gt;="&amp;Q$19,'Budget Data'!$A:$A,"&lt;="&amp;EOMONTH(Q$19,0))+SUMIFS('Budget Data'!$J:$J,'Budget Data'!$E:$E,$B47,'Budget Data'!$C:$C,$B$6,'Budget Data'!$A:$A,"&gt;="&amp;Q$19,'Budget Data'!$A:$A,"&lt;="&amp;EOMONTH(Q$19,0)))</f>
        <v>0</v>
      </c>
      <c r="R47" s="86">
        <f>SUMPRODUCT(SUMIFS('Allocated Transactions'!$J:$J,'Allocated Transactions'!$D:$D,$B47,'Allocated Transactions'!$C:$C,$B$7,'Allocated Transactions'!$A:$A,"&gt;="&amp;R$19,'Allocated Transactions'!$A:$A,"&lt;="&amp;EOMONTH(R$19,0))+SUMIFS('Allocated Transactions'!$J:$J,'Allocated Transactions'!$D:$D,$B47,'Allocated Transactions'!$C:$C,$B$9,'Allocated Transactions'!$A:$A,"&gt;="&amp;R$19,'Allocated Transactions'!$A:$A,"&lt;="&amp;EOMONTH(R$19,0))+SUMIFS('Allocated Transactions'!$J:$J,'Allocated Transactions'!$D:$D,$B47,'Allocated Transactions'!$C:$C,$B$8,'Allocated Transactions'!$A:$A,"&gt;="&amp;R$19,'Allocated Transactions'!$A:$A,"&lt;="&amp;EOMONTH(R$19,0))+SUMIFS('Allocated Transactions'!$J:$J,'Allocated Transactions'!$D:$D,$B47,'Allocated Transactions'!$C:$C,$B$10,'Allocated Transactions'!$A:$A,"&gt;="&amp;R$19,'Allocated Transactions'!$A:$A,"&lt;="&amp;EOMONTH(R$19,0))+SUMIFS('Allocated Transactions'!$J:$J,'Allocated Transactions'!$D:$D,$B47,'Allocated Transactions'!$C:$C,$B$11,'Allocated Transactions'!$A:$A,"&gt;="&amp;R$19,'Allocated Transactions'!$A:$A,"&lt;="&amp;EOMONTH(R$19,0))+SUMIFS('Allocated Transactions'!$J:$J,'Allocated Transactions'!$D:$D,$B47,'Allocated Transactions'!$C:$C,$B$2,'Allocated Transactions'!$A:$A,"&gt;="&amp;R$19,'Allocated Transactions'!$A:$A,"&lt;="&amp;EOMONTH(R$19,0))+SUMIFS('Allocated Transactions'!$J:$J,'Allocated Transactions'!$D:$D,$B47,'Allocated Transactions'!$C:$C,$B$4,'Allocated Transactions'!$A:$A,"&gt;="&amp;R$19,'Allocated Transactions'!$A:$A,"&lt;="&amp;EOMONTH(R$19,0))+SUMIFS('Allocated Transactions'!$J:$J,'Allocated Transactions'!$D:$D,$B47,'Allocated Transactions'!$C:$C,$B$3,'Allocated Transactions'!$A:$A,"&gt;="&amp;R$19,'Allocated Transactions'!$A:$A,"&lt;="&amp;EOMONTH(R$19,0))+SUMIFS('Allocated Transactions'!$J:$J,'Allocated Transactions'!$D:$D,$B47,'Allocated Transactions'!$C:$C,$B$5,'Allocated Transactions'!$A:$A,"&gt;="&amp;R$19,'Allocated Transactions'!$A:$A,"&lt;="&amp;EOMONTH(R$19,0))+SUMIFS('Allocated Transactions'!$J:$J,'Allocated Transactions'!$D:$D,$B47,'Allocated Transactions'!$C:$C,$B$6,'Allocated Transactions'!$A:$A,"&gt;="&amp;R$19,'Allocated Transactions'!$A:$A,"&lt;="&amp;EOMONTH(R$19,0)))</f>
        <v>0</v>
      </c>
      <c r="S47" s="84">
        <f>SUMPRODUCT(SUMIFS('Budget Data'!$J:$J,'Budget Data'!$E:$E,$B47,'Budget Data'!$C:$C,$B$7,'Budget Data'!$A:$A,"&gt;="&amp;S$19,'Budget Data'!$A:$A,"&lt;="&amp;EOMONTH(S$19,0))+SUMIFS('Budget Data'!$J:$J,'Budget Data'!$E:$E,$B47,'Budget Data'!$C:$C,$B$9,'Budget Data'!$A:$A,"&gt;="&amp;S$19,'Budget Data'!$A:$A,"&lt;="&amp;EOMONTH(S$19,0))+SUMIFS('Budget Data'!$J:$J,'Budget Data'!$E:$E,$B47,'Budget Data'!$C:$C,$B$8,'Budget Data'!$A:$A,"&gt;="&amp;S$19,'Budget Data'!$A:$A,"&lt;="&amp;EOMONTH(S$19,0))+SUMIFS('Budget Data'!$J:$J,'Budget Data'!$E:$E,$B47,'Budget Data'!$C:$C,$B$10,'Budget Data'!$A:$A,"&gt;="&amp;S$19,'Budget Data'!$A:$A,"&lt;="&amp;EOMONTH(S$19,0))+SUMIFS('Budget Data'!$J:$J,'Budget Data'!$E:$E,$B47,'Budget Data'!$C:$C,$B$11,'Budget Data'!$A:$A,"&gt;="&amp;S$19,'Budget Data'!$A:$A,"&lt;="&amp;EOMONTH(S$19,0))+SUMIFS('Budget Data'!$J:$J,'Budget Data'!$E:$E,$B47,'Budget Data'!$C:$C,$B$2,'Budget Data'!$A:$A,"&gt;="&amp;S$19,'Budget Data'!$A:$A,"&lt;="&amp;EOMONTH(S$19,0))+SUMIFS('Budget Data'!$J:$J,'Budget Data'!$E:$E,$B47,'Budget Data'!$C:$C,$B$4,'Budget Data'!$A:$A,"&gt;="&amp;S$19,'Budget Data'!$A:$A,"&lt;="&amp;EOMONTH(S$19,0))+SUMIFS('Budget Data'!$J:$J,'Budget Data'!$E:$E,$B47,'Budget Data'!$C:$C,$B$3,'Budget Data'!$A:$A,"&gt;="&amp;S$19,'Budget Data'!$A:$A,"&lt;="&amp;EOMONTH(S$19,0))+SUMIFS('Budget Data'!$J:$J,'Budget Data'!$E:$E,$B47,'Budget Data'!$C:$C,$B$5,'Budget Data'!$A:$A,"&gt;="&amp;S$19,'Budget Data'!$A:$A,"&lt;="&amp;EOMONTH(S$19,0))+SUMIFS('Budget Data'!$J:$J,'Budget Data'!$E:$E,$B47,'Budget Data'!$C:$C,$B$6,'Budget Data'!$A:$A,"&gt;="&amp;S$19,'Budget Data'!$A:$A,"&lt;="&amp;EOMONTH(S$19,0)))</f>
        <v>0</v>
      </c>
      <c r="T47" s="86">
        <f>SUMPRODUCT(SUMIFS('Allocated Transactions'!$J:$J,'Allocated Transactions'!$D:$D,$B47,'Allocated Transactions'!$C:$C,$B$7,'Allocated Transactions'!$A:$A,"&gt;="&amp;T$19,'Allocated Transactions'!$A:$A,"&lt;="&amp;EOMONTH(T$19,0))+SUMIFS('Allocated Transactions'!$J:$J,'Allocated Transactions'!$D:$D,$B47,'Allocated Transactions'!$C:$C,$B$9,'Allocated Transactions'!$A:$A,"&gt;="&amp;T$19,'Allocated Transactions'!$A:$A,"&lt;="&amp;EOMONTH(T$19,0))+SUMIFS('Allocated Transactions'!$J:$J,'Allocated Transactions'!$D:$D,$B47,'Allocated Transactions'!$C:$C,$B$8,'Allocated Transactions'!$A:$A,"&gt;="&amp;T$19,'Allocated Transactions'!$A:$A,"&lt;="&amp;EOMONTH(T$19,0))+SUMIFS('Allocated Transactions'!$J:$J,'Allocated Transactions'!$D:$D,$B47,'Allocated Transactions'!$C:$C,$B$10,'Allocated Transactions'!$A:$A,"&gt;="&amp;T$19,'Allocated Transactions'!$A:$A,"&lt;="&amp;EOMONTH(T$19,0))+SUMIFS('Allocated Transactions'!$J:$J,'Allocated Transactions'!$D:$D,$B47,'Allocated Transactions'!$C:$C,$B$11,'Allocated Transactions'!$A:$A,"&gt;="&amp;T$19,'Allocated Transactions'!$A:$A,"&lt;="&amp;EOMONTH(T$19,0))+SUMIFS('Allocated Transactions'!$J:$J,'Allocated Transactions'!$D:$D,$B47,'Allocated Transactions'!$C:$C,$B$2,'Allocated Transactions'!$A:$A,"&gt;="&amp;T$19,'Allocated Transactions'!$A:$A,"&lt;="&amp;EOMONTH(T$19,0))+SUMIFS('Allocated Transactions'!$J:$J,'Allocated Transactions'!$D:$D,$B47,'Allocated Transactions'!$C:$C,$B$4,'Allocated Transactions'!$A:$A,"&gt;="&amp;T$19,'Allocated Transactions'!$A:$A,"&lt;="&amp;EOMONTH(T$19,0))+SUMIFS('Allocated Transactions'!$J:$J,'Allocated Transactions'!$D:$D,$B47,'Allocated Transactions'!$C:$C,$B$3,'Allocated Transactions'!$A:$A,"&gt;="&amp;T$19,'Allocated Transactions'!$A:$A,"&lt;="&amp;EOMONTH(T$19,0))+SUMIFS('Allocated Transactions'!$J:$J,'Allocated Transactions'!$D:$D,$B47,'Allocated Transactions'!$C:$C,$B$5,'Allocated Transactions'!$A:$A,"&gt;="&amp;T$19,'Allocated Transactions'!$A:$A,"&lt;="&amp;EOMONTH(T$19,0))+SUMIFS('Allocated Transactions'!$J:$J,'Allocated Transactions'!$D:$D,$B47,'Allocated Transactions'!$C:$C,$B$6,'Allocated Transactions'!$A:$A,"&gt;="&amp;T$19,'Allocated Transactions'!$A:$A,"&lt;="&amp;EOMONTH(T$19,0)))</f>
        <v>0</v>
      </c>
      <c r="U47" s="84">
        <f>SUMPRODUCT(SUMIFS('Budget Data'!$J:$J,'Budget Data'!$E:$E,$B47,'Budget Data'!$C:$C,$B$7,'Budget Data'!$A:$A,"&gt;="&amp;U$19,'Budget Data'!$A:$A,"&lt;="&amp;EOMONTH(U$19,0))+SUMIFS('Budget Data'!$J:$J,'Budget Data'!$E:$E,$B47,'Budget Data'!$C:$C,$B$9,'Budget Data'!$A:$A,"&gt;="&amp;U$19,'Budget Data'!$A:$A,"&lt;="&amp;EOMONTH(U$19,0))+SUMIFS('Budget Data'!$J:$J,'Budget Data'!$E:$E,$B47,'Budget Data'!$C:$C,$B$8,'Budget Data'!$A:$A,"&gt;="&amp;U$19,'Budget Data'!$A:$A,"&lt;="&amp;EOMONTH(U$19,0))+SUMIFS('Budget Data'!$J:$J,'Budget Data'!$E:$E,$B47,'Budget Data'!$C:$C,$B$10,'Budget Data'!$A:$A,"&gt;="&amp;U$19,'Budget Data'!$A:$A,"&lt;="&amp;EOMONTH(U$19,0))+SUMIFS('Budget Data'!$J:$J,'Budget Data'!$E:$E,$B47,'Budget Data'!$C:$C,$B$11,'Budget Data'!$A:$A,"&gt;="&amp;U$19,'Budget Data'!$A:$A,"&lt;="&amp;EOMONTH(U$19,0))+SUMIFS('Budget Data'!$J:$J,'Budget Data'!$E:$E,$B47,'Budget Data'!$C:$C,$B$2,'Budget Data'!$A:$A,"&gt;="&amp;U$19,'Budget Data'!$A:$A,"&lt;="&amp;EOMONTH(U$19,0))+SUMIFS('Budget Data'!$J:$J,'Budget Data'!$E:$E,$B47,'Budget Data'!$C:$C,$B$4,'Budget Data'!$A:$A,"&gt;="&amp;U$19,'Budget Data'!$A:$A,"&lt;="&amp;EOMONTH(U$19,0))+SUMIFS('Budget Data'!$J:$J,'Budget Data'!$E:$E,$B47,'Budget Data'!$C:$C,$B$3,'Budget Data'!$A:$A,"&gt;="&amp;U$19,'Budget Data'!$A:$A,"&lt;="&amp;EOMONTH(U$19,0))+SUMIFS('Budget Data'!$J:$J,'Budget Data'!$E:$E,$B47,'Budget Data'!$C:$C,$B$5,'Budget Data'!$A:$A,"&gt;="&amp;U$19,'Budget Data'!$A:$A,"&lt;="&amp;EOMONTH(U$19,0))+SUMIFS('Budget Data'!$J:$J,'Budget Data'!$E:$E,$B47,'Budget Data'!$C:$C,$B$6,'Budget Data'!$A:$A,"&gt;="&amp;U$19,'Budget Data'!$A:$A,"&lt;="&amp;EOMONTH(U$19,0)))</f>
        <v>0</v>
      </c>
      <c r="V47" s="86">
        <f>SUMPRODUCT(SUMIFS('Allocated Transactions'!$J:$J,'Allocated Transactions'!$D:$D,$B47,'Allocated Transactions'!$C:$C,$B$7,'Allocated Transactions'!$A:$A,"&gt;="&amp;V$19,'Allocated Transactions'!$A:$A,"&lt;="&amp;EOMONTH(V$19,0))+SUMIFS('Allocated Transactions'!$J:$J,'Allocated Transactions'!$D:$D,$B47,'Allocated Transactions'!$C:$C,$B$9,'Allocated Transactions'!$A:$A,"&gt;="&amp;V$19,'Allocated Transactions'!$A:$A,"&lt;="&amp;EOMONTH(V$19,0))+SUMIFS('Allocated Transactions'!$J:$J,'Allocated Transactions'!$D:$D,$B47,'Allocated Transactions'!$C:$C,$B$8,'Allocated Transactions'!$A:$A,"&gt;="&amp;V$19,'Allocated Transactions'!$A:$A,"&lt;="&amp;EOMONTH(V$19,0))+SUMIFS('Allocated Transactions'!$J:$J,'Allocated Transactions'!$D:$D,$B47,'Allocated Transactions'!$C:$C,$B$10,'Allocated Transactions'!$A:$A,"&gt;="&amp;V$19,'Allocated Transactions'!$A:$A,"&lt;="&amp;EOMONTH(V$19,0))+SUMIFS('Allocated Transactions'!$J:$J,'Allocated Transactions'!$D:$D,$B47,'Allocated Transactions'!$C:$C,$B$11,'Allocated Transactions'!$A:$A,"&gt;="&amp;V$19,'Allocated Transactions'!$A:$A,"&lt;="&amp;EOMONTH(V$19,0))+SUMIFS('Allocated Transactions'!$J:$J,'Allocated Transactions'!$D:$D,$B47,'Allocated Transactions'!$C:$C,$B$2,'Allocated Transactions'!$A:$A,"&gt;="&amp;V$19,'Allocated Transactions'!$A:$A,"&lt;="&amp;EOMONTH(V$19,0))+SUMIFS('Allocated Transactions'!$J:$J,'Allocated Transactions'!$D:$D,$B47,'Allocated Transactions'!$C:$C,$B$4,'Allocated Transactions'!$A:$A,"&gt;="&amp;V$19,'Allocated Transactions'!$A:$A,"&lt;="&amp;EOMONTH(V$19,0))+SUMIFS('Allocated Transactions'!$J:$J,'Allocated Transactions'!$D:$D,$B47,'Allocated Transactions'!$C:$C,$B$3,'Allocated Transactions'!$A:$A,"&gt;="&amp;V$19,'Allocated Transactions'!$A:$A,"&lt;="&amp;EOMONTH(V$19,0))+SUMIFS('Allocated Transactions'!$J:$J,'Allocated Transactions'!$D:$D,$B47,'Allocated Transactions'!$C:$C,$B$5,'Allocated Transactions'!$A:$A,"&gt;="&amp;V$19,'Allocated Transactions'!$A:$A,"&lt;="&amp;EOMONTH(V$19,0))+SUMIFS('Allocated Transactions'!$J:$J,'Allocated Transactions'!$D:$D,$B47,'Allocated Transactions'!$C:$C,$B$6,'Allocated Transactions'!$A:$A,"&gt;="&amp;V$19,'Allocated Transactions'!$A:$A,"&lt;="&amp;EOMONTH(V$19,0)))</f>
        <v>0</v>
      </c>
      <c r="W47" s="84">
        <f>SUMPRODUCT(SUMIFS('Budget Data'!$J:$J,'Budget Data'!$E:$E,$B47,'Budget Data'!$C:$C,$B$7,'Budget Data'!$A:$A,"&gt;="&amp;W$19,'Budget Data'!$A:$A,"&lt;="&amp;EOMONTH(W$19,0))+SUMIFS('Budget Data'!$J:$J,'Budget Data'!$E:$E,$B47,'Budget Data'!$C:$C,$B$9,'Budget Data'!$A:$A,"&gt;="&amp;W$19,'Budget Data'!$A:$A,"&lt;="&amp;EOMONTH(W$19,0))+SUMIFS('Budget Data'!$J:$J,'Budget Data'!$E:$E,$B47,'Budget Data'!$C:$C,$B$8,'Budget Data'!$A:$A,"&gt;="&amp;W$19,'Budget Data'!$A:$A,"&lt;="&amp;EOMONTH(W$19,0))+SUMIFS('Budget Data'!$J:$J,'Budget Data'!$E:$E,$B47,'Budget Data'!$C:$C,$B$10,'Budget Data'!$A:$A,"&gt;="&amp;W$19,'Budget Data'!$A:$A,"&lt;="&amp;EOMONTH(W$19,0))+SUMIFS('Budget Data'!$J:$J,'Budget Data'!$E:$E,$B47,'Budget Data'!$C:$C,$B$11,'Budget Data'!$A:$A,"&gt;="&amp;W$19,'Budget Data'!$A:$A,"&lt;="&amp;EOMONTH(W$19,0))+SUMIFS('Budget Data'!$J:$J,'Budget Data'!$E:$E,$B47,'Budget Data'!$C:$C,$B$2,'Budget Data'!$A:$A,"&gt;="&amp;W$19,'Budget Data'!$A:$A,"&lt;="&amp;EOMONTH(W$19,0))+SUMIFS('Budget Data'!$J:$J,'Budget Data'!$E:$E,$B47,'Budget Data'!$C:$C,$B$4,'Budget Data'!$A:$A,"&gt;="&amp;W$19,'Budget Data'!$A:$A,"&lt;="&amp;EOMONTH(W$19,0))+SUMIFS('Budget Data'!$J:$J,'Budget Data'!$E:$E,$B47,'Budget Data'!$C:$C,$B$3,'Budget Data'!$A:$A,"&gt;="&amp;W$19,'Budget Data'!$A:$A,"&lt;="&amp;EOMONTH(W$19,0))+SUMIFS('Budget Data'!$J:$J,'Budget Data'!$E:$E,$B47,'Budget Data'!$C:$C,$B$5,'Budget Data'!$A:$A,"&gt;="&amp;W$19,'Budget Data'!$A:$A,"&lt;="&amp;EOMONTH(W$19,0))+SUMIFS('Budget Data'!$J:$J,'Budget Data'!$E:$E,$B47,'Budget Data'!$C:$C,$B$6,'Budget Data'!$A:$A,"&gt;="&amp;W$19,'Budget Data'!$A:$A,"&lt;="&amp;EOMONTH(W$19,0)))</f>
        <v>0</v>
      </c>
      <c r="X47" s="86">
        <f>SUMPRODUCT(SUMIFS('Allocated Transactions'!$J:$J,'Allocated Transactions'!$D:$D,$B47,'Allocated Transactions'!$C:$C,$B$7,'Allocated Transactions'!$A:$A,"&gt;="&amp;X$19,'Allocated Transactions'!$A:$A,"&lt;="&amp;EOMONTH(X$19,0))+SUMIFS('Allocated Transactions'!$J:$J,'Allocated Transactions'!$D:$D,$B47,'Allocated Transactions'!$C:$C,$B$9,'Allocated Transactions'!$A:$A,"&gt;="&amp;X$19,'Allocated Transactions'!$A:$A,"&lt;="&amp;EOMONTH(X$19,0))+SUMIFS('Allocated Transactions'!$J:$J,'Allocated Transactions'!$D:$D,$B47,'Allocated Transactions'!$C:$C,$B$8,'Allocated Transactions'!$A:$A,"&gt;="&amp;X$19,'Allocated Transactions'!$A:$A,"&lt;="&amp;EOMONTH(X$19,0))+SUMIFS('Allocated Transactions'!$J:$J,'Allocated Transactions'!$D:$D,$B47,'Allocated Transactions'!$C:$C,$B$10,'Allocated Transactions'!$A:$A,"&gt;="&amp;X$19,'Allocated Transactions'!$A:$A,"&lt;="&amp;EOMONTH(X$19,0))+SUMIFS('Allocated Transactions'!$J:$J,'Allocated Transactions'!$D:$D,$B47,'Allocated Transactions'!$C:$C,$B$11,'Allocated Transactions'!$A:$A,"&gt;="&amp;X$19,'Allocated Transactions'!$A:$A,"&lt;="&amp;EOMONTH(X$19,0))+SUMIFS('Allocated Transactions'!$J:$J,'Allocated Transactions'!$D:$D,$B47,'Allocated Transactions'!$C:$C,$B$2,'Allocated Transactions'!$A:$A,"&gt;="&amp;X$19,'Allocated Transactions'!$A:$A,"&lt;="&amp;EOMONTH(X$19,0))+SUMIFS('Allocated Transactions'!$J:$J,'Allocated Transactions'!$D:$D,$B47,'Allocated Transactions'!$C:$C,$B$4,'Allocated Transactions'!$A:$A,"&gt;="&amp;X$19,'Allocated Transactions'!$A:$A,"&lt;="&amp;EOMONTH(X$19,0))+SUMIFS('Allocated Transactions'!$J:$J,'Allocated Transactions'!$D:$D,$B47,'Allocated Transactions'!$C:$C,$B$3,'Allocated Transactions'!$A:$A,"&gt;="&amp;X$19,'Allocated Transactions'!$A:$A,"&lt;="&amp;EOMONTH(X$19,0))+SUMIFS('Allocated Transactions'!$J:$J,'Allocated Transactions'!$D:$D,$B47,'Allocated Transactions'!$C:$C,$B$5,'Allocated Transactions'!$A:$A,"&gt;="&amp;X$19,'Allocated Transactions'!$A:$A,"&lt;="&amp;EOMONTH(X$19,0))+SUMIFS('Allocated Transactions'!$J:$J,'Allocated Transactions'!$D:$D,$B47,'Allocated Transactions'!$C:$C,$B$6,'Allocated Transactions'!$A:$A,"&gt;="&amp;X$19,'Allocated Transactions'!$A:$A,"&lt;="&amp;EOMONTH(X$19,0)))</f>
        <v>0</v>
      </c>
      <c r="Y47" s="84">
        <f>SUMPRODUCT(SUMIFS('Budget Data'!$J:$J,'Budget Data'!$E:$E,$B47,'Budget Data'!$C:$C,$B$7,'Budget Data'!$A:$A,"&gt;="&amp;Y$19,'Budget Data'!$A:$A,"&lt;="&amp;EOMONTH(Y$19,0))+SUMIFS('Budget Data'!$J:$J,'Budget Data'!$E:$E,$B47,'Budget Data'!$C:$C,$B$9,'Budget Data'!$A:$A,"&gt;="&amp;Y$19,'Budget Data'!$A:$A,"&lt;="&amp;EOMONTH(Y$19,0))+SUMIFS('Budget Data'!$J:$J,'Budget Data'!$E:$E,$B47,'Budget Data'!$C:$C,$B$8,'Budget Data'!$A:$A,"&gt;="&amp;Y$19,'Budget Data'!$A:$A,"&lt;="&amp;EOMONTH(Y$19,0))+SUMIFS('Budget Data'!$J:$J,'Budget Data'!$E:$E,$B47,'Budget Data'!$C:$C,$B$10,'Budget Data'!$A:$A,"&gt;="&amp;Y$19,'Budget Data'!$A:$A,"&lt;="&amp;EOMONTH(Y$19,0))+SUMIFS('Budget Data'!$J:$J,'Budget Data'!$E:$E,$B47,'Budget Data'!$C:$C,$B$11,'Budget Data'!$A:$A,"&gt;="&amp;Y$19,'Budget Data'!$A:$A,"&lt;="&amp;EOMONTH(Y$19,0))+SUMIFS('Budget Data'!$J:$J,'Budget Data'!$E:$E,$B47,'Budget Data'!$C:$C,$B$2,'Budget Data'!$A:$A,"&gt;="&amp;Y$19,'Budget Data'!$A:$A,"&lt;="&amp;EOMONTH(Y$19,0))+SUMIFS('Budget Data'!$J:$J,'Budget Data'!$E:$E,$B47,'Budget Data'!$C:$C,$B$4,'Budget Data'!$A:$A,"&gt;="&amp;Y$19,'Budget Data'!$A:$A,"&lt;="&amp;EOMONTH(Y$19,0))+SUMIFS('Budget Data'!$J:$J,'Budget Data'!$E:$E,$B47,'Budget Data'!$C:$C,$B$3,'Budget Data'!$A:$A,"&gt;="&amp;Y$19,'Budget Data'!$A:$A,"&lt;="&amp;EOMONTH(Y$19,0))+SUMIFS('Budget Data'!$J:$J,'Budget Data'!$E:$E,$B47,'Budget Data'!$C:$C,$B$5,'Budget Data'!$A:$A,"&gt;="&amp;Y$19,'Budget Data'!$A:$A,"&lt;="&amp;EOMONTH(Y$19,0))+SUMIFS('Budget Data'!$J:$J,'Budget Data'!$E:$E,$B47,'Budget Data'!$C:$C,$B$6,'Budget Data'!$A:$A,"&gt;="&amp;Y$19,'Budget Data'!$A:$A,"&lt;="&amp;EOMONTH(Y$19,0)))</f>
        <v>0</v>
      </c>
      <c r="Z47" s="86">
        <f>SUMPRODUCT(SUMIFS('Allocated Transactions'!$J:$J,'Allocated Transactions'!$D:$D,$B47,'Allocated Transactions'!$C:$C,$B$7,'Allocated Transactions'!$A:$A,"&gt;="&amp;Z$19,'Allocated Transactions'!$A:$A,"&lt;="&amp;EOMONTH(Z$19,0))+SUMIFS('Allocated Transactions'!$J:$J,'Allocated Transactions'!$D:$D,$B47,'Allocated Transactions'!$C:$C,$B$9,'Allocated Transactions'!$A:$A,"&gt;="&amp;Z$19,'Allocated Transactions'!$A:$A,"&lt;="&amp;EOMONTH(Z$19,0))+SUMIFS('Allocated Transactions'!$J:$J,'Allocated Transactions'!$D:$D,$B47,'Allocated Transactions'!$C:$C,$B$8,'Allocated Transactions'!$A:$A,"&gt;="&amp;Z$19,'Allocated Transactions'!$A:$A,"&lt;="&amp;EOMONTH(Z$19,0))+SUMIFS('Allocated Transactions'!$J:$J,'Allocated Transactions'!$D:$D,$B47,'Allocated Transactions'!$C:$C,$B$10,'Allocated Transactions'!$A:$A,"&gt;="&amp;Z$19,'Allocated Transactions'!$A:$A,"&lt;="&amp;EOMONTH(Z$19,0))+SUMIFS('Allocated Transactions'!$J:$J,'Allocated Transactions'!$D:$D,$B47,'Allocated Transactions'!$C:$C,$B$11,'Allocated Transactions'!$A:$A,"&gt;="&amp;Z$19,'Allocated Transactions'!$A:$A,"&lt;="&amp;EOMONTH(Z$19,0))+SUMIFS('Allocated Transactions'!$J:$J,'Allocated Transactions'!$D:$D,$B47,'Allocated Transactions'!$C:$C,$B$2,'Allocated Transactions'!$A:$A,"&gt;="&amp;Z$19,'Allocated Transactions'!$A:$A,"&lt;="&amp;EOMONTH(Z$19,0))+SUMIFS('Allocated Transactions'!$J:$J,'Allocated Transactions'!$D:$D,$B47,'Allocated Transactions'!$C:$C,$B$4,'Allocated Transactions'!$A:$A,"&gt;="&amp;Z$19,'Allocated Transactions'!$A:$A,"&lt;="&amp;EOMONTH(Z$19,0))+SUMIFS('Allocated Transactions'!$J:$J,'Allocated Transactions'!$D:$D,$B47,'Allocated Transactions'!$C:$C,$B$3,'Allocated Transactions'!$A:$A,"&gt;="&amp;Z$19,'Allocated Transactions'!$A:$A,"&lt;="&amp;EOMONTH(Z$19,0))+SUMIFS('Allocated Transactions'!$J:$J,'Allocated Transactions'!$D:$D,$B47,'Allocated Transactions'!$C:$C,$B$5,'Allocated Transactions'!$A:$A,"&gt;="&amp;Z$19,'Allocated Transactions'!$A:$A,"&lt;="&amp;EOMONTH(Z$19,0))+SUMIFS('Allocated Transactions'!$J:$J,'Allocated Transactions'!$D:$D,$B47,'Allocated Transactions'!$C:$C,$B$6,'Allocated Transactions'!$A:$A,"&gt;="&amp;Z$19,'Allocated Transactions'!$A:$A,"&lt;="&amp;EOMONTH(Z$19,0)))</f>
        <v>283.82</v>
      </c>
      <c r="AA47" s="84">
        <f>SUMPRODUCT(SUMIFS('Budget Data'!$J:$J,'Budget Data'!$E:$E,$B47,'Budget Data'!$C:$C,$B$7,'Budget Data'!$A:$A,"&gt;="&amp;AA$19,'Budget Data'!$A:$A,"&lt;="&amp;EOMONTH(AA$19,0))+SUMIFS('Budget Data'!$J:$J,'Budget Data'!$E:$E,$B47,'Budget Data'!$C:$C,$B$9,'Budget Data'!$A:$A,"&gt;="&amp;AA$19,'Budget Data'!$A:$A,"&lt;="&amp;EOMONTH(AA$19,0))+SUMIFS('Budget Data'!$J:$J,'Budget Data'!$E:$E,$B47,'Budget Data'!$C:$C,$B$8,'Budget Data'!$A:$A,"&gt;="&amp;AA$19,'Budget Data'!$A:$A,"&lt;="&amp;EOMONTH(AA$19,0))+SUMIFS('Budget Data'!$J:$J,'Budget Data'!$E:$E,$B47,'Budget Data'!$C:$C,$B$10,'Budget Data'!$A:$A,"&gt;="&amp;AA$19,'Budget Data'!$A:$A,"&lt;="&amp;EOMONTH(AA$19,0))+SUMIFS('Budget Data'!$J:$J,'Budget Data'!$E:$E,$B47,'Budget Data'!$C:$C,$B$11,'Budget Data'!$A:$A,"&gt;="&amp;AA$19,'Budget Data'!$A:$A,"&lt;="&amp;EOMONTH(AA$19,0))+SUMIFS('Budget Data'!$J:$J,'Budget Data'!$E:$E,$B47,'Budget Data'!$C:$C,$B$2,'Budget Data'!$A:$A,"&gt;="&amp;AA$19,'Budget Data'!$A:$A,"&lt;="&amp;EOMONTH(AA$19,0))+SUMIFS('Budget Data'!$J:$J,'Budget Data'!$E:$E,$B47,'Budget Data'!$C:$C,$B$4,'Budget Data'!$A:$A,"&gt;="&amp;AA$19,'Budget Data'!$A:$A,"&lt;="&amp;EOMONTH(AA$19,0))+SUMIFS('Budget Data'!$J:$J,'Budget Data'!$E:$E,$B47,'Budget Data'!$C:$C,$B$3,'Budget Data'!$A:$A,"&gt;="&amp;AA$19,'Budget Data'!$A:$A,"&lt;="&amp;EOMONTH(AA$19,0))+SUMIFS('Budget Data'!$J:$J,'Budget Data'!$E:$E,$B47,'Budget Data'!$C:$C,$B$5,'Budget Data'!$A:$A,"&gt;="&amp;AA$19,'Budget Data'!$A:$A,"&lt;="&amp;EOMONTH(AA$19,0))+SUMIFS('Budget Data'!$J:$J,'Budget Data'!$E:$E,$B47,'Budget Data'!$C:$C,$B$6,'Budget Data'!$A:$A,"&gt;="&amp;AA$19,'Budget Data'!$A:$A,"&lt;="&amp;EOMONTH(AA$19,0)))</f>
        <v>300</v>
      </c>
      <c r="AC47" s="87">
        <f t="shared" si="2"/>
        <v>806.84999999999991</v>
      </c>
      <c r="AD47" s="84">
        <f t="shared" si="2"/>
        <v>800</v>
      </c>
    </row>
    <row r="48" spans="2:30" ht="15" customHeight="1">
      <c r="D48" s="86"/>
      <c r="E48" s="84"/>
      <c r="F48" s="86"/>
      <c r="G48" s="84"/>
      <c r="H48" s="86"/>
      <c r="I48" s="84"/>
      <c r="J48" s="86"/>
      <c r="K48" s="84"/>
      <c r="L48" s="86"/>
      <c r="M48" s="84"/>
      <c r="N48" s="86"/>
      <c r="O48" s="84"/>
      <c r="P48" s="86"/>
      <c r="Q48" s="84"/>
      <c r="R48" s="86"/>
      <c r="S48" s="84"/>
      <c r="T48" s="86"/>
      <c r="U48" s="84"/>
      <c r="V48" s="86"/>
      <c r="W48" s="84"/>
      <c r="X48" s="86"/>
      <c r="Y48" s="84"/>
      <c r="Z48" s="86"/>
      <c r="AA48" s="84"/>
      <c r="AC48" s="87"/>
      <c r="AD48" s="84"/>
    </row>
    <row r="49" spans="2:31" ht="15" customHeight="1">
      <c r="B49" s="91" t="s">
        <v>127</v>
      </c>
      <c r="C49" s="92" t="str">
        <f>_xlfn.XLOOKUP(B49,'Allocated Transactions'!D:D,'Allocated Transactions'!E:E,"")&amp;" - Excludes M&amp;G"</f>
        <v>Indirect Cost Allocation - Excludes M&amp;G</v>
      </c>
      <c r="D49" s="93">
        <f>SUMPRODUCT(SUMIFS('Allocated Transactions'!$J:$J,'Allocated Transactions'!$D:$D,$B49,'Allocated Transactions'!$C:$C,$B$7,'Allocated Transactions'!$A:$A,"&gt;="&amp;D$19,'Allocated Transactions'!$A:$A,"&lt;="&amp;EOMONTH(D$19,0))+SUMIFS('Allocated Transactions'!$J:$J,'Allocated Transactions'!$D:$D,$B49,'Allocated Transactions'!$C:$C,$B$9,'Allocated Transactions'!$A:$A,"&gt;="&amp;D$19,'Allocated Transactions'!$A:$A,"&lt;="&amp;EOMONTH(D$19,0))+SUMIFS('Allocated Transactions'!$J:$J,'Allocated Transactions'!$D:$D,$B49,'Allocated Transactions'!$C:$C,$B$8,'Allocated Transactions'!$A:$A,"&gt;="&amp;D$19,'Allocated Transactions'!$A:$A,"&lt;="&amp;EOMONTH(D$19,0))+SUMIFS('Allocated Transactions'!$J:$J,'Allocated Transactions'!$D:$D,$B49,'Allocated Transactions'!$C:$C,$B$10,'Allocated Transactions'!$A:$A,"&gt;="&amp;D$19,'Allocated Transactions'!$A:$A,"&lt;="&amp;EOMONTH(D$19,0))+SUMIFS('Allocated Transactions'!$J:$J,'Allocated Transactions'!$D:$D,$B49,'Allocated Transactions'!$C:$C,$B$11,'Allocated Transactions'!$A:$A,"&gt;="&amp;D$19,'Allocated Transactions'!$A:$A,"&lt;="&amp;EOMONTH(D$19,0))+SUMIFS('Allocated Transactions'!$J:$J,'Allocated Transactions'!$D:$D,$B49,'Allocated Transactions'!$C:$C,$B$2,'Allocated Transactions'!$A:$A,"&gt;="&amp;D$19,'Allocated Transactions'!$A:$A,"&lt;="&amp;EOMONTH(D$19,0))+SUMIFS('Allocated Transactions'!$J:$J,'Allocated Transactions'!$D:$D,$B49,'Allocated Transactions'!$C:$C,$B$4,'Allocated Transactions'!$A:$A,"&gt;="&amp;D$19,'Allocated Transactions'!$A:$A,"&lt;="&amp;EOMONTH(D$19,0))+SUMIFS('Allocated Transactions'!$J:$J,'Allocated Transactions'!$D:$D,$B49,'Allocated Transactions'!$C:$C,$B$3,'Allocated Transactions'!$A:$A,"&gt;="&amp;D$19,'Allocated Transactions'!$A:$A,"&lt;="&amp;EOMONTH(D$19,0))+SUMIFS('Allocated Transactions'!$J:$J,'Allocated Transactions'!$D:$D,$B49,'Allocated Transactions'!$C:$C,$B$5,'Allocated Transactions'!$A:$A,"&gt;="&amp;D$19,'Allocated Transactions'!$A:$A,"&lt;="&amp;EOMONTH(D$19,0))+SUMIFS('Allocated Transactions'!$J:$J,'Allocated Transactions'!$D:$D,$B49,'Allocated Transactions'!$C:$C,$B$6,'Allocated Transactions'!$A:$A,"&gt;="&amp;D$19,'Allocated Transactions'!$A:$A,"&lt;="&amp;EOMONTH(D$19,0)))</f>
        <v>7.2759576141834259E-12</v>
      </c>
      <c r="E49" s="94">
        <f>SUMPRODUCT(SUMIFS('Budget Data'!$J:$J,'Budget Data'!$E:$E,$B49,'Budget Data'!$C:$C,$B$7,'Budget Data'!$A:$A,"&gt;="&amp;E$19,'Budget Data'!$A:$A,"&lt;="&amp;EOMONTH(E$19,0))+SUMIFS('Budget Data'!$J:$J,'Budget Data'!$E:$E,$B49,'Budget Data'!$C:$C,$B$9,'Budget Data'!$A:$A,"&gt;="&amp;E$19,'Budget Data'!$A:$A,"&lt;="&amp;EOMONTH(E$19,0))+SUMIFS('Budget Data'!$J:$J,'Budget Data'!$E:$E,$B49,'Budget Data'!$C:$C,$B$8,'Budget Data'!$A:$A,"&gt;="&amp;E$19,'Budget Data'!$A:$A,"&lt;="&amp;EOMONTH(E$19,0))+SUMIFS('Budget Data'!$J:$J,'Budget Data'!$E:$E,$B49,'Budget Data'!$C:$C,$B$10,'Budget Data'!$A:$A,"&gt;="&amp;E$19,'Budget Data'!$A:$A,"&lt;="&amp;EOMONTH(E$19,0))+SUMIFS('Budget Data'!$J:$J,'Budget Data'!$E:$E,$B49,'Budget Data'!$C:$C,$B$11,'Budget Data'!$A:$A,"&gt;="&amp;E$19,'Budget Data'!$A:$A,"&lt;="&amp;EOMONTH(E$19,0))+SUMIFS('Budget Data'!$J:$J,'Budget Data'!$E:$E,$B49,'Budget Data'!$C:$C,$B$2,'Budget Data'!$A:$A,"&gt;="&amp;E$19,'Budget Data'!$A:$A,"&lt;="&amp;EOMONTH(E$19,0))+SUMIFS('Budget Data'!$J:$J,'Budget Data'!$E:$E,$B49,'Budget Data'!$C:$C,$B$4,'Budget Data'!$A:$A,"&gt;="&amp;E$19,'Budget Data'!$A:$A,"&lt;="&amp;EOMONTH(E$19,0))+SUMIFS('Budget Data'!$J:$J,'Budget Data'!$E:$E,$B49,'Budget Data'!$C:$C,$B$3,'Budget Data'!$A:$A,"&gt;="&amp;E$19,'Budget Data'!$A:$A,"&lt;="&amp;EOMONTH(E$19,0))+SUMIFS('Budget Data'!$J:$J,'Budget Data'!$E:$E,$B49,'Budget Data'!$C:$C,$B$5,'Budget Data'!$A:$A,"&gt;="&amp;E$19,'Budget Data'!$A:$A,"&lt;="&amp;EOMONTH(E$19,0))+SUMIFS('Budget Data'!$J:$J,'Budget Data'!$E:$E,$B49,'Budget Data'!$C:$C,$B$6,'Budget Data'!$A:$A,"&gt;="&amp;E$19,'Budget Data'!$A:$A,"&lt;="&amp;EOMONTH(E$19,0)))</f>
        <v>0</v>
      </c>
      <c r="F49" s="93">
        <f>SUMPRODUCT(SUMIFS('Allocated Transactions'!$J:$J,'Allocated Transactions'!$D:$D,$B49,'Allocated Transactions'!$C:$C,$B$7,'Allocated Transactions'!$A:$A,"&gt;="&amp;F$19,'Allocated Transactions'!$A:$A,"&lt;="&amp;EOMONTH(F$19,0))+SUMIFS('Allocated Transactions'!$J:$J,'Allocated Transactions'!$D:$D,$B49,'Allocated Transactions'!$C:$C,$B$9,'Allocated Transactions'!$A:$A,"&gt;="&amp;F$19,'Allocated Transactions'!$A:$A,"&lt;="&amp;EOMONTH(F$19,0))+SUMIFS('Allocated Transactions'!$J:$J,'Allocated Transactions'!$D:$D,$B49,'Allocated Transactions'!$C:$C,$B$8,'Allocated Transactions'!$A:$A,"&gt;="&amp;F$19,'Allocated Transactions'!$A:$A,"&lt;="&amp;EOMONTH(F$19,0))+SUMIFS('Allocated Transactions'!$J:$J,'Allocated Transactions'!$D:$D,$B49,'Allocated Transactions'!$C:$C,$B$10,'Allocated Transactions'!$A:$A,"&gt;="&amp;F$19,'Allocated Transactions'!$A:$A,"&lt;="&amp;EOMONTH(F$19,0))+SUMIFS('Allocated Transactions'!$J:$J,'Allocated Transactions'!$D:$D,$B49,'Allocated Transactions'!$C:$C,$B$11,'Allocated Transactions'!$A:$A,"&gt;="&amp;F$19,'Allocated Transactions'!$A:$A,"&lt;="&amp;EOMONTH(F$19,0))+SUMIFS('Allocated Transactions'!$J:$J,'Allocated Transactions'!$D:$D,$B49,'Allocated Transactions'!$C:$C,$B$2,'Allocated Transactions'!$A:$A,"&gt;="&amp;F$19,'Allocated Transactions'!$A:$A,"&lt;="&amp;EOMONTH(F$19,0))+SUMIFS('Allocated Transactions'!$J:$J,'Allocated Transactions'!$D:$D,$B49,'Allocated Transactions'!$C:$C,$B$4,'Allocated Transactions'!$A:$A,"&gt;="&amp;F$19,'Allocated Transactions'!$A:$A,"&lt;="&amp;EOMONTH(F$19,0))+SUMIFS('Allocated Transactions'!$J:$J,'Allocated Transactions'!$D:$D,$B49,'Allocated Transactions'!$C:$C,$B$3,'Allocated Transactions'!$A:$A,"&gt;="&amp;F$19,'Allocated Transactions'!$A:$A,"&lt;="&amp;EOMONTH(F$19,0))+SUMIFS('Allocated Transactions'!$J:$J,'Allocated Transactions'!$D:$D,$B49,'Allocated Transactions'!$C:$C,$B$5,'Allocated Transactions'!$A:$A,"&gt;="&amp;F$19,'Allocated Transactions'!$A:$A,"&lt;="&amp;EOMONTH(F$19,0))+SUMIFS('Allocated Transactions'!$J:$J,'Allocated Transactions'!$D:$D,$B49,'Allocated Transactions'!$C:$C,$B$6,'Allocated Transactions'!$A:$A,"&gt;="&amp;F$19,'Allocated Transactions'!$A:$A,"&lt;="&amp;EOMONTH(F$19,0)))</f>
        <v>3.637978807091713E-12</v>
      </c>
      <c r="G49" s="94">
        <f>SUMPRODUCT(SUMIFS('Budget Data'!$J:$J,'Budget Data'!$E:$E,$B49,'Budget Data'!$C:$C,$B$7,'Budget Data'!$A:$A,"&gt;="&amp;G$19,'Budget Data'!$A:$A,"&lt;="&amp;EOMONTH(G$19,0))+SUMIFS('Budget Data'!$J:$J,'Budget Data'!$E:$E,$B49,'Budget Data'!$C:$C,$B$9,'Budget Data'!$A:$A,"&gt;="&amp;G$19,'Budget Data'!$A:$A,"&lt;="&amp;EOMONTH(G$19,0))+SUMIFS('Budget Data'!$J:$J,'Budget Data'!$E:$E,$B49,'Budget Data'!$C:$C,$B$8,'Budget Data'!$A:$A,"&gt;="&amp;G$19,'Budget Data'!$A:$A,"&lt;="&amp;EOMONTH(G$19,0))+SUMIFS('Budget Data'!$J:$J,'Budget Data'!$E:$E,$B49,'Budget Data'!$C:$C,$B$10,'Budget Data'!$A:$A,"&gt;="&amp;G$19,'Budget Data'!$A:$A,"&lt;="&amp;EOMONTH(G$19,0))+SUMIFS('Budget Data'!$J:$J,'Budget Data'!$E:$E,$B49,'Budget Data'!$C:$C,$B$11,'Budget Data'!$A:$A,"&gt;="&amp;G$19,'Budget Data'!$A:$A,"&lt;="&amp;EOMONTH(G$19,0))+SUMIFS('Budget Data'!$J:$J,'Budget Data'!$E:$E,$B49,'Budget Data'!$C:$C,$B$2,'Budget Data'!$A:$A,"&gt;="&amp;G$19,'Budget Data'!$A:$A,"&lt;="&amp;EOMONTH(G$19,0))+SUMIFS('Budget Data'!$J:$J,'Budget Data'!$E:$E,$B49,'Budget Data'!$C:$C,$B$4,'Budget Data'!$A:$A,"&gt;="&amp;G$19,'Budget Data'!$A:$A,"&lt;="&amp;EOMONTH(G$19,0))+SUMIFS('Budget Data'!$J:$J,'Budget Data'!$E:$E,$B49,'Budget Data'!$C:$C,$B$3,'Budget Data'!$A:$A,"&gt;="&amp;G$19,'Budget Data'!$A:$A,"&lt;="&amp;EOMONTH(G$19,0))+SUMIFS('Budget Data'!$J:$J,'Budget Data'!$E:$E,$B49,'Budget Data'!$C:$C,$B$5,'Budget Data'!$A:$A,"&gt;="&amp;G$19,'Budget Data'!$A:$A,"&lt;="&amp;EOMONTH(G$19,0))+SUMIFS('Budget Data'!$J:$J,'Budget Data'!$E:$E,$B49,'Budget Data'!$C:$C,$B$6,'Budget Data'!$A:$A,"&gt;="&amp;G$19,'Budget Data'!$A:$A,"&lt;="&amp;EOMONTH(G$19,0)))</f>
        <v>0</v>
      </c>
      <c r="H49" s="93">
        <f>SUMPRODUCT(SUMIFS('Allocated Transactions'!$J:$J,'Allocated Transactions'!$D:$D,$B49,'Allocated Transactions'!$C:$C,$B$7,'Allocated Transactions'!$A:$A,"&gt;="&amp;H$19,'Allocated Transactions'!$A:$A,"&lt;="&amp;EOMONTH(H$19,0))+SUMIFS('Allocated Transactions'!$J:$J,'Allocated Transactions'!$D:$D,$B49,'Allocated Transactions'!$C:$C,$B$9,'Allocated Transactions'!$A:$A,"&gt;="&amp;H$19,'Allocated Transactions'!$A:$A,"&lt;="&amp;EOMONTH(H$19,0))+SUMIFS('Allocated Transactions'!$J:$J,'Allocated Transactions'!$D:$D,$B49,'Allocated Transactions'!$C:$C,$B$8,'Allocated Transactions'!$A:$A,"&gt;="&amp;H$19,'Allocated Transactions'!$A:$A,"&lt;="&amp;EOMONTH(H$19,0))+SUMIFS('Allocated Transactions'!$J:$J,'Allocated Transactions'!$D:$D,$B49,'Allocated Transactions'!$C:$C,$B$10,'Allocated Transactions'!$A:$A,"&gt;="&amp;H$19,'Allocated Transactions'!$A:$A,"&lt;="&amp;EOMONTH(H$19,0))+SUMIFS('Allocated Transactions'!$J:$J,'Allocated Transactions'!$D:$D,$B49,'Allocated Transactions'!$C:$C,$B$11,'Allocated Transactions'!$A:$A,"&gt;="&amp;H$19,'Allocated Transactions'!$A:$A,"&lt;="&amp;EOMONTH(H$19,0))+SUMIFS('Allocated Transactions'!$J:$J,'Allocated Transactions'!$D:$D,$B49,'Allocated Transactions'!$C:$C,$B$2,'Allocated Transactions'!$A:$A,"&gt;="&amp;H$19,'Allocated Transactions'!$A:$A,"&lt;="&amp;EOMONTH(H$19,0))+SUMIFS('Allocated Transactions'!$J:$J,'Allocated Transactions'!$D:$D,$B49,'Allocated Transactions'!$C:$C,$B$4,'Allocated Transactions'!$A:$A,"&gt;="&amp;H$19,'Allocated Transactions'!$A:$A,"&lt;="&amp;EOMONTH(H$19,0))+SUMIFS('Allocated Transactions'!$J:$J,'Allocated Transactions'!$D:$D,$B49,'Allocated Transactions'!$C:$C,$B$3,'Allocated Transactions'!$A:$A,"&gt;="&amp;H$19,'Allocated Transactions'!$A:$A,"&lt;="&amp;EOMONTH(H$19,0))+SUMIFS('Allocated Transactions'!$J:$J,'Allocated Transactions'!$D:$D,$B49,'Allocated Transactions'!$C:$C,$B$5,'Allocated Transactions'!$A:$A,"&gt;="&amp;H$19,'Allocated Transactions'!$A:$A,"&lt;="&amp;EOMONTH(H$19,0))+SUMIFS('Allocated Transactions'!$J:$J,'Allocated Transactions'!$D:$D,$B49,'Allocated Transactions'!$C:$C,$B$6,'Allocated Transactions'!$A:$A,"&gt;="&amp;H$19,'Allocated Transactions'!$A:$A,"&lt;="&amp;EOMONTH(H$19,0)))</f>
        <v>5.4569682106375694E-12</v>
      </c>
      <c r="I49" s="94">
        <f>SUMPRODUCT(SUMIFS('Budget Data'!$J:$J,'Budget Data'!$E:$E,$B49,'Budget Data'!$C:$C,$B$7,'Budget Data'!$A:$A,"&gt;="&amp;I$19,'Budget Data'!$A:$A,"&lt;="&amp;EOMONTH(I$19,0))+SUMIFS('Budget Data'!$J:$J,'Budget Data'!$E:$E,$B49,'Budget Data'!$C:$C,$B$9,'Budget Data'!$A:$A,"&gt;="&amp;I$19,'Budget Data'!$A:$A,"&lt;="&amp;EOMONTH(I$19,0))+SUMIFS('Budget Data'!$J:$J,'Budget Data'!$E:$E,$B49,'Budget Data'!$C:$C,$B$8,'Budget Data'!$A:$A,"&gt;="&amp;I$19,'Budget Data'!$A:$A,"&lt;="&amp;EOMONTH(I$19,0))+SUMIFS('Budget Data'!$J:$J,'Budget Data'!$E:$E,$B49,'Budget Data'!$C:$C,$B$10,'Budget Data'!$A:$A,"&gt;="&amp;I$19,'Budget Data'!$A:$A,"&lt;="&amp;EOMONTH(I$19,0))+SUMIFS('Budget Data'!$J:$J,'Budget Data'!$E:$E,$B49,'Budget Data'!$C:$C,$B$11,'Budget Data'!$A:$A,"&gt;="&amp;I$19,'Budget Data'!$A:$A,"&lt;="&amp;EOMONTH(I$19,0))+SUMIFS('Budget Data'!$J:$J,'Budget Data'!$E:$E,$B49,'Budget Data'!$C:$C,$B$2,'Budget Data'!$A:$A,"&gt;="&amp;I$19,'Budget Data'!$A:$A,"&lt;="&amp;EOMONTH(I$19,0))+SUMIFS('Budget Data'!$J:$J,'Budget Data'!$E:$E,$B49,'Budget Data'!$C:$C,$B$4,'Budget Data'!$A:$A,"&gt;="&amp;I$19,'Budget Data'!$A:$A,"&lt;="&amp;EOMONTH(I$19,0))+SUMIFS('Budget Data'!$J:$J,'Budget Data'!$E:$E,$B49,'Budget Data'!$C:$C,$B$3,'Budget Data'!$A:$A,"&gt;="&amp;I$19,'Budget Data'!$A:$A,"&lt;="&amp;EOMONTH(I$19,0))+SUMIFS('Budget Data'!$J:$J,'Budget Data'!$E:$E,$B49,'Budget Data'!$C:$C,$B$5,'Budget Data'!$A:$A,"&gt;="&amp;I$19,'Budget Data'!$A:$A,"&lt;="&amp;EOMONTH(I$19,0))+SUMIFS('Budget Data'!$J:$J,'Budget Data'!$E:$E,$B49,'Budget Data'!$C:$C,$B$6,'Budget Data'!$A:$A,"&gt;="&amp;I$19,'Budget Data'!$A:$A,"&lt;="&amp;EOMONTH(I$19,0)))</f>
        <v>0</v>
      </c>
      <c r="J49" s="93">
        <f>SUMPRODUCT(SUMIFS('Allocated Transactions'!$J:$J,'Allocated Transactions'!$D:$D,$B49,'Allocated Transactions'!$C:$C,$B$7,'Allocated Transactions'!$A:$A,"&gt;="&amp;J$19,'Allocated Transactions'!$A:$A,"&lt;="&amp;EOMONTH(J$19,0))+SUMIFS('Allocated Transactions'!$J:$J,'Allocated Transactions'!$D:$D,$B49,'Allocated Transactions'!$C:$C,$B$9,'Allocated Transactions'!$A:$A,"&gt;="&amp;J$19,'Allocated Transactions'!$A:$A,"&lt;="&amp;EOMONTH(J$19,0))+SUMIFS('Allocated Transactions'!$J:$J,'Allocated Transactions'!$D:$D,$B49,'Allocated Transactions'!$C:$C,$B$8,'Allocated Transactions'!$A:$A,"&gt;="&amp;J$19,'Allocated Transactions'!$A:$A,"&lt;="&amp;EOMONTH(J$19,0))+SUMIFS('Allocated Transactions'!$J:$J,'Allocated Transactions'!$D:$D,$B49,'Allocated Transactions'!$C:$C,$B$10,'Allocated Transactions'!$A:$A,"&gt;="&amp;J$19,'Allocated Transactions'!$A:$A,"&lt;="&amp;EOMONTH(J$19,0))+SUMIFS('Allocated Transactions'!$J:$J,'Allocated Transactions'!$D:$D,$B49,'Allocated Transactions'!$C:$C,$B$11,'Allocated Transactions'!$A:$A,"&gt;="&amp;J$19,'Allocated Transactions'!$A:$A,"&lt;="&amp;EOMONTH(J$19,0))+SUMIFS('Allocated Transactions'!$J:$J,'Allocated Transactions'!$D:$D,$B49,'Allocated Transactions'!$C:$C,$B$2,'Allocated Transactions'!$A:$A,"&gt;="&amp;J$19,'Allocated Transactions'!$A:$A,"&lt;="&amp;EOMONTH(J$19,0))+SUMIFS('Allocated Transactions'!$J:$J,'Allocated Transactions'!$D:$D,$B49,'Allocated Transactions'!$C:$C,$B$4,'Allocated Transactions'!$A:$A,"&gt;="&amp;J$19,'Allocated Transactions'!$A:$A,"&lt;="&amp;EOMONTH(J$19,0))+SUMIFS('Allocated Transactions'!$J:$J,'Allocated Transactions'!$D:$D,$B49,'Allocated Transactions'!$C:$C,$B$3,'Allocated Transactions'!$A:$A,"&gt;="&amp;J$19,'Allocated Transactions'!$A:$A,"&lt;="&amp;EOMONTH(J$19,0))+SUMIFS('Allocated Transactions'!$J:$J,'Allocated Transactions'!$D:$D,$B49,'Allocated Transactions'!$C:$C,$B$5,'Allocated Transactions'!$A:$A,"&gt;="&amp;J$19,'Allocated Transactions'!$A:$A,"&lt;="&amp;EOMONTH(J$19,0))+SUMIFS('Allocated Transactions'!$J:$J,'Allocated Transactions'!$D:$D,$B49,'Allocated Transactions'!$C:$C,$B$6,'Allocated Transactions'!$A:$A,"&gt;="&amp;J$19,'Allocated Transactions'!$A:$A,"&lt;="&amp;EOMONTH(J$19,0)))</f>
        <v>1.0913936421275139E-11</v>
      </c>
      <c r="K49" s="94">
        <f>SUMPRODUCT(SUMIFS('Budget Data'!$J:$J,'Budget Data'!$E:$E,$B49,'Budget Data'!$C:$C,$B$7,'Budget Data'!$A:$A,"&gt;="&amp;K$19,'Budget Data'!$A:$A,"&lt;="&amp;EOMONTH(K$19,0))+SUMIFS('Budget Data'!$J:$J,'Budget Data'!$E:$E,$B49,'Budget Data'!$C:$C,$B$9,'Budget Data'!$A:$A,"&gt;="&amp;K$19,'Budget Data'!$A:$A,"&lt;="&amp;EOMONTH(K$19,0))+SUMIFS('Budget Data'!$J:$J,'Budget Data'!$E:$E,$B49,'Budget Data'!$C:$C,$B$8,'Budget Data'!$A:$A,"&gt;="&amp;K$19,'Budget Data'!$A:$A,"&lt;="&amp;EOMONTH(K$19,0))+SUMIFS('Budget Data'!$J:$J,'Budget Data'!$E:$E,$B49,'Budget Data'!$C:$C,$B$10,'Budget Data'!$A:$A,"&gt;="&amp;K$19,'Budget Data'!$A:$A,"&lt;="&amp;EOMONTH(K$19,0))+SUMIFS('Budget Data'!$J:$J,'Budget Data'!$E:$E,$B49,'Budget Data'!$C:$C,$B$11,'Budget Data'!$A:$A,"&gt;="&amp;K$19,'Budget Data'!$A:$A,"&lt;="&amp;EOMONTH(K$19,0))+SUMIFS('Budget Data'!$J:$J,'Budget Data'!$E:$E,$B49,'Budget Data'!$C:$C,$B$2,'Budget Data'!$A:$A,"&gt;="&amp;K$19,'Budget Data'!$A:$A,"&lt;="&amp;EOMONTH(K$19,0))+SUMIFS('Budget Data'!$J:$J,'Budget Data'!$E:$E,$B49,'Budget Data'!$C:$C,$B$4,'Budget Data'!$A:$A,"&gt;="&amp;K$19,'Budget Data'!$A:$A,"&lt;="&amp;EOMONTH(K$19,0))+SUMIFS('Budget Data'!$J:$J,'Budget Data'!$E:$E,$B49,'Budget Data'!$C:$C,$B$3,'Budget Data'!$A:$A,"&gt;="&amp;K$19,'Budget Data'!$A:$A,"&lt;="&amp;EOMONTH(K$19,0))+SUMIFS('Budget Data'!$J:$J,'Budget Data'!$E:$E,$B49,'Budget Data'!$C:$C,$B$5,'Budget Data'!$A:$A,"&gt;="&amp;K$19,'Budget Data'!$A:$A,"&lt;="&amp;EOMONTH(K$19,0))+SUMIFS('Budget Data'!$J:$J,'Budget Data'!$E:$E,$B49,'Budget Data'!$C:$C,$B$6,'Budget Data'!$A:$A,"&gt;="&amp;K$19,'Budget Data'!$A:$A,"&lt;="&amp;EOMONTH(K$19,0)))</f>
        <v>1.8189894035458565E-12</v>
      </c>
      <c r="L49" s="93">
        <f>SUMPRODUCT(SUMIFS('Allocated Transactions'!$J:$J,'Allocated Transactions'!$D:$D,$B49,'Allocated Transactions'!$C:$C,$B$7,'Allocated Transactions'!$A:$A,"&gt;="&amp;L$19,'Allocated Transactions'!$A:$A,"&lt;="&amp;EOMONTH(L$19,0))+SUMIFS('Allocated Transactions'!$J:$J,'Allocated Transactions'!$D:$D,$B49,'Allocated Transactions'!$C:$C,$B$9,'Allocated Transactions'!$A:$A,"&gt;="&amp;L$19,'Allocated Transactions'!$A:$A,"&lt;="&amp;EOMONTH(L$19,0))+SUMIFS('Allocated Transactions'!$J:$J,'Allocated Transactions'!$D:$D,$B49,'Allocated Transactions'!$C:$C,$B$8,'Allocated Transactions'!$A:$A,"&gt;="&amp;L$19,'Allocated Transactions'!$A:$A,"&lt;="&amp;EOMONTH(L$19,0))+SUMIFS('Allocated Transactions'!$J:$J,'Allocated Transactions'!$D:$D,$B49,'Allocated Transactions'!$C:$C,$B$10,'Allocated Transactions'!$A:$A,"&gt;="&amp;L$19,'Allocated Transactions'!$A:$A,"&lt;="&amp;EOMONTH(L$19,0))+SUMIFS('Allocated Transactions'!$J:$J,'Allocated Transactions'!$D:$D,$B49,'Allocated Transactions'!$C:$C,$B$11,'Allocated Transactions'!$A:$A,"&gt;="&amp;L$19,'Allocated Transactions'!$A:$A,"&lt;="&amp;EOMONTH(L$19,0))+SUMIFS('Allocated Transactions'!$J:$J,'Allocated Transactions'!$D:$D,$B49,'Allocated Transactions'!$C:$C,$B$2,'Allocated Transactions'!$A:$A,"&gt;="&amp;L$19,'Allocated Transactions'!$A:$A,"&lt;="&amp;EOMONTH(L$19,0))+SUMIFS('Allocated Transactions'!$J:$J,'Allocated Transactions'!$D:$D,$B49,'Allocated Transactions'!$C:$C,$B$4,'Allocated Transactions'!$A:$A,"&gt;="&amp;L$19,'Allocated Transactions'!$A:$A,"&lt;="&amp;EOMONTH(L$19,0))+SUMIFS('Allocated Transactions'!$J:$J,'Allocated Transactions'!$D:$D,$B49,'Allocated Transactions'!$C:$C,$B$3,'Allocated Transactions'!$A:$A,"&gt;="&amp;L$19,'Allocated Transactions'!$A:$A,"&lt;="&amp;EOMONTH(L$19,0))+SUMIFS('Allocated Transactions'!$J:$J,'Allocated Transactions'!$D:$D,$B49,'Allocated Transactions'!$C:$C,$B$5,'Allocated Transactions'!$A:$A,"&gt;="&amp;L$19,'Allocated Transactions'!$A:$A,"&lt;="&amp;EOMONTH(L$19,0))+SUMIFS('Allocated Transactions'!$J:$J,'Allocated Transactions'!$D:$D,$B49,'Allocated Transactions'!$C:$C,$B$6,'Allocated Transactions'!$A:$A,"&gt;="&amp;L$19,'Allocated Transactions'!$A:$A,"&lt;="&amp;EOMONTH(L$19,0)))</f>
        <v>0</v>
      </c>
      <c r="M49" s="94">
        <f>SUMPRODUCT(SUMIFS('Budget Data'!$J:$J,'Budget Data'!$E:$E,$B49,'Budget Data'!$C:$C,$B$7,'Budget Data'!$A:$A,"&gt;="&amp;M$19,'Budget Data'!$A:$A,"&lt;="&amp;EOMONTH(M$19,0))+SUMIFS('Budget Data'!$J:$J,'Budget Data'!$E:$E,$B49,'Budget Data'!$C:$C,$B$9,'Budget Data'!$A:$A,"&gt;="&amp;M$19,'Budget Data'!$A:$A,"&lt;="&amp;EOMONTH(M$19,0))+SUMIFS('Budget Data'!$J:$J,'Budget Data'!$E:$E,$B49,'Budget Data'!$C:$C,$B$8,'Budget Data'!$A:$A,"&gt;="&amp;M$19,'Budget Data'!$A:$A,"&lt;="&amp;EOMONTH(M$19,0))+SUMIFS('Budget Data'!$J:$J,'Budget Data'!$E:$E,$B49,'Budget Data'!$C:$C,$B$10,'Budget Data'!$A:$A,"&gt;="&amp;M$19,'Budget Data'!$A:$A,"&lt;="&amp;EOMONTH(M$19,0))+SUMIFS('Budget Data'!$J:$J,'Budget Data'!$E:$E,$B49,'Budget Data'!$C:$C,$B$11,'Budget Data'!$A:$A,"&gt;="&amp;M$19,'Budget Data'!$A:$A,"&lt;="&amp;EOMONTH(M$19,0))+SUMIFS('Budget Data'!$J:$J,'Budget Data'!$E:$E,$B49,'Budget Data'!$C:$C,$B$2,'Budget Data'!$A:$A,"&gt;="&amp;M$19,'Budget Data'!$A:$A,"&lt;="&amp;EOMONTH(M$19,0))+SUMIFS('Budget Data'!$J:$J,'Budget Data'!$E:$E,$B49,'Budget Data'!$C:$C,$B$4,'Budget Data'!$A:$A,"&gt;="&amp;M$19,'Budget Data'!$A:$A,"&lt;="&amp;EOMONTH(M$19,0))+SUMIFS('Budget Data'!$J:$J,'Budget Data'!$E:$E,$B49,'Budget Data'!$C:$C,$B$3,'Budget Data'!$A:$A,"&gt;="&amp;M$19,'Budget Data'!$A:$A,"&lt;="&amp;EOMONTH(M$19,0))+SUMIFS('Budget Data'!$J:$J,'Budget Data'!$E:$E,$B49,'Budget Data'!$C:$C,$B$5,'Budget Data'!$A:$A,"&gt;="&amp;M$19,'Budget Data'!$A:$A,"&lt;="&amp;EOMONTH(M$19,0))+SUMIFS('Budget Data'!$J:$J,'Budget Data'!$E:$E,$B49,'Budget Data'!$C:$C,$B$6,'Budget Data'!$A:$A,"&gt;="&amp;M$19,'Budget Data'!$A:$A,"&lt;="&amp;EOMONTH(M$19,0)))</f>
        <v>3.637978807091713E-12</v>
      </c>
      <c r="N49" s="93">
        <f>SUMPRODUCT(SUMIFS('Allocated Transactions'!$J:$J,'Allocated Transactions'!$D:$D,$B49,'Allocated Transactions'!$C:$C,$B$7,'Allocated Transactions'!$A:$A,"&gt;="&amp;N$19,'Allocated Transactions'!$A:$A,"&lt;="&amp;EOMONTH(N$19,0))+SUMIFS('Allocated Transactions'!$J:$J,'Allocated Transactions'!$D:$D,$B49,'Allocated Transactions'!$C:$C,$B$9,'Allocated Transactions'!$A:$A,"&gt;="&amp;N$19,'Allocated Transactions'!$A:$A,"&lt;="&amp;EOMONTH(N$19,0))+SUMIFS('Allocated Transactions'!$J:$J,'Allocated Transactions'!$D:$D,$B49,'Allocated Transactions'!$C:$C,$B$8,'Allocated Transactions'!$A:$A,"&gt;="&amp;N$19,'Allocated Transactions'!$A:$A,"&lt;="&amp;EOMONTH(N$19,0))+SUMIFS('Allocated Transactions'!$J:$J,'Allocated Transactions'!$D:$D,$B49,'Allocated Transactions'!$C:$C,$B$10,'Allocated Transactions'!$A:$A,"&gt;="&amp;N$19,'Allocated Transactions'!$A:$A,"&lt;="&amp;EOMONTH(N$19,0))+SUMIFS('Allocated Transactions'!$J:$J,'Allocated Transactions'!$D:$D,$B49,'Allocated Transactions'!$C:$C,$B$11,'Allocated Transactions'!$A:$A,"&gt;="&amp;N$19,'Allocated Transactions'!$A:$A,"&lt;="&amp;EOMONTH(N$19,0))+SUMIFS('Allocated Transactions'!$J:$J,'Allocated Transactions'!$D:$D,$B49,'Allocated Transactions'!$C:$C,$B$2,'Allocated Transactions'!$A:$A,"&gt;="&amp;N$19,'Allocated Transactions'!$A:$A,"&lt;="&amp;EOMONTH(N$19,0))+SUMIFS('Allocated Transactions'!$J:$J,'Allocated Transactions'!$D:$D,$B49,'Allocated Transactions'!$C:$C,$B$4,'Allocated Transactions'!$A:$A,"&gt;="&amp;N$19,'Allocated Transactions'!$A:$A,"&lt;="&amp;EOMONTH(N$19,0))+SUMIFS('Allocated Transactions'!$J:$J,'Allocated Transactions'!$D:$D,$B49,'Allocated Transactions'!$C:$C,$B$3,'Allocated Transactions'!$A:$A,"&gt;="&amp;N$19,'Allocated Transactions'!$A:$A,"&lt;="&amp;EOMONTH(N$19,0))+SUMIFS('Allocated Transactions'!$J:$J,'Allocated Transactions'!$D:$D,$B49,'Allocated Transactions'!$C:$C,$B$5,'Allocated Transactions'!$A:$A,"&gt;="&amp;N$19,'Allocated Transactions'!$A:$A,"&lt;="&amp;EOMONTH(N$19,0))+SUMIFS('Allocated Transactions'!$J:$J,'Allocated Transactions'!$D:$D,$B49,'Allocated Transactions'!$C:$C,$B$6,'Allocated Transactions'!$A:$A,"&gt;="&amp;N$19,'Allocated Transactions'!$A:$A,"&lt;="&amp;EOMONTH(N$19,0)))</f>
        <v>-3.637978807091713E-12</v>
      </c>
      <c r="O49" s="94">
        <f>SUMPRODUCT(SUMIFS('Budget Data'!$J:$J,'Budget Data'!$E:$E,$B49,'Budget Data'!$C:$C,$B$7,'Budget Data'!$A:$A,"&gt;="&amp;O$19,'Budget Data'!$A:$A,"&lt;="&amp;EOMONTH(O$19,0))+SUMIFS('Budget Data'!$J:$J,'Budget Data'!$E:$E,$B49,'Budget Data'!$C:$C,$B$9,'Budget Data'!$A:$A,"&gt;="&amp;O$19,'Budget Data'!$A:$A,"&lt;="&amp;EOMONTH(O$19,0))+SUMIFS('Budget Data'!$J:$J,'Budget Data'!$E:$E,$B49,'Budget Data'!$C:$C,$B$8,'Budget Data'!$A:$A,"&gt;="&amp;O$19,'Budget Data'!$A:$A,"&lt;="&amp;EOMONTH(O$19,0))+SUMIFS('Budget Data'!$J:$J,'Budget Data'!$E:$E,$B49,'Budget Data'!$C:$C,$B$10,'Budget Data'!$A:$A,"&gt;="&amp;O$19,'Budget Data'!$A:$A,"&lt;="&amp;EOMONTH(O$19,0))+SUMIFS('Budget Data'!$J:$J,'Budget Data'!$E:$E,$B49,'Budget Data'!$C:$C,$B$11,'Budget Data'!$A:$A,"&gt;="&amp;O$19,'Budget Data'!$A:$A,"&lt;="&amp;EOMONTH(O$19,0))+SUMIFS('Budget Data'!$J:$J,'Budget Data'!$E:$E,$B49,'Budget Data'!$C:$C,$B$2,'Budget Data'!$A:$A,"&gt;="&amp;O$19,'Budget Data'!$A:$A,"&lt;="&amp;EOMONTH(O$19,0))+SUMIFS('Budget Data'!$J:$J,'Budget Data'!$E:$E,$B49,'Budget Data'!$C:$C,$B$4,'Budget Data'!$A:$A,"&gt;="&amp;O$19,'Budget Data'!$A:$A,"&lt;="&amp;EOMONTH(O$19,0))+SUMIFS('Budget Data'!$J:$J,'Budget Data'!$E:$E,$B49,'Budget Data'!$C:$C,$B$3,'Budget Data'!$A:$A,"&gt;="&amp;O$19,'Budget Data'!$A:$A,"&lt;="&amp;EOMONTH(O$19,0))+SUMIFS('Budget Data'!$J:$J,'Budget Data'!$E:$E,$B49,'Budget Data'!$C:$C,$B$5,'Budget Data'!$A:$A,"&gt;="&amp;O$19,'Budget Data'!$A:$A,"&lt;="&amp;EOMONTH(O$19,0))+SUMIFS('Budget Data'!$J:$J,'Budget Data'!$E:$E,$B49,'Budget Data'!$C:$C,$B$6,'Budget Data'!$A:$A,"&gt;="&amp;O$19,'Budget Data'!$A:$A,"&lt;="&amp;EOMONTH(O$19,0)))</f>
        <v>0</v>
      </c>
      <c r="P49" s="93">
        <f>SUMPRODUCT(SUMIFS('Allocated Transactions'!$J:$J,'Allocated Transactions'!$D:$D,$B49,'Allocated Transactions'!$C:$C,$B$7,'Allocated Transactions'!$A:$A,"&gt;="&amp;P$19,'Allocated Transactions'!$A:$A,"&lt;="&amp;EOMONTH(P$19,0))+SUMIFS('Allocated Transactions'!$J:$J,'Allocated Transactions'!$D:$D,$B49,'Allocated Transactions'!$C:$C,$B$9,'Allocated Transactions'!$A:$A,"&gt;="&amp;P$19,'Allocated Transactions'!$A:$A,"&lt;="&amp;EOMONTH(P$19,0))+SUMIFS('Allocated Transactions'!$J:$J,'Allocated Transactions'!$D:$D,$B49,'Allocated Transactions'!$C:$C,$B$8,'Allocated Transactions'!$A:$A,"&gt;="&amp;P$19,'Allocated Transactions'!$A:$A,"&lt;="&amp;EOMONTH(P$19,0))+SUMIFS('Allocated Transactions'!$J:$J,'Allocated Transactions'!$D:$D,$B49,'Allocated Transactions'!$C:$C,$B$10,'Allocated Transactions'!$A:$A,"&gt;="&amp;P$19,'Allocated Transactions'!$A:$A,"&lt;="&amp;EOMONTH(P$19,0))+SUMIFS('Allocated Transactions'!$J:$J,'Allocated Transactions'!$D:$D,$B49,'Allocated Transactions'!$C:$C,$B$11,'Allocated Transactions'!$A:$A,"&gt;="&amp;P$19,'Allocated Transactions'!$A:$A,"&lt;="&amp;EOMONTH(P$19,0))+SUMIFS('Allocated Transactions'!$J:$J,'Allocated Transactions'!$D:$D,$B49,'Allocated Transactions'!$C:$C,$B$2,'Allocated Transactions'!$A:$A,"&gt;="&amp;P$19,'Allocated Transactions'!$A:$A,"&lt;="&amp;EOMONTH(P$19,0))+SUMIFS('Allocated Transactions'!$J:$J,'Allocated Transactions'!$D:$D,$B49,'Allocated Transactions'!$C:$C,$B$4,'Allocated Transactions'!$A:$A,"&gt;="&amp;P$19,'Allocated Transactions'!$A:$A,"&lt;="&amp;EOMONTH(P$19,0))+SUMIFS('Allocated Transactions'!$J:$J,'Allocated Transactions'!$D:$D,$B49,'Allocated Transactions'!$C:$C,$B$3,'Allocated Transactions'!$A:$A,"&gt;="&amp;P$19,'Allocated Transactions'!$A:$A,"&lt;="&amp;EOMONTH(P$19,0))+SUMIFS('Allocated Transactions'!$J:$J,'Allocated Transactions'!$D:$D,$B49,'Allocated Transactions'!$C:$C,$B$5,'Allocated Transactions'!$A:$A,"&gt;="&amp;P$19,'Allocated Transactions'!$A:$A,"&lt;="&amp;EOMONTH(P$19,0))+SUMIFS('Allocated Transactions'!$J:$J,'Allocated Transactions'!$D:$D,$B49,'Allocated Transactions'!$C:$C,$B$6,'Allocated Transactions'!$A:$A,"&gt;="&amp;P$19,'Allocated Transactions'!$A:$A,"&lt;="&amp;EOMONTH(P$19,0)))</f>
        <v>-1.8189894035458565E-12</v>
      </c>
      <c r="Q49" s="94">
        <f>SUMPRODUCT(SUMIFS('Budget Data'!$J:$J,'Budget Data'!$E:$E,$B49,'Budget Data'!$C:$C,$B$7,'Budget Data'!$A:$A,"&gt;="&amp;Q$19,'Budget Data'!$A:$A,"&lt;="&amp;EOMONTH(Q$19,0))+SUMIFS('Budget Data'!$J:$J,'Budget Data'!$E:$E,$B49,'Budget Data'!$C:$C,$B$9,'Budget Data'!$A:$A,"&gt;="&amp;Q$19,'Budget Data'!$A:$A,"&lt;="&amp;EOMONTH(Q$19,0))+SUMIFS('Budget Data'!$J:$J,'Budget Data'!$E:$E,$B49,'Budget Data'!$C:$C,$B$8,'Budget Data'!$A:$A,"&gt;="&amp;Q$19,'Budget Data'!$A:$A,"&lt;="&amp;EOMONTH(Q$19,0))+SUMIFS('Budget Data'!$J:$J,'Budget Data'!$E:$E,$B49,'Budget Data'!$C:$C,$B$10,'Budget Data'!$A:$A,"&gt;="&amp;Q$19,'Budget Data'!$A:$A,"&lt;="&amp;EOMONTH(Q$19,0))+SUMIFS('Budget Data'!$J:$J,'Budget Data'!$E:$E,$B49,'Budget Data'!$C:$C,$B$11,'Budget Data'!$A:$A,"&gt;="&amp;Q$19,'Budget Data'!$A:$A,"&lt;="&amp;EOMONTH(Q$19,0))+SUMIFS('Budget Data'!$J:$J,'Budget Data'!$E:$E,$B49,'Budget Data'!$C:$C,$B$2,'Budget Data'!$A:$A,"&gt;="&amp;Q$19,'Budget Data'!$A:$A,"&lt;="&amp;EOMONTH(Q$19,0))+SUMIFS('Budget Data'!$J:$J,'Budget Data'!$E:$E,$B49,'Budget Data'!$C:$C,$B$4,'Budget Data'!$A:$A,"&gt;="&amp;Q$19,'Budget Data'!$A:$A,"&lt;="&amp;EOMONTH(Q$19,0))+SUMIFS('Budget Data'!$J:$J,'Budget Data'!$E:$E,$B49,'Budget Data'!$C:$C,$B$3,'Budget Data'!$A:$A,"&gt;="&amp;Q$19,'Budget Data'!$A:$A,"&lt;="&amp;EOMONTH(Q$19,0))+SUMIFS('Budget Data'!$J:$J,'Budget Data'!$E:$E,$B49,'Budget Data'!$C:$C,$B$5,'Budget Data'!$A:$A,"&gt;="&amp;Q$19,'Budget Data'!$A:$A,"&lt;="&amp;EOMONTH(Q$19,0))+SUMIFS('Budget Data'!$J:$J,'Budget Data'!$E:$E,$B49,'Budget Data'!$C:$C,$B$6,'Budget Data'!$A:$A,"&gt;="&amp;Q$19,'Budget Data'!$A:$A,"&lt;="&amp;EOMONTH(Q$19,0)))</f>
        <v>3.637978807091713E-12</v>
      </c>
      <c r="R49" s="93">
        <f>SUMPRODUCT(SUMIFS('Allocated Transactions'!$J:$J,'Allocated Transactions'!$D:$D,$B49,'Allocated Transactions'!$C:$C,$B$7,'Allocated Transactions'!$A:$A,"&gt;="&amp;R$19,'Allocated Transactions'!$A:$A,"&lt;="&amp;EOMONTH(R$19,0))+SUMIFS('Allocated Transactions'!$J:$J,'Allocated Transactions'!$D:$D,$B49,'Allocated Transactions'!$C:$C,$B$9,'Allocated Transactions'!$A:$A,"&gt;="&amp;R$19,'Allocated Transactions'!$A:$A,"&lt;="&amp;EOMONTH(R$19,0))+SUMIFS('Allocated Transactions'!$J:$J,'Allocated Transactions'!$D:$D,$B49,'Allocated Transactions'!$C:$C,$B$8,'Allocated Transactions'!$A:$A,"&gt;="&amp;R$19,'Allocated Transactions'!$A:$A,"&lt;="&amp;EOMONTH(R$19,0))+SUMIFS('Allocated Transactions'!$J:$J,'Allocated Transactions'!$D:$D,$B49,'Allocated Transactions'!$C:$C,$B$10,'Allocated Transactions'!$A:$A,"&gt;="&amp;R$19,'Allocated Transactions'!$A:$A,"&lt;="&amp;EOMONTH(R$19,0))+SUMIFS('Allocated Transactions'!$J:$J,'Allocated Transactions'!$D:$D,$B49,'Allocated Transactions'!$C:$C,$B$11,'Allocated Transactions'!$A:$A,"&gt;="&amp;R$19,'Allocated Transactions'!$A:$A,"&lt;="&amp;EOMONTH(R$19,0))+SUMIFS('Allocated Transactions'!$J:$J,'Allocated Transactions'!$D:$D,$B49,'Allocated Transactions'!$C:$C,$B$2,'Allocated Transactions'!$A:$A,"&gt;="&amp;R$19,'Allocated Transactions'!$A:$A,"&lt;="&amp;EOMONTH(R$19,0))+SUMIFS('Allocated Transactions'!$J:$J,'Allocated Transactions'!$D:$D,$B49,'Allocated Transactions'!$C:$C,$B$4,'Allocated Transactions'!$A:$A,"&gt;="&amp;R$19,'Allocated Transactions'!$A:$A,"&lt;="&amp;EOMONTH(R$19,0))+SUMIFS('Allocated Transactions'!$J:$J,'Allocated Transactions'!$D:$D,$B49,'Allocated Transactions'!$C:$C,$B$3,'Allocated Transactions'!$A:$A,"&gt;="&amp;R$19,'Allocated Transactions'!$A:$A,"&lt;="&amp;EOMONTH(R$19,0))+SUMIFS('Allocated Transactions'!$J:$J,'Allocated Transactions'!$D:$D,$B49,'Allocated Transactions'!$C:$C,$B$5,'Allocated Transactions'!$A:$A,"&gt;="&amp;R$19,'Allocated Transactions'!$A:$A,"&lt;="&amp;EOMONTH(R$19,0))+SUMIFS('Allocated Transactions'!$J:$J,'Allocated Transactions'!$D:$D,$B49,'Allocated Transactions'!$C:$C,$B$6,'Allocated Transactions'!$A:$A,"&gt;="&amp;R$19,'Allocated Transactions'!$A:$A,"&lt;="&amp;EOMONTH(R$19,0)))</f>
        <v>9.0949470177292824E-12</v>
      </c>
      <c r="S49" s="94">
        <f>SUMPRODUCT(SUMIFS('Budget Data'!$J:$J,'Budget Data'!$E:$E,$B49,'Budget Data'!$C:$C,$B$7,'Budget Data'!$A:$A,"&gt;="&amp;S$19,'Budget Data'!$A:$A,"&lt;="&amp;EOMONTH(S$19,0))+SUMIFS('Budget Data'!$J:$J,'Budget Data'!$E:$E,$B49,'Budget Data'!$C:$C,$B$9,'Budget Data'!$A:$A,"&gt;="&amp;S$19,'Budget Data'!$A:$A,"&lt;="&amp;EOMONTH(S$19,0))+SUMIFS('Budget Data'!$J:$J,'Budget Data'!$E:$E,$B49,'Budget Data'!$C:$C,$B$8,'Budget Data'!$A:$A,"&gt;="&amp;S$19,'Budget Data'!$A:$A,"&lt;="&amp;EOMONTH(S$19,0))+SUMIFS('Budget Data'!$J:$J,'Budget Data'!$E:$E,$B49,'Budget Data'!$C:$C,$B$10,'Budget Data'!$A:$A,"&gt;="&amp;S$19,'Budget Data'!$A:$A,"&lt;="&amp;EOMONTH(S$19,0))+SUMIFS('Budget Data'!$J:$J,'Budget Data'!$E:$E,$B49,'Budget Data'!$C:$C,$B$11,'Budget Data'!$A:$A,"&gt;="&amp;S$19,'Budget Data'!$A:$A,"&lt;="&amp;EOMONTH(S$19,0))+SUMIFS('Budget Data'!$J:$J,'Budget Data'!$E:$E,$B49,'Budget Data'!$C:$C,$B$2,'Budget Data'!$A:$A,"&gt;="&amp;S$19,'Budget Data'!$A:$A,"&lt;="&amp;EOMONTH(S$19,0))+SUMIFS('Budget Data'!$J:$J,'Budget Data'!$E:$E,$B49,'Budget Data'!$C:$C,$B$4,'Budget Data'!$A:$A,"&gt;="&amp;S$19,'Budget Data'!$A:$A,"&lt;="&amp;EOMONTH(S$19,0))+SUMIFS('Budget Data'!$J:$J,'Budget Data'!$E:$E,$B49,'Budget Data'!$C:$C,$B$3,'Budget Data'!$A:$A,"&gt;="&amp;S$19,'Budget Data'!$A:$A,"&lt;="&amp;EOMONTH(S$19,0))+SUMIFS('Budget Data'!$J:$J,'Budget Data'!$E:$E,$B49,'Budget Data'!$C:$C,$B$5,'Budget Data'!$A:$A,"&gt;="&amp;S$19,'Budget Data'!$A:$A,"&lt;="&amp;EOMONTH(S$19,0))+SUMIFS('Budget Data'!$J:$J,'Budget Data'!$E:$E,$B49,'Budget Data'!$C:$C,$B$6,'Budget Data'!$A:$A,"&gt;="&amp;S$19,'Budget Data'!$A:$A,"&lt;="&amp;EOMONTH(S$19,0)))</f>
        <v>-7.2759576141834259E-12</v>
      </c>
      <c r="T49" s="93">
        <f>SUMPRODUCT(SUMIFS('Allocated Transactions'!$J:$J,'Allocated Transactions'!$D:$D,$B49,'Allocated Transactions'!$C:$C,$B$7,'Allocated Transactions'!$A:$A,"&gt;="&amp;T$19,'Allocated Transactions'!$A:$A,"&lt;="&amp;EOMONTH(T$19,0))+SUMIFS('Allocated Transactions'!$J:$J,'Allocated Transactions'!$D:$D,$B49,'Allocated Transactions'!$C:$C,$B$9,'Allocated Transactions'!$A:$A,"&gt;="&amp;T$19,'Allocated Transactions'!$A:$A,"&lt;="&amp;EOMONTH(T$19,0))+SUMIFS('Allocated Transactions'!$J:$J,'Allocated Transactions'!$D:$D,$B49,'Allocated Transactions'!$C:$C,$B$8,'Allocated Transactions'!$A:$A,"&gt;="&amp;T$19,'Allocated Transactions'!$A:$A,"&lt;="&amp;EOMONTH(T$19,0))+SUMIFS('Allocated Transactions'!$J:$J,'Allocated Transactions'!$D:$D,$B49,'Allocated Transactions'!$C:$C,$B$10,'Allocated Transactions'!$A:$A,"&gt;="&amp;T$19,'Allocated Transactions'!$A:$A,"&lt;="&amp;EOMONTH(T$19,0))+SUMIFS('Allocated Transactions'!$J:$J,'Allocated Transactions'!$D:$D,$B49,'Allocated Transactions'!$C:$C,$B$11,'Allocated Transactions'!$A:$A,"&gt;="&amp;T$19,'Allocated Transactions'!$A:$A,"&lt;="&amp;EOMONTH(T$19,0))+SUMIFS('Allocated Transactions'!$J:$J,'Allocated Transactions'!$D:$D,$B49,'Allocated Transactions'!$C:$C,$B$2,'Allocated Transactions'!$A:$A,"&gt;="&amp;T$19,'Allocated Transactions'!$A:$A,"&lt;="&amp;EOMONTH(T$19,0))+SUMIFS('Allocated Transactions'!$J:$J,'Allocated Transactions'!$D:$D,$B49,'Allocated Transactions'!$C:$C,$B$4,'Allocated Transactions'!$A:$A,"&gt;="&amp;T$19,'Allocated Transactions'!$A:$A,"&lt;="&amp;EOMONTH(T$19,0))+SUMIFS('Allocated Transactions'!$J:$J,'Allocated Transactions'!$D:$D,$B49,'Allocated Transactions'!$C:$C,$B$3,'Allocated Transactions'!$A:$A,"&gt;="&amp;T$19,'Allocated Transactions'!$A:$A,"&lt;="&amp;EOMONTH(T$19,0))+SUMIFS('Allocated Transactions'!$J:$J,'Allocated Transactions'!$D:$D,$B49,'Allocated Transactions'!$C:$C,$B$5,'Allocated Transactions'!$A:$A,"&gt;="&amp;T$19,'Allocated Transactions'!$A:$A,"&lt;="&amp;EOMONTH(T$19,0))+SUMIFS('Allocated Transactions'!$J:$J,'Allocated Transactions'!$D:$D,$B49,'Allocated Transactions'!$C:$C,$B$6,'Allocated Transactions'!$A:$A,"&gt;="&amp;T$19,'Allocated Transactions'!$A:$A,"&lt;="&amp;EOMONTH(T$19,0)))</f>
        <v>1.8189894035458565E-12</v>
      </c>
      <c r="U49" s="94">
        <f>SUMPRODUCT(SUMIFS('Budget Data'!$J:$J,'Budget Data'!$E:$E,$B49,'Budget Data'!$C:$C,$B$7,'Budget Data'!$A:$A,"&gt;="&amp;U$19,'Budget Data'!$A:$A,"&lt;="&amp;EOMONTH(U$19,0))+SUMIFS('Budget Data'!$J:$J,'Budget Data'!$E:$E,$B49,'Budget Data'!$C:$C,$B$9,'Budget Data'!$A:$A,"&gt;="&amp;U$19,'Budget Data'!$A:$A,"&lt;="&amp;EOMONTH(U$19,0))+SUMIFS('Budget Data'!$J:$J,'Budget Data'!$E:$E,$B49,'Budget Data'!$C:$C,$B$8,'Budget Data'!$A:$A,"&gt;="&amp;U$19,'Budget Data'!$A:$A,"&lt;="&amp;EOMONTH(U$19,0))+SUMIFS('Budget Data'!$J:$J,'Budget Data'!$E:$E,$B49,'Budget Data'!$C:$C,$B$10,'Budget Data'!$A:$A,"&gt;="&amp;U$19,'Budget Data'!$A:$A,"&lt;="&amp;EOMONTH(U$19,0))+SUMIFS('Budget Data'!$J:$J,'Budget Data'!$E:$E,$B49,'Budget Data'!$C:$C,$B$11,'Budget Data'!$A:$A,"&gt;="&amp;U$19,'Budget Data'!$A:$A,"&lt;="&amp;EOMONTH(U$19,0))+SUMIFS('Budget Data'!$J:$J,'Budget Data'!$E:$E,$B49,'Budget Data'!$C:$C,$B$2,'Budget Data'!$A:$A,"&gt;="&amp;U$19,'Budget Data'!$A:$A,"&lt;="&amp;EOMONTH(U$19,0))+SUMIFS('Budget Data'!$J:$J,'Budget Data'!$E:$E,$B49,'Budget Data'!$C:$C,$B$4,'Budget Data'!$A:$A,"&gt;="&amp;U$19,'Budget Data'!$A:$A,"&lt;="&amp;EOMONTH(U$19,0))+SUMIFS('Budget Data'!$J:$J,'Budget Data'!$E:$E,$B49,'Budget Data'!$C:$C,$B$3,'Budget Data'!$A:$A,"&gt;="&amp;U$19,'Budget Data'!$A:$A,"&lt;="&amp;EOMONTH(U$19,0))+SUMIFS('Budget Data'!$J:$J,'Budget Data'!$E:$E,$B49,'Budget Data'!$C:$C,$B$5,'Budget Data'!$A:$A,"&gt;="&amp;U$19,'Budget Data'!$A:$A,"&lt;="&amp;EOMONTH(U$19,0))+SUMIFS('Budget Data'!$J:$J,'Budget Data'!$E:$E,$B49,'Budget Data'!$C:$C,$B$6,'Budget Data'!$A:$A,"&gt;="&amp;U$19,'Budget Data'!$A:$A,"&lt;="&amp;EOMONTH(U$19,0)))</f>
        <v>0</v>
      </c>
      <c r="V49" s="93">
        <f>SUMPRODUCT(SUMIFS('Allocated Transactions'!$J:$J,'Allocated Transactions'!$D:$D,$B49,'Allocated Transactions'!$C:$C,$B$7,'Allocated Transactions'!$A:$A,"&gt;="&amp;V$19,'Allocated Transactions'!$A:$A,"&lt;="&amp;EOMONTH(V$19,0))+SUMIFS('Allocated Transactions'!$J:$J,'Allocated Transactions'!$D:$D,$B49,'Allocated Transactions'!$C:$C,$B$9,'Allocated Transactions'!$A:$A,"&gt;="&amp;V$19,'Allocated Transactions'!$A:$A,"&lt;="&amp;EOMONTH(V$19,0))+SUMIFS('Allocated Transactions'!$J:$J,'Allocated Transactions'!$D:$D,$B49,'Allocated Transactions'!$C:$C,$B$8,'Allocated Transactions'!$A:$A,"&gt;="&amp;V$19,'Allocated Transactions'!$A:$A,"&lt;="&amp;EOMONTH(V$19,0))+SUMIFS('Allocated Transactions'!$J:$J,'Allocated Transactions'!$D:$D,$B49,'Allocated Transactions'!$C:$C,$B$10,'Allocated Transactions'!$A:$A,"&gt;="&amp;V$19,'Allocated Transactions'!$A:$A,"&lt;="&amp;EOMONTH(V$19,0))+SUMIFS('Allocated Transactions'!$J:$J,'Allocated Transactions'!$D:$D,$B49,'Allocated Transactions'!$C:$C,$B$11,'Allocated Transactions'!$A:$A,"&gt;="&amp;V$19,'Allocated Transactions'!$A:$A,"&lt;="&amp;EOMONTH(V$19,0))+SUMIFS('Allocated Transactions'!$J:$J,'Allocated Transactions'!$D:$D,$B49,'Allocated Transactions'!$C:$C,$B$2,'Allocated Transactions'!$A:$A,"&gt;="&amp;V$19,'Allocated Transactions'!$A:$A,"&lt;="&amp;EOMONTH(V$19,0))+SUMIFS('Allocated Transactions'!$J:$J,'Allocated Transactions'!$D:$D,$B49,'Allocated Transactions'!$C:$C,$B$4,'Allocated Transactions'!$A:$A,"&gt;="&amp;V$19,'Allocated Transactions'!$A:$A,"&lt;="&amp;EOMONTH(V$19,0))+SUMIFS('Allocated Transactions'!$J:$J,'Allocated Transactions'!$D:$D,$B49,'Allocated Transactions'!$C:$C,$B$3,'Allocated Transactions'!$A:$A,"&gt;="&amp;V$19,'Allocated Transactions'!$A:$A,"&lt;="&amp;EOMONTH(V$19,0))+SUMIFS('Allocated Transactions'!$J:$J,'Allocated Transactions'!$D:$D,$B49,'Allocated Transactions'!$C:$C,$B$5,'Allocated Transactions'!$A:$A,"&gt;="&amp;V$19,'Allocated Transactions'!$A:$A,"&lt;="&amp;EOMONTH(V$19,0))+SUMIFS('Allocated Transactions'!$J:$J,'Allocated Transactions'!$D:$D,$B49,'Allocated Transactions'!$C:$C,$B$6,'Allocated Transactions'!$A:$A,"&gt;="&amp;V$19,'Allocated Transactions'!$A:$A,"&lt;="&amp;EOMONTH(V$19,0)))</f>
        <v>7.2759576141834259E-12</v>
      </c>
      <c r="W49" s="94">
        <f>SUMPRODUCT(SUMIFS('Budget Data'!$J:$J,'Budget Data'!$E:$E,$B49,'Budget Data'!$C:$C,$B$7,'Budget Data'!$A:$A,"&gt;="&amp;W$19,'Budget Data'!$A:$A,"&lt;="&amp;EOMONTH(W$19,0))+SUMIFS('Budget Data'!$J:$J,'Budget Data'!$E:$E,$B49,'Budget Data'!$C:$C,$B$9,'Budget Data'!$A:$A,"&gt;="&amp;W$19,'Budget Data'!$A:$A,"&lt;="&amp;EOMONTH(W$19,0))+SUMIFS('Budget Data'!$J:$J,'Budget Data'!$E:$E,$B49,'Budget Data'!$C:$C,$B$8,'Budget Data'!$A:$A,"&gt;="&amp;W$19,'Budget Data'!$A:$A,"&lt;="&amp;EOMONTH(W$19,0))+SUMIFS('Budget Data'!$J:$J,'Budget Data'!$E:$E,$B49,'Budget Data'!$C:$C,$B$10,'Budget Data'!$A:$A,"&gt;="&amp;W$19,'Budget Data'!$A:$A,"&lt;="&amp;EOMONTH(W$19,0))+SUMIFS('Budget Data'!$J:$J,'Budget Data'!$E:$E,$B49,'Budget Data'!$C:$C,$B$11,'Budget Data'!$A:$A,"&gt;="&amp;W$19,'Budget Data'!$A:$A,"&lt;="&amp;EOMONTH(W$19,0))+SUMIFS('Budget Data'!$J:$J,'Budget Data'!$E:$E,$B49,'Budget Data'!$C:$C,$B$2,'Budget Data'!$A:$A,"&gt;="&amp;W$19,'Budget Data'!$A:$A,"&lt;="&amp;EOMONTH(W$19,0))+SUMIFS('Budget Data'!$J:$J,'Budget Data'!$E:$E,$B49,'Budget Data'!$C:$C,$B$4,'Budget Data'!$A:$A,"&gt;="&amp;W$19,'Budget Data'!$A:$A,"&lt;="&amp;EOMONTH(W$19,0))+SUMIFS('Budget Data'!$J:$J,'Budget Data'!$E:$E,$B49,'Budget Data'!$C:$C,$B$3,'Budget Data'!$A:$A,"&gt;="&amp;W$19,'Budget Data'!$A:$A,"&lt;="&amp;EOMONTH(W$19,0))+SUMIFS('Budget Data'!$J:$J,'Budget Data'!$E:$E,$B49,'Budget Data'!$C:$C,$B$5,'Budget Data'!$A:$A,"&gt;="&amp;W$19,'Budget Data'!$A:$A,"&lt;="&amp;EOMONTH(W$19,0))+SUMIFS('Budget Data'!$J:$J,'Budget Data'!$E:$E,$B49,'Budget Data'!$C:$C,$B$6,'Budget Data'!$A:$A,"&gt;="&amp;W$19,'Budget Data'!$A:$A,"&lt;="&amp;EOMONTH(W$19,0)))</f>
        <v>0</v>
      </c>
      <c r="X49" s="93">
        <f>SUMPRODUCT(SUMIFS('Allocated Transactions'!$J:$J,'Allocated Transactions'!$D:$D,$B49,'Allocated Transactions'!$C:$C,$B$7,'Allocated Transactions'!$A:$A,"&gt;="&amp;X$19,'Allocated Transactions'!$A:$A,"&lt;="&amp;EOMONTH(X$19,0))+SUMIFS('Allocated Transactions'!$J:$J,'Allocated Transactions'!$D:$D,$B49,'Allocated Transactions'!$C:$C,$B$9,'Allocated Transactions'!$A:$A,"&gt;="&amp;X$19,'Allocated Transactions'!$A:$A,"&lt;="&amp;EOMONTH(X$19,0))+SUMIFS('Allocated Transactions'!$J:$J,'Allocated Transactions'!$D:$D,$B49,'Allocated Transactions'!$C:$C,$B$8,'Allocated Transactions'!$A:$A,"&gt;="&amp;X$19,'Allocated Transactions'!$A:$A,"&lt;="&amp;EOMONTH(X$19,0))+SUMIFS('Allocated Transactions'!$J:$J,'Allocated Transactions'!$D:$D,$B49,'Allocated Transactions'!$C:$C,$B$10,'Allocated Transactions'!$A:$A,"&gt;="&amp;X$19,'Allocated Transactions'!$A:$A,"&lt;="&amp;EOMONTH(X$19,0))+SUMIFS('Allocated Transactions'!$J:$J,'Allocated Transactions'!$D:$D,$B49,'Allocated Transactions'!$C:$C,$B$11,'Allocated Transactions'!$A:$A,"&gt;="&amp;X$19,'Allocated Transactions'!$A:$A,"&lt;="&amp;EOMONTH(X$19,0))+SUMIFS('Allocated Transactions'!$J:$J,'Allocated Transactions'!$D:$D,$B49,'Allocated Transactions'!$C:$C,$B$2,'Allocated Transactions'!$A:$A,"&gt;="&amp;X$19,'Allocated Transactions'!$A:$A,"&lt;="&amp;EOMONTH(X$19,0))+SUMIFS('Allocated Transactions'!$J:$J,'Allocated Transactions'!$D:$D,$B49,'Allocated Transactions'!$C:$C,$B$4,'Allocated Transactions'!$A:$A,"&gt;="&amp;X$19,'Allocated Transactions'!$A:$A,"&lt;="&amp;EOMONTH(X$19,0))+SUMIFS('Allocated Transactions'!$J:$J,'Allocated Transactions'!$D:$D,$B49,'Allocated Transactions'!$C:$C,$B$3,'Allocated Transactions'!$A:$A,"&gt;="&amp;X$19,'Allocated Transactions'!$A:$A,"&lt;="&amp;EOMONTH(X$19,0))+SUMIFS('Allocated Transactions'!$J:$J,'Allocated Transactions'!$D:$D,$B49,'Allocated Transactions'!$C:$C,$B$5,'Allocated Transactions'!$A:$A,"&gt;="&amp;X$19,'Allocated Transactions'!$A:$A,"&lt;="&amp;EOMONTH(X$19,0))+SUMIFS('Allocated Transactions'!$J:$J,'Allocated Transactions'!$D:$D,$B49,'Allocated Transactions'!$C:$C,$B$6,'Allocated Transactions'!$A:$A,"&gt;="&amp;X$19,'Allocated Transactions'!$A:$A,"&lt;="&amp;EOMONTH(X$19,0)))</f>
        <v>3.637978807091713E-12</v>
      </c>
      <c r="Y49" s="94">
        <f>SUMPRODUCT(SUMIFS('Budget Data'!$J:$J,'Budget Data'!$E:$E,$B49,'Budget Data'!$C:$C,$B$7,'Budget Data'!$A:$A,"&gt;="&amp;Y$19,'Budget Data'!$A:$A,"&lt;="&amp;EOMONTH(Y$19,0))+SUMIFS('Budget Data'!$J:$J,'Budget Data'!$E:$E,$B49,'Budget Data'!$C:$C,$B$9,'Budget Data'!$A:$A,"&gt;="&amp;Y$19,'Budget Data'!$A:$A,"&lt;="&amp;EOMONTH(Y$19,0))+SUMIFS('Budget Data'!$J:$J,'Budget Data'!$E:$E,$B49,'Budget Data'!$C:$C,$B$8,'Budget Data'!$A:$A,"&gt;="&amp;Y$19,'Budget Data'!$A:$A,"&lt;="&amp;EOMONTH(Y$19,0))+SUMIFS('Budget Data'!$J:$J,'Budget Data'!$E:$E,$B49,'Budget Data'!$C:$C,$B$10,'Budget Data'!$A:$A,"&gt;="&amp;Y$19,'Budget Data'!$A:$A,"&lt;="&amp;EOMONTH(Y$19,0))+SUMIFS('Budget Data'!$J:$J,'Budget Data'!$E:$E,$B49,'Budget Data'!$C:$C,$B$11,'Budget Data'!$A:$A,"&gt;="&amp;Y$19,'Budget Data'!$A:$A,"&lt;="&amp;EOMONTH(Y$19,0))+SUMIFS('Budget Data'!$J:$J,'Budget Data'!$E:$E,$B49,'Budget Data'!$C:$C,$B$2,'Budget Data'!$A:$A,"&gt;="&amp;Y$19,'Budget Data'!$A:$A,"&lt;="&amp;EOMONTH(Y$19,0))+SUMIFS('Budget Data'!$J:$J,'Budget Data'!$E:$E,$B49,'Budget Data'!$C:$C,$B$4,'Budget Data'!$A:$A,"&gt;="&amp;Y$19,'Budget Data'!$A:$A,"&lt;="&amp;EOMONTH(Y$19,0))+SUMIFS('Budget Data'!$J:$J,'Budget Data'!$E:$E,$B49,'Budget Data'!$C:$C,$B$3,'Budget Data'!$A:$A,"&gt;="&amp;Y$19,'Budget Data'!$A:$A,"&lt;="&amp;EOMONTH(Y$19,0))+SUMIFS('Budget Data'!$J:$J,'Budget Data'!$E:$E,$B49,'Budget Data'!$C:$C,$B$5,'Budget Data'!$A:$A,"&gt;="&amp;Y$19,'Budget Data'!$A:$A,"&lt;="&amp;EOMONTH(Y$19,0))+SUMIFS('Budget Data'!$J:$J,'Budget Data'!$E:$E,$B49,'Budget Data'!$C:$C,$B$6,'Budget Data'!$A:$A,"&gt;="&amp;Y$19,'Budget Data'!$A:$A,"&lt;="&amp;EOMONTH(Y$19,0)))</f>
        <v>0</v>
      </c>
      <c r="Z49" s="93">
        <f>SUMPRODUCT(SUMIFS('Allocated Transactions'!$J:$J,'Allocated Transactions'!$D:$D,$B49,'Allocated Transactions'!$C:$C,$B$7,'Allocated Transactions'!$A:$A,"&gt;="&amp;Z$19,'Allocated Transactions'!$A:$A,"&lt;="&amp;EOMONTH(Z$19,0))+SUMIFS('Allocated Transactions'!$J:$J,'Allocated Transactions'!$D:$D,$B49,'Allocated Transactions'!$C:$C,$B$9,'Allocated Transactions'!$A:$A,"&gt;="&amp;Z$19,'Allocated Transactions'!$A:$A,"&lt;="&amp;EOMONTH(Z$19,0))+SUMIFS('Allocated Transactions'!$J:$J,'Allocated Transactions'!$D:$D,$B49,'Allocated Transactions'!$C:$C,$B$8,'Allocated Transactions'!$A:$A,"&gt;="&amp;Z$19,'Allocated Transactions'!$A:$A,"&lt;="&amp;EOMONTH(Z$19,0))+SUMIFS('Allocated Transactions'!$J:$J,'Allocated Transactions'!$D:$D,$B49,'Allocated Transactions'!$C:$C,$B$10,'Allocated Transactions'!$A:$A,"&gt;="&amp;Z$19,'Allocated Transactions'!$A:$A,"&lt;="&amp;EOMONTH(Z$19,0))+SUMIFS('Allocated Transactions'!$J:$J,'Allocated Transactions'!$D:$D,$B49,'Allocated Transactions'!$C:$C,$B$11,'Allocated Transactions'!$A:$A,"&gt;="&amp;Z$19,'Allocated Transactions'!$A:$A,"&lt;="&amp;EOMONTH(Z$19,0))+SUMIFS('Allocated Transactions'!$J:$J,'Allocated Transactions'!$D:$D,$B49,'Allocated Transactions'!$C:$C,$B$2,'Allocated Transactions'!$A:$A,"&gt;="&amp;Z$19,'Allocated Transactions'!$A:$A,"&lt;="&amp;EOMONTH(Z$19,0))+SUMIFS('Allocated Transactions'!$J:$J,'Allocated Transactions'!$D:$D,$B49,'Allocated Transactions'!$C:$C,$B$4,'Allocated Transactions'!$A:$A,"&gt;="&amp;Z$19,'Allocated Transactions'!$A:$A,"&lt;="&amp;EOMONTH(Z$19,0))+SUMIFS('Allocated Transactions'!$J:$J,'Allocated Transactions'!$D:$D,$B49,'Allocated Transactions'!$C:$C,$B$3,'Allocated Transactions'!$A:$A,"&gt;="&amp;Z$19,'Allocated Transactions'!$A:$A,"&lt;="&amp;EOMONTH(Z$19,0))+SUMIFS('Allocated Transactions'!$J:$J,'Allocated Transactions'!$D:$D,$B49,'Allocated Transactions'!$C:$C,$B$5,'Allocated Transactions'!$A:$A,"&gt;="&amp;Z$19,'Allocated Transactions'!$A:$A,"&lt;="&amp;EOMONTH(Z$19,0))+SUMIFS('Allocated Transactions'!$J:$J,'Allocated Transactions'!$D:$D,$B49,'Allocated Transactions'!$C:$C,$B$6,'Allocated Transactions'!$A:$A,"&gt;="&amp;Z$19,'Allocated Transactions'!$A:$A,"&lt;="&amp;EOMONTH(Z$19,0)))</f>
        <v>0</v>
      </c>
      <c r="AA49" s="94">
        <f>SUMPRODUCT(SUMIFS('Budget Data'!$J:$J,'Budget Data'!$E:$E,$B49,'Budget Data'!$C:$C,$B$7,'Budget Data'!$A:$A,"&gt;="&amp;AA$19,'Budget Data'!$A:$A,"&lt;="&amp;EOMONTH(AA$19,0))+SUMIFS('Budget Data'!$J:$J,'Budget Data'!$E:$E,$B49,'Budget Data'!$C:$C,$B$9,'Budget Data'!$A:$A,"&gt;="&amp;AA$19,'Budget Data'!$A:$A,"&lt;="&amp;EOMONTH(AA$19,0))+SUMIFS('Budget Data'!$J:$J,'Budget Data'!$E:$E,$B49,'Budget Data'!$C:$C,$B$8,'Budget Data'!$A:$A,"&gt;="&amp;AA$19,'Budget Data'!$A:$A,"&lt;="&amp;EOMONTH(AA$19,0))+SUMIFS('Budget Data'!$J:$J,'Budget Data'!$E:$E,$B49,'Budget Data'!$C:$C,$B$10,'Budget Data'!$A:$A,"&gt;="&amp;AA$19,'Budget Data'!$A:$A,"&lt;="&amp;EOMONTH(AA$19,0))+SUMIFS('Budget Data'!$J:$J,'Budget Data'!$E:$E,$B49,'Budget Data'!$C:$C,$B$11,'Budget Data'!$A:$A,"&gt;="&amp;AA$19,'Budget Data'!$A:$A,"&lt;="&amp;EOMONTH(AA$19,0))+SUMIFS('Budget Data'!$J:$J,'Budget Data'!$E:$E,$B49,'Budget Data'!$C:$C,$B$2,'Budget Data'!$A:$A,"&gt;="&amp;AA$19,'Budget Data'!$A:$A,"&lt;="&amp;EOMONTH(AA$19,0))+SUMIFS('Budget Data'!$J:$J,'Budget Data'!$E:$E,$B49,'Budget Data'!$C:$C,$B$4,'Budget Data'!$A:$A,"&gt;="&amp;AA$19,'Budget Data'!$A:$A,"&lt;="&amp;EOMONTH(AA$19,0))+SUMIFS('Budget Data'!$J:$J,'Budget Data'!$E:$E,$B49,'Budget Data'!$C:$C,$B$3,'Budget Data'!$A:$A,"&gt;="&amp;AA$19,'Budget Data'!$A:$A,"&lt;="&amp;EOMONTH(AA$19,0))+SUMIFS('Budget Data'!$J:$J,'Budget Data'!$E:$E,$B49,'Budget Data'!$C:$C,$B$5,'Budget Data'!$A:$A,"&gt;="&amp;AA$19,'Budget Data'!$A:$A,"&lt;="&amp;EOMONTH(AA$19,0))+SUMIFS('Budget Data'!$J:$J,'Budget Data'!$E:$E,$B49,'Budget Data'!$C:$C,$B$6,'Budget Data'!$A:$A,"&gt;="&amp;AA$19,'Budget Data'!$A:$A,"&lt;="&amp;EOMONTH(AA$19,0)))</f>
        <v>0</v>
      </c>
      <c r="AB49" s="92"/>
      <c r="AC49" s="95">
        <f>SUMIF($D$18:$AA$18,AC$18,$D49:$AA49)</f>
        <v>4.3655745685100555E-11</v>
      </c>
      <c r="AD49" s="94">
        <f>SUMIF($D$18:$AA$18,AD$18,$D49:$AA49)</f>
        <v>1.8189894035458565E-12</v>
      </c>
    </row>
    <row r="50" spans="2:31" ht="15" customHeight="1">
      <c r="D50" s="86"/>
      <c r="E50" s="84"/>
      <c r="F50" s="86"/>
      <c r="G50" s="84"/>
      <c r="H50" s="86"/>
      <c r="I50" s="84"/>
      <c r="J50" s="86"/>
      <c r="K50" s="84"/>
      <c r="L50" s="86"/>
      <c r="M50" s="84"/>
      <c r="N50" s="86"/>
      <c r="O50" s="84"/>
      <c r="P50" s="86"/>
      <c r="Q50" s="84"/>
      <c r="R50" s="86"/>
      <c r="S50" s="84"/>
      <c r="T50" s="86"/>
      <c r="U50" s="84"/>
      <c r="V50" s="86"/>
      <c r="W50" s="84"/>
      <c r="X50" s="86"/>
      <c r="Y50" s="84"/>
      <c r="Z50" s="86"/>
      <c r="AA50" s="84"/>
      <c r="AC50" s="87"/>
      <c r="AD50" s="84"/>
    </row>
    <row r="51" spans="2:31" ht="15" customHeight="1">
      <c r="D51" s="87"/>
      <c r="E51" s="96"/>
      <c r="F51" s="87"/>
      <c r="G51" s="96"/>
      <c r="H51" s="87"/>
      <c r="I51" s="96"/>
      <c r="J51" s="87"/>
      <c r="K51" s="96"/>
      <c r="L51" s="87"/>
      <c r="M51" s="96"/>
      <c r="N51" s="87"/>
      <c r="O51" s="96"/>
      <c r="P51" s="87"/>
      <c r="Q51" s="96"/>
      <c r="R51" s="87"/>
      <c r="S51" s="96"/>
      <c r="T51" s="87"/>
      <c r="U51" s="96"/>
      <c r="V51" s="87"/>
      <c r="W51" s="96"/>
      <c r="X51" s="87"/>
      <c r="Y51" s="96"/>
      <c r="Z51" s="87"/>
      <c r="AA51" s="96"/>
      <c r="AC51" s="87"/>
      <c r="AD51" s="96"/>
    </row>
    <row r="52" spans="2:31" ht="15.75" customHeight="1">
      <c r="C52" s="37" t="s">
        <v>639</v>
      </c>
      <c r="D52" s="97">
        <f t="shared" ref="D52:E52" si="3">IF($C$1="Programs",SUM(D30:D49),SUM(D30:D47))</f>
        <v>191109.40385021741</v>
      </c>
      <c r="E52" s="98">
        <f t="shared" si="3"/>
        <v>189300</v>
      </c>
      <c r="F52" s="97">
        <f t="shared" ref="F52:AA52" si="4">IF($C$1="Programs",SUM(F30:F49),SUM(F30:F47))</f>
        <v>202375.80650190476</v>
      </c>
      <c r="G52" s="98">
        <f t="shared" si="4"/>
        <v>200500</v>
      </c>
      <c r="H52" s="97">
        <f t="shared" si="4"/>
        <v>222188.73621147728</v>
      </c>
      <c r="I52" s="98">
        <f t="shared" si="4"/>
        <v>220500</v>
      </c>
      <c r="J52" s="97">
        <f t="shared" si="4"/>
        <v>219089.84744130436</v>
      </c>
      <c r="K52" s="98">
        <f t="shared" si="4"/>
        <v>217500</v>
      </c>
      <c r="L52" s="97">
        <f t="shared" si="4"/>
        <v>212311.81892271654</v>
      </c>
      <c r="M52" s="98">
        <f t="shared" si="4"/>
        <v>210400</v>
      </c>
      <c r="N52" s="97">
        <f t="shared" si="4"/>
        <v>219446.79531114121</v>
      </c>
      <c r="O52" s="98">
        <f t="shared" si="4"/>
        <v>217200</v>
      </c>
      <c r="P52" s="97">
        <f t="shared" si="4"/>
        <v>221156.7066768182</v>
      </c>
      <c r="Q52" s="98">
        <f t="shared" si="4"/>
        <v>219100</v>
      </c>
      <c r="R52" s="97">
        <f t="shared" si="4"/>
        <v>220768.53153906277</v>
      </c>
      <c r="S52" s="98">
        <f t="shared" si="4"/>
        <v>218800</v>
      </c>
      <c r="T52" s="97">
        <f t="shared" si="4"/>
        <v>222725.3238499783</v>
      </c>
      <c r="U52" s="98">
        <f t="shared" si="4"/>
        <v>220300</v>
      </c>
      <c r="V52" s="97">
        <f t="shared" si="4"/>
        <v>228899.16158522724</v>
      </c>
      <c r="W52" s="98">
        <f t="shared" si="4"/>
        <v>226200</v>
      </c>
      <c r="X52" s="97">
        <f t="shared" si="4"/>
        <v>207980.46977735808</v>
      </c>
      <c r="Y52" s="98">
        <f t="shared" si="4"/>
        <v>205800</v>
      </c>
      <c r="Z52" s="97">
        <f t="shared" si="4"/>
        <v>228807.50426737341</v>
      </c>
      <c r="AA52" s="98">
        <f t="shared" si="4"/>
        <v>226500</v>
      </c>
      <c r="AC52" s="97">
        <f>IF($C$1="Programs",SUM(AC30:AC49),SUM(AC30:AC47))</f>
        <v>2596860.1059345803</v>
      </c>
      <c r="AD52" s="97">
        <f t="shared" ref="AD52" si="5">IF($C$1="Programs",SUM(AD30:AD49),SUM(AD30:AD47))</f>
        <v>2572100</v>
      </c>
      <c r="AE52" s="83">
        <f>AC52-AD52</f>
        <v>24760.105934580322</v>
      </c>
    </row>
    <row r="53" spans="2:31" ht="15" customHeight="1">
      <c r="D53" s="87"/>
      <c r="E53" s="87"/>
      <c r="F53" s="87"/>
      <c r="G53" s="87"/>
      <c r="H53" s="87"/>
      <c r="I53" s="87"/>
      <c r="J53" s="87"/>
      <c r="K53" s="87"/>
      <c r="L53" s="87"/>
      <c r="M53" s="87"/>
      <c r="N53" s="87"/>
      <c r="O53" s="87"/>
      <c r="P53" s="87"/>
      <c r="Q53" s="87"/>
      <c r="R53" s="87"/>
      <c r="S53" s="87"/>
      <c r="T53" s="87"/>
      <c r="U53" s="87"/>
      <c r="V53" s="87"/>
      <c r="W53" s="87"/>
      <c r="X53" s="87"/>
      <c r="Y53" s="87"/>
      <c r="Z53" s="87"/>
      <c r="AA53" s="87"/>
      <c r="AC53" s="87"/>
      <c r="AD53" s="87"/>
      <c r="AE53" s="12" t="str">
        <f>IF(AE52&lt;0,"underbudget","overbudget")</f>
        <v>overbudget</v>
      </c>
    </row>
    <row r="54" spans="2:31" ht="15.75" customHeight="1">
      <c r="C54" s="37" t="s">
        <v>640</v>
      </c>
      <c r="D54" s="99">
        <f>D28-D52</f>
        <v>163721.53614978271</v>
      </c>
      <c r="E54" s="100">
        <f>E28-E52</f>
        <v>239697.38</v>
      </c>
      <c r="F54" s="99">
        <f t="shared" ref="F54:AA54" si="6">F28-F52</f>
        <v>42187.563498095347</v>
      </c>
      <c r="G54" s="100">
        <f t="shared" si="6"/>
        <v>258976.03000000003</v>
      </c>
      <c r="H54" s="99">
        <f t="shared" si="6"/>
        <v>28734.223788522679</v>
      </c>
      <c r="I54" s="100">
        <f t="shared" si="6"/>
        <v>222465.99</v>
      </c>
      <c r="J54" s="99">
        <f t="shared" si="6"/>
        <v>84132.522558695346</v>
      </c>
      <c r="K54" s="100">
        <f t="shared" si="6"/>
        <v>159133.03999999998</v>
      </c>
      <c r="L54" s="99">
        <f t="shared" si="6"/>
        <v>22266.921077283303</v>
      </c>
      <c r="M54" s="100">
        <f t="shared" si="6"/>
        <v>181244.57</v>
      </c>
      <c r="N54" s="99">
        <f t="shared" si="6"/>
        <v>49557.29468885911</v>
      </c>
      <c r="O54" s="100">
        <f t="shared" si="6"/>
        <v>172163.82</v>
      </c>
      <c r="P54" s="99">
        <f t="shared" si="6"/>
        <v>19760.733323181688</v>
      </c>
      <c r="Q54" s="100">
        <f t="shared" si="6"/>
        <v>106765.25</v>
      </c>
      <c r="R54" s="99">
        <f t="shared" si="6"/>
        <v>52141.508460937563</v>
      </c>
      <c r="S54" s="100">
        <f t="shared" si="6"/>
        <v>154835.02000000002</v>
      </c>
      <c r="T54" s="99">
        <f t="shared" si="6"/>
        <v>-2017.8738499782921</v>
      </c>
      <c r="U54" s="100">
        <f t="shared" si="6"/>
        <v>50920.070000000007</v>
      </c>
      <c r="V54" s="99">
        <f t="shared" si="6"/>
        <v>84921.448414772807</v>
      </c>
      <c r="W54" s="100">
        <f t="shared" si="6"/>
        <v>16476.640000000014</v>
      </c>
      <c r="X54" s="99">
        <f t="shared" si="6"/>
        <v>33113.540222642012</v>
      </c>
      <c r="Y54" s="100">
        <f t="shared" si="6"/>
        <v>12020.029999999999</v>
      </c>
      <c r="Z54" s="99">
        <f t="shared" si="6"/>
        <v>-5412.7542673735588</v>
      </c>
      <c r="AA54" s="100">
        <f t="shared" si="6"/>
        <v>-10371.489999999991</v>
      </c>
      <c r="AC54" s="99">
        <f>AC28-AC52</f>
        <v>573106.6640654197</v>
      </c>
      <c r="AD54" s="101">
        <f t="shared" ref="AD54" si="7">AD28-AD52</f>
        <v>1564326.3499999996</v>
      </c>
    </row>
    <row r="55" spans="2:31" ht="15.75" customHeight="1"/>
  </sheetData>
  <dataValidations count="1">
    <dataValidation type="list" showInputMessage="1" showErrorMessage="1" sqref="C1" xr:uid="{00000000-0002-0000-0900-000000000000}">
      <formula1>"Admin,Programs,All"</formula1>
    </dataValidation>
  </dataValidations>
  <pageMargins left="0.7" right="0.7" top="0.75" bottom="0.75" header="0.511811023622047" footer="0.511811023622047"/>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E46"/>
  <sheetViews>
    <sheetView showGridLines="0" zoomScaleNormal="100" workbookViewId="0">
      <pane xSplit="3" ySplit="10" topLeftCell="D11" activePane="bottomRight" state="frozen"/>
      <selection pane="topRight" activeCell="C1" sqref="C1"/>
      <selection pane="bottomLeft" activeCell="A10" sqref="A10"/>
      <selection pane="bottomRight" activeCell="G3" sqref="G3"/>
    </sheetView>
  </sheetViews>
  <sheetFormatPr baseColWidth="10" defaultColWidth="10.6640625" defaultRowHeight="15"/>
  <cols>
    <col min="1" max="1" width="4.33203125" style="12" customWidth="1"/>
    <col min="2" max="2" width="16.83203125" style="12" hidden="1" customWidth="1"/>
    <col min="3" max="3" width="36.1640625" style="12" bestFit="1" customWidth="1"/>
    <col min="4" max="4" width="12" style="12" customWidth="1"/>
    <col min="5" max="5" width="11.83203125" style="12" bestFit="1" customWidth="1"/>
    <col min="6" max="6" width="11" style="12" customWidth="1"/>
    <col min="7" max="7" width="11.83203125" style="12" bestFit="1" customWidth="1"/>
    <col min="8" max="8" width="11" style="12" customWidth="1"/>
    <col min="9" max="9" width="11.83203125" style="12" bestFit="1" customWidth="1"/>
    <col min="10" max="18" width="11" style="12" customWidth="1"/>
    <col min="19" max="19" width="11.83203125" style="12" bestFit="1" customWidth="1"/>
    <col min="20" max="27" width="11" style="12" customWidth="1"/>
    <col min="28" max="28" width="3.33203125" style="12" customWidth="1"/>
    <col min="29" max="29" width="11.6640625" style="12" customWidth="1"/>
    <col min="30" max="30" width="12" style="12" customWidth="1"/>
    <col min="31" max="16384" width="10.6640625" style="12"/>
  </cols>
  <sheetData>
    <row r="1" spans="2:30" ht="15" customHeight="1">
      <c r="B1" s="80" t="s">
        <v>641</v>
      </c>
      <c r="C1" s="80" t="s">
        <v>5</v>
      </c>
    </row>
    <row r="2" spans="2:30" ht="15" hidden="1" customHeight="1">
      <c r="B2" s="102" t="str">
        <f>_xlfn.XLOOKUP(C1,'Cost Centers'!B2:B11,'Cost Centers'!A2:A11,"")</f>
        <v>1010</v>
      </c>
      <c r="C2" s="103"/>
    </row>
    <row r="3" spans="2:30" ht="15" customHeight="1">
      <c r="B3" s="102"/>
      <c r="C3" s="158"/>
    </row>
    <row r="4" spans="2:30" ht="15" customHeight="1">
      <c r="B4" s="102"/>
      <c r="C4" s="166" t="s">
        <v>786</v>
      </c>
    </row>
    <row r="5" spans="2:30">
      <c r="C5" s="165" t="s">
        <v>642</v>
      </c>
      <c r="D5" s="27"/>
      <c r="E5" s="27"/>
      <c r="F5" s="27"/>
      <c r="G5" s="27"/>
      <c r="H5" s="27"/>
      <c r="I5" s="27"/>
      <c r="J5" s="27"/>
      <c r="K5" s="27"/>
      <c r="L5" s="27"/>
      <c r="M5" s="27"/>
      <c r="N5" s="27"/>
      <c r="O5" s="27"/>
      <c r="P5" s="27"/>
      <c r="Q5" s="27"/>
      <c r="R5" s="27"/>
      <c r="S5" s="27"/>
      <c r="T5" s="27"/>
      <c r="U5" s="27"/>
      <c r="V5" s="27"/>
      <c r="W5" s="27"/>
      <c r="X5" s="27"/>
      <c r="Y5" s="27"/>
      <c r="Z5" s="27"/>
      <c r="AA5" s="27"/>
      <c r="AB5" s="27"/>
      <c r="AC5" s="27"/>
      <c r="AD5" s="27"/>
    </row>
    <row r="6" spans="2:30" ht="15" customHeight="1">
      <c r="C6" s="104" t="s">
        <v>207</v>
      </c>
      <c r="D6" s="27"/>
      <c r="E6" s="27"/>
      <c r="F6" s="27"/>
      <c r="G6" s="27"/>
      <c r="H6" s="27"/>
      <c r="I6" s="27"/>
      <c r="J6" s="27"/>
      <c r="K6" s="27"/>
      <c r="L6" s="27"/>
      <c r="M6" s="27"/>
      <c r="N6" s="27"/>
      <c r="O6" s="27"/>
      <c r="P6" s="27"/>
      <c r="Q6" s="27"/>
      <c r="R6" s="27"/>
      <c r="S6" s="27"/>
      <c r="T6" s="27"/>
      <c r="U6" s="27"/>
      <c r="V6" s="27"/>
      <c r="W6" s="27"/>
      <c r="X6" s="27"/>
      <c r="Y6" s="27"/>
      <c r="Z6" s="27"/>
      <c r="AA6" s="27"/>
      <c r="AB6" s="27"/>
      <c r="AC6" s="27"/>
      <c r="AD6" s="27"/>
    </row>
    <row r="7" spans="2:30" ht="15" customHeight="1">
      <c r="C7" s="104" t="str">
        <f>C1&amp;" Cost Center"&amp;" - "&amp;B2</f>
        <v>Executive Cost Center - 1010</v>
      </c>
      <c r="D7" s="27"/>
      <c r="E7" s="27"/>
      <c r="F7" s="27"/>
      <c r="G7" s="27"/>
      <c r="H7" s="27"/>
      <c r="I7" s="27"/>
      <c r="J7" s="27"/>
      <c r="K7" s="27"/>
      <c r="L7" s="27"/>
      <c r="M7" s="27"/>
      <c r="N7" s="27"/>
      <c r="O7" s="27"/>
      <c r="P7" s="27"/>
      <c r="Q7" s="27"/>
      <c r="R7" s="27"/>
      <c r="S7" s="27"/>
      <c r="T7" s="27"/>
      <c r="U7" s="27"/>
      <c r="V7" s="27"/>
      <c r="W7" s="27"/>
      <c r="X7" s="27"/>
      <c r="Y7" s="27"/>
      <c r="Z7" s="27"/>
      <c r="AA7" s="27"/>
      <c r="AB7" s="27"/>
      <c r="AC7" s="27"/>
      <c r="AD7" s="27"/>
    </row>
    <row r="8" spans="2:30" ht="15" customHeight="1">
      <c r="C8" s="28"/>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row>
    <row r="9" spans="2:30" ht="15" customHeight="1">
      <c r="D9" s="81" t="s">
        <v>636</v>
      </c>
      <c r="E9" s="82" t="s">
        <v>637</v>
      </c>
      <c r="F9" s="81" t="s">
        <v>636</v>
      </c>
      <c r="G9" s="82" t="s">
        <v>637</v>
      </c>
      <c r="H9" s="81" t="s">
        <v>636</v>
      </c>
      <c r="I9" s="82" t="s">
        <v>637</v>
      </c>
      <c r="J9" s="81" t="s">
        <v>636</v>
      </c>
      <c r="K9" s="82" t="s">
        <v>637</v>
      </c>
      <c r="L9" s="81" t="s">
        <v>636</v>
      </c>
      <c r="M9" s="82" t="s">
        <v>637</v>
      </c>
      <c r="N9" s="81" t="s">
        <v>636</v>
      </c>
      <c r="O9" s="82" t="s">
        <v>637</v>
      </c>
      <c r="P9" s="81" t="s">
        <v>636</v>
      </c>
      <c r="Q9" s="82" t="s">
        <v>637</v>
      </c>
      <c r="R9" s="81" t="s">
        <v>636</v>
      </c>
      <c r="S9" s="82" t="s">
        <v>637</v>
      </c>
      <c r="T9" s="81" t="s">
        <v>636</v>
      </c>
      <c r="U9" s="82" t="s">
        <v>637</v>
      </c>
      <c r="V9" s="81" t="s">
        <v>636</v>
      </c>
      <c r="W9" s="82" t="s">
        <v>637</v>
      </c>
      <c r="X9" s="81" t="s">
        <v>636</v>
      </c>
      <c r="Y9" s="82" t="s">
        <v>637</v>
      </c>
      <c r="Z9" s="81" t="s">
        <v>636</v>
      </c>
      <c r="AA9" s="82" t="s">
        <v>637</v>
      </c>
      <c r="AC9" s="81" t="s">
        <v>636</v>
      </c>
      <c r="AD9" s="82" t="s">
        <v>637</v>
      </c>
    </row>
    <row r="10" spans="2:30" ht="15" customHeight="1">
      <c r="B10" s="142" t="s">
        <v>26</v>
      </c>
      <c r="C10" s="142" t="s">
        <v>221</v>
      </c>
      <c r="D10" s="142">
        <v>45839</v>
      </c>
      <c r="E10" s="139">
        <f>D10</f>
        <v>45839</v>
      </c>
      <c r="F10" s="139">
        <v>45870</v>
      </c>
      <c r="G10" s="139">
        <f>F10</f>
        <v>45870</v>
      </c>
      <c r="H10" s="139">
        <v>45901</v>
      </c>
      <c r="I10" s="139">
        <f>H10</f>
        <v>45901</v>
      </c>
      <c r="J10" s="139">
        <v>45931</v>
      </c>
      <c r="K10" s="139">
        <f>J10</f>
        <v>45931</v>
      </c>
      <c r="L10" s="139">
        <v>45962</v>
      </c>
      <c r="M10" s="139">
        <f>L10</f>
        <v>45962</v>
      </c>
      <c r="N10" s="139">
        <v>45992</v>
      </c>
      <c r="O10" s="139">
        <f>N10</f>
        <v>45992</v>
      </c>
      <c r="P10" s="139">
        <v>46023</v>
      </c>
      <c r="Q10" s="139">
        <f>P10</f>
        <v>46023</v>
      </c>
      <c r="R10" s="139">
        <v>46054</v>
      </c>
      <c r="S10" s="139">
        <f>R10</f>
        <v>46054</v>
      </c>
      <c r="T10" s="139">
        <v>46082</v>
      </c>
      <c r="U10" s="139">
        <f>T10</f>
        <v>46082</v>
      </c>
      <c r="V10" s="139">
        <v>46113</v>
      </c>
      <c r="W10" s="139">
        <f>V10</f>
        <v>46113</v>
      </c>
      <c r="X10" s="139">
        <v>46143</v>
      </c>
      <c r="Y10" s="139">
        <f>X10</f>
        <v>46143</v>
      </c>
      <c r="Z10" s="139">
        <v>46174</v>
      </c>
      <c r="AA10" s="139">
        <f>Z10</f>
        <v>46174</v>
      </c>
      <c r="AC10" s="142" t="s">
        <v>22</v>
      </c>
      <c r="AD10" s="142" t="s">
        <v>22</v>
      </c>
    </row>
    <row r="11" spans="2:30" ht="15" customHeight="1">
      <c r="D11" s="83"/>
      <c r="E11" s="106"/>
      <c r="F11" s="83"/>
      <c r="G11" s="106"/>
      <c r="H11" s="83"/>
      <c r="I11" s="106"/>
      <c r="J11" s="83"/>
      <c r="K11" s="106"/>
      <c r="L11" s="83"/>
      <c r="M11" s="106"/>
      <c r="N11" s="83"/>
      <c r="O11" s="106"/>
      <c r="P11" s="83"/>
      <c r="Q11" s="106"/>
      <c r="R11" s="83"/>
      <c r="S11" s="106"/>
      <c r="T11" s="83"/>
      <c r="U11" s="106"/>
      <c r="V11" s="83"/>
      <c r="W11" s="106"/>
      <c r="X11" s="83"/>
      <c r="Y11" s="106"/>
      <c r="Z11" s="83"/>
      <c r="AA11" s="106"/>
      <c r="AC11" s="83"/>
      <c r="AD11" s="106"/>
    </row>
    <row r="12" spans="2:30" ht="15" customHeight="1">
      <c r="B12" s="12" t="str">
        <f t="array" ref="B12:B17">_xlfn._xlws.SORT(_xlfn.UNIQUE(_xlfn._xlws.FILTER('Allocated Transactions'!D:D,'Allocated Transactions'!F:F="Revenue")))</f>
        <v>4000</v>
      </c>
      <c r="C12" s="160" t="str">
        <f>_xlfn.XLOOKUP(B12,'Allocated Transactions'!D:D,'Allocated Transactions'!E:E,"")</f>
        <v>Contract Revenue</v>
      </c>
      <c r="D12" s="86">
        <f>-SUMIFS('Allocated Transactions'!$J:$J,'Allocated Transactions'!$D:$D,'Variance by Program'!$B12,'Allocated Transactions'!$C:$C,'Variance by Program'!$B$2,'Allocated Transactions'!$A:$A,"&gt;="&amp;'Variance by Program'!D$10,'Allocated Transactions'!$A:$A,"&lt;="&amp;EOMONTH('Variance by Program'!D$10,0))</f>
        <v>0</v>
      </c>
      <c r="E12" s="84">
        <f>SUMIFS('Budget Data'!$J:$J,'Budget Data'!$E:$E,'Variance by Program'!$B12,'Budget Data'!$C:$C,'Variance by Program'!$B$2,'Budget Data'!$A:$A,'Variance by Program'!E$10)</f>
        <v>0</v>
      </c>
      <c r="F12" s="86">
        <f>-SUMIFS('Allocated Transactions'!$J:$J,'Allocated Transactions'!$D:$D,'Variance by Program'!$B12,'Allocated Transactions'!$C:$C,'Variance by Program'!$B$2,'Allocated Transactions'!$A:$A,"&gt;="&amp;'Variance by Program'!F$10,'Allocated Transactions'!$A:$A,"&lt;="&amp;EOMONTH('Variance by Program'!F$10,0))</f>
        <v>0</v>
      </c>
      <c r="G12" s="84">
        <f>SUMIFS('Budget Data'!$J:$J,'Budget Data'!$E:$E,'Variance by Program'!$B12,'Budget Data'!$C:$C,'Variance by Program'!$B$2,'Budget Data'!$A:$A,'Variance by Program'!G$10)</f>
        <v>0</v>
      </c>
      <c r="H12" s="86">
        <f>-SUMIFS('Allocated Transactions'!$J:$J,'Allocated Transactions'!$D:$D,'Variance by Program'!$B12,'Allocated Transactions'!$C:$C,'Variance by Program'!$B$2,'Allocated Transactions'!$A:$A,"&gt;="&amp;'Variance by Program'!H$10,'Allocated Transactions'!$A:$A,"&lt;="&amp;EOMONTH('Variance by Program'!H$10,0))</f>
        <v>0</v>
      </c>
      <c r="I12" s="84">
        <f>SUMIFS('Budget Data'!$J:$J,'Budget Data'!$E:$E,'Variance by Program'!$B12,'Budget Data'!$C:$C,'Variance by Program'!$B$2,'Budget Data'!$A:$A,'Variance by Program'!I$10)</f>
        <v>0</v>
      </c>
      <c r="J12" s="86">
        <f>-SUMIFS('Allocated Transactions'!$J:$J,'Allocated Transactions'!$D:$D,'Variance by Program'!$B12,'Allocated Transactions'!$C:$C,'Variance by Program'!$B$2,'Allocated Transactions'!$A:$A,"&gt;="&amp;'Variance by Program'!J$10,'Allocated Transactions'!$A:$A,"&lt;="&amp;EOMONTH('Variance by Program'!J$10,0))</f>
        <v>0</v>
      </c>
      <c r="K12" s="84">
        <f>SUMIFS('Budget Data'!$J:$J,'Budget Data'!$E:$E,'Variance by Program'!$B12,'Budget Data'!$C:$C,'Variance by Program'!$B$2,'Budget Data'!$A:$A,'Variance by Program'!K$10)</f>
        <v>0</v>
      </c>
      <c r="L12" s="86">
        <f>-SUMIFS('Allocated Transactions'!$J:$J,'Allocated Transactions'!$D:$D,'Variance by Program'!$B12,'Allocated Transactions'!$C:$C,'Variance by Program'!$B$2,'Allocated Transactions'!$A:$A,"&gt;="&amp;'Variance by Program'!L$10,'Allocated Transactions'!$A:$A,"&lt;="&amp;EOMONTH('Variance by Program'!L$10,0))</f>
        <v>0</v>
      </c>
      <c r="M12" s="84">
        <f>SUMIFS('Budget Data'!$J:$J,'Budget Data'!$E:$E,'Variance by Program'!$B12,'Budget Data'!$C:$C,'Variance by Program'!$B$2,'Budget Data'!$A:$A,'Variance by Program'!M$10)</f>
        <v>0</v>
      </c>
      <c r="N12" s="86">
        <f>-SUMIFS('Allocated Transactions'!$J:$J,'Allocated Transactions'!$D:$D,'Variance by Program'!$B12,'Allocated Transactions'!$C:$C,'Variance by Program'!$B$2,'Allocated Transactions'!$A:$A,"&gt;="&amp;'Variance by Program'!N$10,'Allocated Transactions'!$A:$A,"&lt;="&amp;EOMONTH('Variance by Program'!N$10,0))</f>
        <v>0</v>
      </c>
      <c r="O12" s="84">
        <f>SUMIFS('Budget Data'!$J:$J,'Budget Data'!$E:$E,'Variance by Program'!$B12,'Budget Data'!$C:$C,'Variance by Program'!$B$2,'Budget Data'!$A:$A,'Variance by Program'!O$10)</f>
        <v>0</v>
      </c>
      <c r="P12" s="86">
        <f>-SUMIFS('Allocated Transactions'!$J:$J,'Allocated Transactions'!$D:$D,'Variance by Program'!$B12,'Allocated Transactions'!$C:$C,'Variance by Program'!$B$2,'Allocated Transactions'!$A:$A,"&gt;="&amp;'Variance by Program'!P$10,'Allocated Transactions'!$A:$A,"&lt;="&amp;EOMONTH('Variance by Program'!P$10,0))</f>
        <v>0</v>
      </c>
      <c r="Q12" s="84">
        <f>SUMIFS('Budget Data'!$J:$J,'Budget Data'!$E:$E,'Variance by Program'!$B12,'Budget Data'!$C:$C,'Variance by Program'!$B$2,'Budget Data'!$A:$A,'Variance by Program'!Q$10)</f>
        <v>0</v>
      </c>
      <c r="R12" s="86">
        <f>-SUMIFS('Allocated Transactions'!$J:$J,'Allocated Transactions'!$D:$D,'Variance by Program'!$B12,'Allocated Transactions'!$C:$C,'Variance by Program'!$B$2,'Allocated Transactions'!$A:$A,"&gt;="&amp;'Variance by Program'!R$10,'Allocated Transactions'!$A:$A,"&lt;="&amp;EOMONTH('Variance by Program'!R$10,0))</f>
        <v>0</v>
      </c>
      <c r="S12" s="84">
        <f>SUMIFS('Budget Data'!$J:$J,'Budget Data'!$E:$E,'Variance by Program'!$B12,'Budget Data'!$C:$C,'Variance by Program'!$B$2,'Budget Data'!$A:$A,'Variance by Program'!S$10)</f>
        <v>0</v>
      </c>
      <c r="T12" s="86">
        <f>-SUMIFS('Allocated Transactions'!$J:$J,'Allocated Transactions'!$D:$D,'Variance by Program'!$B12,'Allocated Transactions'!$C:$C,'Variance by Program'!$B$2,'Allocated Transactions'!$A:$A,"&gt;="&amp;'Variance by Program'!T$10,'Allocated Transactions'!$A:$A,"&lt;="&amp;EOMONTH('Variance by Program'!T$10,0))</f>
        <v>0</v>
      </c>
      <c r="U12" s="84">
        <f>SUMIFS('Budget Data'!$J:$J,'Budget Data'!$E:$E,'Variance by Program'!$B12,'Budget Data'!$C:$C,'Variance by Program'!$B$2,'Budget Data'!$A:$A,'Variance by Program'!U$10)</f>
        <v>0</v>
      </c>
      <c r="V12" s="86">
        <f>-SUMIFS('Allocated Transactions'!$J:$J,'Allocated Transactions'!$D:$D,'Variance by Program'!$B12,'Allocated Transactions'!$C:$C,'Variance by Program'!$B$2,'Allocated Transactions'!$A:$A,"&gt;="&amp;'Variance by Program'!V$10,'Allocated Transactions'!$A:$A,"&lt;="&amp;EOMONTH('Variance by Program'!V$10,0))</f>
        <v>0</v>
      </c>
      <c r="W12" s="84">
        <f>SUMIFS('Budget Data'!$J:$J,'Budget Data'!$E:$E,'Variance by Program'!$B12,'Budget Data'!$C:$C,'Variance by Program'!$B$2,'Budget Data'!$A:$A,'Variance by Program'!W$10)</f>
        <v>0</v>
      </c>
      <c r="X12" s="86">
        <f>-SUMIFS('Allocated Transactions'!$J:$J,'Allocated Transactions'!$D:$D,'Variance by Program'!$B12,'Allocated Transactions'!$C:$C,'Variance by Program'!$B$2,'Allocated Transactions'!$A:$A,"&gt;="&amp;'Variance by Program'!X$10,'Allocated Transactions'!$A:$A,"&lt;="&amp;EOMONTH('Variance by Program'!X$10,0))</f>
        <v>0</v>
      </c>
      <c r="Y12" s="84">
        <f>SUMIFS('Budget Data'!$J:$J,'Budget Data'!$E:$E,'Variance by Program'!$B12,'Budget Data'!$C:$C,'Variance by Program'!$B$2,'Budget Data'!$A:$A,'Variance by Program'!Y$10)</f>
        <v>0</v>
      </c>
      <c r="Z12" s="86">
        <f>-SUMIFS('Allocated Transactions'!$J:$J,'Allocated Transactions'!$D:$D,'Variance by Program'!$B12,'Allocated Transactions'!$C:$C,'Variance by Program'!$B$2,'Allocated Transactions'!$A:$A,"&gt;="&amp;'Variance by Program'!Z$10,'Allocated Transactions'!$A:$A,"&lt;="&amp;EOMONTH('Variance by Program'!Z$10,0))</f>
        <v>0</v>
      </c>
      <c r="AA12" s="84">
        <f>SUMIFS('Budget Data'!$J:$J,'Budget Data'!$E:$E,'Variance by Program'!$B12,'Budget Data'!$C:$C,'Variance by Program'!$B$2,'Budget Data'!$A:$A,'Variance by Program'!AA$10)</f>
        <v>0</v>
      </c>
      <c r="AC12" s="86">
        <f t="shared" ref="AC12:AD17" si="0">SUMIF($D$9:$AA$9,AC$9,$D12:$AA12)</f>
        <v>0</v>
      </c>
      <c r="AD12" s="84">
        <f t="shared" si="0"/>
        <v>0</v>
      </c>
    </row>
    <row r="13" spans="2:30" ht="15" customHeight="1">
      <c r="B13" s="12" t="str">
        <v>4010</v>
      </c>
      <c r="C13" s="160" t="str">
        <f>_xlfn.XLOOKUP(B13,'Allocated Transactions'!D:D,'Allocated Transactions'!E:E,"")</f>
        <v>Grant Revenue - Federal</v>
      </c>
      <c r="D13" s="86">
        <f>-SUMIFS('Allocated Transactions'!$J:$J,'Allocated Transactions'!$D:$D,'Variance by Program'!$B13,'Allocated Transactions'!$C:$C,'Variance by Program'!$B$2,'Allocated Transactions'!$A:$A,"&gt;="&amp;'Variance by Program'!D$10,'Allocated Transactions'!$A:$A,"&lt;="&amp;EOMONTH('Variance by Program'!D$10,0))</f>
        <v>0</v>
      </c>
      <c r="E13" s="84">
        <f>SUMIFS('Budget Data'!$J:$J,'Budget Data'!$E:$E,'Variance by Program'!$B13,'Budget Data'!$C:$C,'Variance by Program'!$B$2,'Budget Data'!$A:$A,'Variance by Program'!E$10)</f>
        <v>0</v>
      </c>
      <c r="F13" s="86">
        <f>-SUMIFS('Allocated Transactions'!$J:$J,'Allocated Transactions'!$D:$D,'Variance by Program'!$B13,'Allocated Transactions'!$C:$C,'Variance by Program'!$B$2,'Allocated Transactions'!$A:$A,"&gt;="&amp;'Variance by Program'!F$10,'Allocated Transactions'!$A:$A,"&lt;="&amp;EOMONTH('Variance by Program'!F$10,0))</f>
        <v>0</v>
      </c>
      <c r="G13" s="84">
        <f>SUMIFS('Budget Data'!$J:$J,'Budget Data'!$E:$E,'Variance by Program'!$B13,'Budget Data'!$C:$C,'Variance by Program'!$B$2,'Budget Data'!$A:$A,'Variance by Program'!G$10)</f>
        <v>0</v>
      </c>
      <c r="H13" s="86">
        <f>-SUMIFS('Allocated Transactions'!$J:$J,'Allocated Transactions'!$D:$D,'Variance by Program'!$B13,'Allocated Transactions'!$C:$C,'Variance by Program'!$B$2,'Allocated Transactions'!$A:$A,"&gt;="&amp;'Variance by Program'!H$10,'Allocated Transactions'!$A:$A,"&lt;="&amp;EOMONTH('Variance by Program'!H$10,0))</f>
        <v>0</v>
      </c>
      <c r="I13" s="84">
        <f>SUMIFS('Budget Data'!$J:$J,'Budget Data'!$E:$E,'Variance by Program'!$B13,'Budget Data'!$C:$C,'Variance by Program'!$B$2,'Budget Data'!$A:$A,'Variance by Program'!I$10)</f>
        <v>0</v>
      </c>
      <c r="J13" s="86">
        <f>-SUMIFS('Allocated Transactions'!$J:$J,'Allocated Transactions'!$D:$D,'Variance by Program'!$B13,'Allocated Transactions'!$C:$C,'Variance by Program'!$B$2,'Allocated Transactions'!$A:$A,"&gt;="&amp;'Variance by Program'!J$10,'Allocated Transactions'!$A:$A,"&lt;="&amp;EOMONTH('Variance by Program'!J$10,0))</f>
        <v>0</v>
      </c>
      <c r="K13" s="84">
        <f>SUMIFS('Budget Data'!$J:$J,'Budget Data'!$E:$E,'Variance by Program'!$B13,'Budget Data'!$C:$C,'Variance by Program'!$B$2,'Budget Data'!$A:$A,'Variance by Program'!K$10)</f>
        <v>0</v>
      </c>
      <c r="L13" s="86">
        <f>-SUMIFS('Allocated Transactions'!$J:$J,'Allocated Transactions'!$D:$D,'Variance by Program'!$B13,'Allocated Transactions'!$C:$C,'Variance by Program'!$B$2,'Allocated Transactions'!$A:$A,"&gt;="&amp;'Variance by Program'!L$10,'Allocated Transactions'!$A:$A,"&lt;="&amp;EOMONTH('Variance by Program'!L$10,0))</f>
        <v>0</v>
      </c>
      <c r="M13" s="84">
        <f>SUMIFS('Budget Data'!$J:$J,'Budget Data'!$E:$E,'Variance by Program'!$B13,'Budget Data'!$C:$C,'Variance by Program'!$B$2,'Budget Data'!$A:$A,'Variance by Program'!M$10)</f>
        <v>0</v>
      </c>
      <c r="N13" s="86">
        <f>-SUMIFS('Allocated Transactions'!$J:$J,'Allocated Transactions'!$D:$D,'Variance by Program'!$B13,'Allocated Transactions'!$C:$C,'Variance by Program'!$B$2,'Allocated Transactions'!$A:$A,"&gt;="&amp;'Variance by Program'!N$10,'Allocated Transactions'!$A:$A,"&lt;="&amp;EOMONTH('Variance by Program'!N$10,0))</f>
        <v>0</v>
      </c>
      <c r="O13" s="84">
        <f>SUMIFS('Budget Data'!$J:$J,'Budget Data'!$E:$E,'Variance by Program'!$B13,'Budget Data'!$C:$C,'Variance by Program'!$B$2,'Budget Data'!$A:$A,'Variance by Program'!O$10)</f>
        <v>0</v>
      </c>
      <c r="P13" s="86">
        <f>-SUMIFS('Allocated Transactions'!$J:$J,'Allocated Transactions'!$D:$D,'Variance by Program'!$B13,'Allocated Transactions'!$C:$C,'Variance by Program'!$B$2,'Allocated Transactions'!$A:$A,"&gt;="&amp;'Variance by Program'!P$10,'Allocated Transactions'!$A:$A,"&lt;="&amp;EOMONTH('Variance by Program'!P$10,0))</f>
        <v>0</v>
      </c>
      <c r="Q13" s="84">
        <f>SUMIFS('Budget Data'!$J:$J,'Budget Data'!$E:$E,'Variance by Program'!$B13,'Budget Data'!$C:$C,'Variance by Program'!$B$2,'Budget Data'!$A:$A,'Variance by Program'!Q$10)</f>
        <v>0</v>
      </c>
      <c r="R13" s="86">
        <f>-SUMIFS('Allocated Transactions'!$J:$J,'Allocated Transactions'!$D:$D,'Variance by Program'!$B13,'Allocated Transactions'!$C:$C,'Variance by Program'!$B$2,'Allocated Transactions'!$A:$A,"&gt;="&amp;'Variance by Program'!R$10,'Allocated Transactions'!$A:$A,"&lt;="&amp;EOMONTH('Variance by Program'!R$10,0))</f>
        <v>0</v>
      </c>
      <c r="S13" s="84">
        <f>SUMIFS('Budget Data'!$J:$J,'Budget Data'!$E:$E,'Variance by Program'!$B13,'Budget Data'!$C:$C,'Variance by Program'!$B$2,'Budget Data'!$A:$A,'Variance by Program'!S$10)</f>
        <v>0</v>
      </c>
      <c r="T13" s="86">
        <f>-SUMIFS('Allocated Transactions'!$J:$J,'Allocated Transactions'!$D:$D,'Variance by Program'!$B13,'Allocated Transactions'!$C:$C,'Variance by Program'!$B$2,'Allocated Transactions'!$A:$A,"&gt;="&amp;'Variance by Program'!T$10,'Allocated Transactions'!$A:$A,"&lt;="&amp;EOMONTH('Variance by Program'!T$10,0))</f>
        <v>0</v>
      </c>
      <c r="U13" s="84">
        <f>SUMIFS('Budget Data'!$J:$J,'Budget Data'!$E:$E,'Variance by Program'!$B13,'Budget Data'!$C:$C,'Variance by Program'!$B$2,'Budget Data'!$A:$A,'Variance by Program'!U$10)</f>
        <v>0</v>
      </c>
      <c r="V13" s="86">
        <f>-SUMIFS('Allocated Transactions'!$J:$J,'Allocated Transactions'!$D:$D,'Variance by Program'!$B13,'Allocated Transactions'!$C:$C,'Variance by Program'!$B$2,'Allocated Transactions'!$A:$A,"&gt;="&amp;'Variance by Program'!V$10,'Allocated Transactions'!$A:$A,"&lt;="&amp;EOMONTH('Variance by Program'!V$10,0))</f>
        <v>0</v>
      </c>
      <c r="W13" s="84">
        <f>SUMIFS('Budget Data'!$J:$J,'Budget Data'!$E:$E,'Variance by Program'!$B13,'Budget Data'!$C:$C,'Variance by Program'!$B$2,'Budget Data'!$A:$A,'Variance by Program'!W$10)</f>
        <v>0</v>
      </c>
      <c r="X13" s="86">
        <f>-SUMIFS('Allocated Transactions'!$J:$J,'Allocated Transactions'!$D:$D,'Variance by Program'!$B13,'Allocated Transactions'!$C:$C,'Variance by Program'!$B$2,'Allocated Transactions'!$A:$A,"&gt;="&amp;'Variance by Program'!X$10,'Allocated Transactions'!$A:$A,"&lt;="&amp;EOMONTH('Variance by Program'!X$10,0))</f>
        <v>0</v>
      </c>
      <c r="Y13" s="84">
        <f>SUMIFS('Budget Data'!$J:$J,'Budget Data'!$E:$E,'Variance by Program'!$B13,'Budget Data'!$C:$C,'Variance by Program'!$B$2,'Budget Data'!$A:$A,'Variance by Program'!Y$10)</f>
        <v>0</v>
      </c>
      <c r="Z13" s="86">
        <f>-SUMIFS('Allocated Transactions'!$J:$J,'Allocated Transactions'!$D:$D,'Variance by Program'!$B13,'Allocated Transactions'!$C:$C,'Variance by Program'!$B$2,'Allocated Transactions'!$A:$A,"&gt;="&amp;'Variance by Program'!Z$10,'Allocated Transactions'!$A:$A,"&lt;="&amp;EOMONTH('Variance by Program'!Z$10,0))</f>
        <v>0</v>
      </c>
      <c r="AA13" s="84">
        <f>SUMIFS('Budget Data'!$J:$J,'Budget Data'!$E:$E,'Variance by Program'!$B13,'Budget Data'!$C:$C,'Variance by Program'!$B$2,'Budget Data'!$A:$A,'Variance by Program'!AA$10)</f>
        <v>0</v>
      </c>
      <c r="AC13" s="86">
        <f t="shared" si="0"/>
        <v>0</v>
      </c>
      <c r="AD13" s="84">
        <f t="shared" si="0"/>
        <v>0</v>
      </c>
    </row>
    <row r="14" spans="2:30" ht="15" customHeight="1">
      <c r="B14" s="12" t="str">
        <v>4020</v>
      </c>
      <c r="C14" s="160" t="str">
        <f>_xlfn.XLOOKUP(B14,'Allocated Transactions'!D:D,'Allocated Transactions'!E:E,"")</f>
        <v>Grant Revenue - Foundation</v>
      </c>
      <c r="D14" s="86">
        <f>-SUMIFS('Allocated Transactions'!$J:$J,'Allocated Transactions'!$D:$D,'Variance by Program'!$B14,'Allocated Transactions'!$C:$C,'Variance by Program'!$B$2,'Allocated Transactions'!$A:$A,"&gt;="&amp;'Variance by Program'!D$10,'Allocated Transactions'!$A:$A,"&lt;="&amp;EOMONTH('Variance by Program'!D$10,0))</f>
        <v>0</v>
      </c>
      <c r="E14" s="84">
        <f>SUMIFS('Budget Data'!$J:$J,'Budget Data'!$E:$E,'Variance by Program'!$B14,'Budget Data'!$C:$C,'Variance by Program'!$B$2,'Budget Data'!$A:$A,'Variance by Program'!E$10)</f>
        <v>0</v>
      </c>
      <c r="F14" s="86">
        <f>-SUMIFS('Allocated Transactions'!$J:$J,'Allocated Transactions'!$D:$D,'Variance by Program'!$B14,'Allocated Transactions'!$C:$C,'Variance by Program'!$B$2,'Allocated Transactions'!$A:$A,"&gt;="&amp;'Variance by Program'!F$10,'Allocated Transactions'!$A:$A,"&lt;="&amp;EOMONTH('Variance by Program'!F$10,0))</f>
        <v>0</v>
      </c>
      <c r="G14" s="84">
        <f>SUMIFS('Budget Data'!$J:$J,'Budget Data'!$E:$E,'Variance by Program'!$B14,'Budget Data'!$C:$C,'Variance by Program'!$B$2,'Budget Data'!$A:$A,'Variance by Program'!G$10)</f>
        <v>0</v>
      </c>
      <c r="H14" s="86">
        <f>-SUMIFS('Allocated Transactions'!$J:$J,'Allocated Transactions'!$D:$D,'Variance by Program'!$B14,'Allocated Transactions'!$C:$C,'Variance by Program'!$B$2,'Allocated Transactions'!$A:$A,"&gt;="&amp;'Variance by Program'!H$10,'Allocated Transactions'!$A:$A,"&lt;="&amp;EOMONTH('Variance by Program'!H$10,0))</f>
        <v>0</v>
      </c>
      <c r="I14" s="84">
        <f>SUMIFS('Budget Data'!$J:$J,'Budget Data'!$E:$E,'Variance by Program'!$B14,'Budget Data'!$C:$C,'Variance by Program'!$B$2,'Budget Data'!$A:$A,'Variance by Program'!I$10)</f>
        <v>0</v>
      </c>
      <c r="J14" s="86">
        <f>-SUMIFS('Allocated Transactions'!$J:$J,'Allocated Transactions'!$D:$D,'Variance by Program'!$B14,'Allocated Transactions'!$C:$C,'Variance by Program'!$B$2,'Allocated Transactions'!$A:$A,"&gt;="&amp;'Variance by Program'!J$10,'Allocated Transactions'!$A:$A,"&lt;="&amp;EOMONTH('Variance by Program'!J$10,0))</f>
        <v>0</v>
      </c>
      <c r="K14" s="84">
        <f>SUMIFS('Budget Data'!$J:$J,'Budget Data'!$E:$E,'Variance by Program'!$B14,'Budget Data'!$C:$C,'Variance by Program'!$B$2,'Budget Data'!$A:$A,'Variance by Program'!K$10)</f>
        <v>0</v>
      </c>
      <c r="L14" s="86">
        <f>-SUMIFS('Allocated Transactions'!$J:$J,'Allocated Transactions'!$D:$D,'Variance by Program'!$B14,'Allocated Transactions'!$C:$C,'Variance by Program'!$B$2,'Allocated Transactions'!$A:$A,"&gt;="&amp;'Variance by Program'!L$10,'Allocated Transactions'!$A:$A,"&lt;="&amp;EOMONTH('Variance by Program'!L$10,0))</f>
        <v>0</v>
      </c>
      <c r="M14" s="84">
        <f>SUMIFS('Budget Data'!$J:$J,'Budget Data'!$E:$E,'Variance by Program'!$B14,'Budget Data'!$C:$C,'Variance by Program'!$B$2,'Budget Data'!$A:$A,'Variance by Program'!M$10)</f>
        <v>0</v>
      </c>
      <c r="N14" s="86">
        <f>-SUMIFS('Allocated Transactions'!$J:$J,'Allocated Transactions'!$D:$D,'Variance by Program'!$B14,'Allocated Transactions'!$C:$C,'Variance by Program'!$B$2,'Allocated Transactions'!$A:$A,"&gt;="&amp;'Variance by Program'!N$10,'Allocated Transactions'!$A:$A,"&lt;="&amp;EOMONTH('Variance by Program'!N$10,0))</f>
        <v>0</v>
      </c>
      <c r="O14" s="84">
        <f>SUMIFS('Budget Data'!$J:$J,'Budget Data'!$E:$E,'Variance by Program'!$B14,'Budget Data'!$C:$C,'Variance by Program'!$B$2,'Budget Data'!$A:$A,'Variance by Program'!O$10)</f>
        <v>0</v>
      </c>
      <c r="P14" s="86">
        <f>-SUMIFS('Allocated Transactions'!$J:$J,'Allocated Transactions'!$D:$D,'Variance by Program'!$B14,'Allocated Transactions'!$C:$C,'Variance by Program'!$B$2,'Allocated Transactions'!$A:$A,"&gt;="&amp;'Variance by Program'!P$10,'Allocated Transactions'!$A:$A,"&lt;="&amp;EOMONTH('Variance by Program'!P$10,0))</f>
        <v>0</v>
      </c>
      <c r="Q14" s="84">
        <f>SUMIFS('Budget Data'!$J:$J,'Budget Data'!$E:$E,'Variance by Program'!$B14,'Budget Data'!$C:$C,'Variance by Program'!$B$2,'Budget Data'!$A:$A,'Variance by Program'!Q$10)</f>
        <v>0</v>
      </c>
      <c r="R14" s="86">
        <f>-SUMIFS('Allocated Transactions'!$J:$J,'Allocated Transactions'!$D:$D,'Variance by Program'!$B14,'Allocated Transactions'!$C:$C,'Variance by Program'!$B$2,'Allocated Transactions'!$A:$A,"&gt;="&amp;'Variance by Program'!R$10,'Allocated Transactions'!$A:$A,"&lt;="&amp;EOMONTH('Variance by Program'!R$10,0))</f>
        <v>0</v>
      </c>
      <c r="S14" s="84">
        <f>SUMIFS('Budget Data'!$J:$J,'Budget Data'!$E:$E,'Variance by Program'!$B14,'Budget Data'!$C:$C,'Variance by Program'!$B$2,'Budget Data'!$A:$A,'Variance by Program'!S$10)</f>
        <v>0</v>
      </c>
      <c r="T14" s="86">
        <f>-SUMIFS('Allocated Transactions'!$J:$J,'Allocated Transactions'!$D:$D,'Variance by Program'!$B14,'Allocated Transactions'!$C:$C,'Variance by Program'!$B$2,'Allocated Transactions'!$A:$A,"&gt;="&amp;'Variance by Program'!T$10,'Allocated Transactions'!$A:$A,"&lt;="&amp;EOMONTH('Variance by Program'!T$10,0))</f>
        <v>0</v>
      </c>
      <c r="U14" s="84">
        <f>SUMIFS('Budget Data'!$J:$J,'Budget Data'!$E:$E,'Variance by Program'!$B14,'Budget Data'!$C:$C,'Variance by Program'!$B$2,'Budget Data'!$A:$A,'Variance by Program'!U$10)</f>
        <v>0</v>
      </c>
      <c r="V14" s="86">
        <f>-SUMIFS('Allocated Transactions'!$J:$J,'Allocated Transactions'!$D:$D,'Variance by Program'!$B14,'Allocated Transactions'!$C:$C,'Variance by Program'!$B$2,'Allocated Transactions'!$A:$A,"&gt;="&amp;'Variance by Program'!V$10,'Allocated Transactions'!$A:$A,"&lt;="&amp;EOMONTH('Variance by Program'!V$10,0))</f>
        <v>0</v>
      </c>
      <c r="W14" s="84">
        <f>SUMIFS('Budget Data'!$J:$J,'Budget Data'!$E:$E,'Variance by Program'!$B14,'Budget Data'!$C:$C,'Variance by Program'!$B$2,'Budget Data'!$A:$A,'Variance by Program'!W$10)</f>
        <v>0</v>
      </c>
      <c r="X14" s="86">
        <f>-SUMIFS('Allocated Transactions'!$J:$J,'Allocated Transactions'!$D:$D,'Variance by Program'!$B14,'Allocated Transactions'!$C:$C,'Variance by Program'!$B$2,'Allocated Transactions'!$A:$A,"&gt;="&amp;'Variance by Program'!X$10,'Allocated Transactions'!$A:$A,"&lt;="&amp;EOMONTH('Variance by Program'!X$10,0))</f>
        <v>0</v>
      </c>
      <c r="Y14" s="84">
        <f>SUMIFS('Budget Data'!$J:$J,'Budget Data'!$E:$E,'Variance by Program'!$B14,'Budget Data'!$C:$C,'Variance by Program'!$B$2,'Budget Data'!$A:$A,'Variance by Program'!Y$10)</f>
        <v>0</v>
      </c>
      <c r="Z14" s="86">
        <f>-SUMIFS('Allocated Transactions'!$J:$J,'Allocated Transactions'!$D:$D,'Variance by Program'!$B14,'Allocated Transactions'!$C:$C,'Variance by Program'!$B$2,'Allocated Transactions'!$A:$A,"&gt;="&amp;'Variance by Program'!Z$10,'Allocated Transactions'!$A:$A,"&lt;="&amp;EOMONTH('Variance by Program'!Z$10,0))</f>
        <v>0</v>
      </c>
      <c r="AA14" s="84">
        <f>SUMIFS('Budget Data'!$J:$J,'Budget Data'!$E:$E,'Variance by Program'!$B14,'Budget Data'!$C:$C,'Variance by Program'!$B$2,'Budget Data'!$A:$A,'Variance by Program'!AA$10)</f>
        <v>0</v>
      </c>
      <c r="AC14" s="86">
        <f t="shared" si="0"/>
        <v>0</v>
      </c>
      <c r="AD14" s="84">
        <f t="shared" si="0"/>
        <v>0</v>
      </c>
    </row>
    <row r="15" spans="2:30" ht="15" customHeight="1">
      <c r="B15" s="12" t="str">
        <v>4100</v>
      </c>
      <c r="C15" s="160" t="str">
        <f>_xlfn.XLOOKUP(B15,'Allocated Transactions'!D:D,'Allocated Transactions'!E:E,"")</f>
        <v>Fee for Service Revenue</v>
      </c>
      <c r="D15" s="86">
        <f>-SUMIFS('Allocated Transactions'!$J:$J,'Allocated Transactions'!$D:$D,'Variance by Program'!$B15,'Allocated Transactions'!$C:$C,'Variance by Program'!$B$2,'Allocated Transactions'!$A:$A,"&gt;="&amp;'Variance by Program'!D$10,'Allocated Transactions'!$A:$A,"&lt;="&amp;EOMONTH('Variance by Program'!D$10,0))</f>
        <v>0</v>
      </c>
      <c r="E15" s="84">
        <f>SUMIFS('Budget Data'!$J:$J,'Budget Data'!$E:$E,'Variance by Program'!$B15,'Budget Data'!$C:$C,'Variance by Program'!$B$2,'Budget Data'!$A:$A,'Variance by Program'!E$10)</f>
        <v>0</v>
      </c>
      <c r="F15" s="86">
        <f>-SUMIFS('Allocated Transactions'!$J:$J,'Allocated Transactions'!$D:$D,'Variance by Program'!$B15,'Allocated Transactions'!$C:$C,'Variance by Program'!$B$2,'Allocated Transactions'!$A:$A,"&gt;="&amp;'Variance by Program'!F$10,'Allocated Transactions'!$A:$A,"&lt;="&amp;EOMONTH('Variance by Program'!F$10,0))</f>
        <v>0</v>
      </c>
      <c r="G15" s="84">
        <f>SUMIFS('Budget Data'!$J:$J,'Budget Data'!$E:$E,'Variance by Program'!$B15,'Budget Data'!$C:$C,'Variance by Program'!$B$2,'Budget Data'!$A:$A,'Variance by Program'!G$10)</f>
        <v>0</v>
      </c>
      <c r="H15" s="86">
        <f>-SUMIFS('Allocated Transactions'!$J:$J,'Allocated Transactions'!$D:$D,'Variance by Program'!$B15,'Allocated Transactions'!$C:$C,'Variance by Program'!$B$2,'Allocated Transactions'!$A:$A,"&gt;="&amp;'Variance by Program'!H$10,'Allocated Transactions'!$A:$A,"&lt;="&amp;EOMONTH('Variance by Program'!H$10,0))</f>
        <v>0</v>
      </c>
      <c r="I15" s="84">
        <f>SUMIFS('Budget Data'!$J:$J,'Budget Data'!$E:$E,'Variance by Program'!$B15,'Budget Data'!$C:$C,'Variance by Program'!$B$2,'Budget Data'!$A:$A,'Variance by Program'!I$10)</f>
        <v>0</v>
      </c>
      <c r="J15" s="86">
        <f>-SUMIFS('Allocated Transactions'!$J:$J,'Allocated Transactions'!$D:$D,'Variance by Program'!$B15,'Allocated Transactions'!$C:$C,'Variance by Program'!$B$2,'Allocated Transactions'!$A:$A,"&gt;="&amp;'Variance by Program'!J$10,'Allocated Transactions'!$A:$A,"&lt;="&amp;EOMONTH('Variance by Program'!J$10,0))</f>
        <v>0</v>
      </c>
      <c r="K15" s="84">
        <f>SUMIFS('Budget Data'!$J:$J,'Budget Data'!$E:$E,'Variance by Program'!$B15,'Budget Data'!$C:$C,'Variance by Program'!$B$2,'Budget Data'!$A:$A,'Variance by Program'!K$10)</f>
        <v>0</v>
      </c>
      <c r="L15" s="86">
        <f>-SUMIFS('Allocated Transactions'!$J:$J,'Allocated Transactions'!$D:$D,'Variance by Program'!$B15,'Allocated Transactions'!$C:$C,'Variance by Program'!$B$2,'Allocated Transactions'!$A:$A,"&gt;="&amp;'Variance by Program'!L$10,'Allocated Transactions'!$A:$A,"&lt;="&amp;EOMONTH('Variance by Program'!L$10,0))</f>
        <v>0</v>
      </c>
      <c r="M15" s="84">
        <f>SUMIFS('Budget Data'!$J:$J,'Budget Data'!$E:$E,'Variance by Program'!$B15,'Budget Data'!$C:$C,'Variance by Program'!$B$2,'Budget Data'!$A:$A,'Variance by Program'!M$10)</f>
        <v>0</v>
      </c>
      <c r="N15" s="86">
        <f>-SUMIFS('Allocated Transactions'!$J:$J,'Allocated Transactions'!$D:$D,'Variance by Program'!$B15,'Allocated Transactions'!$C:$C,'Variance by Program'!$B$2,'Allocated Transactions'!$A:$A,"&gt;="&amp;'Variance by Program'!N$10,'Allocated Transactions'!$A:$A,"&lt;="&amp;EOMONTH('Variance by Program'!N$10,0))</f>
        <v>0</v>
      </c>
      <c r="O15" s="84">
        <f>SUMIFS('Budget Data'!$J:$J,'Budget Data'!$E:$E,'Variance by Program'!$B15,'Budget Data'!$C:$C,'Variance by Program'!$B$2,'Budget Data'!$A:$A,'Variance by Program'!O$10)</f>
        <v>0</v>
      </c>
      <c r="P15" s="86">
        <f>-SUMIFS('Allocated Transactions'!$J:$J,'Allocated Transactions'!$D:$D,'Variance by Program'!$B15,'Allocated Transactions'!$C:$C,'Variance by Program'!$B$2,'Allocated Transactions'!$A:$A,"&gt;="&amp;'Variance by Program'!P$10,'Allocated Transactions'!$A:$A,"&lt;="&amp;EOMONTH('Variance by Program'!P$10,0))</f>
        <v>0</v>
      </c>
      <c r="Q15" s="84">
        <f>SUMIFS('Budget Data'!$J:$J,'Budget Data'!$E:$E,'Variance by Program'!$B15,'Budget Data'!$C:$C,'Variance by Program'!$B$2,'Budget Data'!$A:$A,'Variance by Program'!Q$10)</f>
        <v>0</v>
      </c>
      <c r="R15" s="86">
        <f>-SUMIFS('Allocated Transactions'!$J:$J,'Allocated Transactions'!$D:$D,'Variance by Program'!$B15,'Allocated Transactions'!$C:$C,'Variance by Program'!$B$2,'Allocated Transactions'!$A:$A,"&gt;="&amp;'Variance by Program'!R$10,'Allocated Transactions'!$A:$A,"&lt;="&amp;EOMONTH('Variance by Program'!R$10,0))</f>
        <v>0</v>
      </c>
      <c r="S15" s="84">
        <f>SUMIFS('Budget Data'!$J:$J,'Budget Data'!$E:$E,'Variance by Program'!$B15,'Budget Data'!$C:$C,'Variance by Program'!$B$2,'Budget Data'!$A:$A,'Variance by Program'!S$10)</f>
        <v>0</v>
      </c>
      <c r="T15" s="86">
        <f>-SUMIFS('Allocated Transactions'!$J:$J,'Allocated Transactions'!$D:$D,'Variance by Program'!$B15,'Allocated Transactions'!$C:$C,'Variance by Program'!$B$2,'Allocated Transactions'!$A:$A,"&gt;="&amp;'Variance by Program'!T$10,'Allocated Transactions'!$A:$A,"&lt;="&amp;EOMONTH('Variance by Program'!T$10,0))</f>
        <v>0</v>
      </c>
      <c r="U15" s="84">
        <f>SUMIFS('Budget Data'!$J:$J,'Budget Data'!$E:$E,'Variance by Program'!$B15,'Budget Data'!$C:$C,'Variance by Program'!$B$2,'Budget Data'!$A:$A,'Variance by Program'!U$10)</f>
        <v>0</v>
      </c>
      <c r="V15" s="86">
        <f>-SUMIFS('Allocated Transactions'!$J:$J,'Allocated Transactions'!$D:$D,'Variance by Program'!$B15,'Allocated Transactions'!$C:$C,'Variance by Program'!$B$2,'Allocated Transactions'!$A:$A,"&gt;="&amp;'Variance by Program'!V$10,'Allocated Transactions'!$A:$A,"&lt;="&amp;EOMONTH('Variance by Program'!V$10,0))</f>
        <v>0</v>
      </c>
      <c r="W15" s="84">
        <f>SUMIFS('Budget Data'!$J:$J,'Budget Data'!$E:$E,'Variance by Program'!$B15,'Budget Data'!$C:$C,'Variance by Program'!$B$2,'Budget Data'!$A:$A,'Variance by Program'!W$10)</f>
        <v>0</v>
      </c>
      <c r="X15" s="86">
        <f>-SUMIFS('Allocated Transactions'!$J:$J,'Allocated Transactions'!$D:$D,'Variance by Program'!$B15,'Allocated Transactions'!$C:$C,'Variance by Program'!$B$2,'Allocated Transactions'!$A:$A,"&gt;="&amp;'Variance by Program'!X$10,'Allocated Transactions'!$A:$A,"&lt;="&amp;EOMONTH('Variance by Program'!X$10,0))</f>
        <v>0</v>
      </c>
      <c r="Y15" s="84">
        <f>SUMIFS('Budget Data'!$J:$J,'Budget Data'!$E:$E,'Variance by Program'!$B15,'Budget Data'!$C:$C,'Variance by Program'!$B$2,'Budget Data'!$A:$A,'Variance by Program'!Y$10)</f>
        <v>0</v>
      </c>
      <c r="Z15" s="86">
        <f>-SUMIFS('Allocated Transactions'!$J:$J,'Allocated Transactions'!$D:$D,'Variance by Program'!$B15,'Allocated Transactions'!$C:$C,'Variance by Program'!$B$2,'Allocated Transactions'!$A:$A,"&gt;="&amp;'Variance by Program'!Z$10,'Allocated Transactions'!$A:$A,"&lt;="&amp;EOMONTH('Variance by Program'!Z$10,0))</f>
        <v>0</v>
      </c>
      <c r="AA15" s="84">
        <f>SUMIFS('Budget Data'!$J:$J,'Budget Data'!$E:$E,'Variance by Program'!$B15,'Budget Data'!$C:$C,'Variance by Program'!$B$2,'Budget Data'!$A:$A,'Variance by Program'!AA$10)</f>
        <v>0</v>
      </c>
      <c r="AC15" s="86">
        <f t="shared" si="0"/>
        <v>0</v>
      </c>
      <c r="AD15" s="84">
        <f t="shared" si="0"/>
        <v>0</v>
      </c>
    </row>
    <row r="16" spans="2:30" ht="15" customHeight="1">
      <c r="B16" s="12" t="str">
        <v>4200</v>
      </c>
      <c r="C16" s="160" t="str">
        <f>_xlfn.XLOOKUP(B16,'Allocated Transactions'!D:D,'Allocated Transactions'!E:E,"")</f>
        <v>Interest Income</v>
      </c>
      <c r="D16" s="86">
        <f>-SUMIFS('Allocated Transactions'!$J:$J,'Allocated Transactions'!$D:$D,'Variance by Program'!$B16,'Allocated Transactions'!$C:$C,'Variance by Program'!$B$2,'Allocated Transactions'!$A:$A,"&gt;="&amp;'Variance by Program'!D$10,'Allocated Transactions'!$A:$A,"&lt;="&amp;EOMONTH('Variance by Program'!D$10,0))</f>
        <v>0</v>
      </c>
      <c r="E16" s="84">
        <f>SUMIFS('Budget Data'!$J:$J,'Budget Data'!$E:$E,'Variance by Program'!$B16,'Budget Data'!$C:$C,'Variance by Program'!$B$2,'Budget Data'!$A:$A,'Variance by Program'!E$10)</f>
        <v>0</v>
      </c>
      <c r="F16" s="86">
        <f>-SUMIFS('Allocated Transactions'!$J:$J,'Allocated Transactions'!$D:$D,'Variance by Program'!$B16,'Allocated Transactions'!$C:$C,'Variance by Program'!$B$2,'Allocated Transactions'!$A:$A,"&gt;="&amp;'Variance by Program'!F$10,'Allocated Transactions'!$A:$A,"&lt;="&amp;EOMONTH('Variance by Program'!F$10,0))</f>
        <v>0</v>
      </c>
      <c r="G16" s="84">
        <f>SUMIFS('Budget Data'!$J:$J,'Budget Data'!$E:$E,'Variance by Program'!$B16,'Budget Data'!$C:$C,'Variance by Program'!$B$2,'Budget Data'!$A:$A,'Variance by Program'!G$10)</f>
        <v>0</v>
      </c>
      <c r="H16" s="86">
        <f>-SUMIFS('Allocated Transactions'!$J:$J,'Allocated Transactions'!$D:$D,'Variance by Program'!$B16,'Allocated Transactions'!$C:$C,'Variance by Program'!$B$2,'Allocated Transactions'!$A:$A,"&gt;="&amp;'Variance by Program'!H$10,'Allocated Transactions'!$A:$A,"&lt;="&amp;EOMONTH('Variance by Program'!H$10,0))</f>
        <v>0</v>
      </c>
      <c r="I16" s="84">
        <f>SUMIFS('Budget Data'!$J:$J,'Budget Data'!$E:$E,'Variance by Program'!$B16,'Budget Data'!$C:$C,'Variance by Program'!$B$2,'Budget Data'!$A:$A,'Variance by Program'!I$10)</f>
        <v>0</v>
      </c>
      <c r="J16" s="86">
        <f>-SUMIFS('Allocated Transactions'!$J:$J,'Allocated Transactions'!$D:$D,'Variance by Program'!$B16,'Allocated Transactions'!$C:$C,'Variance by Program'!$B$2,'Allocated Transactions'!$A:$A,"&gt;="&amp;'Variance by Program'!J$10,'Allocated Transactions'!$A:$A,"&lt;="&amp;EOMONTH('Variance by Program'!J$10,0))</f>
        <v>0</v>
      </c>
      <c r="K16" s="84">
        <f>SUMIFS('Budget Data'!$J:$J,'Budget Data'!$E:$E,'Variance by Program'!$B16,'Budget Data'!$C:$C,'Variance by Program'!$B$2,'Budget Data'!$A:$A,'Variance by Program'!K$10)</f>
        <v>0</v>
      </c>
      <c r="L16" s="86">
        <f>-SUMIFS('Allocated Transactions'!$J:$J,'Allocated Transactions'!$D:$D,'Variance by Program'!$B16,'Allocated Transactions'!$C:$C,'Variance by Program'!$B$2,'Allocated Transactions'!$A:$A,"&gt;="&amp;'Variance by Program'!L$10,'Allocated Transactions'!$A:$A,"&lt;="&amp;EOMONTH('Variance by Program'!L$10,0))</f>
        <v>0</v>
      </c>
      <c r="M16" s="84">
        <f>SUMIFS('Budget Data'!$J:$J,'Budget Data'!$E:$E,'Variance by Program'!$B16,'Budget Data'!$C:$C,'Variance by Program'!$B$2,'Budget Data'!$A:$A,'Variance by Program'!M$10)</f>
        <v>0</v>
      </c>
      <c r="N16" s="86">
        <f>-SUMIFS('Allocated Transactions'!$J:$J,'Allocated Transactions'!$D:$D,'Variance by Program'!$B16,'Allocated Transactions'!$C:$C,'Variance by Program'!$B$2,'Allocated Transactions'!$A:$A,"&gt;="&amp;'Variance by Program'!N$10,'Allocated Transactions'!$A:$A,"&lt;="&amp;EOMONTH('Variance by Program'!N$10,0))</f>
        <v>0</v>
      </c>
      <c r="O16" s="84">
        <f>SUMIFS('Budget Data'!$J:$J,'Budget Data'!$E:$E,'Variance by Program'!$B16,'Budget Data'!$C:$C,'Variance by Program'!$B$2,'Budget Data'!$A:$A,'Variance by Program'!O$10)</f>
        <v>0</v>
      </c>
      <c r="P16" s="86">
        <f>-SUMIFS('Allocated Transactions'!$J:$J,'Allocated Transactions'!$D:$D,'Variance by Program'!$B16,'Allocated Transactions'!$C:$C,'Variance by Program'!$B$2,'Allocated Transactions'!$A:$A,"&gt;="&amp;'Variance by Program'!P$10,'Allocated Transactions'!$A:$A,"&lt;="&amp;EOMONTH('Variance by Program'!P$10,0))</f>
        <v>0</v>
      </c>
      <c r="Q16" s="84">
        <f>SUMIFS('Budget Data'!$J:$J,'Budget Data'!$E:$E,'Variance by Program'!$B16,'Budget Data'!$C:$C,'Variance by Program'!$B$2,'Budget Data'!$A:$A,'Variance by Program'!Q$10)</f>
        <v>0</v>
      </c>
      <c r="R16" s="86">
        <f>-SUMIFS('Allocated Transactions'!$J:$J,'Allocated Transactions'!$D:$D,'Variance by Program'!$B16,'Allocated Transactions'!$C:$C,'Variance by Program'!$B$2,'Allocated Transactions'!$A:$A,"&gt;="&amp;'Variance by Program'!R$10,'Allocated Transactions'!$A:$A,"&lt;="&amp;EOMONTH('Variance by Program'!R$10,0))</f>
        <v>0</v>
      </c>
      <c r="S16" s="84">
        <f>SUMIFS('Budget Data'!$J:$J,'Budget Data'!$E:$E,'Variance by Program'!$B16,'Budget Data'!$C:$C,'Variance by Program'!$B$2,'Budget Data'!$A:$A,'Variance by Program'!S$10)</f>
        <v>0</v>
      </c>
      <c r="T16" s="86">
        <f>-SUMIFS('Allocated Transactions'!$J:$J,'Allocated Transactions'!$D:$D,'Variance by Program'!$B16,'Allocated Transactions'!$C:$C,'Variance by Program'!$B$2,'Allocated Transactions'!$A:$A,"&gt;="&amp;'Variance by Program'!T$10,'Allocated Transactions'!$A:$A,"&lt;="&amp;EOMONTH('Variance by Program'!T$10,0))</f>
        <v>0</v>
      </c>
      <c r="U16" s="84">
        <f>SUMIFS('Budget Data'!$J:$J,'Budget Data'!$E:$E,'Variance by Program'!$B16,'Budget Data'!$C:$C,'Variance by Program'!$B$2,'Budget Data'!$A:$A,'Variance by Program'!U$10)</f>
        <v>0</v>
      </c>
      <c r="V16" s="86">
        <f>-SUMIFS('Allocated Transactions'!$J:$J,'Allocated Transactions'!$D:$D,'Variance by Program'!$B16,'Allocated Transactions'!$C:$C,'Variance by Program'!$B$2,'Allocated Transactions'!$A:$A,"&gt;="&amp;'Variance by Program'!V$10,'Allocated Transactions'!$A:$A,"&lt;="&amp;EOMONTH('Variance by Program'!V$10,0))</f>
        <v>0</v>
      </c>
      <c r="W16" s="84">
        <f>SUMIFS('Budget Data'!$J:$J,'Budget Data'!$E:$E,'Variance by Program'!$B16,'Budget Data'!$C:$C,'Variance by Program'!$B$2,'Budget Data'!$A:$A,'Variance by Program'!W$10)</f>
        <v>0</v>
      </c>
      <c r="X16" s="86">
        <f>-SUMIFS('Allocated Transactions'!$J:$J,'Allocated Transactions'!$D:$D,'Variance by Program'!$B16,'Allocated Transactions'!$C:$C,'Variance by Program'!$B$2,'Allocated Transactions'!$A:$A,"&gt;="&amp;'Variance by Program'!X$10,'Allocated Transactions'!$A:$A,"&lt;="&amp;EOMONTH('Variance by Program'!X$10,0))</f>
        <v>0</v>
      </c>
      <c r="Y16" s="84">
        <f>SUMIFS('Budget Data'!$J:$J,'Budget Data'!$E:$E,'Variance by Program'!$B16,'Budget Data'!$C:$C,'Variance by Program'!$B$2,'Budget Data'!$A:$A,'Variance by Program'!Y$10)</f>
        <v>0</v>
      </c>
      <c r="Z16" s="86">
        <f>-SUMIFS('Allocated Transactions'!$J:$J,'Allocated Transactions'!$D:$D,'Variance by Program'!$B16,'Allocated Transactions'!$C:$C,'Variance by Program'!$B$2,'Allocated Transactions'!$A:$A,"&gt;="&amp;'Variance by Program'!Z$10,'Allocated Transactions'!$A:$A,"&lt;="&amp;EOMONTH('Variance by Program'!Z$10,0))</f>
        <v>0</v>
      </c>
      <c r="AA16" s="84">
        <f>SUMIFS('Budget Data'!$J:$J,'Budget Data'!$E:$E,'Variance by Program'!$B16,'Budget Data'!$C:$C,'Variance by Program'!$B$2,'Budget Data'!$A:$A,'Variance by Program'!AA$10)</f>
        <v>0</v>
      </c>
      <c r="AC16" s="86">
        <f t="shared" si="0"/>
        <v>0</v>
      </c>
      <c r="AD16" s="84">
        <f t="shared" si="0"/>
        <v>0</v>
      </c>
    </row>
    <row r="17" spans="2:30" ht="15" customHeight="1">
      <c r="B17" s="12" t="str">
        <v>4900</v>
      </c>
      <c r="C17" s="160" t="str">
        <f>_xlfn.XLOOKUP(B17,'Allocated Transactions'!D:D,'Allocated Transactions'!E:E,"")</f>
        <v>Other Revenue</v>
      </c>
      <c r="D17" s="86">
        <f>-SUMIFS('Allocated Transactions'!$J:$J,'Allocated Transactions'!$D:$D,'Variance by Program'!$B17,'Allocated Transactions'!$C:$C,'Variance by Program'!$B$2,'Allocated Transactions'!$A:$A,"&gt;="&amp;'Variance by Program'!D$10,'Allocated Transactions'!$A:$A,"&lt;="&amp;EOMONTH('Variance by Program'!D$10,0))</f>
        <v>0</v>
      </c>
      <c r="E17" s="84">
        <f>SUMIFS('Budget Data'!$J:$J,'Budget Data'!$E:$E,'Variance by Program'!$B17,'Budget Data'!$C:$C,'Variance by Program'!$B$2,'Budget Data'!$A:$A,'Variance by Program'!E$10)</f>
        <v>0</v>
      </c>
      <c r="F17" s="86">
        <f>-SUMIFS('Allocated Transactions'!$J:$J,'Allocated Transactions'!$D:$D,'Variance by Program'!$B17,'Allocated Transactions'!$C:$C,'Variance by Program'!$B$2,'Allocated Transactions'!$A:$A,"&gt;="&amp;'Variance by Program'!F$10,'Allocated Transactions'!$A:$A,"&lt;="&amp;EOMONTH('Variance by Program'!F$10,0))</f>
        <v>0</v>
      </c>
      <c r="G17" s="84">
        <f>SUMIFS('Budget Data'!$J:$J,'Budget Data'!$E:$E,'Variance by Program'!$B17,'Budget Data'!$C:$C,'Variance by Program'!$B$2,'Budget Data'!$A:$A,'Variance by Program'!G$10)</f>
        <v>0</v>
      </c>
      <c r="H17" s="86">
        <f>-SUMIFS('Allocated Transactions'!$J:$J,'Allocated Transactions'!$D:$D,'Variance by Program'!$B17,'Allocated Transactions'!$C:$C,'Variance by Program'!$B$2,'Allocated Transactions'!$A:$A,"&gt;="&amp;'Variance by Program'!H$10,'Allocated Transactions'!$A:$A,"&lt;="&amp;EOMONTH('Variance by Program'!H$10,0))</f>
        <v>0</v>
      </c>
      <c r="I17" s="84">
        <f>SUMIFS('Budget Data'!$J:$J,'Budget Data'!$E:$E,'Variance by Program'!$B17,'Budget Data'!$C:$C,'Variance by Program'!$B$2,'Budget Data'!$A:$A,'Variance by Program'!I$10)</f>
        <v>0</v>
      </c>
      <c r="J17" s="86">
        <f>-SUMIFS('Allocated Transactions'!$J:$J,'Allocated Transactions'!$D:$D,'Variance by Program'!$B17,'Allocated Transactions'!$C:$C,'Variance by Program'!$B$2,'Allocated Transactions'!$A:$A,"&gt;="&amp;'Variance by Program'!J$10,'Allocated Transactions'!$A:$A,"&lt;="&amp;EOMONTH('Variance by Program'!J$10,0))</f>
        <v>0</v>
      </c>
      <c r="K17" s="84">
        <f>SUMIFS('Budget Data'!$J:$J,'Budget Data'!$E:$E,'Variance by Program'!$B17,'Budget Data'!$C:$C,'Variance by Program'!$B$2,'Budget Data'!$A:$A,'Variance by Program'!K$10)</f>
        <v>0</v>
      </c>
      <c r="L17" s="86">
        <f>-SUMIFS('Allocated Transactions'!$J:$J,'Allocated Transactions'!$D:$D,'Variance by Program'!$B17,'Allocated Transactions'!$C:$C,'Variance by Program'!$B$2,'Allocated Transactions'!$A:$A,"&gt;="&amp;'Variance by Program'!L$10,'Allocated Transactions'!$A:$A,"&lt;="&amp;EOMONTH('Variance by Program'!L$10,0))</f>
        <v>0</v>
      </c>
      <c r="M17" s="84">
        <f>SUMIFS('Budget Data'!$J:$J,'Budget Data'!$E:$E,'Variance by Program'!$B17,'Budget Data'!$C:$C,'Variance by Program'!$B$2,'Budget Data'!$A:$A,'Variance by Program'!M$10)</f>
        <v>0</v>
      </c>
      <c r="N17" s="86">
        <f>-SUMIFS('Allocated Transactions'!$J:$J,'Allocated Transactions'!$D:$D,'Variance by Program'!$B17,'Allocated Transactions'!$C:$C,'Variance by Program'!$B$2,'Allocated Transactions'!$A:$A,"&gt;="&amp;'Variance by Program'!N$10,'Allocated Transactions'!$A:$A,"&lt;="&amp;EOMONTH('Variance by Program'!N$10,0))</f>
        <v>0</v>
      </c>
      <c r="O17" s="84">
        <f>SUMIFS('Budget Data'!$J:$J,'Budget Data'!$E:$E,'Variance by Program'!$B17,'Budget Data'!$C:$C,'Variance by Program'!$B$2,'Budget Data'!$A:$A,'Variance by Program'!O$10)</f>
        <v>0</v>
      </c>
      <c r="P17" s="86">
        <f>-SUMIFS('Allocated Transactions'!$J:$J,'Allocated Transactions'!$D:$D,'Variance by Program'!$B17,'Allocated Transactions'!$C:$C,'Variance by Program'!$B$2,'Allocated Transactions'!$A:$A,"&gt;="&amp;'Variance by Program'!P$10,'Allocated Transactions'!$A:$A,"&lt;="&amp;EOMONTH('Variance by Program'!P$10,0))</f>
        <v>0</v>
      </c>
      <c r="Q17" s="84">
        <f>SUMIFS('Budget Data'!$J:$J,'Budget Data'!$E:$E,'Variance by Program'!$B17,'Budget Data'!$C:$C,'Variance by Program'!$B$2,'Budget Data'!$A:$A,'Variance by Program'!Q$10)</f>
        <v>0</v>
      </c>
      <c r="R17" s="86">
        <f>-SUMIFS('Allocated Transactions'!$J:$J,'Allocated Transactions'!$D:$D,'Variance by Program'!$B17,'Allocated Transactions'!$C:$C,'Variance by Program'!$B$2,'Allocated Transactions'!$A:$A,"&gt;="&amp;'Variance by Program'!R$10,'Allocated Transactions'!$A:$A,"&lt;="&amp;EOMONTH('Variance by Program'!R$10,0))</f>
        <v>0</v>
      </c>
      <c r="S17" s="84">
        <f>SUMIFS('Budget Data'!$J:$J,'Budget Data'!$E:$E,'Variance by Program'!$B17,'Budget Data'!$C:$C,'Variance by Program'!$B$2,'Budget Data'!$A:$A,'Variance by Program'!S$10)</f>
        <v>0</v>
      </c>
      <c r="T17" s="86">
        <f>-SUMIFS('Allocated Transactions'!$J:$J,'Allocated Transactions'!$D:$D,'Variance by Program'!$B17,'Allocated Transactions'!$C:$C,'Variance by Program'!$B$2,'Allocated Transactions'!$A:$A,"&gt;="&amp;'Variance by Program'!T$10,'Allocated Transactions'!$A:$A,"&lt;="&amp;EOMONTH('Variance by Program'!T$10,0))</f>
        <v>0</v>
      </c>
      <c r="U17" s="84">
        <f>SUMIFS('Budget Data'!$J:$J,'Budget Data'!$E:$E,'Variance by Program'!$B17,'Budget Data'!$C:$C,'Variance by Program'!$B$2,'Budget Data'!$A:$A,'Variance by Program'!U$10)</f>
        <v>0</v>
      </c>
      <c r="V17" s="86">
        <f>-SUMIFS('Allocated Transactions'!$J:$J,'Allocated Transactions'!$D:$D,'Variance by Program'!$B17,'Allocated Transactions'!$C:$C,'Variance by Program'!$B$2,'Allocated Transactions'!$A:$A,"&gt;="&amp;'Variance by Program'!V$10,'Allocated Transactions'!$A:$A,"&lt;="&amp;EOMONTH('Variance by Program'!V$10,0))</f>
        <v>0</v>
      </c>
      <c r="W17" s="84">
        <f>SUMIFS('Budget Data'!$J:$J,'Budget Data'!$E:$E,'Variance by Program'!$B17,'Budget Data'!$C:$C,'Variance by Program'!$B$2,'Budget Data'!$A:$A,'Variance by Program'!W$10)</f>
        <v>0</v>
      </c>
      <c r="X17" s="86">
        <f>-SUMIFS('Allocated Transactions'!$J:$J,'Allocated Transactions'!$D:$D,'Variance by Program'!$B17,'Allocated Transactions'!$C:$C,'Variance by Program'!$B$2,'Allocated Transactions'!$A:$A,"&gt;="&amp;'Variance by Program'!X$10,'Allocated Transactions'!$A:$A,"&lt;="&amp;EOMONTH('Variance by Program'!X$10,0))</f>
        <v>0</v>
      </c>
      <c r="Y17" s="84">
        <f>SUMIFS('Budget Data'!$J:$J,'Budget Data'!$E:$E,'Variance by Program'!$B17,'Budget Data'!$C:$C,'Variance by Program'!$B$2,'Budget Data'!$A:$A,'Variance by Program'!Y$10)</f>
        <v>0</v>
      </c>
      <c r="Z17" s="86">
        <f>-SUMIFS('Allocated Transactions'!$J:$J,'Allocated Transactions'!$D:$D,'Variance by Program'!$B17,'Allocated Transactions'!$C:$C,'Variance by Program'!$B$2,'Allocated Transactions'!$A:$A,"&gt;="&amp;'Variance by Program'!Z$10,'Allocated Transactions'!$A:$A,"&lt;="&amp;EOMONTH('Variance by Program'!Z$10,0))</f>
        <v>0</v>
      </c>
      <c r="AA17" s="84">
        <f>SUMIFS('Budget Data'!$J:$J,'Budget Data'!$E:$E,'Variance by Program'!$B17,'Budget Data'!$C:$C,'Variance by Program'!$B$2,'Budget Data'!$A:$A,'Variance by Program'!AA$10)</f>
        <v>0</v>
      </c>
      <c r="AC17" s="86">
        <f t="shared" si="0"/>
        <v>0</v>
      </c>
      <c r="AD17" s="84">
        <f t="shared" si="0"/>
        <v>0</v>
      </c>
    </row>
    <row r="18" spans="2:30" ht="15" customHeight="1">
      <c r="D18" s="86"/>
      <c r="E18" s="106"/>
      <c r="F18" s="86"/>
      <c r="G18" s="106"/>
      <c r="H18" s="86"/>
      <c r="I18" s="106"/>
      <c r="J18" s="86"/>
      <c r="K18" s="106"/>
      <c r="L18" s="86"/>
      <c r="M18" s="106"/>
      <c r="N18" s="86"/>
      <c r="O18" s="106"/>
      <c r="P18" s="86"/>
      <c r="Q18" s="106"/>
      <c r="R18" s="86"/>
      <c r="S18" s="106"/>
      <c r="T18" s="86"/>
      <c r="U18" s="106"/>
      <c r="V18" s="86"/>
      <c r="W18" s="106"/>
      <c r="X18" s="86"/>
      <c r="Y18" s="106"/>
      <c r="Z18" s="86"/>
      <c r="AA18" s="106"/>
      <c r="AC18" s="86"/>
      <c r="AD18" s="84"/>
    </row>
    <row r="19" spans="2:30" ht="15" customHeight="1" thickBot="1">
      <c r="C19" s="37" t="s">
        <v>638</v>
      </c>
      <c r="D19" s="88">
        <f>SUM(D12:D17)</f>
        <v>0</v>
      </c>
      <c r="E19" s="107">
        <f>SUM(E12:E17)</f>
        <v>0</v>
      </c>
      <c r="F19" s="88">
        <f t="shared" ref="F19:AA19" si="1">SUM(F12:F17)</f>
        <v>0</v>
      </c>
      <c r="G19" s="107">
        <f t="shared" si="1"/>
        <v>0</v>
      </c>
      <c r="H19" s="88">
        <f t="shared" si="1"/>
        <v>0</v>
      </c>
      <c r="I19" s="107">
        <f t="shared" si="1"/>
        <v>0</v>
      </c>
      <c r="J19" s="88">
        <f t="shared" si="1"/>
        <v>0</v>
      </c>
      <c r="K19" s="107">
        <f t="shared" si="1"/>
        <v>0</v>
      </c>
      <c r="L19" s="88">
        <f t="shared" si="1"/>
        <v>0</v>
      </c>
      <c r="M19" s="107">
        <f t="shared" si="1"/>
        <v>0</v>
      </c>
      <c r="N19" s="88">
        <f t="shared" si="1"/>
        <v>0</v>
      </c>
      <c r="O19" s="107">
        <f t="shared" si="1"/>
        <v>0</v>
      </c>
      <c r="P19" s="88">
        <f t="shared" si="1"/>
        <v>0</v>
      </c>
      <c r="Q19" s="107">
        <f t="shared" si="1"/>
        <v>0</v>
      </c>
      <c r="R19" s="88">
        <f t="shared" si="1"/>
        <v>0</v>
      </c>
      <c r="S19" s="107">
        <f t="shared" si="1"/>
        <v>0</v>
      </c>
      <c r="T19" s="88">
        <f t="shared" si="1"/>
        <v>0</v>
      </c>
      <c r="U19" s="107">
        <f t="shared" si="1"/>
        <v>0</v>
      </c>
      <c r="V19" s="88">
        <f t="shared" si="1"/>
        <v>0</v>
      </c>
      <c r="W19" s="107">
        <f t="shared" si="1"/>
        <v>0</v>
      </c>
      <c r="X19" s="88">
        <f t="shared" si="1"/>
        <v>0</v>
      </c>
      <c r="Y19" s="107">
        <f t="shared" si="1"/>
        <v>0</v>
      </c>
      <c r="Z19" s="88">
        <f t="shared" si="1"/>
        <v>0</v>
      </c>
      <c r="AA19" s="107">
        <f t="shared" si="1"/>
        <v>0</v>
      </c>
      <c r="AC19" s="88">
        <f>SUMIF($D$9:$AA$9,AC$9,$D19:$AA19)</f>
        <v>0</v>
      </c>
      <c r="AD19" s="90">
        <f t="shared" ref="AD19" si="2">SUM(AD12:AD17)</f>
        <v>0</v>
      </c>
    </row>
    <row r="20" spans="2:30" ht="15" customHeight="1">
      <c r="D20" s="86"/>
      <c r="E20" s="106"/>
      <c r="F20" s="86"/>
      <c r="G20" s="106"/>
      <c r="H20" s="86"/>
      <c r="I20" s="106"/>
      <c r="J20" s="86"/>
      <c r="K20" s="106"/>
      <c r="L20" s="86"/>
      <c r="M20" s="106"/>
      <c r="N20" s="86"/>
      <c r="O20" s="106"/>
      <c r="P20" s="86"/>
      <c r="Q20" s="106"/>
      <c r="R20" s="86"/>
      <c r="S20" s="106"/>
      <c r="T20" s="86"/>
      <c r="U20" s="106"/>
      <c r="V20" s="86"/>
      <c r="W20" s="106"/>
      <c r="X20" s="86"/>
      <c r="Y20" s="106"/>
      <c r="Z20" s="86"/>
      <c r="AA20" s="106"/>
      <c r="AC20" s="86"/>
      <c r="AD20" s="84"/>
    </row>
    <row r="21" spans="2:30" ht="15" customHeight="1">
      <c r="B21" s="12" t="str">
        <f t="array" ref="B21:B38">_xlfn._xlws.SORT(_xlfn.UNIQUE(_xlfn._xlws.FILTER('Allocated Transactions'!D:D,'Allocated Transactions'!F:F="Expense")))</f>
        <v>5000</v>
      </c>
      <c r="C21" s="160" t="str">
        <f>_xlfn.XLOOKUP(B21,'Allocated Transactions'!D:D,'Allocated Transactions'!E:E,"")</f>
        <v>Salaries and Wages</v>
      </c>
      <c r="D21" s="86">
        <f>SUMIFS('Allocated Transactions'!$J:$J,'Allocated Transactions'!$D:$D,'Variance by Program'!$B21,'Allocated Transactions'!$C:$C,'Variance by Program'!$B$2,'Allocated Transactions'!$A:$A,"&gt;="&amp;'Variance by Program'!D$10,'Allocated Transactions'!$A:$A,"&lt;="&amp;EOMONTH('Variance by Program'!D$10,0))</f>
        <v>7358.6628000000001</v>
      </c>
      <c r="E21" s="84">
        <f>SUMIFS('Budget Data'!$J:$J,'Budget Data'!$E:$E,'Variance by Program'!$B21,'Budget Data'!$C:$C,'Variance by Program'!$B$2,'Budget Data'!$A:$A,'Variance by Program'!E$10)</f>
        <v>7300</v>
      </c>
      <c r="F21" s="86">
        <f>SUMIFS('Allocated Transactions'!$J:$J,'Allocated Transactions'!$D:$D,'Variance by Program'!$B21,'Allocated Transactions'!$C:$C,'Variance by Program'!$B$2,'Allocated Transactions'!$A:$A,"&gt;="&amp;'Variance by Program'!F$10,'Allocated Transactions'!$A:$A,"&lt;="&amp;EOMONTH('Variance by Program'!F$10,0))</f>
        <v>7479.4224000000004</v>
      </c>
      <c r="G21" s="84">
        <f>SUMIFS('Budget Data'!$J:$J,'Budget Data'!$E:$E,'Variance by Program'!$B21,'Budget Data'!$C:$C,'Variance by Program'!$B$2,'Budget Data'!$A:$A,'Variance by Program'!G$10)</f>
        <v>7400</v>
      </c>
      <c r="H21" s="86">
        <f>SUMIFS('Allocated Transactions'!$J:$J,'Allocated Transactions'!$D:$D,'Variance by Program'!$B21,'Allocated Transactions'!$C:$C,'Variance by Program'!$B$2,'Allocated Transactions'!$A:$A,"&gt;="&amp;'Variance by Program'!H$10,'Allocated Transactions'!$A:$A,"&lt;="&amp;EOMONTH('Variance by Program'!H$10,0))</f>
        <v>7682.1797999999999</v>
      </c>
      <c r="I21" s="84">
        <f>SUMIFS('Budget Data'!$J:$J,'Budget Data'!$E:$E,'Variance by Program'!$B21,'Budget Data'!$C:$C,'Variance by Program'!$B$2,'Budget Data'!$A:$A,'Variance by Program'!I$10)</f>
        <v>7600</v>
      </c>
      <c r="J21" s="86">
        <f>SUMIFS('Allocated Transactions'!$J:$J,'Allocated Transactions'!$D:$D,'Variance by Program'!$B21,'Allocated Transactions'!$C:$C,'Variance by Program'!$B$2,'Allocated Transactions'!$A:$A,"&gt;="&amp;'Variance by Program'!J$10,'Allocated Transactions'!$A:$A,"&lt;="&amp;EOMONTH('Variance by Program'!J$10,0))</f>
        <v>7746.1080000000002</v>
      </c>
      <c r="K21" s="84">
        <f>SUMIFS('Budget Data'!$J:$J,'Budget Data'!$E:$E,'Variance by Program'!$B21,'Budget Data'!$C:$C,'Variance by Program'!$B$2,'Budget Data'!$A:$A,'Variance by Program'!K$10)</f>
        <v>7700</v>
      </c>
      <c r="L21" s="86">
        <f>SUMIFS('Allocated Transactions'!$J:$J,'Allocated Transactions'!$D:$D,'Variance by Program'!$B21,'Allocated Transactions'!$C:$C,'Variance by Program'!$B$2,'Allocated Transactions'!$A:$A,"&gt;="&amp;'Variance by Program'!L$10,'Allocated Transactions'!$A:$A,"&lt;="&amp;EOMONTH('Variance by Program'!L$10,0))</f>
        <v>7195.5351923076896</v>
      </c>
      <c r="M21" s="84">
        <f>SUMIFS('Budget Data'!$J:$J,'Budget Data'!$E:$E,'Variance by Program'!$B21,'Budget Data'!$C:$C,'Variance by Program'!$B$2,'Budget Data'!$A:$A,'Variance by Program'!M$10)</f>
        <v>7100</v>
      </c>
      <c r="N21" s="86">
        <f>SUMIFS('Allocated Transactions'!$J:$J,'Allocated Transactions'!$D:$D,'Variance by Program'!$B21,'Allocated Transactions'!$C:$C,'Variance by Program'!$B$2,'Allocated Transactions'!$A:$A,"&gt;="&amp;'Variance by Program'!N$10,'Allocated Transactions'!$A:$A,"&lt;="&amp;EOMONTH('Variance by Program'!N$10,0))</f>
        <v>7319.7409615384604</v>
      </c>
      <c r="O21" s="84">
        <f>SUMIFS('Budget Data'!$J:$J,'Budget Data'!$E:$E,'Variance by Program'!$B21,'Budget Data'!$C:$C,'Variance by Program'!$B$2,'Budget Data'!$A:$A,'Variance by Program'!O$10)</f>
        <v>7200</v>
      </c>
      <c r="P21" s="86">
        <f>SUMIFS('Allocated Transactions'!$J:$J,'Allocated Transactions'!$D:$D,'Variance by Program'!$B21,'Allocated Transactions'!$C:$C,'Variance by Program'!$B$2,'Allocated Transactions'!$A:$A,"&gt;="&amp;'Variance by Program'!P$10,'Allocated Transactions'!$A:$A,"&lt;="&amp;EOMONTH('Variance by Program'!P$10,0))</f>
        <v>7533.4056</v>
      </c>
      <c r="Q21" s="84">
        <f>SUMIFS('Budget Data'!$J:$J,'Budget Data'!$E:$E,'Variance by Program'!$B21,'Budget Data'!$C:$C,'Variance by Program'!$B$2,'Budget Data'!$A:$A,'Variance by Program'!Q$10)</f>
        <v>7500</v>
      </c>
      <c r="R21" s="86">
        <f>SUMIFS('Allocated Transactions'!$J:$J,'Allocated Transactions'!$D:$D,'Variance by Program'!$B21,'Allocated Transactions'!$C:$C,'Variance by Program'!$B$2,'Allocated Transactions'!$A:$A,"&gt;="&amp;'Variance by Program'!R$10,'Allocated Transactions'!$A:$A,"&lt;="&amp;EOMONTH('Variance by Program'!R$10,0))</f>
        <v>7427.8494230769202</v>
      </c>
      <c r="S21" s="84">
        <f>SUMIFS('Budget Data'!$J:$J,'Budget Data'!$E:$E,'Variance by Program'!$B21,'Budget Data'!$C:$C,'Variance by Program'!$B$2,'Budget Data'!$A:$A,'Variance by Program'!S$10)</f>
        <v>7400</v>
      </c>
      <c r="T21" s="86">
        <f>SUMIFS('Allocated Transactions'!$J:$J,'Allocated Transactions'!$D:$D,'Variance by Program'!$B21,'Allocated Transactions'!$C:$C,'Variance by Program'!$B$2,'Allocated Transactions'!$A:$A,"&gt;="&amp;'Variance by Program'!T$10,'Allocated Transactions'!$A:$A,"&lt;="&amp;EOMONTH('Variance by Program'!T$10,0))</f>
        <v>7277.8886538461602</v>
      </c>
      <c r="U21" s="84">
        <f>SUMIFS('Budget Data'!$J:$J,'Budget Data'!$E:$E,'Variance by Program'!$B21,'Budget Data'!$C:$C,'Variance by Program'!$B$2,'Budget Data'!$A:$A,'Variance by Program'!U$10)</f>
        <v>7200</v>
      </c>
      <c r="V21" s="86">
        <f>SUMIFS('Allocated Transactions'!$J:$J,'Allocated Transactions'!$D:$D,'Variance by Program'!$B21,'Allocated Transactions'!$C:$C,'Variance by Program'!$B$2,'Allocated Transactions'!$A:$A,"&gt;="&amp;'Variance by Program'!V$10,'Allocated Transactions'!$A:$A,"&lt;="&amp;EOMONTH('Variance by Program'!V$10,0))</f>
        <v>7337.43</v>
      </c>
      <c r="W21" s="84">
        <f>SUMIFS('Budget Data'!$J:$J,'Budget Data'!$E:$E,'Variance by Program'!$B21,'Budget Data'!$C:$C,'Variance by Program'!$B$2,'Budget Data'!$A:$A,'Variance by Program'!W$10)</f>
        <v>7300</v>
      </c>
      <c r="X21" s="86">
        <f>SUMIFS('Allocated Transactions'!$J:$J,'Allocated Transactions'!$D:$D,'Variance by Program'!$B21,'Allocated Transactions'!$C:$C,'Variance by Program'!$B$2,'Allocated Transactions'!$A:$A,"&gt;="&amp;'Variance by Program'!X$10,'Allocated Transactions'!$A:$A,"&lt;="&amp;EOMONTH('Variance by Program'!X$10,0))</f>
        <v>6857.5471153846202</v>
      </c>
      <c r="Y21" s="84">
        <f>SUMIFS('Budget Data'!$J:$J,'Budget Data'!$E:$E,'Variance by Program'!$B21,'Budget Data'!$C:$C,'Variance by Program'!$B$2,'Budget Data'!$A:$A,'Variance by Program'!Y$10)</f>
        <v>6800</v>
      </c>
      <c r="Z21" s="86">
        <f>SUMIFS('Allocated Transactions'!$J:$J,'Allocated Transactions'!$D:$D,'Variance by Program'!$B21,'Allocated Transactions'!$C:$C,'Variance by Program'!$B$2,'Allocated Transactions'!$A:$A,"&gt;="&amp;'Variance by Program'!Z$10,'Allocated Transactions'!$A:$A,"&lt;="&amp;EOMONTH('Variance by Program'!Z$10,0))</f>
        <v>7175.6740384615396</v>
      </c>
      <c r="AA21" s="84">
        <f>SUMIFS('Budget Data'!$J:$J,'Budget Data'!$E:$E,'Variance by Program'!$B21,'Budget Data'!$C:$C,'Variance by Program'!$B$2,'Budget Data'!$A:$A,'Variance by Program'!AA$10)</f>
        <v>7100</v>
      </c>
      <c r="AC21" s="86">
        <f t="shared" ref="AC21:AD38" si="3">SUMIF($D$9:$AA$9,AC$9,$D21:$AA21)</f>
        <v>88391.443984615384</v>
      </c>
      <c r="AD21" s="84">
        <f t="shared" si="3"/>
        <v>87600</v>
      </c>
    </row>
    <row r="22" spans="2:30" ht="15" customHeight="1">
      <c r="B22" s="12" t="str">
        <v>5010</v>
      </c>
      <c r="C22" s="160" t="str">
        <f>_xlfn.XLOOKUP(B22,'Allocated Transactions'!D:D,'Allocated Transactions'!E:E,"")</f>
        <v>Payroll Taxes</v>
      </c>
      <c r="D22" s="86">
        <f>SUMIFS('Allocated Transactions'!$J:$J,'Allocated Transactions'!$D:$D,'Variance by Program'!$B22,'Allocated Transactions'!$C:$C,'Variance by Program'!$B$2,'Allocated Transactions'!$A:$A,"&gt;="&amp;'Variance by Program'!D$10,'Allocated Transactions'!$A:$A,"&lt;="&amp;EOMONTH('Variance by Program'!D$10,0))</f>
        <v>562.93740000000003</v>
      </c>
      <c r="E22" s="84">
        <f>SUMIFS('Budget Data'!$J:$J,'Budget Data'!$E:$E,'Variance by Program'!$B22,'Budget Data'!$C:$C,'Variance by Program'!$B$2,'Budget Data'!$A:$A,'Variance by Program'!E$10)</f>
        <v>600</v>
      </c>
      <c r="F22" s="86">
        <f>SUMIFS('Allocated Transactions'!$J:$J,'Allocated Transactions'!$D:$D,'Variance by Program'!$B22,'Allocated Transactions'!$C:$C,'Variance by Program'!$B$2,'Allocated Transactions'!$A:$A,"&gt;="&amp;'Variance by Program'!F$10,'Allocated Transactions'!$A:$A,"&lt;="&amp;EOMONTH('Variance by Program'!F$10,0))</f>
        <v>572.17560000000003</v>
      </c>
      <c r="G22" s="84">
        <f>SUMIFS('Budget Data'!$J:$J,'Budget Data'!$E:$E,'Variance by Program'!$B22,'Budget Data'!$C:$C,'Variance by Program'!$B$2,'Budget Data'!$A:$A,'Variance by Program'!G$10)</f>
        <v>600</v>
      </c>
      <c r="H22" s="86">
        <f>SUMIFS('Allocated Transactions'!$J:$J,'Allocated Transactions'!$D:$D,'Variance by Program'!$B22,'Allocated Transactions'!$C:$C,'Variance by Program'!$B$2,'Allocated Transactions'!$A:$A,"&gt;="&amp;'Variance by Program'!H$10,'Allocated Transactions'!$A:$A,"&lt;="&amp;EOMONTH('Variance by Program'!H$10,0))</f>
        <v>587.68679999999995</v>
      </c>
      <c r="I22" s="84">
        <f>SUMIFS('Budget Data'!$J:$J,'Budget Data'!$E:$E,'Variance by Program'!$B22,'Budget Data'!$C:$C,'Variance by Program'!$B$2,'Budget Data'!$A:$A,'Variance by Program'!I$10)</f>
        <v>600</v>
      </c>
      <c r="J22" s="86">
        <f>SUMIFS('Allocated Transactions'!$J:$J,'Allocated Transactions'!$D:$D,'Variance by Program'!$B22,'Allocated Transactions'!$C:$C,'Variance by Program'!$B$2,'Allocated Transactions'!$A:$A,"&gt;="&amp;'Variance by Program'!J$10,'Allocated Transactions'!$A:$A,"&lt;="&amp;EOMONTH('Variance by Program'!J$10,0))</f>
        <v>592.57740000000001</v>
      </c>
      <c r="K22" s="84">
        <f>SUMIFS('Budget Data'!$J:$J,'Budget Data'!$E:$E,'Variance by Program'!$B22,'Budget Data'!$C:$C,'Variance by Program'!$B$2,'Budget Data'!$A:$A,'Variance by Program'!K$10)</f>
        <v>600</v>
      </c>
      <c r="L22" s="86">
        <f>SUMIFS('Allocated Transactions'!$J:$J,'Allocated Transactions'!$D:$D,'Variance by Program'!$B22,'Allocated Transactions'!$C:$C,'Variance by Program'!$B$2,'Allocated Transactions'!$A:$A,"&gt;="&amp;'Variance by Program'!L$10,'Allocated Transactions'!$A:$A,"&lt;="&amp;EOMONTH('Variance by Program'!L$10,0))</f>
        <v>550.45846153846196</v>
      </c>
      <c r="M22" s="84">
        <f>SUMIFS('Budget Data'!$J:$J,'Budget Data'!$E:$E,'Variance by Program'!$B22,'Budget Data'!$C:$C,'Variance by Program'!$B$2,'Budget Data'!$A:$A,'Variance by Program'!M$10)</f>
        <v>500</v>
      </c>
      <c r="N22" s="86">
        <f>SUMIFS('Allocated Transactions'!$J:$J,'Allocated Transactions'!$D:$D,'Variance by Program'!$B22,'Allocated Transactions'!$C:$C,'Variance by Program'!$B$2,'Allocated Transactions'!$A:$A,"&gt;="&amp;'Variance by Program'!N$10,'Allocated Transactions'!$A:$A,"&lt;="&amp;EOMONTH('Variance by Program'!N$10,0))</f>
        <v>559.959807692308</v>
      </c>
      <c r="O22" s="84">
        <f>SUMIFS('Budget Data'!$J:$J,'Budget Data'!$E:$E,'Variance by Program'!$B22,'Budget Data'!$C:$C,'Variance by Program'!$B$2,'Budget Data'!$A:$A,'Variance by Program'!O$10)</f>
        <v>600</v>
      </c>
      <c r="P22" s="86">
        <f>SUMIFS('Allocated Transactions'!$J:$J,'Allocated Transactions'!$D:$D,'Variance by Program'!$B22,'Allocated Transactions'!$C:$C,'Variance by Program'!$B$2,'Allocated Transactions'!$A:$A,"&gt;="&amp;'Variance by Program'!P$10,'Allocated Transactions'!$A:$A,"&lt;="&amp;EOMONTH('Variance by Program'!P$10,0))</f>
        <v>576.30600000000004</v>
      </c>
      <c r="Q22" s="84">
        <f>SUMIFS('Budget Data'!$J:$J,'Budget Data'!$E:$E,'Variance by Program'!$B22,'Budget Data'!$C:$C,'Variance by Program'!$B$2,'Budget Data'!$A:$A,'Variance by Program'!Q$10)</f>
        <v>600</v>
      </c>
      <c r="R22" s="86">
        <f>SUMIFS('Allocated Transactions'!$J:$J,'Allocated Transactions'!$D:$D,'Variance by Program'!$B22,'Allocated Transactions'!$C:$C,'Variance by Program'!$B$2,'Allocated Transactions'!$A:$A,"&gt;="&amp;'Variance by Program'!R$10,'Allocated Transactions'!$A:$A,"&lt;="&amp;EOMONTH('Variance by Program'!R$10,0))</f>
        <v>568.23057692307702</v>
      </c>
      <c r="S22" s="84">
        <f>SUMIFS('Budget Data'!$J:$J,'Budget Data'!$E:$E,'Variance by Program'!$B22,'Budget Data'!$C:$C,'Variance by Program'!$B$2,'Budget Data'!$A:$A,'Variance by Program'!S$10)</f>
        <v>600</v>
      </c>
      <c r="T22" s="86">
        <f>SUMIFS('Allocated Transactions'!$J:$J,'Allocated Transactions'!$D:$D,'Variance by Program'!$B22,'Allocated Transactions'!$C:$C,'Variance by Program'!$B$2,'Allocated Transactions'!$A:$A,"&gt;="&amp;'Variance by Program'!T$10,'Allocated Transactions'!$A:$A,"&lt;="&amp;EOMONTH('Variance by Program'!T$10,0))</f>
        <v>556.75846153846203</v>
      </c>
      <c r="U22" s="84">
        <f>SUMIFS('Budget Data'!$J:$J,'Budget Data'!$E:$E,'Variance by Program'!$B22,'Budget Data'!$C:$C,'Variance by Program'!$B$2,'Budget Data'!$A:$A,'Variance by Program'!U$10)</f>
        <v>600</v>
      </c>
      <c r="V22" s="86">
        <f>SUMIFS('Allocated Transactions'!$J:$J,'Allocated Transactions'!$D:$D,'Variance by Program'!$B22,'Allocated Transactions'!$C:$C,'Variance by Program'!$B$2,'Allocated Transactions'!$A:$A,"&gt;="&amp;'Variance by Program'!V$10,'Allocated Transactions'!$A:$A,"&lt;="&amp;EOMONTH('Variance by Program'!V$10,0))</f>
        <v>561.31384615384604</v>
      </c>
      <c r="W22" s="84">
        <f>SUMIFS('Budget Data'!$J:$J,'Budget Data'!$E:$E,'Variance by Program'!$B22,'Budget Data'!$C:$C,'Variance by Program'!$B$2,'Budget Data'!$A:$A,'Variance by Program'!W$10)</f>
        <v>600</v>
      </c>
      <c r="X22" s="86">
        <f>SUMIFS('Allocated Transactions'!$J:$J,'Allocated Transactions'!$D:$D,'Variance by Program'!$B22,'Allocated Transactions'!$C:$C,'Variance by Program'!$B$2,'Allocated Transactions'!$A:$A,"&gt;="&amp;'Variance by Program'!X$10,'Allocated Transactions'!$A:$A,"&lt;="&amp;EOMONTH('Variance by Program'!X$10,0))</f>
        <v>524.60192307692296</v>
      </c>
      <c r="Y22" s="84">
        <f>SUMIFS('Budget Data'!$J:$J,'Budget Data'!$E:$E,'Variance by Program'!$B22,'Budget Data'!$C:$C,'Variance by Program'!$B$2,'Budget Data'!$A:$A,'Variance by Program'!Y$10)</f>
        <v>500</v>
      </c>
      <c r="Z22" s="86">
        <f>SUMIFS('Allocated Transactions'!$J:$J,'Allocated Transactions'!$D:$D,'Variance by Program'!$B22,'Allocated Transactions'!$C:$C,'Variance by Program'!$B$2,'Allocated Transactions'!$A:$A,"&gt;="&amp;'Variance by Program'!Z$10,'Allocated Transactions'!$A:$A,"&lt;="&amp;EOMONTH('Variance by Program'!Z$10,0))</f>
        <v>548.93884615384604</v>
      </c>
      <c r="AA22" s="84">
        <f>SUMIFS('Budget Data'!$J:$J,'Budget Data'!$E:$E,'Variance by Program'!$B22,'Budget Data'!$C:$C,'Variance by Program'!$B$2,'Budget Data'!$A:$A,'Variance by Program'!AA$10)</f>
        <v>500</v>
      </c>
      <c r="AC22" s="86">
        <f t="shared" si="3"/>
        <v>6761.9451230769246</v>
      </c>
      <c r="AD22" s="84">
        <f t="shared" si="3"/>
        <v>6900</v>
      </c>
    </row>
    <row r="23" spans="2:30" ht="15" customHeight="1">
      <c r="B23" s="12" t="str">
        <v>5020</v>
      </c>
      <c r="C23" s="160" t="str">
        <f>_xlfn.XLOOKUP(B23,'Allocated Transactions'!D:D,'Allocated Transactions'!E:E,"")</f>
        <v>Employee Benefits</v>
      </c>
      <c r="D23" s="86">
        <f>SUMIFS('Allocated Transactions'!$J:$J,'Allocated Transactions'!$D:$D,'Variance by Program'!$B23,'Allocated Transactions'!$C:$C,'Variance by Program'!$B$2,'Allocated Transactions'!$A:$A,"&gt;="&amp;'Variance by Program'!D$10,'Allocated Transactions'!$A:$A,"&lt;="&amp;EOMONTH('Variance by Program'!D$10,0))</f>
        <v>1754.6143806521741</v>
      </c>
      <c r="E23" s="84">
        <f>SUMIFS('Budget Data'!$J:$J,'Budget Data'!$E:$E,'Variance by Program'!$B23,'Budget Data'!$C:$C,'Variance by Program'!$B$2,'Budget Data'!$A:$A,'Variance by Program'!E$10)</f>
        <v>1700</v>
      </c>
      <c r="F23" s="86">
        <f>SUMIFS('Allocated Transactions'!$J:$J,'Allocated Transactions'!$D:$D,'Variance by Program'!$B23,'Allocated Transactions'!$C:$C,'Variance by Program'!$B$2,'Allocated Transactions'!$A:$A,"&gt;="&amp;'Variance by Program'!F$10,'Allocated Transactions'!$A:$A,"&lt;="&amp;EOMONTH('Variance by Program'!F$10,0))</f>
        <v>969.65342571428573</v>
      </c>
      <c r="G23" s="84">
        <f>SUMIFS('Budget Data'!$J:$J,'Budget Data'!$E:$E,'Variance by Program'!$B23,'Budget Data'!$C:$C,'Variance by Program'!$B$2,'Budget Data'!$A:$A,'Variance by Program'!G$10)</f>
        <v>1000</v>
      </c>
      <c r="H23" s="86">
        <f>SUMIFS('Allocated Transactions'!$J:$J,'Allocated Transactions'!$D:$D,'Variance by Program'!$B23,'Allocated Transactions'!$C:$C,'Variance by Program'!$B$2,'Allocated Transactions'!$A:$A,"&gt;="&amp;'Variance by Program'!H$10,'Allocated Transactions'!$A:$A,"&lt;="&amp;EOMONTH('Variance by Program'!H$10,0))</f>
        <v>1498.3162746590911</v>
      </c>
      <c r="I23" s="84">
        <f>SUMIFS('Budget Data'!$J:$J,'Budget Data'!$E:$E,'Variance by Program'!$B23,'Budget Data'!$C:$C,'Variance by Program'!$B$2,'Budget Data'!$A:$A,'Variance by Program'!I$10)</f>
        <v>1500</v>
      </c>
      <c r="J23" s="86">
        <f>SUMIFS('Allocated Transactions'!$J:$J,'Allocated Transactions'!$D:$D,'Variance by Program'!$B23,'Allocated Transactions'!$C:$C,'Variance by Program'!$B$2,'Allocated Transactions'!$A:$A,"&gt;="&amp;'Variance by Program'!J$10,'Allocated Transactions'!$A:$A,"&lt;="&amp;EOMONTH('Variance by Program'!J$10,0))</f>
        <v>1636.5057630434785</v>
      </c>
      <c r="K23" s="84">
        <f>SUMIFS('Budget Data'!$J:$J,'Budget Data'!$E:$E,'Variance by Program'!$B23,'Budget Data'!$C:$C,'Variance by Program'!$B$2,'Budget Data'!$A:$A,'Variance by Program'!K$10)</f>
        <v>1600</v>
      </c>
      <c r="L23" s="86">
        <f>SUMIFS('Allocated Transactions'!$J:$J,'Allocated Transactions'!$D:$D,'Variance by Program'!$B23,'Allocated Transactions'!$C:$C,'Variance by Program'!$B$2,'Allocated Transactions'!$A:$A,"&gt;="&amp;'Variance by Program'!L$10,'Allocated Transactions'!$A:$A,"&lt;="&amp;EOMONTH('Variance by Program'!L$10,0))</f>
        <v>2154.1635155048102</v>
      </c>
      <c r="M23" s="84">
        <f>SUMIFS('Budget Data'!$J:$J,'Budget Data'!$E:$E,'Variance by Program'!$B23,'Budget Data'!$C:$C,'Variance by Program'!$B$2,'Budget Data'!$A:$A,'Variance by Program'!M$10)</f>
        <v>2100</v>
      </c>
      <c r="N23" s="86">
        <f>SUMIFS('Allocated Transactions'!$J:$J,'Allocated Transactions'!$D:$D,'Variance by Program'!$B23,'Allocated Transactions'!$C:$C,'Variance by Program'!$B$2,'Allocated Transactions'!$A:$A,"&gt;="&amp;'Variance by Program'!N$10,'Allocated Transactions'!$A:$A,"&lt;="&amp;EOMONTH('Variance by Program'!N$10,0))</f>
        <v>2474.656127612875</v>
      </c>
      <c r="O23" s="84">
        <f>SUMIFS('Budget Data'!$J:$J,'Budget Data'!$E:$E,'Variance by Program'!$B23,'Budget Data'!$C:$C,'Variance by Program'!$B$2,'Budget Data'!$A:$A,'Variance by Program'!O$10)</f>
        <v>2400</v>
      </c>
      <c r="P23" s="86">
        <f>SUMIFS('Allocated Transactions'!$J:$J,'Allocated Transactions'!$D:$D,'Variance by Program'!$B23,'Allocated Transactions'!$C:$C,'Variance by Program'!$B$2,'Allocated Transactions'!$A:$A,"&gt;="&amp;'Variance by Program'!P$10,'Allocated Transactions'!$A:$A,"&lt;="&amp;EOMONTH('Variance by Program'!P$10,0))</f>
        <v>3124.3656140909088</v>
      </c>
      <c r="Q23" s="84">
        <f>SUMIFS('Budget Data'!$J:$J,'Budget Data'!$E:$E,'Variance by Program'!$B23,'Budget Data'!$C:$C,'Variance by Program'!$B$2,'Budget Data'!$A:$A,'Variance by Program'!Q$10)</f>
        <v>3100</v>
      </c>
      <c r="R23" s="86">
        <f>SUMIFS('Allocated Transactions'!$J:$J,'Allocated Transactions'!$D:$D,'Variance by Program'!$B23,'Allocated Transactions'!$C:$C,'Variance by Program'!$B$2,'Allocated Transactions'!$A:$A,"&gt;="&amp;'Variance by Program'!R$10,'Allocated Transactions'!$A:$A,"&lt;="&amp;EOMONTH('Variance by Program'!R$10,0))</f>
        <v>3353.364353485581</v>
      </c>
      <c r="S23" s="84">
        <f>SUMIFS('Budget Data'!$J:$J,'Budget Data'!$E:$E,'Variance by Program'!$B23,'Budget Data'!$C:$C,'Variance by Program'!$B$2,'Budget Data'!$A:$A,'Variance by Program'!S$10)</f>
        <v>3300</v>
      </c>
      <c r="T23" s="86">
        <f>SUMIFS('Allocated Transactions'!$J:$J,'Allocated Transactions'!$D:$D,'Variance by Program'!$B23,'Allocated Transactions'!$C:$C,'Variance by Program'!$B$2,'Allocated Transactions'!$A:$A,"&gt;="&amp;'Variance by Program'!T$10,'Allocated Transactions'!$A:$A,"&lt;="&amp;EOMONTH('Variance by Program'!T$10,0))</f>
        <v>3542.181621831297</v>
      </c>
      <c r="U23" s="84">
        <f>SUMIFS('Budget Data'!$J:$J,'Budget Data'!$E:$E,'Variance by Program'!$B23,'Budget Data'!$C:$C,'Variance by Program'!$B$2,'Budget Data'!$A:$A,'Variance by Program'!U$10)</f>
        <v>3500</v>
      </c>
      <c r="V23" s="86">
        <f>SUMIFS('Allocated Transactions'!$J:$J,'Allocated Transactions'!$D:$D,'Variance by Program'!$B23,'Allocated Transactions'!$C:$C,'Variance by Program'!$B$2,'Allocated Transactions'!$A:$A,"&gt;="&amp;'Variance by Program'!V$10,'Allocated Transactions'!$A:$A,"&lt;="&amp;EOMONTH('Variance by Program'!V$10,0))</f>
        <v>4057.5435957167829</v>
      </c>
      <c r="W23" s="84">
        <f>SUMIFS('Budget Data'!$J:$J,'Budget Data'!$E:$E,'Variance by Program'!$B23,'Budget Data'!$C:$C,'Variance by Program'!$B$2,'Budget Data'!$A:$A,'Variance by Program'!W$10)</f>
        <v>4000</v>
      </c>
      <c r="X23" s="86">
        <f>SUMIFS('Allocated Transactions'!$J:$J,'Allocated Transactions'!$D:$D,'Variance by Program'!$B23,'Allocated Transactions'!$C:$C,'Variance by Program'!$B$2,'Allocated Transactions'!$A:$A,"&gt;="&amp;'Variance by Program'!X$10,'Allocated Transactions'!$A:$A,"&lt;="&amp;EOMONTH('Variance by Program'!X$10,0))</f>
        <v>3542.2498368818688</v>
      </c>
      <c r="Y23" s="84">
        <f>SUMIFS('Budget Data'!$J:$J,'Budget Data'!$E:$E,'Variance by Program'!$B23,'Budget Data'!$C:$C,'Variance by Program'!$B$2,'Budget Data'!$A:$A,'Variance by Program'!Y$10)</f>
        <v>3500</v>
      </c>
      <c r="Z23" s="86">
        <f>SUMIFS('Allocated Transactions'!$J:$J,'Allocated Transactions'!$D:$D,'Variance by Program'!$B23,'Allocated Transactions'!$C:$C,'Variance by Program'!$B$2,'Allocated Transactions'!$A:$A,"&gt;="&amp;'Variance by Program'!Z$10,'Allocated Transactions'!$A:$A,"&lt;="&amp;EOMONTH('Variance by Program'!Z$10,0))</f>
        <v>3397.3012155812958</v>
      </c>
      <c r="AA23" s="84">
        <f>SUMIFS('Budget Data'!$J:$J,'Budget Data'!$E:$E,'Variance by Program'!$B23,'Budget Data'!$C:$C,'Variance by Program'!$B$2,'Budget Data'!$A:$A,'Variance by Program'!AA$10)</f>
        <v>3400</v>
      </c>
      <c r="AC23" s="86">
        <f t="shared" si="3"/>
        <v>31504.915724774444</v>
      </c>
      <c r="AD23" s="84">
        <f t="shared" si="3"/>
        <v>31100</v>
      </c>
    </row>
    <row r="24" spans="2:30" ht="15" customHeight="1">
      <c r="B24" s="12" t="str">
        <v>5030</v>
      </c>
      <c r="C24" s="160" t="str">
        <f>_xlfn.XLOOKUP(B24,'Allocated Transactions'!D:D,'Allocated Transactions'!E:E,"")</f>
        <v>Retirement Contributions</v>
      </c>
      <c r="D24" s="86">
        <f>SUMIFS('Allocated Transactions'!$J:$J,'Allocated Transactions'!$D:$D,'Variance by Program'!$B24,'Allocated Transactions'!$C:$C,'Variance by Program'!$B$2,'Allocated Transactions'!$A:$A,"&gt;="&amp;'Variance by Program'!D$10,'Allocated Transactions'!$A:$A,"&lt;="&amp;EOMONTH('Variance by Program'!D$10,0))</f>
        <v>220.75980000000001</v>
      </c>
      <c r="E24" s="84">
        <f>SUMIFS('Budget Data'!$J:$J,'Budget Data'!$E:$E,'Variance by Program'!$B24,'Budget Data'!$C:$C,'Variance by Program'!$B$2,'Budget Data'!$A:$A,'Variance by Program'!E$10)</f>
        <v>200</v>
      </c>
      <c r="F24" s="86">
        <f>SUMIFS('Allocated Transactions'!$J:$J,'Allocated Transactions'!$D:$D,'Variance by Program'!$B24,'Allocated Transactions'!$C:$C,'Variance by Program'!$B$2,'Allocated Transactions'!$A:$A,"&gt;="&amp;'Variance by Program'!F$10,'Allocated Transactions'!$A:$A,"&lt;="&amp;EOMONTH('Variance by Program'!F$10,0))</f>
        <v>224.3826</v>
      </c>
      <c r="G24" s="84">
        <f>SUMIFS('Budget Data'!$J:$J,'Budget Data'!$E:$E,'Variance by Program'!$B24,'Budget Data'!$C:$C,'Variance by Program'!$B$2,'Budget Data'!$A:$A,'Variance by Program'!G$10)</f>
        <v>200</v>
      </c>
      <c r="H24" s="86">
        <f>SUMIFS('Allocated Transactions'!$J:$J,'Allocated Transactions'!$D:$D,'Variance by Program'!$B24,'Allocated Transactions'!$C:$C,'Variance by Program'!$B$2,'Allocated Transactions'!$A:$A,"&gt;="&amp;'Variance by Program'!H$10,'Allocated Transactions'!$A:$A,"&lt;="&amp;EOMONTH('Variance by Program'!H$10,0))</f>
        <v>230.46539999999999</v>
      </c>
      <c r="I24" s="84">
        <f>SUMIFS('Budget Data'!$J:$J,'Budget Data'!$E:$E,'Variance by Program'!$B24,'Budget Data'!$C:$C,'Variance by Program'!$B$2,'Budget Data'!$A:$A,'Variance by Program'!I$10)</f>
        <v>200</v>
      </c>
      <c r="J24" s="86">
        <f>SUMIFS('Allocated Transactions'!$J:$J,'Allocated Transactions'!$D:$D,'Variance by Program'!$B24,'Allocated Transactions'!$C:$C,'Variance by Program'!$B$2,'Allocated Transactions'!$A:$A,"&gt;="&amp;'Variance by Program'!J$10,'Allocated Transactions'!$A:$A,"&lt;="&amp;EOMONTH('Variance by Program'!J$10,0))</f>
        <v>232.38300000000001</v>
      </c>
      <c r="K24" s="84">
        <f>SUMIFS('Budget Data'!$J:$J,'Budget Data'!$E:$E,'Variance by Program'!$B24,'Budget Data'!$C:$C,'Variance by Program'!$B$2,'Budget Data'!$A:$A,'Variance by Program'!K$10)</f>
        <v>200</v>
      </c>
      <c r="L24" s="86">
        <f>SUMIFS('Allocated Transactions'!$J:$J,'Allocated Transactions'!$D:$D,'Variance by Program'!$B24,'Allocated Transactions'!$C:$C,'Variance by Program'!$B$2,'Allocated Transactions'!$A:$A,"&gt;="&amp;'Variance by Program'!L$10,'Allocated Transactions'!$A:$A,"&lt;="&amp;EOMONTH('Variance by Program'!L$10,0))</f>
        <v>215.86557692307699</v>
      </c>
      <c r="M24" s="84">
        <f>SUMIFS('Budget Data'!$J:$J,'Budget Data'!$E:$E,'Variance by Program'!$B24,'Budget Data'!$C:$C,'Variance by Program'!$B$2,'Budget Data'!$A:$A,'Variance by Program'!M$10)</f>
        <v>200</v>
      </c>
      <c r="N24" s="86">
        <f>SUMIFS('Allocated Transactions'!$J:$J,'Allocated Transactions'!$D:$D,'Variance by Program'!$B24,'Allocated Transactions'!$C:$C,'Variance by Program'!$B$2,'Allocated Transactions'!$A:$A,"&gt;="&amp;'Variance by Program'!N$10,'Allocated Transactions'!$A:$A,"&lt;="&amp;EOMONTH('Variance by Program'!N$10,0))</f>
        <v>219.591923076923</v>
      </c>
      <c r="O24" s="84">
        <f>SUMIFS('Budget Data'!$J:$J,'Budget Data'!$E:$E,'Variance by Program'!$B24,'Budget Data'!$C:$C,'Variance by Program'!$B$2,'Budget Data'!$A:$A,'Variance by Program'!O$10)</f>
        <v>200</v>
      </c>
      <c r="P24" s="86">
        <f>SUMIFS('Allocated Transactions'!$J:$J,'Allocated Transactions'!$D:$D,'Variance by Program'!$B24,'Allocated Transactions'!$C:$C,'Variance by Program'!$B$2,'Allocated Transactions'!$A:$A,"&gt;="&amp;'Variance by Program'!P$10,'Allocated Transactions'!$A:$A,"&lt;="&amp;EOMONTH('Variance by Program'!P$10,0))</f>
        <v>226.00200000000001</v>
      </c>
      <c r="Q24" s="84">
        <f>SUMIFS('Budget Data'!$J:$J,'Budget Data'!$E:$E,'Variance by Program'!$B24,'Budget Data'!$C:$C,'Variance by Program'!$B$2,'Budget Data'!$A:$A,'Variance by Program'!Q$10)</f>
        <v>200</v>
      </c>
      <c r="R24" s="86">
        <f>SUMIFS('Allocated Transactions'!$J:$J,'Allocated Transactions'!$D:$D,'Variance by Program'!$B24,'Allocated Transactions'!$C:$C,'Variance by Program'!$B$2,'Allocated Transactions'!$A:$A,"&gt;="&amp;'Variance by Program'!R$10,'Allocated Transactions'!$A:$A,"&lt;="&amp;EOMONTH('Variance by Program'!R$10,0))</f>
        <v>222.83538461538501</v>
      </c>
      <c r="S24" s="84">
        <f>SUMIFS('Budget Data'!$J:$J,'Budget Data'!$E:$E,'Variance by Program'!$B24,'Budget Data'!$C:$C,'Variance by Program'!$B$2,'Budget Data'!$A:$A,'Variance by Program'!S$10)</f>
        <v>200</v>
      </c>
      <c r="T24" s="86">
        <f>SUMIFS('Allocated Transactions'!$J:$J,'Allocated Transactions'!$D:$D,'Variance by Program'!$B24,'Allocated Transactions'!$C:$C,'Variance by Program'!$B$2,'Allocated Transactions'!$A:$A,"&gt;="&amp;'Variance by Program'!T$10,'Allocated Transactions'!$A:$A,"&lt;="&amp;EOMONTH('Variance by Program'!T$10,0))</f>
        <v>218.33653846153899</v>
      </c>
      <c r="U24" s="84">
        <f>SUMIFS('Budget Data'!$J:$J,'Budget Data'!$E:$E,'Variance by Program'!$B24,'Budget Data'!$C:$C,'Variance by Program'!$B$2,'Budget Data'!$A:$A,'Variance by Program'!U$10)</f>
        <v>200</v>
      </c>
      <c r="V24" s="86">
        <f>SUMIFS('Allocated Transactions'!$J:$J,'Allocated Transactions'!$D:$D,'Variance by Program'!$B24,'Allocated Transactions'!$C:$C,'Variance by Program'!$B$2,'Allocated Transactions'!$A:$A,"&gt;="&amp;'Variance by Program'!V$10,'Allocated Transactions'!$A:$A,"&lt;="&amp;EOMONTH('Variance by Program'!V$10,0))</f>
        <v>220.12269230769201</v>
      </c>
      <c r="W24" s="84">
        <f>SUMIFS('Budget Data'!$J:$J,'Budget Data'!$E:$E,'Variance by Program'!$B24,'Budget Data'!$C:$C,'Variance by Program'!$B$2,'Budget Data'!$A:$A,'Variance by Program'!W$10)</f>
        <v>200</v>
      </c>
      <c r="X24" s="86">
        <f>SUMIFS('Allocated Transactions'!$J:$J,'Allocated Transactions'!$D:$D,'Variance by Program'!$B24,'Allocated Transactions'!$C:$C,'Variance by Program'!$B$2,'Allocated Transactions'!$A:$A,"&gt;="&amp;'Variance by Program'!X$10,'Allocated Transactions'!$A:$A,"&lt;="&amp;EOMONTH('Variance by Program'!X$10,0))</f>
        <v>205.72673076923101</v>
      </c>
      <c r="Y24" s="84">
        <f>SUMIFS('Budget Data'!$J:$J,'Budget Data'!$E:$E,'Variance by Program'!$B24,'Budget Data'!$C:$C,'Variance by Program'!$B$2,'Budget Data'!$A:$A,'Variance by Program'!Y$10)</f>
        <v>200</v>
      </c>
      <c r="Z24" s="86">
        <f>SUMIFS('Allocated Transactions'!$J:$J,'Allocated Transactions'!$D:$D,'Variance by Program'!$B24,'Allocated Transactions'!$C:$C,'Variance by Program'!$B$2,'Allocated Transactions'!$A:$A,"&gt;="&amp;'Variance by Program'!Z$10,'Allocated Transactions'!$A:$A,"&lt;="&amp;EOMONTH('Variance by Program'!Z$10,0))</f>
        <v>215.27019230769201</v>
      </c>
      <c r="AA24" s="84">
        <f>SUMIFS('Budget Data'!$J:$J,'Budget Data'!$E:$E,'Variance by Program'!$B24,'Budget Data'!$C:$C,'Variance by Program'!$B$2,'Budget Data'!$A:$A,'Variance by Program'!AA$10)</f>
        <v>200</v>
      </c>
      <c r="AC24" s="86">
        <f t="shared" si="3"/>
        <v>2651.7418384615389</v>
      </c>
      <c r="AD24" s="84">
        <f t="shared" si="3"/>
        <v>2400</v>
      </c>
    </row>
    <row r="25" spans="2:30" ht="15" customHeight="1">
      <c r="B25" s="12" t="str">
        <v>5100</v>
      </c>
      <c r="C25" s="160" t="str">
        <f>_xlfn.XLOOKUP(B25,'Allocated Transactions'!D:D,'Allocated Transactions'!E:E,"")</f>
        <v>Contract Labor / Consultants</v>
      </c>
      <c r="D25" s="86">
        <f>SUMIFS('Allocated Transactions'!$J:$J,'Allocated Transactions'!$D:$D,'Variance by Program'!$B25,'Allocated Transactions'!$C:$C,'Variance by Program'!$B$2,'Allocated Transactions'!$A:$A,"&gt;="&amp;'Variance by Program'!D$10,'Allocated Transactions'!$A:$A,"&lt;="&amp;EOMONTH('Variance by Program'!D$10,0))</f>
        <v>0</v>
      </c>
      <c r="E25" s="84">
        <f>SUMIFS('Budget Data'!$J:$J,'Budget Data'!$E:$E,'Variance by Program'!$B25,'Budget Data'!$C:$C,'Variance by Program'!$B$2,'Budget Data'!$A:$A,'Variance by Program'!E$10)</f>
        <v>0</v>
      </c>
      <c r="F25" s="86">
        <f>SUMIFS('Allocated Transactions'!$J:$J,'Allocated Transactions'!$D:$D,'Variance by Program'!$B25,'Allocated Transactions'!$C:$C,'Variance by Program'!$B$2,'Allocated Transactions'!$A:$A,"&gt;="&amp;'Variance by Program'!F$10,'Allocated Transactions'!$A:$A,"&lt;="&amp;EOMONTH('Variance by Program'!F$10,0))</f>
        <v>0</v>
      </c>
      <c r="G25" s="84">
        <f>SUMIFS('Budget Data'!$J:$J,'Budget Data'!$E:$E,'Variance by Program'!$B25,'Budget Data'!$C:$C,'Variance by Program'!$B$2,'Budget Data'!$A:$A,'Variance by Program'!G$10)</f>
        <v>0</v>
      </c>
      <c r="H25" s="86">
        <f>SUMIFS('Allocated Transactions'!$J:$J,'Allocated Transactions'!$D:$D,'Variance by Program'!$B25,'Allocated Transactions'!$C:$C,'Variance by Program'!$B$2,'Allocated Transactions'!$A:$A,"&gt;="&amp;'Variance by Program'!H$10,'Allocated Transactions'!$A:$A,"&lt;="&amp;EOMONTH('Variance by Program'!H$10,0))</f>
        <v>0</v>
      </c>
      <c r="I25" s="84">
        <f>SUMIFS('Budget Data'!$J:$J,'Budget Data'!$E:$E,'Variance by Program'!$B25,'Budget Data'!$C:$C,'Variance by Program'!$B$2,'Budget Data'!$A:$A,'Variance by Program'!I$10)</f>
        <v>0</v>
      </c>
      <c r="J25" s="86">
        <f>SUMIFS('Allocated Transactions'!$J:$J,'Allocated Transactions'!$D:$D,'Variance by Program'!$B25,'Allocated Transactions'!$C:$C,'Variance by Program'!$B$2,'Allocated Transactions'!$A:$A,"&gt;="&amp;'Variance by Program'!J$10,'Allocated Transactions'!$A:$A,"&lt;="&amp;EOMONTH('Variance by Program'!J$10,0))</f>
        <v>0</v>
      </c>
      <c r="K25" s="84">
        <f>SUMIFS('Budget Data'!$J:$J,'Budget Data'!$E:$E,'Variance by Program'!$B25,'Budget Data'!$C:$C,'Variance by Program'!$B$2,'Budget Data'!$A:$A,'Variance by Program'!K$10)</f>
        <v>0</v>
      </c>
      <c r="L25" s="86">
        <f>SUMIFS('Allocated Transactions'!$J:$J,'Allocated Transactions'!$D:$D,'Variance by Program'!$B25,'Allocated Transactions'!$C:$C,'Variance by Program'!$B$2,'Allocated Transactions'!$A:$A,"&gt;="&amp;'Variance by Program'!L$10,'Allocated Transactions'!$A:$A,"&lt;="&amp;EOMONTH('Variance by Program'!L$10,0))</f>
        <v>0</v>
      </c>
      <c r="M25" s="84">
        <f>SUMIFS('Budget Data'!$J:$J,'Budget Data'!$E:$E,'Variance by Program'!$B25,'Budget Data'!$C:$C,'Variance by Program'!$B$2,'Budget Data'!$A:$A,'Variance by Program'!M$10)</f>
        <v>0</v>
      </c>
      <c r="N25" s="86">
        <f>SUMIFS('Allocated Transactions'!$J:$J,'Allocated Transactions'!$D:$D,'Variance by Program'!$B25,'Allocated Transactions'!$C:$C,'Variance by Program'!$B$2,'Allocated Transactions'!$A:$A,"&gt;="&amp;'Variance by Program'!N$10,'Allocated Transactions'!$A:$A,"&lt;="&amp;EOMONTH('Variance by Program'!N$10,0))</f>
        <v>0</v>
      </c>
      <c r="O25" s="84">
        <f>SUMIFS('Budget Data'!$J:$J,'Budget Data'!$E:$E,'Variance by Program'!$B25,'Budget Data'!$C:$C,'Variance by Program'!$B$2,'Budget Data'!$A:$A,'Variance by Program'!O$10)</f>
        <v>0</v>
      </c>
      <c r="P25" s="86">
        <f>SUMIFS('Allocated Transactions'!$J:$J,'Allocated Transactions'!$D:$D,'Variance by Program'!$B25,'Allocated Transactions'!$C:$C,'Variance by Program'!$B$2,'Allocated Transactions'!$A:$A,"&gt;="&amp;'Variance by Program'!P$10,'Allocated Transactions'!$A:$A,"&lt;="&amp;EOMONTH('Variance by Program'!P$10,0))</f>
        <v>0</v>
      </c>
      <c r="Q25" s="84">
        <f>SUMIFS('Budget Data'!$J:$J,'Budget Data'!$E:$E,'Variance by Program'!$B25,'Budget Data'!$C:$C,'Variance by Program'!$B$2,'Budget Data'!$A:$A,'Variance by Program'!Q$10)</f>
        <v>0</v>
      </c>
      <c r="R25" s="86">
        <f>SUMIFS('Allocated Transactions'!$J:$J,'Allocated Transactions'!$D:$D,'Variance by Program'!$B25,'Allocated Transactions'!$C:$C,'Variance by Program'!$B$2,'Allocated Transactions'!$A:$A,"&gt;="&amp;'Variance by Program'!R$10,'Allocated Transactions'!$A:$A,"&lt;="&amp;EOMONTH('Variance by Program'!R$10,0))</f>
        <v>0</v>
      </c>
      <c r="S25" s="84">
        <f>SUMIFS('Budget Data'!$J:$J,'Budget Data'!$E:$E,'Variance by Program'!$B25,'Budget Data'!$C:$C,'Variance by Program'!$B$2,'Budget Data'!$A:$A,'Variance by Program'!S$10)</f>
        <v>0</v>
      </c>
      <c r="T25" s="86">
        <f>SUMIFS('Allocated Transactions'!$J:$J,'Allocated Transactions'!$D:$D,'Variance by Program'!$B25,'Allocated Transactions'!$C:$C,'Variance by Program'!$B$2,'Allocated Transactions'!$A:$A,"&gt;="&amp;'Variance by Program'!T$10,'Allocated Transactions'!$A:$A,"&lt;="&amp;EOMONTH('Variance by Program'!T$10,0))</f>
        <v>0</v>
      </c>
      <c r="U25" s="84">
        <f>SUMIFS('Budget Data'!$J:$J,'Budget Data'!$E:$E,'Variance by Program'!$B25,'Budget Data'!$C:$C,'Variance by Program'!$B$2,'Budget Data'!$A:$A,'Variance by Program'!U$10)</f>
        <v>0</v>
      </c>
      <c r="V25" s="86">
        <f>SUMIFS('Allocated Transactions'!$J:$J,'Allocated Transactions'!$D:$D,'Variance by Program'!$B25,'Allocated Transactions'!$C:$C,'Variance by Program'!$B$2,'Allocated Transactions'!$A:$A,"&gt;="&amp;'Variance by Program'!V$10,'Allocated Transactions'!$A:$A,"&lt;="&amp;EOMONTH('Variance by Program'!V$10,0))</f>
        <v>0</v>
      </c>
      <c r="W25" s="84">
        <f>SUMIFS('Budget Data'!$J:$J,'Budget Data'!$E:$E,'Variance by Program'!$B25,'Budget Data'!$C:$C,'Variance by Program'!$B$2,'Budget Data'!$A:$A,'Variance by Program'!W$10)</f>
        <v>0</v>
      </c>
      <c r="X25" s="86">
        <f>SUMIFS('Allocated Transactions'!$J:$J,'Allocated Transactions'!$D:$D,'Variance by Program'!$B25,'Allocated Transactions'!$C:$C,'Variance by Program'!$B$2,'Allocated Transactions'!$A:$A,"&gt;="&amp;'Variance by Program'!X$10,'Allocated Transactions'!$A:$A,"&lt;="&amp;EOMONTH('Variance by Program'!X$10,0))</f>
        <v>0</v>
      </c>
      <c r="Y25" s="84">
        <f>SUMIFS('Budget Data'!$J:$J,'Budget Data'!$E:$E,'Variance by Program'!$B25,'Budget Data'!$C:$C,'Variance by Program'!$B$2,'Budget Data'!$A:$A,'Variance by Program'!Y$10)</f>
        <v>0</v>
      </c>
      <c r="Z25" s="86">
        <f>SUMIFS('Allocated Transactions'!$J:$J,'Allocated Transactions'!$D:$D,'Variance by Program'!$B25,'Allocated Transactions'!$C:$C,'Variance by Program'!$B$2,'Allocated Transactions'!$A:$A,"&gt;="&amp;'Variance by Program'!Z$10,'Allocated Transactions'!$A:$A,"&lt;="&amp;EOMONTH('Variance by Program'!Z$10,0))</f>
        <v>0</v>
      </c>
      <c r="AA25" s="84">
        <f>SUMIFS('Budget Data'!$J:$J,'Budget Data'!$E:$E,'Variance by Program'!$B25,'Budget Data'!$C:$C,'Variance by Program'!$B$2,'Budget Data'!$A:$A,'Variance by Program'!AA$10)</f>
        <v>0</v>
      </c>
      <c r="AC25" s="86">
        <f t="shared" si="3"/>
        <v>0</v>
      </c>
      <c r="AD25" s="84">
        <f t="shared" si="3"/>
        <v>0</v>
      </c>
    </row>
    <row r="26" spans="2:30" ht="15" customHeight="1">
      <c r="B26" s="12" t="str">
        <v>5200</v>
      </c>
      <c r="C26" s="160" t="str">
        <f>_xlfn.XLOOKUP(B26,'Allocated Transactions'!D:D,'Allocated Transactions'!E:E,"")</f>
        <v>Rent</v>
      </c>
      <c r="D26" s="86">
        <f>SUMIFS('Allocated Transactions'!$J:$J,'Allocated Transactions'!$D:$D,'Variance by Program'!$B26,'Allocated Transactions'!$C:$C,'Variance by Program'!$B$2,'Allocated Transactions'!$A:$A,"&gt;="&amp;'Variance by Program'!D$10,'Allocated Transactions'!$A:$A,"&lt;="&amp;EOMONTH('Variance by Program'!D$10,0))</f>
        <v>588</v>
      </c>
      <c r="E26" s="84">
        <f>SUMIFS('Budget Data'!$J:$J,'Budget Data'!$E:$E,'Variance by Program'!$B26,'Budget Data'!$C:$C,'Variance by Program'!$B$2,'Budget Data'!$A:$A,'Variance by Program'!E$10)</f>
        <v>600</v>
      </c>
      <c r="F26" s="86">
        <f>SUMIFS('Allocated Transactions'!$J:$J,'Allocated Transactions'!$D:$D,'Variance by Program'!$B26,'Allocated Transactions'!$C:$C,'Variance by Program'!$B$2,'Allocated Transactions'!$A:$A,"&gt;="&amp;'Variance by Program'!F$10,'Allocated Transactions'!$A:$A,"&lt;="&amp;EOMONTH('Variance by Program'!F$10,0))</f>
        <v>588</v>
      </c>
      <c r="G26" s="84">
        <f>SUMIFS('Budget Data'!$J:$J,'Budget Data'!$E:$E,'Variance by Program'!$B26,'Budget Data'!$C:$C,'Variance by Program'!$B$2,'Budget Data'!$A:$A,'Variance by Program'!G$10)</f>
        <v>600</v>
      </c>
      <c r="H26" s="86">
        <f>SUMIFS('Allocated Transactions'!$J:$J,'Allocated Transactions'!$D:$D,'Variance by Program'!$B26,'Allocated Transactions'!$C:$C,'Variance by Program'!$B$2,'Allocated Transactions'!$A:$A,"&gt;="&amp;'Variance by Program'!H$10,'Allocated Transactions'!$A:$A,"&lt;="&amp;EOMONTH('Variance by Program'!H$10,0))</f>
        <v>588</v>
      </c>
      <c r="I26" s="84">
        <f>SUMIFS('Budget Data'!$J:$J,'Budget Data'!$E:$E,'Variance by Program'!$B26,'Budget Data'!$C:$C,'Variance by Program'!$B$2,'Budget Data'!$A:$A,'Variance by Program'!I$10)</f>
        <v>600</v>
      </c>
      <c r="J26" s="86">
        <f>SUMIFS('Allocated Transactions'!$J:$J,'Allocated Transactions'!$D:$D,'Variance by Program'!$B26,'Allocated Transactions'!$C:$C,'Variance by Program'!$B$2,'Allocated Transactions'!$A:$A,"&gt;="&amp;'Variance by Program'!J$10,'Allocated Transactions'!$A:$A,"&lt;="&amp;EOMONTH('Variance by Program'!J$10,0))</f>
        <v>588</v>
      </c>
      <c r="K26" s="84">
        <f>SUMIFS('Budget Data'!$J:$J,'Budget Data'!$E:$E,'Variance by Program'!$B26,'Budget Data'!$C:$C,'Variance by Program'!$B$2,'Budget Data'!$A:$A,'Variance by Program'!K$10)</f>
        <v>600</v>
      </c>
      <c r="L26" s="86">
        <f>SUMIFS('Allocated Transactions'!$J:$J,'Allocated Transactions'!$D:$D,'Variance by Program'!$B26,'Allocated Transactions'!$C:$C,'Variance by Program'!$B$2,'Allocated Transactions'!$A:$A,"&gt;="&amp;'Variance by Program'!L$10,'Allocated Transactions'!$A:$A,"&lt;="&amp;EOMONTH('Variance by Program'!L$10,0))</f>
        <v>565.38461538461604</v>
      </c>
      <c r="M26" s="84">
        <f>SUMIFS('Budget Data'!$J:$J,'Budget Data'!$E:$E,'Variance by Program'!$B26,'Budget Data'!$C:$C,'Variance by Program'!$B$2,'Budget Data'!$A:$A,'Variance by Program'!M$10)</f>
        <v>600</v>
      </c>
      <c r="N26" s="86">
        <f>SUMIFS('Allocated Transactions'!$J:$J,'Allocated Transactions'!$D:$D,'Variance by Program'!$B26,'Allocated Transactions'!$C:$C,'Variance by Program'!$B$2,'Allocated Transactions'!$A:$A,"&gt;="&amp;'Variance by Program'!N$10,'Allocated Transactions'!$A:$A,"&lt;="&amp;EOMONTH('Variance by Program'!N$10,0))</f>
        <v>565.38461538461604</v>
      </c>
      <c r="O26" s="84">
        <f>SUMIFS('Budget Data'!$J:$J,'Budget Data'!$E:$E,'Variance by Program'!$B26,'Budget Data'!$C:$C,'Variance by Program'!$B$2,'Budget Data'!$A:$A,'Variance by Program'!O$10)</f>
        <v>600</v>
      </c>
      <c r="P26" s="86">
        <f>SUMIFS('Allocated Transactions'!$J:$J,'Allocated Transactions'!$D:$D,'Variance by Program'!$B26,'Allocated Transactions'!$C:$C,'Variance by Program'!$B$2,'Allocated Transactions'!$A:$A,"&gt;="&amp;'Variance by Program'!P$10,'Allocated Transactions'!$A:$A,"&lt;="&amp;EOMONTH('Variance by Program'!P$10,0))</f>
        <v>588</v>
      </c>
      <c r="Q26" s="84">
        <f>SUMIFS('Budget Data'!$J:$J,'Budget Data'!$E:$E,'Variance by Program'!$B26,'Budget Data'!$C:$C,'Variance by Program'!$B$2,'Budget Data'!$A:$A,'Variance by Program'!Q$10)</f>
        <v>600</v>
      </c>
      <c r="R26" s="86">
        <f>SUMIFS('Allocated Transactions'!$J:$J,'Allocated Transactions'!$D:$D,'Variance by Program'!$B26,'Allocated Transactions'!$C:$C,'Variance by Program'!$B$2,'Allocated Transactions'!$A:$A,"&gt;="&amp;'Variance by Program'!R$10,'Allocated Transactions'!$A:$A,"&lt;="&amp;EOMONTH('Variance by Program'!R$10,0))</f>
        <v>565.38461538461604</v>
      </c>
      <c r="S26" s="84">
        <f>SUMIFS('Budget Data'!$J:$J,'Budget Data'!$E:$E,'Variance by Program'!$B26,'Budget Data'!$C:$C,'Variance by Program'!$B$2,'Budget Data'!$A:$A,'Variance by Program'!S$10)</f>
        <v>600</v>
      </c>
      <c r="T26" s="86">
        <f>SUMIFS('Allocated Transactions'!$J:$J,'Allocated Transactions'!$D:$D,'Variance by Program'!$B26,'Allocated Transactions'!$C:$C,'Variance by Program'!$B$2,'Allocated Transactions'!$A:$A,"&gt;="&amp;'Variance by Program'!T$10,'Allocated Transactions'!$A:$A,"&lt;="&amp;EOMONTH('Variance by Program'!T$10,0))</f>
        <v>565.38461538461604</v>
      </c>
      <c r="U26" s="84">
        <f>SUMIFS('Budget Data'!$J:$J,'Budget Data'!$E:$E,'Variance by Program'!$B26,'Budget Data'!$C:$C,'Variance by Program'!$B$2,'Budget Data'!$A:$A,'Variance by Program'!U$10)</f>
        <v>600</v>
      </c>
      <c r="V26" s="86">
        <f>SUMIFS('Allocated Transactions'!$J:$J,'Allocated Transactions'!$D:$D,'Variance by Program'!$B26,'Allocated Transactions'!$C:$C,'Variance by Program'!$B$2,'Allocated Transactions'!$A:$A,"&gt;="&amp;'Variance by Program'!V$10,'Allocated Transactions'!$A:$A,"&lt;="&amp;EOMONTH('Variance by Program'!V$10,0))</f>
        <v>565.38461538461604</v>
      </c>
      <c r="W26" s="84">
        <f>SUMIFS('Budget Data'!$J:$J,'Budget Data'!$E:$E,'Variance by Program'!$B26,'Budget Data'!$C:$C,'Variance by Program'!$B$2,'Budget Data'!$A:$A,'Variance by Program'!W$10)</f>
        <v>600</v>
      </c>
      <c r="X26" s="86">
        <f>SUMIFS('Allocated Transactions'!$J:$J,'Allocated Transactions'!$D:$D,'Variance by Program'!$B26,'Allocated Transactions'!$C:$C,'Variance by Program'!$B$2,'Allocated Transactions'!$A:$A,"&gt;="&amp;'Variance by Program'!X$10,'Allocated Transactions'!$A:$A,"&lt;="&amp;EOMONTH('Variance by Program'!X$10,0))</f>
        <v>565.38461538461604</v>
      </c>
      <c r="Y26" s="84">
        <f>SUMIFS('Budget Data'!$J:$J,'Budget Data'!$E:$E,'Variance by Program'!$B26,'Budget Data'!$C:$C,'Variance by Program'!$B$2,'Budget Data'!$A:$A,'Variance by Program'!Y$10)</f>
        <v>600</v>
      </c>
      <c r="Z26" s="86">
        <f>SUMIFS('Allocated Transactions'!$J:$J,'Allocated Transactions'!$D:$D,'Variance by Program'!$B26,'Allocated Transactions'!$C:$C,'Variance by Program'!$B$2,'Allocated Transactions'!$A:$A,"&gt;="&amp;'Variance by Program'!Z$10,'Allocated Transactions'!$A:$A,"&lt;="&amp;EOMONTH('Variance by Program'!Z$10,0))</f>
        <v>565.38461538461604</v>
      </c>
      <c r="AA26" s="84">
        <f>SUMIFS('Budget Data'!$J:$J,'Budget Data'!$E:$E,'Variance by Program'!$B26,'Budget Data'!$C:$C,'Variance by Program'!$B$2,'Budget Data'!$A:$A,'Variance by Program'!AA$10)</f>
        <v>600</v>
      </c>
      <c r="AC26" s="86">
        <f t="shared" si="3"/>
        <v>6897.6923076923131</v>
      </c>
      <c r="AD26" s="84">
        <f t="shared" si="3"/>
        <v>7200</v>
      </c>
    </row>
    <row r="27" spans="2:30" ht="15" customHeight="1">
      <c r="B27" s="12" t="str">
        <v>5210</v>
      </c>
      <c r="C27" s="160" t="str">
        <f>_xlfn.XLOOKUP(B27,'Allocated Transactions'!D:D,'Allocated Transactions'!E:E,"")</f>
        <v>Utilities</v>
      </c>
      <c r="D27" s="86">
        <f>SUMIFS('Allocated Transactions'!$J:$J,'Allocated Transactions'!$D:$D,'Variance by Program'!$B27,'Allocated Transactions'!$C:$C,'Variance by Program'!$B$2,'Allocated Transactions'!$A:$A,"&gt;="&amp;'Variance by Program'!D$10,'Allocated Transactions'!$A:$A,"&lt;="&amp;EOMONTH('Variance by Program'!D$10,0))</f>
        <v>85.425600000000003</v>
      </c>
      <c r="E27" s="84">
        <f>SUMIFS('Budget Data'!$J:$J,'Budget Data'!$E:$E,'Variance by Program'!$B27,'Budget Data'!$C:$C,'Variance by Program'!$B$2,'Budget Data'!$A:$A,'Variance by Program'!E$10)</f>
        <v>100</v>
      </c>
      <c r="F27" s="86">
        <f>SUMIFS('Allocated Transactions'!$J:$J,'Allocated Transactions'!$D:$D,'Variance by Program'!$B27,'Allocated Transactions'!$C:$C,'Variance by Program'!$B$2,'Allocated Transactions'!$A:$A,"&gt;="&amp;'Variance by Program'!F$10,'Allocated Transactions'!$A:$A,"&lt;="&amp;EOMONTH('Variance by Program'!F$10,0))</f>
        <v>88.258200000000002</v>
      </c>
      <c r="G27" s="84">
        <f>SUMIFS('Budget Data'!$J:$J,'Budget Data'!$E:$E,'Variance by Program'!$B27,'Budget Data'!$C:$C,'Variance by Program'!$B$2,'Budget Data'!$A:$A,'Variance by Program'!G$10)</f>
        <v>100</v>
      </c>
      <c r="H27" s="86">
        <f>SUMIFS('Allocated Transactions'!$J:$J,'Allocated Transactions'!$D:$D,'Variance by Program'!$B27,'Allocated Transactions'!$C:$C,'Variance by Program'!$B$2,'Allocated Transactions'!$A:$A,"&gt;="&amp;'Variance by Program'!H$10,'Allocated Transactions'!$A:$A,"&lt;="&amp;EOMONTH('Variance by Program'!H$10,0))</f>
        <v>65.497200000000007</v>
      </c>
      <c r="I27" s="84">
        <f>SUMIFS('Budget Data'!$J:$J,'Budget Data'!$E:$E,'Variance by Program'!$B27,'Budget Data'!$C:$C,'Variance by Program'!$B$2,'Budget Data'!$A:$A,'Variance by Program'!I$10)</f>
        <v>100</v>
      </c>
      <c r="J27" s="86">
        <f>SUMIFS('Allocated Transactions'!$J:$J,'Allocated Transactions'!$D:$D,'Variance by Program'!$B27,'Allocated Transactions'!$C:$C,'Variance by Program'!$B$2,'Allocated Transactions'!$A:$A,"&gt;="&amp;'Variance by Program'!J$10,'Allocated Transactions'!$A:$A,"&lt;="&amp;EOMONTH('Variance by Program'!J$10,0))</f>
        <v>60.388800000000003</v>
      </c>
      <c r="K27" s="84">
        <f>SUMIFS('Budget Data'!$J:$J,'Budget Data'!$E:$E,'Variance by Program'!$B27,'Budget Data'!$C:$C,'Variance by Program'!$B$2,'Budget Data'!$A:$A,'Variance by Program'!K$10)</f>
        <v>100</v>
      </c>
      <c r="L27" s="86">
        <f>SUMIFS('Allocated Transactions'!$J:$J,'Allocated Transactions'!$D:$D,'Variance by Program'!$B27,'Allocated Transactions'!$C:$C,'Variance by Program'!$B$2,'Allocated Transactions'!$A:$A,"&gt;="&amp;'Variance by Program'!L$10,'Allocated Transactions'!$A:$A,"&lt;="&amp;EOMONTH('Variance by Program'!L$10,0))</f>
        <v>64.864615384615405</v>
      </c>
      <c r="M27" s="84">
        <f>SUMIFS('Budget Data'!$J:$J,'Budget Data'!$E:$E,'Variance by Program'!$B27,'Budget Data'!$C:$C,'Variance by Program'!$B$2,'Budget Data'!$A:$A,'Variance by Program'!M$10)</f>
        <v>100</v>
      </c>
      <c r="N27" s="86">
        <f>SUMIFS('Allocated Transactions'!$J:$J,'Allocated Transactions'!$D:$D,'Variance by Program'!$B27,'Allocated Transactions'!$C:$C,'Variance by Program'!$B$2,'Allocated Transactions'!$A:$A,"&gt;="&amp;'Variance by Program'!N$10,'Allocated Transactions'!$A:$A,"&lt;="&amp;EOMONTH('Variance by Program'!N$10,0))</f>
        <v>77.904230769230793</v>
      </c>
      <c r="O27" s="84">
        <f>SUMIFS('Budget Data'!$J:$J,'Budget Data'!$E:$E,'Variance by Program'!$B27,'Budget Data'!$C:$C,'Variance by Program'!$B$2,'Budget Data'!$A:$A,'Variance by Program'!O$10)</f>
        <v>100</v>
      </c>
      <c r="P27" s="86">
        <f>SUMIFS('Allocated Transactions'!$J:$J,'Allocated Transactions'!$D:$D,'Variance by Program'!$B27,'Allocated Transactions'!$C:$C,'Variance by Program'!$B$2,'Allocated Transactions'!$A:$A,"&gt;="&amp;'Variance by Program'!P$10,'Allocated Transactions'!$A:$A,"&lt;="&amp;EOMONTH('Variance by Program'!P$10,0))</f>
        <v>81.266999999999996</v>
      </c>
      <c r="Q27" s="84">
        <f>SUMIFS('Budget Data'!$J:$J,'Budget Data'!$E:$E,'Variance by Program'!$B27,'Budget Data'!$C:$C,'Variance by Program'!$B$2,'Budget Data'!$A:$A,'Variance by Program'!Q$10)</f>
        <v>100</v>
      </c>
      <c r="R27" s="86">
        <f>SUMIFS('Allocated Transactions'!$J:$J,'Allocated Transactions'!$D:$D,'Variance by Program'!$B27,'Allocated Transactions'!$C:$C,'Variance by Program'!$B$2,'Allocated Transactions'!$A:$A,"&gt;="&amp;'Variance by Program'!R$10,'Allocated Transactions'!$A:$A,"&lt;="&amp;EOMONTH('Variance by Program'!R$10,0))</f>
        <v>76.406538461538503</v>
      </c>
      <c r="S27" s="84">
        <f>SUMIFS('Budget Data'!$J:$J,'Budget Data'!$E:$E,'Variance by Program'!$B27,'Budget Data'!$C:$C,'Variance by Program'!$B$2,'Budget Data'!$A:$A,'Variance by Program'!S$10)</f>
        <v>100</v>
      </c>
      <c r="T27" s="86">
        <f>SUMIFS('Allocated Transactions'!$J:$J,'Allocated Transactions'!$D:$D,'Variance by Program'!$B27,'Allocated Transactions'!$C:$C,'Variance by Program'!$B$2,'Allocated Transactions'!$A:$A,"&gt;="&amp;'Variance by Program'!T$10,'Allocated Transactions'!$A:$A,"&lt;="&amp;EOMONTH('Variance by Program'!T$10,0))</f>
        <v>58.761923076923097</v>
      </c>
      <c r="U27" s="84">
        <f>SUMIFS('Budget Data'!$J:$J,'Budget Data'!$E:$E,'Variance by Program'!$B27,'Budget Data'!$C:$C,'Variance by Program'!$B$2,'Budget Data'!$A:$A,'Variance by Program'!U$10)</f>
        <v>100</v>
      </c>
      <c r="V27" s="86">
        <f>SUMIFS('Allocated Transactions'!$J:$J,'Allocated Transactions'!$D:$D,'Variance by Program'!$B27,'Allocated Transactions'!$C:$C,'Variance by Program'!$B$2,'Allocated Transactions'!$A:$A,"&gt;="&amp;'Variance by Program'!V$10,'Allocated Transactions'!$A:$A,"&lt;="&amp;EOMONTH('Variance by Program'!V$10,0))</f>
        <v>48.233653846153899</v>
      </c>
      <c r="W27" s="84">
        <f>SUMIFS('Budget Data'!$J:$J,'Budget Data'!$E:$E,'Variance by Program'!$B27,'Budget Data'!$C:$C,'Variance by Program'!$B$2,'Budget Data'!$A:$A,'Variance by Program'!W$10)</f>
        <v>0</v>
      </c>
      <c r="X27" s="86">
        <f>SUMIFS('Allocated Transactions'!$J:$J,'Allocated Transactions'!$D:$D,'Variance by Program'!$B27,'Allocated Transactions'!$C:$C,'Variance by Program'!$B$2,'Allocated Transactions'!$A:$A,"&gt;="&amp;'Variance by Program'!X$10,'Allocated Transactions'!$A:$A,"&lt;="&amp;EOMONTH('Variance by Program'!X$10,0))</f>
        <v>53.038846153846201</v>
      </c>
      <c r="Y27" s="84">
        <f>SUMIFS('Budget Data'!$J:$J,'Budget Data'!$E:$E,'Variance by Program'!$B27,'Budget Data'!$C:$C,'Variance by Program'!$B$2,'Budget Data'!$A:$A,'Variance by Program'!Y$10)</f>
        <v>100</v>
      </c>
      <c r="Z27" s="86">
        <f>SUMIFS('Allocated Transactions'!$J:$J,'Allocated Transactions'!$D:$D,'Variance by Program'!$B27,'Allocated Transactions'!$C:$C,'Variance by Program'!$B$2,'Allocated Transactions'!$A:$A,"&gt;="&amp;'Variance by Program'!Z$10,'Allocated Transactions'!$A:$A,"&lt;="&amp;EOMONTH('Variance by Program'!Z$10,0))</f>
        <v>53.007115384615403</v>
      </c>
      <c r="AA27" s="84">
        <f>SUMIFS('Budget Data'!$J:$J,'Budget Data'!$E:$E,'Variance by Program'!$B27,'Budget Data'!$C:$C,'Variance by Program'!$B$2,'Budget Data'!$A:$A,'Variance by Program'!AA$10)</f>
        <v>100</v>
      </c>
      <c r="AC27" s="86">
        <f t="shared" si="3"/>
        <v>813.05372307692323</v>
      </c>
      <c r="AD27" s="84">
        <f t="shared" si="3"/>
        <v>1100</v>
      </c>
    </row>
    <row r="28" spans="2:30" ht="15" customHeight="1">
      <c r="B28" s="12" t="str">
        <v>5300</v>
      </c>
      <c r="C28" s="160" t="str">
        <f>_xlfn.XLOOKUP(B28,'Allocated Transactions'!D:D,'Allocated Transactions'!E:E,"")</f>
        <v>Office Supplies</v>
      </c>
      <c r="D28" s="86">
        <f>SUMIFS('Allocated Transactions'!$J:$J,'Allocated Transactions'!$D:$D,'Variance by Program'!$B28,'Allocated Transactions'!$C:$C,'Variance by Program'!$B$2,'Allocated Transactions'!$A:$A,"&gt;="&amp;'Variance by Program'!D$10,'Allocated Transactions'!$A:$A,"&lt;="&amp;EOMONTH('Variance by Program'!D$10,0))</f>
        <v>701.06</v>
      </c>
      <c r="E28" s="84">
        <f>SUMIFS('Budget Data'!$J:$J,'Budget Data'!$E:$E,'Variance by Program'!$B28,'Budget Data'!$C:$C,'Variance by Program'!$B$2,'Budget Data'!$A:$A,'Variance by Program'!E$10)</f>
        <v>700</v>
      </c>
      <c r="F28" s="86">
        <f>SUMIFS('Allocated Transactions'!$J:$J,'Allocated Transactions'!$D:$D,'Variance by Program'!$B28,'Allocated Transactions'!$C:$C,'Variance by Program'!$B$2,'Allocated Transactions'!$A:$A,"&gt;="&amp;'Variance by Program'!F$10,'Allocated Transactions'!$A:$A,"&lt;="&amp;EOMONTH('Variance by Program'!F$10,0))</f>
        <v>0</v>
      </c>
      <c r="G28" s="84">
        <f>SUMIFS('Budget Data'!$J:$J,'Budget Data'!$E:$E,'Variance by Program'!$B28,'Budget Data'!$C:$C,'Variance by Program'!$B$2,'Budget Data'!$A:$A,'Variance by Program'!G$10)</f>
        <v>0</v>
      </c>
      <c r="H28" s="86">
        <f>SUMIFS('Allocated Transactions'!$J:$J,'Allocated Transactions'!$D:$D,'Variance by Program'!$B28,'Allocated Transactions'!$C:$C,'Variance by Program'!$B$2,'Allocated Transactions'!$A:$A,"&gt;="&amp;'Variance by Program'!H$10,'Allocated Transactions'!$A:$A,"&lt;="&amp;EOMONTH('Variance by Program'!H$10,0))</f>
        <v>0</v>
      </c>
      <c r="I28" s="84">
        <f>SUMIFS('Budget Data'!$J:$J,'Budget Data'!$E:$E,'Variance by Program'!$B28,'Budget Data'!$C:$C,'Variance by Program'!$B$2,'Budget Data'!$A:$A,'Variance by Program'!I$10)</f>
        <v>0</v>
      </c>
      <c r="J28" s="86">
        <f>SUMIFS('Allocated Transactions'!$J:$J,'Allocated Transactions'!$D:$D,'Variance by Program'!$B28,'Allocated Transactions'!$C:$C,'Variance by Program'!$B$2,'Allocated Transactions'!$A:$A,"&gt;="&amp;'Variance by Program'!J$10,'Allocated Transactions'!$A:$A,"&lt;="&amp;EOMONTH('Variance by Program'!J$10,0))</f>
        <v>0</v>
      </c>
      <c r="K28" s="84">
        <f>SUMIFS('Budget Data'!$J:$J,'Budget Data'!$E:$E,'Variance by Program'!$B28,'Budget Data'!$C:$C,'Variance by Program'!$B$2,'Budget Data'!$A:$A,'Variance by Program'!K$10)</f>
        <v>0</v>
      </c>
      <c r="L28" s="86">
        <f>SUMIFS('Allocated Transactions'!$J:$J,'Allocated Transactions'!$D:$D,'Variance by Program'!$B28,'Allocated Transactions'!$C:$C,'Variance by Program'!$B$2,'Allocated Transactions'!$A:$A,"&gt;="&amp;'Variance by Program'!L$10,'Allocated Transactions'!$A:$A,"&lt;="&amp;EOMONTH('Variance by Program'!L$10,0))</f>
        <v>265.89999999999998</v>
      </c>
      <c r="M28" s="84">
        <f>SUMIFS('Budget Data'!$J:$J,'Budget Data'!$E:$E,'Variance by Program'!$B28,'Budget Data'!$C:$C,'Variance by Program'!$B$2,'Budget Data'!$A:$A,'Variance by Program'!M$10)</f>
        <v>300</v>
      </c>
      <c r="N28" s="86">
        <f>SUMIFS('Allocated Transactions'!$J:$J,'Allocated Transactions'!$D:$D,'Variance by Program'!$B28,'Allocated Transactions'!$C:$C,'Variance by Program'!$B$2,'Allocated Transactions'!$A:$A,"&gt;="&amp;'Variance by Program'!N$10,'Allocated Transactions'!$A:$A,"&lt;="&amp;EOMONTH('Variance by Program'!N$10,0))</f>
        <v>0</v>
      </c>
      <c r="O28" s="84">
        <f>SUMIFS('Budget Data'!$J:$J,'Budget Data'!$E:$E,'Variance by Program'!$B28,'Budget Data'!$C:$C,'Variance by Program'!$B$2,'Budget Data'!$A:$A,'Variance by Program'!O$10)</f>
        <v>0</v>
      </c>
      <c r="P28" s="86">
        <f>SUMIFS('Allocated Transactions'!$J:$J,'Allocated Transactions'!$D:$D,'Variance by Program'!$B28,'Allocated Transactions'!$C:$C,'Variance by Program'!$B$2,'Allocated Transactions'!$A:$A,"&gt;="&amp;'Variance by Program'!P$10,'Allocated Transactions'!$A:$A,"&lt;="&amp;EOMONTH('Variance by Program'!P$10,0))</f>
        <v>0</v>
      </c>
      <c r="Q28" s="84">
        <f>SUMIFS('Budget Data'!$J:$J,'Budget Data'!$E:$E,'Variance by Program'!$B28,'Budget Data'!$C:$C,'Variance by Program'!$B$2,'Budget Data'!$A:$A,'Variance by Program'!Q$10)</f>
        <v>0</v>
      </c>
      <c r="R28" s="86">
        <f>SUMIFS('Allocated Transactions'!$J:$J,'Allocated Transactions'!$D:$D,'Variance by Program'!$B28,'Allocated Transactions'!$C:$C,'Variance by Program'!$B$2,'Allocated Transactions'!$A:$A,"&gt;="&amp;'Variance by Program'!R$10,'Allocated Transactions'!$A:$A,"&lt;="&amp;EOMONTH('Variance by Program'!R$10,0))</f>
        <v>0</v>
      </c>
      <c r="S28" s="84">
        <f>SUMIFS('Budget Data'!$J:$J,'Budget Data'!$E:$E,'Variance by Program'!$B28,'Budget Data'!$C:$C,'Variance by Program'!$B$2,'Budget Data'!$A:$A,'Variance by Program'!S$10)</f>
        <v>0</v>
      </c>
      <c r="T28" s="86">
        <f>SUMIFS('Allocated Transactions'!$J:$J,'Allocated Transactions'!$D:$D,'Variance by Program'!$B28,'Allocated Transactions'!$C:$C,'Variance by Program'!$B$2,'Allocated Transactions'!$A:$A,"&gt;="&amp;'Variance by Program'!T$10,'Allocated Transactions'!$A:$A,"&lt;="&amp;EOMONTH('Variance by Program'!T$10,0))</f>
        <v>874.88</v>
      </c>
      <c r="U28" s="84">
        <f>SUMIFS('Budget Data'!$J:$J,'Budget Data'!$E:$E,'Variance by Program'!$B28,'Budget Data'!$C:$C,'Variance by Program'!$B$2,'Budget Data'!$A:$A,'Variance by Program'!U$10)</f>
        <v>900</v>
      </c>
      <c r="V28" s="86">
        <f>SUMIFS('Allocated Transactions'!$J:$J,'Allocated Transactions'!$D:$D,'Variance by Program'!$B28,'Allocated Transactions'!$C:$C,'Variance by Program'!$B$2,'Allocated Transactions'!$A:$A,"&gt;="&amp;'Variance by Program'!V$10,'Allocated Transactions'!$A:$A,"&lt;="&amp;EOMONTH('Variance by Program'!V$10,0))</f>
        <v>0</v>
      </c>
      <c r="W28" s="84">
        <f>SUMIFS('Budget Data'!$J:$J,'Budget Data'!$E:$E,'Variance by Program'!$B28,'Budget Data'!$C:$C,'Variance by Program'!$B$2,'Budget Data'!$A:$A,'Variance by Program'!W$10)</f>
        <v>0</v>
      </c>
      <c r="X28" s="86">
        <f>SUMIFS('Allocated Transactions'!$J:$J,'Allocated Transactions'!$D:$D,'Variance by Program'!$B28,'Allocated Transactions'!$C:$C,'Variance by Program'!$B$2,'Allocated Transactions'!$A:$A,"&gt;="&amp;'Variance by Program'!X$10,'Allocated Transactions'!$A:$A,"&lt;="&amp;EOMONTH('Variance by Program'!X$10,0))</f>
        <v>0</v>
      </c>
      <c r="Y28" s="84">
        <f>SUMIFS('Budget Data'!$J:$J,'Budget Data'!$E:$E,'Variance by Program'!$B28,'Budget Data'!$C:$C,'Variance by Program'!$B$2,'Budget Data'!$A:$A,'Variance by Program'!Y$10)</f>
        <v>0</v>
      </c>
      <c r="Z28" s="86">
        <f>SUMIFS('Allocated Transactions'!$J:$J,'Allocated Transactions'!$D:$D,'Variance by Program'!$B28,'Allocated Transactions'!$C:$C,'Variance by Program'!$B$2,'Allocated Transactions'!$A:$A,"&gt;="&amp;'Variance by Program'!Z$10,'Allocated Transactions'!$A:$A,"&lt;="&amp;EOMONTH('Variance by Program'!Z$10,0))</f>
        <v>0</v>
      </c>
      <c r="AA28" s="84">
        <f>SUMIFS('Budget Data'!$J:$J,'Budget Data'!$E:$E,'Variance by Program'!$B28,'Budget Data'!$C:$C,'Variance by Program'!$B$2,'Budget Data'!$A:$A,'Variance by Program'!AA$10)</f>
        <v>0</v>
      </c>
      <c r="AC28" s="86">
        <f t="shared" si="3"/>
        <v>1841.84</v>
      </c>
      <c r="AD28" s="84">
        <f t="shared" si="3"/>
        <v>1900</v>
      </c>
    </row>
    <row r="29" spans="2:30" ht="15" customHeight="1">
      <c r="B29" s="12" t="str">
        <v>5310</v>
      </c>
      <c r="C29" s="160" t="str">
        <f>_xlfn.XLOOKUP(B29,'Allocated Transactions'!D:D,'Allocated Transactions'!E:E,"")</f>
        <v>Software and Subscriptions</v>
      </c>
      <c r="D29" s="86">
        <f>SUMIFS('Allocated Transactions'!$J:$J,'Allocated Transactions'!$D:$D,'Variance by Program'!$B29,'Allocated Transactions'!$C:$C,'Variance by Program'!$B$2,'Allocated Transactions'!$A:$A,"&gt;="&amp;'Variance by Program'!D$10,'Allocated Transactions'!$A:$A,"&lt;="&amp;EOMONTH('Variance by Program'!D$10,0))</f>
        <v>0</v>
      </c>
      <c r="E29" s="84">
        <f>SUMIFS('Budget Data'!$J:$J,'Budget Data'!$E:$E,'Variance by Program'!$B29,'Budget Data'!$C:$C,'Variance by Program'!$B$2,'Budget Data'!$A:$A,'Variance by Program'!E$10)</f>
        <v>0</v>
      </c>
      <c r="F29" s="86">
        <f>SUMIFS('Allocated Transactions'!$J:$J,'Allocated Transactions'!$D:$D,'Variance by Program'!$B29,'Allocated Transactions'!$C:$C,'Variance by Program'!$B$2,'Allocated Transactions'!$A:$A,"&gt;="&amp;'Variance by Program'!F$10,'Allocated Transactions'!$A:$A,"&lt;="&amp;EOMONTH('Variance by Program'!F$10,0))</f>
        <v>2630.78</v>
      </c>
      <c r="G29" s="84">
        <f>SUMIFS('Budget Data'!$J:$J,'Budget Data'!$E:$E,'Variance by Program'!$B29,'Budget Data'!$C:$C,'Variance by Program'!$B$2,'Budget Data'!$A:$A,'Variance by Program'!G$10)</f>
        <v>2600</v>
      </c>
      <c r="H29" s="86">
        <f>SUMIFS('Allocated Transactions'!$J:$J,'Allocated Transactions'!$D:$D,'Variance by Program'!$B29,'Allocated Transactions'!$C:$C,'Variance by Program'!$B$2,'Allocated Transactions'!$A:$A,"&gt;="&amp;'Variance by Program'!H$10,'Allocated Transactions'!$A:$A,"&lt;="&amp;EOMONTH('Variance by Program'!H$10,0))</f>
        <v>0</v>
      </c>
      <c r="I29" s="84">
        <f>SUMIFS('Budget Data'!$J:$J,'Budget Data'!$E:$E,'Variance by Program'!$B29,'Budget Data'!$C:$C,'Variance by Program'!$B$2,'Budget Data'!$A:$A,'Variance by Program'!I$10)</f>
        <v>0</v>
      </c>
      <c r="J29" s="86">
        <f>SUMIFS('Allocated Transactions'!$J:$J,'Allocated Transactions'!$D:$D,'Variance by Program'!$B29,'Allocated Transactions'!$C:$C,'Variance by Program'!$B$2,'Allocated Transactions'!$A:$A,"&gt;="&amp;'Variance by Program'!J$10,'Allocated Transactions'!$A:$A,"&lt;="&amp;EOMONTH('Variance by Program'!J$10,0))</f>
        <v>0</v>
      </c>
      <c r="K29" s="84">
        <f>SUMIFS('Budget Data'!$J:$J,'Budget Data'!$E:$E,'Variance by Program'!$B29,'Budget Data'!$C:$C,'Variance by Program'!$B$2,'Budget Data'!$A:$A,'Variance by Program'!K$10)</f>
        <v>0</v>
      </c>
      <c r="L29" s="86">
        <f>SUMIFS('Allocated Transactions'!$J:$J,'Allocated Transactions'!$D:$D,'Variance by Program'!$B29,'Allocated Transactions'!$C:$C,'Variance by Program'!$B$2,'Allocated Transactions'!$A:$A,"&gt;="&amp;'Variance by Program'!L$10,'Allocated Transactions'!$A:$A,"&lt;="&amp;EOMONTH('Variance by Program'!L$10,0))</f>
        <v>0</v>
      </c>
      <c r="M29" s="84">
        <f>SUMIFS('Budget Data'!$J:$J,'Budget Data'!$E:$E,'Variance by Program'!$B29,'Budget Data'!$C:$C,'Variance by Program'!$B$2,'Budget Data'!$A:$A,'Variance by Program'!M$10)</f>
        <v>0</v>
      </c>
      <c r="N29" s="86">
        <f>SUMIFS('Allocated Transactions'!$J:$J,'Allocated Transactions'!$D:$D,'Variance by Program'!$B29,'Allocated Transactions'!$C:$C,'Variance by Program'!$B$2,'Allocated Transactions'!$A:$A,"&gt;="&amp;'Variance by Program'!N$10,'Allocated Transactions'!$A:$A,"&lt;="&amp;EOMONTH('Variance by Program'!N$10,0))</f>
        <v>0</v>
      </c>
      <c r="O29" s="84">
        <f>SUMIFS('Budget Data'!$J:$J,'Budget Data'!$E:$E,'Variance by Program'!$B29,'Budget Data'!$C:$C,'Variance by Program'!$B$2,'Budget Data'!$A:$A,'Variance by Program'!O$10)</f>
        <v>0</v>
      </c>
      <c r="P29" s="86">
        <f>SUMIFS('Allocated Transactions'!$J:$J,'Allocated Transactions'!$D:$D,'Variance by Program'!$B29,'Allocated Transactions'!$C:$C,'Variance by Program'!$B$2,'Allocated Transactions'!$A:$A,"&gt;="&amp;'Variance by Program'!P$10,'Allocated Transactions'!$A:$A,"&lt;="&amp;EOMONTH('Variance by Program'!P$10,0))</f>
        <v>0</v>
      </c>
      <c r="Q29" s="84">
        <f>SUMIFS('Budget Data'!$J:$J,'Budget Data'!$E:$E,'Variance by Program'!$B29,'Budget Data'!$C:$C,'Variance by Program'!$B$2,'Budget Data'!$A:$A,'Variance by Program'!Q$10)</f>
        <v>0</v>
      </c>
      <c r="R29" s="86">
        <f>SUMIFS('Allocated Transactions'!$J:$J,'Allocated Transactions'!$D:$D,'Variance by Program'!$B29,'Allocated Transactions'!$C:$C,'Variance by Program'!$B$2,'Allocated Transactions'!$A:$A,"&gt;="&amp;'Variance by Program'!R$10,'Allocated Transactions'!$A:$A,"&lt;="&amp;EOMONTH('Variance by Program'!R$10,0))</f>
        <v>0</v>
      </c>
      <c r="S29" s="84">
        <f>SUMIFS('Budget Data'!$J:$J,'Budget Data'!$E:$E,'Variance by Program'!$B29,'Budget Data'!$C:$C,'Variance by Program'!$B$2,'Budget Data'!$A:$A,'Variance by Program'!S$10)</f>
        <v>0</v>
      </c>
      <c r="T29" s="86">
        <f>SUMIFS('Allocated Transactions'!$J:$J,'Allocated Transactions'!$D:$D,'Variance by Program'!$B29,'Allocated Transactions'!$C:$C,'Variance by Program'!$B$2,'Allocated Transactions'!$A:$A,"&gt;="&amp;'Variance by Program'!T$10,'Allocated Transactions'!$A:$A,"&lt;="&amp;EOMONTH('Variance by Program'!T$10,0))</f>
        <v>0</v>
      </c>
      <c r="U29" s="84">
        <f>SUMIFS('Budget Data'!$J:$J,'Budget Data'!$E:$E,'Variance by Program'!$B29,'Budget Data'!$C:$C,'Variance by Program'!$B$2,'Budget Data'!$A:$A,'Variance by Program'!U$10)</f>
        <v>0</v>
      </c>
      <c r="V29" s="86">
        <f>SUMIFS('Allocated Transactions'!$J:$J,'Allocated Transactions'!$D:$D,'Variance by Program'!$B29,'Allocated Transactions'!$C:$C,'Variance by Program'!$B$2,'Allocated Transactions'!$A:$A,"&gt;="&amp;'Variance by Program'!V$10,'Allocated Transactions'!$A:$A,"&lt;="&amp;EOMONTH('Variance by Program'!V$10,0))</f>
        <v>0</v>
      </c>
      <c r="W29" s="84">
        <f>SUMIFS('Budget Data'!$J:$J,'Budget Data'!$E:$E,'Variance by Program'!$B29,'Budget Data'!$C:$C,'Variance by Program'!$B$2,'Budget Data'!$A:$A,'Variance by Program'!W$10)</f>
        <v>0</v>
      </c>
      <c r="X29" s="86">
        <f>SUMIFS('Allocated Transactions'!$J:$J,'Allocated Transactions'!$D:$D,'Variance by Program'!$B29,'Allocated Transactions'!$C:$C,'Variance by Program'!$B$2,'Allocated Transactions'!$A:$A,"&gt;="&amp;'Variance by Program'!X$10,'Allocated Transactions'!$A:$A,"&lt;="&amp;EOMONTH('Variance by Program'!X$10,0))</f>
        <v>0</v>
      </c>
      <c r="Y29" s="84">
        <f>SUMIFS('Budget Data'!$J:$J,'Budget Data'!$E:$E,'Variance by Program'!$B29,'Budget Data'!$C:$C,'Variance by Program'!$B$2,'Budget Data'!$A:$A,'Variance by Program'!Y$10)</f>
        <v>0</v>
      </c>
      <c r="Z29" s="86">
        <f>SUMIFS('Allocated Transactions'!$J:$J,'Allocated Transactions'!$D:$D,'Variance by Program'!$B29,'Allocated Transactions'!$C:$C,'Variance by Program'!$B$2,'Allocated Transactions'!$A:$A,"&gt;="&amp;'Variance by Program'!Z$10,'Allocated Transactions'!$A:$A,"&lt;="&amp;EOMONTH('Variance by Program'!Z$10,0))</f>
        <v>0</v>
      </c>
      <c r="AA29" s="84">
        <f>SUMIFS('Budget Data'!$J:$J,'Budget Data'!$E:$E,'Variance by Program'!$B29,'Budget Data'!$C:$C,'Variance by Program'!$B$2,'Budget Data'!$A:$A,'Variance by Program'!AA$10)</f>
        <v>0</v>
      </c>
      <c r="AC29" s="86">
        <f t="shared" si="3"/>
        <v>2630.78</v>
      </c>
      <c r="AD29" s="84">
        <f t="shared" si="3"/>
        <v>2600</v>
      </c>
    </row>
    <row r="30" spans="2:30" ht="15" customHeight="1">
      <c r="B30" s="12" t="str">
        <v>5400</v>
      </c>
      <c r="C30" s="160" t="str">
        <f>_xlfn.XLOOKUP(B30,'Allocated Transactions'!D:D,'Allocated Transactions'!E:E,"")</f>
        <v>Travel</v>
      </c>
      <c r="D30" s="86">
        <f>SUMIFS('Allocated Transactions'!$J:$J,'Allocated Transactions'!$D:$D,'Variance by Program'!$B30,'Allocated Transactions'!$C:$C,'Variance by Program'!$B$2,'Allocated Transactions'!$A:$A,"&gt;="&amp;'Variance by Program'!D$10,'Allocated Transactions'!$A:$A,"&lt;="&amp;EOMONTH('Variance by Program'!D$10,0))</f>
        <v>0</v>
      </c>
      <c r="E30" s="84">
        <f>SUMIFS('Budget Data'!$J:$J,'Budget Data'!$E:$E,'Variance by Program'!$B30,'Budget Data'!$C:$C,'Variance by Program'!$B$2,'Budget Data'!$A:$A,'Variance by Program'!E$10)</f>
        <v>0</v>
      </c>
      <c r="F30" s="86">
        <f>SUMIFS('Allocated Transactions'!$J:$J,'Allocated Transactions'!$D:$D,'Variance by Program'!$B30,'Allocated Transactions'!$C:$C,'Variance by Program'!$B$2,'Allocated Transactions'!$A:$A,"&gt;="&amp;'Variance by Program'!F$10,'Allocated Transactions'!$A:$A,"&lt;="&amp;EOMONTH('Variance by Program'!F$10,0))</f>
        <v>0</v>
      </c>
      <c r="G30" s="84">
        <f>SUMIFS('Budget Data'!$J:$J,'Budget Data'!$E:$E,'Variance by Program'!$B30,'Budget Data'!$C:$C,'Variance by Program'!$B$2,'Budget Data'!$A:$A,'Variance by Program'!G$10)</f>
        <v>0</v>
      </c>
      <c r="H30" s="86">
        <f>SUMIFS('Allocated Transactions'!$J:$J,'Allocated Transactions'!$D:$D,'Variance by Program'!$B30,'Allocated Transactions'!$C:$C,'Variance by Program'!$B$2,'Allocated Transactions'!$A:$A,"&gt;="&amp;'Variance by Program'!H$10,'Allocated Transactions'!$A:$A,"&lt;="&amp;EOMONTH('Variance by Program'!H$10,0))</f>
        <v>0</v>
      </c>
      <c r="I30" s="84">
        <f>SUMIFS('Budget Data'!$J:$J,'Budget Data'!$E:$E,'Variance by Program'!$B30,'Budget Data'!$C:$C,'Variance by Program'!$B$2,'Budget Data'!$A:$A,'Variance by Program'!I$10)</f>
        <v>0</v>
      </c>
      <c r="J30" s="86">
        <f>SUMIFS('Allocated Transactions'!$J:$J,'Allocated Transactions'!$D:$D,'Variance by Program'!$B30,'Allocated Transactions'!$C:$C,'Variance by Program'!$B$2,'Allocated Transactions'!$A:$A,"&gt;="&amp;'Variance by Program'!J$10,'Allocated Transactions'!$A:$A,"&lt;="&amp;EOMONTH('Variance by Program'!J$10,0))</f>
        <v>0</v>
      </c>
      <c r="K30" s="84">
        <f>SUMIFS('Budget Data'!$J:$J,'Budget Data'!$E:$E,'Variance by Program'!$B30,'Budget Data'!$C:$C,'Variance by Program'!$B$2,'Budget Data'!$A:$A,'Variance by Program'!K$10)</f>
        <v>0</v>
      </c>
      <c r="L30" s="86">
        <f>SUMIFS('Allocated Transactions'!$J:$J,'Allocated Transactions'!$D:$D,'Variance by Program'!$B30,'Allocated Transactions'!$C:$C,'Variance by Program'!$B$2,'Allocated Transactions'!$A:$A,"&gt;="&amp;'Variance by Program'!L$10,'Allocated Transactions'!$A:$A,"&lt;="&amp;EOMONTH('Variance by Program'!L$10,0))</f>
        <v>0</v>
      </c>
      <c r="M30" s="84">
        <f>SUMIFS('Budget Data'!$J:$J,'Budget Data'!$E:$E,'Variance by Program'!$B30,'Budget Data'!$C:$C,'Variance by Program'!$B$2,'Budget Data'!$A:$A,'Variance by Program'!M$10)</f>
        <v>0</v>
      </c>
      <c r="N30" s="86">
        <f>SUMIFS('Allocated Transactions'!$J:$J,'Allocated Transactions'!$D:$D,'Variance by Program'!$B30,'Allocated Transactions'!$C:$C,'Variance by Program'!$B$2,'Allocated Transactions'!$A:$A,"&gt;="&amp;'Variance by Program'!N$10,'Allocated Transactions'!$A:$A,"&lt;="&amp;EOMONTH('Variance by Program'!N$10,0))</f>
        <v>0</v>
      </c>
      <c r="O30" s="84">
        <f>SUMIFS('Budget Data'!$J:$J,'Budget Data'!$E:$E,'Variance by Program'!$B30,'Budget Data'!$C:$C,'Variance by Program'!$B$2,'Budget Data'!$A:$A,'Variance by Program'!O$10)</f>
        <v>0</v>
      </c>
      <c r="P30" s="86">
        <f>SUMIFS('Allocated Transactions'!$J:$J,'Allocated Transactions'!$D:$D,'Variance by Program'!$B30,'Allocated Transactions'!$C:$C,'Variance by Program'!$B$2,'Allocated Transactions'!$A:$A,"&gt;="&amp;'Variance by Program'!P$10,'Allocated Transactions'!$A:$A,"&lt;="&amp;EOMONTH('Variance by Program'!P$10,0))</f>
        <v>0</v>
      </c>
      <c r="Q30" s="84">
        <f>SUMIFS('Budget Data'!$J:$J,'Budget Data'!$E:$E,'Variance by Program'!$B30,'Budget Data'!$C:$C,'Variance by Program'!$B$2,'Budget Data'!$A:$A,'Variance by Program'!Q$10)</f>
        <v>0</v>
      </c>
      <c r="R30" s="86">
        <f>SUMIFS('Allocated Transactions'!$J:$J,'Allocated Transactions'!$D:$D,'Variance by Program'!$B30,'Allocated Transactions'!$C:$C,'Variance by Program'!$B$2,'Allocated Transactions'!$A:$A,"&gt;="&amp;'Variance by Program'!R$10,'Allocated Transactions'!$A:$A,"&lt;="&amp;EOMONTH('Variance by Program'!R$10,0))</f>
        <v>0</v>
      </c>
      <c r="S30" s="84">
        <f>SUMIFS('Budget Data'!$J:$J,'Budget Data'!$E:$E,'Variance by Program'!$B30,'Budget Data'!$C:$C,'Variance by Program'!$B$2,'Budget Data'!$A:$A,'Variance by Program'!S$10)</f>
        <v>0</v>
      </c>
      <c r="T30" s="86">
        <f>SUMIFS('Allocated Transactions'!$J:$J,'Allocated Transactions'!$D:$D,'Variance by Program'!$B30,'Allocated Transactions'!$C:$C,'Variance by Program'!$B$2,'Allocated Transactions'!$A:$A,"&gt;="&amp;'Variance by Program'!T$10,'Allocated Transactions'!$A:$A,"&lt;="&amp;EOMONTH('Variance by Program'!T$10,0))</f>
        <v>0</v>
      </c>
      <c r="U30" s="84">
        <f>SUMIFS('Budget Data'!$J:$J,'Budget Data'!$E:$E,'Variance by Program'!$B30,'Budget Data'!$C:$C,'Variance by Program'!$B$2,'Budget Data'!$A:$A,'Variance by Program'!U$10)</f>
        <v>0</v>
      </c>
      <c r="V30" s="86">
        <f>SUMIFS('Allocated Transactions'!$J:$J,'Allocated Transactions'!$D:$D,'Variance by Program'!$B30,'Allocated Transactions'!$C:$C,'Variance by Program'!$B$2,'Allocated Transactions'!$A:$A,"&gt;="&amp;'Variance by Program'!V$10,'Allocated Transactions'!$A:$A,"&lt;="&amp;EOMONTH('Variance by Program'!V$10,0))</f>
        <v>0</v>
      </c>
      <c r="W30" s="84">
        <f>SUMIFS('Budget Data'!$J:$J,'Budget Data'!$E:$E,'Variance by Program'!$B30,'Budget Data'!$C:$C,'Variance by Program'!$B$2,'Budget Data'!$A:$A,'Variance by Program'!W$10)</f>
        <v>0</v>
      </c>
      <c r="X30" s="86">
        <f>SUMIFS('Allocated Transactions'!$J:$J,'Allocated Transactions'!$D:$D,'Variance by Program'!$B30,'Allocated Transactions'!$C:$C,'Variance by Program'!$B$2,'Allocated Transactions'!$A:$A,"&gt;="&amp;'Variance by Program'!X$10,'Allocated Transactions'!$A:$A,"&lt;="&amp;EOMONTH('Variance by Program'!X$10,0))</f>
        <v>0</v>
      </c>
      <c r="Y30" s="84">
        <f>SUMIFS('Budget Data'!$J:$J,'Budget Data'!$E:$E,'Variance by Program'!$B30,'Budget Data'!$C:$C,'Variance by Program'!$B$2,'Budget Data'!$A:$A,'Variance by Program'!Y$10)</f>
        <v>0</v>
      </c>
      <c r="Z30" s="86">
        <f>SUMIFS('Allocated Transactions'!$J:$J,'Allocated Transactions'!$D:$D,'Variance by Program'!$B30,'Allocated Transactions'!$C:$C,'Variance by Program'!$B$2,'Allocated Transactions'!$A:$A,"&gt;="&amp;'Variance by Program'!Z$10,'Allocated Transactions'!$A:$A,"&lt;="&amp;EOMONTH('Variance by Program'!Z$10,0))</f>
        <v>0</v>
      </c>
      <c r="AA30" s="84">
        <f>SUMIFS('Budget Data'!$J:$J,'Budget Data'!$E:$E,'Variance by Program'!$B30,'Budget Data'!$C:$C,'Variance by Program'!$B$2,'Budget Data'!$A:$A,'Variance by Program'!AA$10)</f>
        <v>0</v>
      </c>
      <c r="AC30" s="86">
        <f t="shared" si="3"/>
        <v>0</v>
      </c>
      <c r="AD30" s="84">
        <f t="shared" si="3"/>
        <v>0</v>
      </c>
    </row>
    <row r="31" spans="2:30" ht="15" customHeight="1">
      <c r="B31" s="12" t="str">
        <v>5410</v>
      </c>
      <c r="C31" s="160" t="str">
        <f>_xlfn.XLOOKUP(B31,'Allocated Transactions'!D:D,'Allocated Transactions'!E:E,"")</f>
        <v>Meals and Entertainment</v>
      </c>
      <c r="D31" s="86">
        <f>SUMIFS('Allocated Transactions'!$J:$J,'Allocated Transactions'!$D:$D,'Variance by Program'!$B31,'Allocated Transactions'!$C:$C,'Variance by Program'!$B$2,'Allocated Transactions'!$A:$A,"&gt;="&amp;'Variance by Program'!D$10,'Allocated Transactions'!$A:$A,"&lt;="&amp;EOMONTH('Variance by Program'!D$10,0))</f>
        <v>0</v>
      </c>
      <c r="E31" s="84">
        <f>SUMIFS('Budget Data'!$J:$J,'Budget Data'!$E:$E,'Variance by Program'!$B31,'Budget Data'!$C:$C,'Variance by Program'!$B$2,'Budget Data'!$A:$A,'Variance by Program'!E$10)</f>
        <v>0</v>
      </c>
      <c r="F31" s="86">
        <f>SUMIFS('Allocated Transactions'!$J:$J,'Allocated Transactions'!$D:$D,'Variance by Program'!$B31,'Allocated Transactions'!$C:$C,'Variance by Program'!$B$2,'Allocated Transactions'!$A:$A,"&gt;="&amp;'Variance by Program'!F$10,'Allocated Transactions'!$A:$A,"&lt;="&amp;EOMONTH('Variance by Program'!F$10,0))</f>
        <v>0</v>
      </c>
      <c r="G31" s="84">
        <f>SUMIFS('Budget Data'!$J:$J,'Budget Data'!$E:$E,'Variance by Program'!$B31,'Budget Data'!$C:$C,'Variance by Program'!$B$2,'Budget Data'!$A:$A,'Variance by Program'!G$10)</f>
        <v>0</v>
      </c>
      <c r="H31" s="86">
        <f>SUMIFS('Allocated Transactions'!$J:$J,'Allocated Transactions'!$D:$D,'Variance by Program'!$B31,'Allocated Transactions'!$C:$C,'Variance by Program'!$B$2,'Allocated Transactions'!$A:$A,"&gt;="&amp;'Variance by Program'!H$10,'Allocated Transactions'!$A:$A,"&lt;="&amp;EOMONTH('Variance by Program'!H$10,0))</f>
        <v>0</v>
      </c>
      <c r="I31" s="84">
        <f>SUMIFS('Budget Data'!$J:$J,'Budget Data'!$E:$E,'Variance by Program'!$B31,'Budget Data'!$C:$C,'Variance by Program'!$B$2,'Budget Data'!$A:$A,'Variance by Program'!I$10)</f>
        <v>0</v>
      </c>
      <c r="J31" s="86">
        <f>SUMIFS('Allocated Transactions'!$J:$J,'Allocated Transactions'!$D:$D,'Variance by Program'!$B31,'Allocated Transactions'!$C:$C,'Variance by Program'!$B$2,'Allocated Transactions'!$A:$A,"&gt;="&amp;'Variance by Program'!J$10,'Allocated Transactions'!$A:$A,"&lt;="&amp;EOMONTH('Variance by Program'!J$10,0))</f>
        <v>0</v>
      </c>
      <c r="K31" s="84">
        <f>SUMIFS('Budget Data'!$J:$J,'Budget Data'!$E:$E,'Variance by Program'!$B31,'Budget Data'!$C:$C,'Variance by Program'!$B$2,'Budget Data'!$A:$A,'Variance by Program'!K$10)</f>
        <v>0</v>
      </c>
      <c r="L31" s="86">
        <f>SUMIFS('Allocated Transactions'!$J:$J,'Allocated Transactions'!$D:$D,'Variance by Program'!$B31,'Allocated Transactions'!$C:$C,'Variance by Program'!$B$2,'Allocated Transactions'!$A:$A,"&gt;="&amp;'Variance by Program'!L$10,'Allocated Transactions'!$A:$A,"&lt;="&amp;EOMONTH('Variance by Program'!L$10,0))</f>
        <v>0</v>
      </c>
      <c r="M31" s="84">
        <f>SUMIFS('Budget Data'!$J:$J,'Budget Data'!$E:$E,'Variance by Program'!$B31,'Budget Data'!$C:$C,'Variance by Program'!$B$2,'Budget Data'!$A:$A,'Variance by Program'!M$10)</f>
        <v>0</v>
      </c>
      <c r="N31" s="86">
        <f>SUMIFS('Allocated Transactions'!$J:$J,'Allocated Transactions'!$D:$D,'Variance by Program'!$B31,'Allocated Transactions'!$C:$C,'Variance by Program'!$B$2,'Allocated Transactions'!$A:$A,"&gt;="&amp;'Variance by Program'!N$10,'Allocated Transactions'!$A:$A,"&lt;="&amp;EOMONTH('Variance by Program'!N$10,0))</f>
        <v>0</v>
      </c>
      <c r="O31" s="84">
        <f>SUMIFS('Budget Data'!$J:$J,'Budget Data'!$E:$E,'Variance by Program'!$B31,'Budget Data'!$C:$C,'Variance by Program'!$B$2,'Budget Data'!$A:$A,'Variance by Program'!O$10)</f>
        <v>0</v>
      </c>
      <c r="P31" s="86">
        <f>SUMIFS('Allocated Transactions'!$J:$J,'Allocated Transactions'!$D:$D,'Variance by Program'!$B31,'Allocated Transactions'!$C:$C,'Variance by Program'!$B$2,'Allocated Transactions'!$A:$A,"&gt;="&amp;'Variance by Program'!P$10,'Allocated Transactions'!$A:$A,"&lt;="&amp;EOMONTH('Variance by Program'!P$10,0))</f>
        <v>0</v>
      </c>
      <c r="Q31" s="84">
        <f>SUMIFS('Budget Data'!$J:$J,'Budget Data'!$E:$E,'Variance by Program'!$B31,'Budget Data'!$C:$C,'Variance by Program'!$B$2,'Budget Data'!$A:$A,'Variance by Program'!Q$10)</f>
        <v>0</v>
      </c>
      <c r="R31" s="86">
        <f>SUMIFS('Allocated Transactions'!$J:$J,'Allocated Transactions'!$D:$D,'Variance by Program'!$B31,'Allocated Transactions'!$C:$C,'Variance by Program'!$B$2,'Allocated Transactions'!$A:$A,"&gt;="&amp;'Variance by Program'!R$10,'Allocated Transactions'!$A:$A,"&lt;="&amp;EOMONTH('Variance by Program'!R$10,0))</f>
        <v>0</v>
      </c>
      <c r="S31" s="84">
        <f>SUMIFS('Budget Data'!$J:$J,'Budget Data'!$E:$E,'Variance by Program'!$B31,'Budget Data'!$C:$C,'Variance by Program'!$B$2,'Budget Data'!$A:$A,'Variance by Program'!S$10)</f>
        <v>0</v>
      </c>
      <c r="T31" s="86">
        <f>SUMIFS('Allocated Transactions'!$J:$J,'Allocated Transactions'!$D:$D,'Variance by Program'!$B31,'Allocated Transactions'!$C:$C,'Variance by Program'!$B$2,'Allocated Transactions'!$A:$A,"&gt;="&amp;'Variance by Program'!T$10,'Allocated Transactions'!$A:$A,"&lt;="&amp;EOMONTH('Variance by Program'!T$10,0))</f>
        <v>0</v>
      </c>
      <c r="U31" s="84">
        <f>SUMIFS('Budget Data'!$J:$J,'Budget Data'!$E:$E,'Variance by Program'!$B31,'Budget Data'!$C:$C,'Variance by Program'!$B$2,'Budget Data'!$A:$A,'Variance by Program'!U$10)</f>
        <v>0</v>
      </c>
      <c r="V31" s="86">
        <f>SUMIFS('Allocated Transactions'!$J:$J,'Allocated Transactions'!$D:$D,'Variance by Program'!$B31,'Allocated Transactions'!$C:$C,'Variance by Program'!$B$2,'Allocated Transactions'!$A:$A,"&gt;="&amp;'Variance by Program'!V$10,'Allocated Transactions'!$A:$A,"&lt;="&amp;EOMONTH('Variance by Program'!V$10,0))</f>
        <v>0</v>
      </c>
      <c r="W31" s="84">
        <f>SUMIFS('Budget Data'!$J:$J,'Budget Data'!$E:$E,'Variance by Program'!$B31,'Budget Data'!$C:$C,'Variance by Program'!$B$2,'Budget Data'!$A:$A,'Variance by Program'!W$10)</f>
        <v>0</v>
      </c>
      <c r="X31" s="86">
        <f>SUMIFS('Allocated Transactions'!$J:$J,'Allocated Transactions'!$D:$D,'Variance by Program'!$B31,'Allocated Transactions'!$C:$C,'Variance by Program'!$B$2,'Allocated Transactions'!$A:$A,"&gt;="&amp;'Variance by Program'!X$10,'Allocated Transactions'!$A:$A,"&lt;="&amp;EOMONTH('Variance by Program'!X$10,0))</f>
        <v>0</v>
      </c>
      <c r="Y31" s="84">
        <f>SUMIFS('Budget Data'!$J:$J,'Budget Data'!$E:$E,'Variance by Program'!$B31,'Budget Data'!$C:$C,'Variance by Program'!$B$2,'Budget Data'!$A:$A,'Variance by Program'!Y$10)</f>
        <v>0</v>
      </c>
      <c r="Z31" s="86">
        <f>SUMIFS('Allocated Transactions'!$J:$J,'Allocated Transactions'!$D:$D,'Variance by Program'!$B31,'Allocated Transactions'!$C:$C,'Variance by Program'!$B$2,'Allocated Transactions'!$A:$A,"&gt;="&amp;'Variance by Program'!Z$10,'Allocated Transactions'!$A:$A,"&lt;="&amp;EOMONTH('Variance by Program'!Z$10,0))</f>
        <v>0</v>
      </c>
      <c r="AA31" s="84">
        <f>SUMIFS('Budget Data'!$J:$J,'Budget Data'!$E:$E,'Variance by Program'!$B31,'Budget Data'!$C:$C,'Variance by Program'!$B$2,'Budget Data'!$A:$A,'Variance by Program'!AA$10)</f>
        <v>0</v>
      </c>
      <c r="AC31" s="86">
        <f t="shared" si="3"/>
        <v>0</v>
      </c>
      <c r="AD31" s="84">
        <f t="shared" si="3"/>
        <v>0</v>
      </c>
    </row>
    <row r="32" spans="2:30" ht="15" customHeight="1">
      <c r="B32" s="12" t="str">
        <v>5500</v>
      </c>
      <c r="C32" s="160" t="str">
        <f>_xlfn.XLOOKUP(B32,'Allocated Transactions'!D:D,'Allocated Transactions'!E:E,"")</f>
        <v>Professional Fees - Legal</v>
      </c>
      <c r="D32" s="86">
        <f>SUMIFS('Allocated Transactions'!$J:$J,'Allocated Transactions'!$D:$D,'Variance by Program'!$B32,'Allocated Transactions'!$C:$C,'Variance by Program'!$B$2,'Allocated Transactions'!$A:$A,"&gt;="&amp;'Variance by Program'!D$10,'Allocated Transactions'!$A:$A,"&lt;="&amp;EOMONTH('Variance by Program'!D$10,0))</f>
        <v>0</v>
      </c>
      <c r="E32" s="84">
        <f>SUMIFS('Budget Data'!$J:$J,'Budget Data'!$E:$E,'Variance by Program'!$B32,'Budget Data'!$C:$C,'Variance by Program'!$B$2,'Budget Data'!$A:$A,'Variance by Program'!E$10)</f>
        <v>0</v>
      </c>
      <c r="F32" s="86">
        <f>SUMIFS('Allocated Transactions'!$J:$J,'Allocated Transactions'!$D:$D,'Variance by Program'!$B32,'Allocated Transactions'!$C:$C,'Variance by Program'!$B$2,'Allocated Transactions'!$A:$A,"&gt;="&amp;'Variance by Program'!F$10,'Allocated Transactions'!$A:$A,"&lt;="&amp;EOMONTH('Variance by Program'!F$10,0))</f>
        <v>0</v>
      </c>
      <c r="G32" s="84">
        <f>SUMIFS('Budget Data'!$J:$J,'Budget Data'!$E:$E,'Variance by Program'!$B32,'Budget Data'!$C:$C,'Variance by Program'!$B$2,'Budget Data'!$A:$A,'Variance by Program'!G$10)</f>
        <v>0</v>
      </c>
      <c r="H32" s="86">
        <f>SUMIFS('Allocated Transactions'!$J:$J,'Allocated Transactions'!$D:$D,'Variance by Program'!$B32,'Allocated Transactions'!$C:$C,'Variance by Program'!$B$2,'Allocated Transactions'!$A:$A,"&gt;="&amp;'Variance by Program'!H$10,'Allocated Transactions'!$A:$A,"&lt;="&amp;EOMONTH('Variance by Program'!H$10,0))</f>
        <v>0</v>
      </c>
      <c r="I32" s="84">
        <f>SUMIFS('Budget Data'!$J:$J,'Budget Data'!$E:$E,'Variance by Program'!$B32,'Budget Data'!$C:$C,'Variance by Program'!$B$2,'Budget Data'!$A:$A,'Variance by Program'!I$10)</f>
        <v>0</v>
      </c>
      <c r="J32" s="86">
        <f>SUMIFS('Allocated Transactions'!$J:$J,'Allocated Transactions'!$D:$D,'Variance by Program'!$B32,'Allocated Transactions'!$C:$C,'Variance by Program'!$B$2,'Allocated Transactions'!$A:$A,"&gt;="&amp;'Variance by Program'!J$10,'Allocated Transactions'!$A:$A,"&lt;="&amp;EOMONTH('Variance by Program'!J$10,0))</f>
        <v>0</v>
      </c>
      <c r="K32" s="84">
        <f>SUMIFS('Budget Data'!$J:$J,'Budget Data'!$E:$E,'Variance by Program'!$B32,'Budget Data'!$C:$C,'Variance by Program'!$B$2,'Budget Data'!$A:$A,'Variance by Program'!K$10)</f>
        <v>0</v>
      </c>
      <c r="L32" s="86">
        <f>SUMIFS('Allocated Transactions'!$J:$J,'Allocated Transactions'!$D:$D,'Variance by Program'!$B32,'Allocated Transactions'!$C:$C,'Variance by Program'!$B$2,'Allocated Transactions'!$A:$A,"&gt;="&amp;'Variance by Program'!L$10,'Allocated Transactions'!$A:$A,"&lt;="&amp;EOMONTH('Variance by Program'!L$10,0))</f>
        <v>0</v>
      </c>
      <c r="M32" s="84">
        <f>SUMIFS('Budget Data'!$J:$J,'Budget Data'!$E:$E,'Variance by Program'!$B32,'Budget Data'!$C:$C,'Variance by Program'!$B$2,'Budget Data'!$A:$A,'Variance by Program'!M$10)</f>
        <v>0</v>
      </c>
      <c r="N32" s="86">
        <f>SUMIFS('Allocated Transactions'!$J:$J,'Allocated Transactions'!$D:$D,'Variance by Program'!$B32,'Allocated Transactions'!$C:$C,'Variance by Program'!$B$2,'Allocated Transactions'!$A:$A,"&gt;="&amp;'Variance by Program'!N$10,'Allocated Transactions'!$A:$A,"&lt;="&amp;EOMONTH('Variance by Program'!N$10,0))</f>
        <v>0</v>
      </c>
      <c r="O32" s="84">
        <f>SUMIFS('Budget Data'!$J:$J,'Budget Data'!$E:$E,'Variance by Program'!$B32,'Budget Data'!$C:$C,'Variance by Program'!$B$2,'Budget Data'!$A:$A,'Variance by Program'!O$10)</f>
        <v>0</v>
      </c>
      <c r="P32" s="86">
        <f>SUMIFS('Allocated Transactions'!$J:$J,'Allocated Transactions'!$D:$D,'Variance by Program'!$B32,'Allocated Transactions'!$C:$C,'Variance by Program'!$B$2,'Allocated Transactions'!$A:$A,"&gt;="&amp;'Variance by Program'!P$10,'Allocated Transactions'!$A:$A,"&lt;="&amp;EOMONTH('Variance by Program'!P$10,0))</f>
        <v>0</v>
      </c>
      <c r="Q32" s="84">
        <f>SUMIFS('Budget Data'!$J:$J,'Budget Data'!$E:$E,'Variance by Program'!$B32,'Budget Data'!$C:$C,'Variance by Program'!$B$2,'Budget Data'!$A:$A,'Variance by Program'!Q$10)</f>
        <v>0</v>
      </c>
      <c r="R32" s="86">
        <f>SUMIFS('Allocated Transactions'!$J:$J,'Allocated Transactions'!$D:$D,'Variance by Program'!$B32,'Allocated Transactions'!$C:$C,'Variance by Program'!$B$2,'Allocated Transactions'!$A:$A,"&gt;="&amp;'Variance by Program'!R$10,'Allocated Transactions'!$A:$A,"&lt;="&amp;EOMONTH('Variance by Program'!R$10,0))</f>
        <v>0</v>
      </c>
      <c r="S32" s="84">
        <f>SUMIFS('Budget Data'!$J:$J,'Budget Data'!$E:$E,'Variance by Program'!$B32,'Budget Data'!$C:$C,'Variance by Program'!$B$2,'Budget Data'!$A:$A,'Variance by Program'!S$10)</f>
        <v>0</v>
      </c>
      <c r="T32" s="86">
        <f>SUMIFS('Allocated Transactions'!$J:$J,'Allocated Transactions'!$D:$D,'Variance by Program'!$B32,'Allocated Transactions'!$C:$C,'Variance by Program'!$B$2,'Allocated Transactions'!$A:$A,"&gt;="&amp;'Variance by Program'!T$10,'Allocated Transactions'!$A:$A,"&lt;="&amp;EOMONTH('Variance by Program'!T$10,0))</f>
        <v>0</v>
      </c>
      <c r="U32" s="84">
        <f>SUMIFS('Budget Data'!$J:$J,'Budget Data'!$E:$E,'Variance by Program'!$B32,'Budget Data'!$C:$C,'Variance by Program'!$B$2,'Budget Data'!$A:$A,'Variance by Program'!U$10)</f>
        <v>0</v>
      </c>
      <c r="V32" s="86">
        <f>SUMIFS('Allocated Transactions'!$J:$J,'Allocated Transactions'!$D:$D,'Variance by Program'!$B32,'Allocated Transactions'!$C:$C,'Variance by Program'!$B$2,'Allocated Transactions'!$A:$A,"&gt;="&amp;'Variance by Program'!V$10,'Allocated Transactions'!$A:$A,"&lt;="&amp;EOMONTH('Variance by Program'!V$10,0))</f>
        <v>0</v>
      </c>
      <c r="W32" s="84">
        <f>SUMIFS('Budget Data'!$J:$J,'Budget Data'!$E:$E,'Variance by Program'!$B32,'Budget Data'!$C:$C,'Variance by Program'!$B$2,'Budget Data'!$A:$A,'Variance by Program'!W$10)</f>
        <v>0</v>
      </c>
      <c r="X32" s="86">
        <f>SUMIFS('Allocated Transactions'!$J:$J,'Allocated Transactions'!$D:$D,'Variance by Program'!$B32,'Allocated Transactions'!$C:$C,'Variance by Program'!$B$2,'Allocated Transactions'!$A:$A,"&gt;="&amp;'Variance by Program'!X$10,'Allocated Transactions'!$A:$A,"&lt;="&amp;EOMONTH('Variance by Program'!X$10,0))</f>
        <v>0</v>
      </c>
      <c r="Y32" s="84">
        <f>SUMIFS('Budget Data'!$J:$J,'Budget Data'!$E:$E,'Variance by Program'!$B32,'Budget Data'!$C:$C,'Variance by Program'!$B$2,'Budget Data'!$A:$A,'Variance by Program'!Y$10)</f>
        <v>0</v>
      </c>
      <c r="Z32" s="86">
        <f>SUMIFS('Allocated Transactions'!$J:$J,'Allocated Transactions'!$D:$D,'Variance by Program'!$B32,'Allocated Transactions'!$C:$C,'Variance by Program'!$B$2,'Allocated Transactions'!$A:$A,"&gt;="&amp;'Variance by Program'!Z$10,'Allocated Transactions'!$A:$A,"&lt;="&amp;EOMONTH('Variance by Program'!Z$10,0))</f>
        <v>0</v>
      </c>
      <c r="AA32" s="84">
        <f>SUMIFS('Budget Data'!$J:$J,'Budget Data'!$E:$E,'Variance by Program'!$B32,'Budget Data'!$C:$C,'Variance by Program'!$B$2,'Budget Data'!$A:$A,'Variance by Program'!AA$10)</f>
        <v>0</v>
      </c>
      <c r="AC32" s="86">
        <f t="shared" si="3"/>
        <v>0</v>
      </c>
      <c r="AD32" s="84">
        <f t="shared" si="3"/>
        <v>0</v>
      </c>
    </row>
    <row r="33" spans="2:31" ht="15" customHeight="1">
      <c r="B33" s="12" t="str">
        <v>5510</v>
      </c>
      <c r="C33" s="160" t="str">
        <f>_xlfn.XLOOKUP(B33,'Allocated Transactions'!D:D,'Allocated Transactions'!E:E,"")</f>
        <v>Professional Fees - Accounting/Audit</v>
      </c>
      <c r="D33" s="86">
        <f>SUMIFS('Allocated Transactions'!$J:$J,'Allocated Transactions'!$D:$D,'Variance by Program'!$B33,'Allocated Transactions'!$C:$C,'Variance by Program'!$B$2,'Allocated Transactions'!$A:$A,"&gt;="&amp;'Variance by Program'!D$10,'Allocated Transactions'!$A:$A,"&lt;="&amp;EOMONTH('Variance by Program'!D$10,0))</f>
        <v>0</v>
      </c>
      <c r="E33" s="84">
        <f>SUMIFS('Budget Data'!$J:$J,'Budget Data'!$E:$E,'Variance by Program'!$B33,'Budget Data'!$C:$C,'Variance by Program'!$B$2,'Budget Data'!$A:$A,'Variance by Program'!E$10)</f>
        <v>0</v>
      </c>
      <c r="F33" s="86">
        <f>SUMIFS('Allocated Transactions'!$J:$J,'Allocated Transactions'!$D:$D,'Variance by Program'!$B33,'Allocated Transactions'!$C:$C,'Variance by Program'!$B$2,'Allocated Transactions'!$A:$A,"&gt;="&amp;'Variance by Program'!F$10,'Allocated Transactions'!$A:$A,"&lt;="&amp;EOMONTH('Variance by Program'!F$10,0))</f>
        <v>0</v>
      </c>
      <c r="G33" s="84">
        <f>SUMIFS('Budget Data'!$J:$J,'Budget Data'!$E:$E,'Variance by Program'!$B33,'Budget Data'!$C:$C,'Variance by Program'!$B$2,'Budget Data'!$A:$A,'Variance by Program'!G$10)</f>
        <v>0</v>
      </c>
      <c r="H33" s="86">
        <f>SUMIFS('Allocated Transactions'!$J:$J,'Allocated Transactions'!$D:$D,'Variance by Program'!$B33,'Allocated Transactions'!$C:$C,'Variance by Program'!$B$2,'Allocated Transactions'!$A:$A,"&gt;="&amp;'Variance by Program'!H$10,'Allocated Transactions'!$A:$A,"&lt;="&amp;EOMONTH('Variance by Program'!H$10,0))</f>
        <v>0</v>
      </c>
      <c r="I33" s="84">
        <f>SUMIFS('Budget Data'!$J:$J,'Budget Data'!$E:$E,'Variance by Program'!$B33,'Budget Data'!$C:$C,'Variance by Program'!$B$2,'Budget Data'!$A:$A,'Variance by Program'!I$10)</f>
        <v>0</v>
      </c>
      <c r="J33" s="86">
        <f>SUMIFS('Allocated Transactions'!$J:$J,'Allocated Transactions'!$D:$D,'Variance by Program'!$B33,'Allocated Transactions'!$C:$C,'Variance by Program'!$B$2,'Allocated Transactions'!$A:$A,"&gt;="&amp;'Variance by Program'!J$10,'Allocated Transactions'!$A:$A,"&lt;="&amp;EOMONTH('Variance by Program'!J$10,0))</f>
        <v>0</v>
      </c>
      <c r="K33" s="84">
        <f>SUMIFS('Budget Data'!$J:$J,'Budget Data'!$E:$E,'Variance by Program'!$B33,'Budget Data'!$C:$C,'Variance by Program'!$B$2,'Budget Data'!$A:$A,'Variance by Program'!K$10)</f>
        <v>0</v>
      </c>
      <c r="L33" s="86">
        <f>SUMIFS('Allocated Transactions'!$J:$J,'Allocated Transactions'!$D:$D,'Variance by Program'!$B33,'Allocated Transactions'!$C:$C,'Variance by Program'!$B$2,'Allocated Transactions'!$A:$A,"&gt;="&amp;'Variance by Program'!L$10,'Allocated Transactions'!$A:$A,"&lt;="&amp;EOMONTH('Variance by Program'!L$10,0))</f>
        <v>0</v>
      </c>
      <c r="M33" s="84">
        <f>SUMIFS('Budget Data'!$J:$J,'Budget Data'!$E:$E,'Variance by Program'!$B33,'Budget Data'!$C:$C,'Variance by Program'!$B$2,'Budget Data'!$A:$A,'Variance by Program'!M$10)</f>
        <v>0</v>
      </c>
      <c r="N33" s="86">
        <f>SUMIFS('Allocated Transactions'!$J:$J,'Allocated Transactions'!$D:$D,'Variance by Program'!$B33,'Allocated Transactions'!$C:$C,'Variance by Program'!$B$2,'Allocated Transactions'!$A:$A,"&gt;="&amp;'Variance by Program'!N$10,'Allocated Transactions'!$A:$A,"&lt;="&amp;EOMONTH('Variance by Program'!N$10,0))</f>
        <v>0</v>
      </c>
      <c r="O33" s="84">
        <f>SUMIFS('Budget Data'!$J:$J,'Budget Data'!$E:$E,'Variance by Program'!$B33,'Budget Data'!$C:$C,'Variance by Program'!$B$2,'Budget Data'!$A:$A,'Variance by Program'!O$10)</f>
        <v>0</v>
      </c>
      <c r="P33" s="86">
        <f>SUMIFS('Allocated Transactions'!$J:$J,'Allocated Transactions'!$D:$D,'Variance by Program'!$B33,'Allocated Transactions'!$C:$C,'Variance by Program'!$B$2,'Allocated Transactions'!$A:$A,"&gt;="&amp;'Variance by Program'!P$10,'Allocated Transactions'!$A:$A,"&lt;="&amp;EOMONTH('Variance by Program'!P$10,0))</f>
        <v>0</v>
      </c>
      <c r="Q33" s="84">
        <f>SUMIFS('Budget Data'!$J:$J,'Budget Data'!$E:$E,'Variance by Program'!$B33,'Budget Data'!$C:$C,'Variance by Program'!$B$2,'Budget Data'!$A:$A,'Variance by Program'!Q$10)</f>
        <v>0</v>
      </c>
      <c r="R33" s="86">
        <f>SUMIFS('Allocated Transactions'!$J:$J,'Allocated Transactions'!$D:$D,'Variance by Program'!$B33,'Allocated Transactions'!$C:$C,'Variance by Program'!$B$2,'Allocated Transactions'!$A:$A,"&gt;="&amp;'Variance by Program'!R$10,'Allocated Transactions'!$A:$A,"&lt;="&amp;EOMONTH('Variance by Program'!R$10,0))</f>
        <v>0</v>
      </c>
      <c r="S33" s="84">
        <f>SUMIFS('Budget Data'!$J:$J,'Budget Data'!$E:$E,'Variance by Program'!$B33,'Budget Data'!$C:$C,'Variance by Program'!$B$2,'Budget Data'!$A:$A,'Variance by Program'!S$10)</f>
        <v>0</v>
      </c>
      <c r="T33" s="86">
        <f>SUMIFS('Allocated Transactions'!$J:$J,'Allocated Transactions'!$D:$D,'Variance by Program'!$B33,'Allocated Transactions'!$C:$C,'Variance by Program'!$B$2,'Allocated Transactions'!$A:$A,"&gt;="&amp;'Variance by Program'!T$10,'Allocated Transactions'!$A:$A,"&lt;="&amp;EOMONTH('Variance by Program'!T$10,0))</f>
        <v>0</v>
      </c>
      <c r="U33" s="84">
        <f>SUMIFS('Budget Data'!$J:$J,'Budget Data'!$E:$E,'Variance by Program'!$B33,'Budget Data'!$C:$C,'Variance by Program'!$B$2,'Budget Data'!$A:$A,'Variance by Program'!U$10)</f>
        <v>0</v>
      </c>
      <c r="V33" s="86">
        <f>SUMIFS('Allocated Transactions'!$J:$J,'Allocated Transactions'!$D:$D,'Variance by Program'!$B33,'Allocated Transactions'!$C:$C,'Variance by Program'!$B$2,'Allocated Transactions'!$A:$A,"&gt;="&amp;'Variance by Program'!V$10,'Allocated Transactions'!$A:$A,"&lt;="&amp;EOMONTH('Variance by Program'!V$10,0))</f>
        <v>0</v>
      </c>
      <c r="W33" s="84">
        <f>SUMIFS('Budget Data'!$J:$J,'Budget Data'!$E:$E,'Variance by Program'!$B33,'Budget Data'!$C:$C,'Variance by Program'!$B$2,'Budget Data'!$A:$A,'Variance by Program'!W$10)</f>
        <v>0</v>
      </c>
      <c r="X33" s="86">
        <f>SUMIFS('Allocated Transactions'!$J:$J,'Allocated Transactions'!$D:$D,'Variance by Program'!$B33,'Allocated Transactions'!$C:$C,'Variance by Program'!$B$2,'Allocated Transactions'!$A:$A,"&gt;="&amp;'Variance by Program'!X$10,'Allocated Transactions'!$A:$A,"&lt;="&amp;EOMONTH('Variance by Program'!X$10,0))</f>
        <v>0</v>
      </c>
      <c r="Y33" s="84">
        <f>SUMIFS('Budget Data'!$J:$J,'Budget Data'!$E:$E,'Variance by Program'!$B33,'Budget Data'!$C:$C,'Variance by Program'!$B$2,'Budget Data'!$A:$A,'Variance by Program'!Y$10)</f>
        <v>0</v>
      </c>
      <c r="Z33" s="86">
        <f>SUMIFS('Allocated Transactions'!$J:$J,'Allocated Transactions'!$D:$D,'Variance by Program'!$B33,'Allocated Transactions'!$C:$C,'Variance by Program'!$B$2,'Allocated Transactions'!$A:$A,"&gt;="&amp;'Variance by Program'!Z$10,'Allocated Transactions'!$A:$A,"&lt;="&amp;EOMONTH('Variance by Program'!Z$10,0))</f>
        <v>0</v>
      </c>
      <c r="AA33" s="84">
        <f>SUMIFS('Budget Data'!$J:$J,'Budget Data'!$E:$E,'Variance by Program'!$B33,'Budget Data'!$C:$C,'Variance by Program'!$B$2,'Budget Data'!$A:$A,'Variance by Program'!AA$10)</f>
        <v>0</v>
      </c>
      <c r="AC33" s="86">
        <f t="shared" si="3"/>
        <v>0</v>
      </c>
      <c r="AD33" s="84">
        <f t="shared" si="3"/>
        <v>0</v>
      </c>
    </row>
    <row r="34" spans="2:31" ht="15" customHeight="1">
      <c r="B34" s="12" t="str">
        <v>5600</v>
      </c>
      <c r="C34" s="160" t="str">
        <f>_xlfn.XLOOKUP(B34,'Allocated Transactions'!D:D,'Allocated Transactions'!E:E,"")</f>
        <v>Insurance</v>
      </c>
      <c r="D34" s="86">
        <f>SUMIFS('Allocated Transactions'!$J:$J,'Allocated Transactions'!$D:$D,'Variance by Program'!$B34,'Allocated Transactions'!$C:$C,'Variance by Program'!$B$2,'Allocated Transactions'!$A:$A,"&gt;="&amp;'Variance by Program'!D$10,'Allocated Transactions'!$A:$A,"&lt;="&amp;EOMONTH('Variance by Program'!D$10,0))</f>
        <v>422.6</v>
      </c>
      <c r="E34" s="84">
        <f>SUMIFS('Budget Data'!$J:$J,'Budget Data'!$E:$E,'Variance by Program'!$B34,'Budget Data'!$C:$C,'Variance by Program'!$B$2,'Budget Data'!$A:$A,'Variance by Program'!E$10)</f>
        <v>400</v>
      </c>
      <c r="F34" s="86">
        <f>SUMIFS('Allocated Transactions'!$J:$J,'Allocated Transactions'!$D:$D,'Variance by Program'!$B34,'Allocated Transactions'!$C:$C,'Variance by Program'!$B$2,'Allocated Transactions'!$A:$A,"&gt;="&amp;'Variance by Program'!F$10,'Allocated Transactions'!$A:$A,"&lt;="&amp;EOMONTH('Variance by Program'!F$10,0))</f>
        <v>422.6</v>
      </c>
      <c r="G34" s="84">
        <f>SUMIFS('Budget Data'!$J:$J,'Budget Data'!$E:$E,'Variance by Program'!$B34,'Budget Data'!$C:$C,'Variance by Program'!$B$2,'Budget Data'!$A:$A,'Variance by Program'!G$10)</f>
        <v>400</v>
      </c>
      <c r="H34" s="86">
        <f>SUMIFS('Allocated Transactions'!$J:$J,'Allocated Transactions'!$D:$D,'Variance by Program'!$B34,'Allocated Transactions'!$C:$C,'Variance by Program'!$B$2,'Allocated Transactions'!$A:$A,"&gt;="&amp;'Variance by Program'!H$10,'Allocated Transactions'!$A:$A,"&lt;="&amp;EOMONTH('Variance by Program'!H$10,0))</f>
        <v>422.6</v>
      </c>
      <c r="I34" s="84">
        <f>SUMIFS('Budget Data'!$J:$J,'Budget Data'!$E:$E,'Variance by Program'!$B34,'Budget Data'!$C:$C,'Variance by Program'!$B$2,'Budget Data'!$A:$A,'Variance by Program'!I$10)</f>
        <v>400</v>
      </c>
      <c r="J34" s="86">
        <f>SUMIFS('Allocated Transactions'!$J:$J,'Allocated Transactions'!$D:$D,'Variance by Program'!$B34,'Allocated Transactions'!$C:$C,'Variance by Program'!$B$2,'Allocated Transactions'!$A:$A,"&gt;="&amp;'Variance by Program'!J$10,'Allocated Transactions'!$A:$A,"&lt;="&amp;EOMONTH('Variance by Program'!J$10,0))</f>
        <v>422.6</v>
      </c>
      <c r="K34" s="84">
        <f>SUMIFS('Budget Data'!$J:$J,'Budget Data'!$E:$E,'Variance by Program'!$B34,'Budget Data'!$C:$C,'Variance by Program'!$B$2,'Budget Data'!$A:$A,'Variance by Program'!K$10)</f>
        <v>400</v>
      </c>
      <c r="L34" s="86">
        <f>SUMIFS('Allocated Transactions'!$J:$J,'Allocated Transactions'!$D:$D,'Variance by Program'!$B34,'Allocated Transactions'!$C:$C,'Variance by Program'!$B$2,'Allocated Transactions'!$A:$A,"&gt;="&amp;'Variance by Program'!L$10,'Allocated Transactions'!$A:$A,"&lt;="&amp;EOMONTH('Variance by Program'!L$10,0))</f>
        <v>422.6</v>
      </c>
      <c r="M34" s="84">
        <f>SUMIFS('Budget Data'!$J:$J,'Budget Data'!$E:$E,'Variance by Program'!$B34,'Budget Data'!$C:$C,'Variance by Program'!$B$2,'Budget Data'!$A:$A,'Variance by Program'!M$10)</f>
        <v>400</v>
      </c>
      <c r="N34" s="86">
        <f>SUMIFS('Allocated Transactions'!$J:$J,'Allocated Transactions'!$D:$D,'Variance by Program'!$B34,'Allocated Transactions'!$C:$C,'Variance by Program'!$B$2,'Allocated Transactions'!$A:$A,"&gt;="&amp;'Variance by Program'!N$10,'Allocated Transactions'!$A:$A,"&lt;="&amp;EOMONTH('Variance by Program'!N$10,0))</f>
        <v>422.6</v>
      </c>
      <c r="O34" s="84">
        <f>SUMIFS('Budget Data'!$J:$J,'Budget Data'!$E:$E,'Variance by Program'!$B34,'Budget Data'!$C:$C,'Variance by Program'!$B$2,'Budget Data'!$A:$A,'Variance by Program'!O$10)</f>
        <v>400</v>
      </c>
      <c r="P34" s="86">
        <f>SUMIFS('Allocated Transactions'!$J:$J,'Allocated Transactions'!$D:$D,'Variance by Program'!$B34,'Allocated Transactions'!$C:$C,'Variance by Program'!$B$2,'Allocated Transactions'!$A:$A,"&gt;="&amp;'Variance by Program'!P$10,'Allocated Transactions'!$A:$A,"&lt;="&amp;EOMONTH('Variance by Program'!P$10,0))</f>
        <v>422.6</v>
      </c>
      <c r="Q34" s="84">
        <f>SUMIFS('Budget Data'!$J:$J,'Budget Data'!$E:$E,'Variance by Program'!$B34,'Budget Data'!$C:$C,'Variance by Program'!$B$2,'Budget Data'!$A:$A,'Variance by Program'!Q$10)</f>
        <v>400</v>
      </c>
      <c r="R34" s="86">
        <f>SUMIFS('Allocated Transactions'!$J:$J,'Allocated Transactions'!$D:$D,'Variance by Program'!$B34,'Allocated Transactions'!$C:$C,'Variance by Program'!$B$2,'Allocated Transactions'!$A:$A,"&gt;="&amp;'Variance by Program'!R$10,'Allocated Transactions'!$A:$A,"&lt;="&amp;EOMONTH('Variance by Program'!R$10,0))</f>
        <v>422.6</v>
      </c>
      <c r="S34" s="84">
        <f>SUMIFS('Budget Data'!$J:$J,'Budget Data'!$E:$E,'Variance by Program'!$B34,'Budget Data'!$C:$C,'Variance by Program'!$B$2,'Budget Data'!$A:$A,'Variance by Program'!S$10)</f>
        <v>400</v>
      </c>
      <c r="T34" s="86">
        <f>SUMIFS('Allocated Transactions'!$J:$J,'Allocated Transactions'!$D:$D,'Variance by Program'!$B34,'Allocated Transactions'!$C:$C,'Variance by Program'!$B$2,'Allocated Transactions'!$A:$A,"&gt;="&amp;'Variance by Program'!T$10,'Allocated Transactions'!$A:$A,"&lt;="&amp;EOMONTH('Variance by Program'!T$10,0))</f>
        <v>487.62</v>
      </c>
      <c r="U34" s="84">
        <f>SUMIFS('Budget Data'!$J:$J,'Budget Data'!$E:$E,'Variance by Program'!$B34,'Budget Data'!$C:$C,'Variance by Program'!$B$2,'Budget Data'!$A:$A,'Variance by Program'!U$10)</f>
        <v>500</v>
      </c>
      <c r="V34" s="86">
        <f>SUMIFS('Allocated Transactions'!$J:$J,'Allocated Transactions'!$D:$D,'Variance by Program'!$B34,'Allocated Transactions'!$C:$C,'Variance by Program'!$B$2,'Allocated Transactions'!$A:$A,"&gt;="&amp;'Variance by Program'!V$10,'Allocated Transactions'!$A:$A,"&lt;="&amp;EOMONTH('Variance by Program'!V$10,0))</f>
        <v>487.62</v>
      </c>
      <c r="W34" s="84">
        <f>SUMIFS('Budget Data'!$J:$J,'Budget Data'!$E:$E,'Variance by Program'!$B34,'Budget Data'!$C:$C,'Variance by Program'!$B$2,'Budget Data'!$A:$A,'Variance by Program'!W$10)</f>
        <v>500</v>
      </c>
      <c r="X34" s="86">
        <f>SUMIFS('Allocated Transactions'!$J:$J,'Allocated Transactions'!$D:$D,'Variance by Program'!$B34,'Allocated Transactions'!$C:$C,'Variance by Program'!$B$2,'Allocated Transactions'!$A:$A,"&gt;="&amp;'Variance by Program'!X$10,'Allocated Transactions'!$A:$A,"&lt;="&amp;EOMONTH('Variance by Program'!X$10,0))</f>
        <v>422.6</v>
      </c>
      <c r="Y34" s="84">
        <f>SUMIFS('Budget Data'!$J:$J,'Budget Data'!$E:$E,'Variance by Program'!$B34,'Budget Data'!$C:$C,'Variance by Program'!$B$2,'Budget Data'!$A:$A,'Variance by Program'!Y$10)</f>
        <v>400</v>
      </c>
      <c r="Z34" s="86">
        <f>SUMIFS('Allocated Transactions'!$J:$J,'Allocated Transactions'!$D:$D,'Variance by Program'!$B34,'Allocated Transactions'!$C:$C,'Variance by Program'!$B$2,'Allocated Transactions'!$A:$A,"&gt;="&amp;'Variance by Program'!Z$10,'Allocated Transactions'!$A:$A,"&lt;="&amp;EOMONTH('Variance by Program'!Z$10,0))</f>
        <v>422.6</v>
      </c>
      <c r="AA34" s="84">
        <f>SUMIFS('Budget Data'!$J:$J,'Budget Data'!$E:$E,'Variance by Program'!$B34,'Budget Data'!$C:$C,'Variance by Program'!$B$2,'Budget Data'!$A:$A,'Variance by Program'!AA$10)</f>
        <v>400</v>
      </c>
      <c r="AC34" s="86">
        <f t="shared" si="3"/>
        <v>5201.2400000000007</v>
      </c>
      <c r="AD34" s="84">
        <f t="shared" si="3"/>
        <v>5000</v>
      </c>
    </row>
    <row r="35" spans="2:31" ht="15" customHeight="1">
      <c r="B35" s="12" t="str">
        <v>5700</v>
      </c>
      <c r="C35" s="160" t="str">
        <f>_xlfn.XLOOKUP(B35,'Allocated Transactions'!D:D,'Allocated Transactions'!E:E,"")</f>
        <v>Depreciation Expense</v>
      </c>
      <c r="D35" s="86">
        <f>SUMIFS('Allocated Transactions'!$J:$J,'Allocated Transactions'!$D:$D,'Variance by Program'!$B35,'Allocated Transactions'!$C:$C,'Variance by Program'!$B$2,'Allocated Transactions'!$A:$A,"&gt;="&amp;'Variance by Program'!D$10,'Allocated Transactions'!$A:$A,"&lt;="&amp;EOMONTH('Variance by Program'!D$10,0))</f>
        <v>0</v>
      </c>
      <c r="E35" s="84">
        <f>SUMIFS('Budget Data'!$J:$J,'Budget Data'!$E:$E,'Variance by Program'!$B35,'Budget Data'!$C:$C,'Variance by Program'!$B$2,'Budget Data'!$A:$A,'Variance by Program'!E$10)</f>
        <v>0</v>
      </c>
      <c r="F35" s="86">
        <f>SUMIFS('Allocated Transactions'!$J:$J,'Allocated Transactions'!$D:$D,'Variance by Program'!$B35,'Allocated Transactions'!$C:$C,'Variance by Program'!$B$2,'Allocated Transactions'!$A:$A,"&gt;="&amp;'Variance by Program'!F$10,'Allocated Transactions'!$A:$A,"&lt;="&amp;EOMONTH('Variance by Program'!F$10,0))</f>
        <v>0</v>
      </c>
      <c r="G35" s="84">
        <f>SUMIFS('Budget Data'!$J:$J,'Budget Data'!$E:$E,'Variance by Program'!$B35,'Budget Data'!$C:$C,'Variance by Program'!$B$2,'Budget Data'!$A:$A,'Variance by Program'!G$10)</f>
        <v>0</v>
      </c>
      <c r="H35" s="86">
        <f>SUMIFS('Allocated Transactions'!$J:$J,'Allocated Transactions'!$D:$D,'Variance by Program'!$B35,'Allocated Transactions'!$C:$C,'Variance by Program'!$B$2,'Allocated Transactions'!$A:$A,"&gt;="&amp;'Variance by Program'!H$10,'Allocated Transactions'!$A:$A,"&lt;="&amp;EOMONTH('Variance by Program'!H$10,0))</f>
        <v>0</v>
      </c>
      <c r="I35" s="84">
        <f>SUMIFS('Budget Data'!$J:$J,'Budget Data'!$E:$E,'Variance by Program'!$B35,'Budget Data'!$C:$C,'Variance by Program'!$B$2,'Budget Data'!$A:$A,'Variance by Program'!I$10)</f>
        <v>0</v>
      </c>
      <c r="J35" s="86">
        <f>SUMIFS('Allocated Transactions'!$J:$J,'Allocated Transactions'!$D:$D,'Variance by Program'!$B35,'Allocated Transactions'!$C:$C,'Variance by Program'!$B$2,'Allocated Transactions'!$A:$A,"&gt;="&amp;'Variance by Program'!J$10,'Allocated Transactions'!$A:$A,"&lt;="&amp;EOMONTH('Variance by Program'!J$10,0))</f>
        <v>0</v>
      </c>
      <c r="K35" s="84">
        <f>SUMIFS('Budget Data'!$J:$J,'Budget Data'!$E:$E,'Variance by Program'!$B35,'Budget Data'!$C:$C,'Variance by Program'!$B$2,'Budget Data'!$A:$A,'Variance by Program'!K$10)</f>
        <v>0</v>
      </c>
      <c r="L35" s="86">
        <f>SUMIFS('Allocated Transactions'!$J:$J,'Allocated Transactions'!$D:$D,'Variance by Program'!$B35,'Allocated Transactions'!$C:$C,'Variance by Program'!$B$2,'Allocated Transactions'!$A:$A,"&gt;="&amp;'Variance by Program'!L$10,'Allocated Transactions'!$A:$A,"&lt;="&amp;EOMONTH('Variance by Program'!L$10,0))</f>
        <v>0</v>
      </c>
      <c r="M35" s="84">
        <f>SUMIFS('Budget Data'!$J:$J,'Budget Data'!$E:$E,'Variance by Program'!$B35,'Budget Data'!$C:$C,'Variance by Program'!$B$2,'Budget Data'!$A:$A,'Variance by Program'!M$10)</f>
        <v>0</v>
      </c>
      <c r="N35" s="86">
        <f>SUMIFS('Allocated Transactions'!$J:$J,'Allocated Transactions'!$D:$D,'Variance by Program'!$B35,'Allocated Transactions'!$C:$C,'Variance by Program'!$B$2,'Allocated Transactions'!$A:$A,"&gt;="&amp;'Variance by Program'!N$10,'Allocated Transactions'!$A:$A,"&lt;="&amp;EOMONTH('Variance by Program'!N$10,0))</f>
        <v>0</v>
      </c>
      <c r="O35" s="84">
        <f>SUMIFS('Budget Data'!$J:$J,'Budget Data'!$E:$E,'Variance by Program'!$B35,'Budget Data'!$C:$C,'Variance by Program'!$B$2,'Budget Data'!$A:$A,'Variance by Program'!O$10)</f>
        <v>0</v>
      </c>
      <c r="P35" s="86">
        <f>SUMIFS('Allocated Transactions'!$J:$J,'Allocated Transactions'!$D:$D,'Variance by Program'!$B35,'Allocated Transactions'!$C:$C,'Variance by Program'!$B$2,'Allocated Transactions'!$A:$A,"&gt;="&amp;'Variance by Program'!P$10,'Allocated Transactions'!$A:$A,"&lt;="&amp;EOMONTH('Variance by Program'!P$10,0))</f>
        <v>0</v>
      </c>
      <c r="Q35" s="84">
        <f>SUMIFS('Budget Data'!$J:$J,'Budget Data'!$E:$E,'Variance by Program'!$B35,'Budget Data'!$C:$C,'Variance by Program'!$B$2,'Budget Data'!$A:$A,'Variance by Program'!Q$10)</f>
        <v>0</v>
      </c>
      <c r="R35" s="86">
        <f>SUMIFS('Allocated Transactions'!$J:$J,'Allocated Transactions'!$D:$D,'Variance by Program'!$B35,'Allocated Transactions'!$C:$C,'Variance by Program'!$B$2,'Allocated Transactions'!$A:$A,"&gt;="&amp;'Variance by Program'!R$10,'Allocated Transactions'!$A:$A,"&lt;="&amp;EOMONTH('Variance by Program'!R$10,0))</f>
        <v>0</v>
      </c>
      <c r="S35" s="84">
        <f>SUMIFS('Budget Data'!$J:$J,'Budget Data'!$E:$E,'Variance by Program'!$B35,'Budget Data'!$C:$C,'Variance by Program'!$B$2,'Budget Data'!$A:$A,'Variance by Program'!S$10)</f>
        <v>0</v>
      </c>
      <c r="T35" s="86">
        <f>SUMIFS('Allocated Transactions'!$J:$J,'Allocated Transactions'!$D:$D,'Variance by Program'!$B35,'Allocated Transactions'!$C:$C,'Variance by Program'!$B$2,'Allocated Transactions'!$A:$A,"&gt;="&amp;'Variance by Program'!T$10,'Allocated Transactions'!$A:$A,"&lt;="&amp;EOMONTH('Variance by Program'!T$10,0))</f>
        <v>0</v>
      </c>
      <c r="U35" s="84">
        <f>SUMIFS('Budget Data'!$J:$J,'Budget Data'!$E:$E,'Variance by Program'!$B35,'Budget Data'!$C:$C,'Variance by Program'!$B$2,'Budget Data'!$A:$A,'Variance by Program'!U$10)</f>
        <v>0</v>
      </c>
      <c r="V35" s="86">
        <f>SUMIFS('Allocated Transactions'!$J:$J,'Allocated Transactions'!$D:$D,'Variance by Program'!$B35,'Allocated Transactions'!$C:$C,'Variance by Program'!$B$2,'Allocated Transactions'!$A:$A,"&gt;="&amp;'Variance by Program'!V$10,'Allocated Transactions'!$A:$A,"&lt;="&amp;EOMONTH('Variance by Program'!V$10,0))</f>
        <v>0</v>
      </c>
      <c r="W35" s="84">
        <f>SUMIFS('Budget Data'!$J:$J,'Budget Data'!$E:$E,'Variance by Program'!$B35,'Budget Data'!$C:$C,'Variance by Program'!$B$2,'Budget Data'!$A:$A,'Variance by Program'!W$10)</f>
        <v>0</v>
      </c>
      <c r="X35" s="86">
        <f>SUMIFS('Allocated Transactions'!$J:$J,'Allocated Transactions'!$D:$D,'Variance by Program'!$B35,'Allocated Transactions'!$C:$C,'Variance by Program'!$B$2,'Allocated Transactions'!$A:$A,"&gt;="&amp;'Variance by Program'!X$10,'Allocated Transactions'!$A:$A,"&lt;="&amp;EOMONTH('Variance by Program'!X$10,0))</f>
        <v>0</v>
      </c>
      <c r="Y35" s="84">
        <f>SUMIFS('Budget Data'!$J:$J,'Budget Data'!$E:$E,'Variance by Program'!$B35,'Budget Data'!$C:$C,'Variance by Program'!$B$2,'Budget Data'!$A:$A,'Variance by Program'!Y$10)</f>
        <v>0</v>
      </c>
      <c r="Z35" s="86">
        <f>SUMIFS('Allocated Transactions'!$J:$J,'Allocated Transactions'!$D:$D,'Variance by Program'!$B35,'Allocated Transactions'!$C:$C,'Variance by Program'!$B$2,'Allocated Transactions'!$A:$A,"&gt;="&amp;'Variance by Program'!Z$10,'Allocated Transactions'!$A:$A,"&lt;="&amp;EOMONTH('Variance by Program'!Z$10,0))</f>
        <v>0</v>
      </c>
      <c r="AA35" s="84">
        <f>SUMIFS('Budget Data'!$J:$J,'Budget Data'!$E:$E,'Variance by Program'!$B35,'Budget Data'!$C:$C,'Variance by Program'!$B$2,'Budget Data'!$A:$A,'Variance by Program'!AA$10)</f>
        <v>0</v>
      </c>
      <c r="AC35" s="86">
        <f t="shared" si="3"/>
        <v>0</v>
      </c>
      <c r="AD35" s="84">
        <f t="shared" si="3"/>
        <v>0</v>
      </c>
    </row>
    <row r="36" spans="2:31" ht="15" customHeight="1">
      <c r="B36" s="12" t="str">
        <v>5800</v>
      </c>
      <c r="C36" s="160" t="str">
        <f>_xlfn.XLOOKUP(B36,'Allocated Transactions'!D:D,'Allocated Transactions'!E:E,"")</f>
        <v>Bank Fees</v>
      </c>
      <c r="D36" s="86">
        <f>SUMIFS('Allocated Transactions'!$J:$J,'Allocated Transactions'!$D:$D,'Variance by Program'!$B36,'Allocated Transactions'!$C:$C,'Variance by Program'!$B$2,'Allocated Transactions'!$A:$A,"&gt;="&amp;'Variance by Program'!D$10,'Allocated Transactions'!$A:$A,"&lt;="&amp;EOMONTH('Variance by Program'!D$10,0))</f>
        <v>0</v>
      </c>
      <c r="E36" s="84">
        <f>SUMIFS('Budget Data'!$J:$J,'Budget Data'!$E:$E,'Variance by Program'!$B36,'Budget Data'!$C:$C,'Variance by Program'!$B$2,'Budget Data'!$A:$A,'Variance by Program'!E$10)</f>
        <v>0</v>
      </c>
      <c r="F36" s="86">
        <f>SUMIFS('Allocated Transactions'!$J:$J,'Allocated Transactions'!$D:$D,'Variance by Program'!$B36,'Allocated Transactions'!$C:$C,'Variance by Program'!$B$2,'Allocated Transactions'!$A:$A,"&gt;="&amp;'Variance by Program'!F$10,'Allocated Transactions'!$A:$A,"&lt;="&amp;EOMONTH('Variance by Program'!F$10,0))</f>
        <v>0</v>
      </c>
      <c r="G36" s="84">
        <f>SUMIFS('Budget Data'!$J:$J,'Budget Data'!$E:$E,'Variance by Program'!$B36,'Budget Data'!$C:$C,'Variance by Program'!$B$2,'Budget Data'!$A:$A,'Variance by Program'!G$10)</f>
        <v>0</v>
      </c>
      <c r="H36" s="86">
        <f>SUMIFS('Allocated Transactions'!$J:$J,'Allocated Transactions'!$D:$D,'Variance by Program'!$B36,'Allocated Transactions'!$C:$C,'Variance by Program'!$B$2,'Allocated Transactions'!$A:$A,"&gt;="&amp;'Variance by Program'!H$10,'Allocated Transactions'!$A:$A,"&lt;="&amp;EOMONTH('Variance by Program'!H$10,0))</f>
        <v>0</v>
      </c>
      <c r="I36" s="84">
        <f>SUMIFS('Budget Data'!$J:$J,'Budget Data'!$E:$E,'Variance by Program'!$B36,'Budget Data'!$C:$C,'Variance by Program'!$B$2,'Budget Data'!$A:$A,'Variance by Program'!I$10)</f>
        <v>0</v>
      </c>
      <c r="J36" s="86">
        <f>SUMIFS('Allocated Transactions'!$J:$J,'Allocated Transactions'!$D:$D,'Variance by Program'!$B36,'Allocated Transactions'!$C:$C,'Variance by Program'!$B$2,'Allocated Transactions'!$A:$A,"&gt;="&amp;'Variance by Program'!J$10,'Allocated Transactions'!$A:$A,"&lt;="&amp;EOMONTH('Variance by Program'!J$10,0))</f>
        <v>0</v>
      </c>
      <c r="K36" s="84">
        <f>SUMIFS('Budget Data'!$J:$J,'Budget Data'!$E:$E,'Variance by Program'!$B36,'Budget Data'!$C:$C,'Variance by Program'!$B$2,'Budget Data'!$A:$A,'Variance by Program'!K$10)</f>
        <v>0</v>
      </c>
      <c r="L36" s="86">
        <f>SUMIFS('Allocated Transactions'!$J:$J,'Allocated Transactions'!$D:$D,'Variance by Program'!$B36,'Allocated Transactions'!$C:$C,'Variance by Program'!$B$2,'Allocated Transactions'!$A:$A,"&gt;="&amp;'Variance by Program'!L$10,'Allocated Transactions'!$A:$A,"&lt;="&amp;EOMONTH('Variance by Program'!L$10,0))</f>
        <v>0</v>
      </c>
      <c r="M36" s="84">
        <f>SUMIFS('Budget Data'!$J:$J,'Budget Data'!$E:$E,'Variance by Program'!$B36,'Budget Data'!$C:$C,'Variance by Program'!$B$2,'Budget Data'!$A:$A,'Variance by Program'!M$10)</f>
        <v>0</v>
      </c>
      <c r="N36" s="86">
        <f>SUMIFS('Allocated Transactions'!$J:$J,'Allocated Transactions'!$D:$D,'Variance by Program'!$B36,'Allocated Transactions'!$C:$C,'Variance by Program'!$B$2,'Allocated Transactions'!$A:$A,"&gt;="&amp;'Variance by Program'!N$10,'Allocated Transactions'!$A:$A,"&lt;="&amp;EOMONTH('Variance by Program'!N$10,0))</f>
        <v>0</v>
      </c>
      <c r="O36" s="84">
        <f>SUMIFS('Budget Data'!$J:$J,'Budget Data'!$E:$E,'Variance by Program'!$B36,'Budget Data'!$C:$C,'Variance by Program'!$B$2,'Budget Data'!$A:$A,'Variance by Program'!O$10)</f>
        <v>0</v>
      </c>
      <c r="P36" s="86">
        <f>SUMIFS('Allocated Transactions'!$J:$J,'Allocated Transactions'!$D:$D,'Variance by Program'!$B36,'Allocated Transactions'!$C:$C,'Variance by Program'!$B$2,'Allocated Transactions'!$A:$A,"&gt;="&amp;'Variance by Program'!P$10,'Allocated Transactions'!$A:$A,"&lt;="&amp;EOMONTH('Variance by Program'!P$10,0))</f>
        <v>0</v>
      </c>
      <c r="Q36" s="84">
        <f>SUMIFS('Budget Data'!$J:$J,'Budget Data'!$E:$E,'Variance by Program'!$B36,'Budget Data'!$C:$C,'Variance by Program'!$B$2,'Budget Data'!$A:$A,'Variance by Program'!Q$10)</f>
        <v>0</v>
      </c>
      <c r="R36" s="86">
        <f>SUMIFS('Allocated Transactions'!$J:$J,'Allocated Transactions'!$D:$D,'Variance by Program'!$B36,'Allocated Transactions'!$C:$C,'Variance by Program'!$B$2,'Allocated Transactions'!$A:$A,"&gt;="&amp;'Variance by Program'!R$10,'Allocated Transactions'!$A:$A,"&lt;="&amp;EOMONTH('Variance by Program'!R$10,0))</f>
        <v>0</v>
      </c>
      <c r="S36" s="84">
        <f>SUMIFS('Budget Data'!$J:$J,'Budget Data'!$E:$E,'Variance by Program'!$B36,'Budget Data'!$C:$C,'Variance by Program'!$B$2,'Budget Data'!$A:$A,'Variance by Program'!S$10)</f>
        <v>0</v>
      </c>
      <c r="T36" s="86">
        <f>SUMIFS('Allocated Transactions'!$J:$J,'Allocated Transactions'!$D:$D,'Variance by Program'!$B36,'Allocated Transactions'!$C:$C,'Variance by Program'!$B$2,'Allocated Transactions'!$A:$A,"&gt;="&amp;'Variance by Program'!T$10,'Allocated Transactions'!$A:$A,"&lt;="&amp;EOMONTH('Variance by Program'!T$10,0))</f>
        <v>0</v>
      </c>
      <c r="U36" s="84">
        <f>SUMIFS('Budget Data'!$J:$J,'Budget Data'!$E:$E,'Variance by Program'!$B36,'Budget Data'!$C:$C,'Variance by Program'!$B$2,'Budget Data'!$A:$A,'Variance by Program'!U$10)</f>
        <v>0</v>
      </c>
      <c r="V36" s="86">
        <f>SUMIFS('Allocated Transactions'!$J:$J,'Allocated Transactions'!$D:$D,'Variance by Program'!$B36,'Allocated Transactions'!$C:$C,'Variance by Program'!$B$2,'Allocated Transactions'!$A:$A,"&gt;="&amp;'Variance by Program'!V$10,'Allocated Transactions'!$A:$A,"&lt;="&amp;EOMONTH('Variance by Program'!V$10,0))</f>
        <v>0</v>
      </c>
      <c r="W36" s="84">
        <f>SUMIFS('Budget Data'!$J:$J,'Budget Data'!$E:$E,'Variance by Program'!$B36,'Budget Data'!$C:$C,'Variance by Program'!$B$2,'Budget Data'!$A:$A,'Variance by Program'!W$10)</f>
        <v>0</v>
      </c>
      <c r="X36" s="86">
        <f>SUMIFS('Allocated Transactions'!$J:$J,'Allocated Transactions'!$D:$D,'Variance by Program'!$B36,'Allocated Transactions'!$C:$C,'Variance by Program'!$B$2,'Allocated Transactions'!$A:$A,"&gt;="&amp;'Variance by Program'!X$10,'Allocated Transactions'!$A:$A,"&lt;="&amp;EOMONTH('Variance by Program'!X$10,0))</f>
        <v>0</v>
      </c>
      <c r="Y36" s="84">
        <f>SUMIFS('Budget Data'!$J:$J,'Budget Data'!$E:$E,'Variance by Program'!$B36,'Budget Data'!$C:$C,'Variance by Program'!$B$2,'Budget Data'!$A:$A,'Variance by Program'!Y$10)</f>
        <v>0</v>
      </c>
      <c r="Z36" s="86">
        <f>SUMIFS('Allocated Transactions'!$J:$J,'Allocated Transactions'!$D:$D,'Variance by Program'!$B36,'Allocated Transactions'!$C:$C,'Variance by Program'!$B$2,'Allocated Transactions'!$A:$A,"&gt;="&amp;'Variance by Program'!Z$10,'Allocated Transactions'!$A:$A,"&lt;="&amp;EOMONTH('Variance by Program'!Z$10,0))</f>
        <v>0</v>
      </c>
      <c r="AA36" s="84">
        <f>SUMIFS('Budget Data'!$J:$J,'Budget Data'!$E:$E,'Variance by Program'!$B36,'Budget Data'!$C:$C,'Variance by Program'!$B$2,'Budget Data'!$A:$A,'Variance by Program'!AA$10)</f>
        <v>0</v>
      </c>
      <c r="AC36" s="86">
        <f t="shared" si="3"/>
        <v>0</v>
      </c>
      <c r="AD36" s="84">
        <f t="shared" si="3"/>
        <v>0</v>
      </c>
    </row>
    <row r="37" spans="2:31" ht="15" customHeight="1">
      <c r="B37" s="12" t="str">
        <v>5900</v>
      </c>
      <c r="C37" s="160" t="str">
        <f>_xlfn.XLOOKUP(B37,'Allocated Transactions'!D:D,'Allocated Transactions'!E:E,"")</f>
        <v>Interest Expense</v>
      </c>
      <c r="D37" s="86">
        <f>SUMIFS('Allocated Transactions'!$J:$J,'Allocated Transactions'!$D:$D,'Variance by Program'!$B37,'Allocated Transactions'!$C:$C,'Variance by Program'!$B$2,'Allocated Transactions'!$A:$A,"&gt;="&amp;'Variance by Program'!D$10,'Allocated Transactions'!$A:$A,"&lt;="&amp;EOMONTH('Variance by Program'!D$10,0))</f>
        <v>0</v>
      </c>
      <c r="E37" s="84">
        <f>SUMIFS('Budget Data'!$J:$J,'Budget Data'!$E:$E,'Variance by Program'!$B37,'Budget Data'!$C:$C,'Variance by Program'!$B$2,'Budget Data'!$A:$A,'Variance by Program'!E$10)</f>
        <v>0</v>
      </c>
      <c r="F37" s="86">
        <f>SUMIFS('Allocated Transactions'!$J:$J,'Allocated Transactions'!$D:$D,'Variance by Program'!$B37,'Allocated Transactions'!$C:$C,'Variance by Program'!$B$2,'Allocated Transactions'!$A:$A,"&gt;="&amp;'Variance by Program'!F$10,'Allocated Transactions'!$A:$A,"&lt;="&amp;EOMONTH('Variance by Program'!F$10,0))</f>
        <v>0</v>
      </c>
      <c r="G37" s="84">
        <f>SUMIFS('Budget Data'!$J:$J,'Budget Data'!$E:$E,'Variance by Program'!$B37,'Budget Data'!$C:$C,'Variance by Program'!$B$2,'Budget Data'!$A:$A,'Variance by Program'!G$10)</f>
        <v>0</v>
      </c>
      <c r="H37" s="86">
        <f>SUMIFS('Allocated Transactions'!$J:$J,'Allocated Transactions'!$D:$D,'Variance by Program'!$B37,'Allocated Transactions'!$C:$C,'Variance by Program'!$B$2,'Allocated Transactions'!$A:$A,"&gt;="&amp;'Variance by Program'!H$10,'Allocated Transactions'!$A:$A,"&lt;="&amp;EOMONTH('Variance by Program'!H$10,0))</f>
        <v>0</v>
      </c>
      <c r="I37" s="84">
        <f>SUMIFS('Budget Data'!$J:$J,'Budget Data'!$E:$E,'Variance by Program'!$B37,'Budget Data'!$C:$C,'Variance by Program'!$B$2,'Budget Data'!$A:$A,'Variance by Program'!I$10)</f>
        <v>0</v>
      </c>
      <c r="J37" s="86">
        <f>SUMIFS('Allocated Transactions'!$J:$J,'Allocated Transactions'!$D:$D,'Variance by Program'!$B37,'Allocated Transactions'!$C:$C,'Variance by Program'!$B$2,'Allocated Transactions'!$A:$A,"&gt;="&amp;'Variance by Program'!J$10,'Allocated Transactions'!$A:$A,"&lt;="&amp;EOMONTH('Variance by Program'!J$10,0))</f>
        <v>0</v>
      </c>
      <c r="K37" s="84">
        <f>SUMIFS('Budget Data'!$J:$J,'Budget Data'!$E:$E,'Variance by Program'!$B37,'Budget Data'!$C:$C,'Variance by Program'!$B$2,'Budget Data'!$A:$A,'Variance by Program'!K$10)</f>
        <v>0</v>
      </c>
      <c r="L37" s="86">
        <f>SUMIFS('Allocated Transactions'!$J:$J,'Allocated Transactions'!$D:$D,'Variance by Program'!$B37,'Allocated Transactions'!$C:$C,'Variance by Program'!$B$2,'Allocated Transactions'!$A:$A,"&gt;="&amp;'Variance by Program'!L$10,'Allocated Transactions'!$A:$A,"&lt;="&amp;EOMONTH('Variance by Program'!L$10,0))</f>
        <v>0</v>
      </c>
      <c r="M37" s="84">
        <f>SUMIFS('Budget Data'!$J:$J,'Budget Data'!$E:$E,'Variance by Program'!$B37,'Budget Data'!$C:$C,'Variance by Program'!$B$2,'Budget Data'!$A:$A,'Variance by Program'!M$10)</f>
        <v>0</v>
      </c>
      <c r="N37" s="86">
        <f>SUMIFS('Allocated Transactions'!$J:$J,'Allocated Transactions'!$D:$D,'Variance by Program'!$B37,'Allocated Transactions'!$C:$C,'Variance by Program'!$B$2,'Allocated Transactions'!$A:$A,"&gt;="&amp;'Variance by Program'!N$10,'Allocated Transactions'!$A:$A,"&lt;="&amp;EOMONTH('Variance by Program'!N$10,0))</f>
        <v>0</v>
      </c>
      <c r="O37" s="84">
        <f>SUMIFS('Budget Data'!$J:$J,'Budget Data'!$E:$E,'Variance by Program'!$B37,'Budget Data'!$C:$C,'Variance by Program'!$B$2,'Budget Data'!$A:$A,'Variance by Program'!O$10)</f>
        <v>0</v>
      </c>
      <c r="P37" s="86">
        <f>SUMIFS('Allocated Transactions'!$J:$J,'Allocated Transactions'!$D:$D,'Variance by Program'!$B37,'Allocated Transactions'!$C:$C,'Variance by Program'!$B$2,'Allocated Transactions'!$A:$A,"&gt;="&amp;'Variance by Program'!P$10,'Allocated Transactions'!$A:$A,"&lt;="&amp;EOMONTH('Variance by Program'!P$10,0))</f>
        <v>0</v>
      </c>
      <c r="Q37" s="84">
        <f>SUMIFS('Budget Data'!$J:$J,'Budget Data'!$E:$E,'Variance by Program'!$B37,'Budget Data'!$C:$C,'Variance by Program'!$B$2,'Budget Data'!$A:$A,'Variance by Program'!Q$10)</f>
        <v>0</v>
      </c>
      <c r="R37" s="86">
        <f>SUMIFS('Allocated Transactions'!$J:$J,'Allocated Transactions'!$D:$D,'Variance by Program'!$B37,'Allocated Transactions'!$C:$C,'Variance by Program'!$B$2,'Allocated Transactions'!$A:$A,"&gt;="&amp;'Variance by Program'!R$10,'Allocated Transactions'!$A:$A,"&lt;="&amp;EOMONTH('Variance by Program'!R$10,0))</f>
        <v>0</v>
      </c>
      <c r="S37" s="84">
        <f>SUMIFS('Budget Data'!$J:$J,'Budget Data'!$E:$E,'Variance by Program'!$B37,'Budget Data'!$C:$C,'Variance by Program'!$B$2,'Budget Data'!$A:$A,'Variance by Program'!S$10)</f>
        <v>0</v>
      </c>
      <c r="T37" s="86">
        <f>SUMIFS('Allocated Transactions'!$J:$J,'Allocated Transactions'!$D:$D,'Variance by Program'!$B37,'Allocated Transactions'!$C:$C,'Variance by Program'!$B$2,'Allocated Transactions'!$A:$A,"&gt;="&amp;'Variance by Program'!T$10,'Allocated Transactions'!$A:$A,"&lt;="&amp;EOMONTH('Variance by Program'!T$10,0))</f>
        <v>0</v>
      </c>
      <c r="U37" s="84">
        <f>SUMIFS('Budget Data'!$J:$J,'Budget Data'!$E:$E,'Variance by Program'!$B37,'Budget Data'!$C:$C,'Variance by Program'!$B$2,'Budget Data'!$A:$A,'Variance by Program'!U$10)</f>
        <v>0</v>
      </c>
      <c r="V37" s="86">
        <f>SUMIFS('Allocated Transactions'!$J:$J,'Allocated Transactions'!$D:$D,'Variance by Program'!$B37,'Allocated Transactions'!$C:$C,'Variance by Program'!$B$2,'Allocated Transactions'!$A:$A,"&gt;="&amp;'Variance by Program'!V$10,'Allocated Transactions'!$A:$A,"&lt;="&amp;EOMONTH('Variance by Program'!V$10,0))</f>
        <v>0</v>
      </c>
      <c r="W37" s="84">
        <f>SUMIFS('Budget Data'!$J:$J,'Budget Data'!$E:$E,'Variance by Program'!$B37,'Budget Data'!$C:$C,'Variance by Program'!$B$2,'Budget Data'!$A:$A,'Variance by Program'!W$10)</f>
        <v>0</v>
      </c>
      <c r="X37" s="86">
        <f>SUMIFS('Allocated Transactions'!$J:$J,'Allocated Transactions'!$D:$D,'Variance by Program'!$B37,'Allocated Transactions'!$C:$C,'Variance by Program'!$B$2,'Allocated Transactions'!$A:$A,"&gt;="&amp;'Variance by Program'!X$10,'Allocated Transactions'!$A:$A,"&lt;="&amp;EOMONTH('Variance by Program'!X$10,0))</f>
        <v>0</v>
      </c>
      <c r="Y37" s="84">
        <f>SUMIFS('Budget Data'!$J:$J,'Budget Data'!$E:$E,'Variance by Program'!$B37,'Budget Data'!$C:$C,'Variance by Program'!$B$2,'Budget Data'!$A:$A,'Variance by Program'!Y$10)</f>
        <v>0</v>
      </c>
      <c r="Z37" s="86">
        <f>SUMIFS('Allocated Transactions'!$J:$J,'Allocated Transactions'!$D:$D,'Variance by Program'!$B37,'Allocated Transactions'!$C:$C,'Variance by Program'!$B$2,'Allocated Transactions'!$A:$A,"&gt;="&amp;'Variance by Program'!Z$10,'Allocated Transactions'!$A:$A,"&lt;="&amp;EOMONTH('Variance by Program'!Z$10,0))</f>
        <v>0</v>
      </c>
      <c r="AA37" s="84">
        <f>SUMIFS('Budget Data'!$J:$J,'Budget Data'!$E:$E,'Variance by Program'!$B37,'Budget Data'!$C:$C,'Variance by Program'!$B$2,'Budget Data'!$A:$A,'Variance by Program'!AA$10)</f>
        <v>0</v>
      </c>
      <c r="AC37" s="86">
        <f t="shared" si="3"/>
        <v>0</v>
      </c>
      <c r="AD37" s="84">
        <f t="shared" si="3"/>
        <v>0</v>
      </c>
    </row>
    <row r="38" spans="2:31" ht="15" customHeight="1">
      <c r="B38" s="12" t="str">
        <v>5950</v>
      </c>
      <c r="C38" s="160" t="str">
        <f>_xlfn.XLOOKUP(B38,'Allocated Transactions'!D:D,'Allocated Transactions'!E:E,"")</f>
        <v>Miscellaneous Expense</v>
      </c>
      <c r="D38" s="86">
        <f>SUMIFS('Allocated Transactions'!$J:$J,'Allocated Transactions'!$D:$D,'Variance by Program'!$B38,'Allocated Transactions'!$C:$C,'Variance by Program'!$B$2,'Allocated Transactions'!$A:$A,"&gt;="&amp;'Variance by Program'!D$10,'Allocated Transactions'!$A:$A,"&lt;="&amp;EOMONTH('Variance by Program'!D$10,0))</f>
        <v>0</v>
      </c>
      <c r="E38" s="84">
        <f>SUMIFS('Budget Data'!$J:$J,'Budget Data'!$E:$E,'Variance by Program'!$B38,'Budget Data'!$C:$C,'Variance by Program'!$B$2,'Budget Data'!$A:$A,'Variance by Program'!E$10)</f>
        <v>0</v>
      </c>
      <c r="F38" s="86">
        <f>SUMIFS('Allocated Transactions'!$J:$J,'Allocated Transactions'!$D:$D,'Variance by Program'!$B38,'Allocated Transactions'!$C:$C,'Variance by Program'!$B$2,'Allocated Transactions'!$A:$A,"&gt;="&amp;'Variance by Program'!F$10,'Allocated Transactions'!$A:$A,"&lt;="&amp;EOMONTH('Variance by Program'!F$10,0))</f>
        <v>0</v>
      </c>
      <c r="G38" s="84">
        <f>SUMIFS('Budget Data'!$J:$J,'Budget Data'!$E:$E,'Variance by Program'!$B38,'Budget Data'!$C:$C,'Variance by Program'!$B$2,'Budget Data'!$A:$A,'Variance by Program'!G$10)</f>
        <v>0</v>
      </c>
      <c r="H38" s="86">
        <f>SUMIFS('Allocated Transactions'!$J:$J,'Allocated Transactions'!$D:$D,'Variance by Program'!$B38,'Allocated Transactions'!$C:$C,'Variance by Program'!$B$2,'Allocated Transactions'!$A:$A,"&gt;="&amp;'Variance by Program'!H$10,'Allocated Transactions'!$A:$A,"&lt;="&amp;EOMONTH('Variance by Program'!H$10,0))</f>
        <v>0</v>
      </c>
      <c r="I38" s="84">
        <f>SUMIFS('Budget Data'!$J:$J,'Budget Data'!$E:$E,'Variance by Program'!$B38,'Budget Data'!$C:$C,'Variance by Program'!$B$2,'Budget Data'!$A:$A,'Variance by Program'!I$10)</f>
        <v>0</v>
      </c>
      <c r="J38" s="86">
        <f>SUMIFS('Allocated Transactions'!$J:$J,'Allocated Transactions'!$D:$D,'Variance by Program'!$B38,'Allocated Transactions'!$C:$C,'Variance by Program'!$B$2,'Allocated Transactions'!$A:$A,"&gt;="&amp;'Variance by Program'!J$10,'Allocated Transactions'!$A:$A,"&lt;="&amp;EOMONTH('Variance by Program'!J$10,0))</f>
        <v>0</v>
      </c>
      <c r="K38" s="84">
        <f>SUMIFS('Budget Data'!$J:$J,'Budget Data'!$E:$E,'Variance by Program'!$B38,'Budget Data'!$C:$C,'Variance by Program'!$B$2,'Budget Data'!$A:$A,'Variance by Program'!K$10)</f>
        <v>0</v>
      </c>
      <c r="L38" s="86">
        <f>SUMIFS('Allocated Transactions'!$J:$J,'Allocated Transactions'!$D:$D,'Variance by Program'!$B38,'Allocated Transactions'!$C:$C,'Variance by Program'!$B$2,'Allocated Transactions'!$A:$A,"&gt;="&amp;'Variance by Program'!L$10,'Allocated Transactions'!$A:$A,"&lt;="&amp;EOMONTH('Variance by Program'!L$10,0))</f>
        <v>0</v>
      </c>
      <c r="M38" s="84">
        <f>SUMIFS('Budget Data'!$J:$J,'Budget Data'!$E:$E,'Variance by Program'!$B38,'Budget Data'!$C:$C,'Variance by Program'!$B$2,'Budget Data'!$A:$A,'Variance by Program'!M$10)</f>
        <v>0</v>
      </c>
      <c r="N38" s="86">
        <f>SUMIFS('Allocated Transactions'!$J:$J,'Allocated Transactions'!$D:$D,'Variance by Program'!$B38,'Allocated Transactions'!$C:$C,'Variance by Program'!$B$2,'Allocated Transactions'!$A:$A,"&gt;="&amp;'Variance by Program'!N$10,'Allocated Transactions'!$A:$A,"&lt;="&amp;EOMONTH('Variance by Program'!N$10,0))</f>
        <v>0</v>
      </c>
      <c r="O38" s="84">
        <f>SUMIFS('Budget Data'!$J:$J,'Budget Data'!$E:$E,'Variance by Program'!$B38,'Budget Data'!$C:$C,'Variance by Program'!$B$2,'Budget Data'!$A:$A,'Variance by Program'!O$10)</f>
        <v>0</v>
      </c>
      <c r="P38" s="86">
        <f>SUMIFS('Allocated Transactions'!$J:$J,'Allocated Transactions'!$D:$D,'Variance by Program'!$B38,'Allocated Transactions'!$C:$C,'Variance by Program'!$B$2,'Allocated Transactions'!$A:$A,"&gt;="&amp;'Variance by Program'!P$10,'Allocated Transactions'!$A:$A,"&lt;="&amp;EOMONTH('Variance by Program'!P$10,0))</f>
        <v>0</v>
      </c>
      <c r="Q38" s="84">
        <f>SUMIFS('Budget Data'!$J:$J,'Budget Data'!$E:$E,'Variance by Program'!$B38,'Budget Data'!$C:$C,'Variance by Program'!$B$2,'Budget Data'!$A:$A,'Variance by Program'!Q$10)</f>
        <v>0</v>
      </c>
      <c r="R38" s="86">
        <f>SUMIFS('Allocated Transactions'!$J:$J,'Allocated Transactions'!$D:$D,'Variance by Program'!$B38,'Allocated Transactions'!$C:$C,'Variance by Program'!$B$2,'Allocated Transactions'!$A:$A,"&gt;="&amp;'Variance by Program'!R$10,'Allocated Transactions'!$A:$A,"&lt;="&amp;EOMONTH('Variance by Program'!R$10,0))</f>
        <v>0</v>
      </c>
      <c r="S38" s="84">
        <f>SUMIFS('Budget Data'!$J:$J,'Budget Data'!$E:$E,'Variance by Program'!$B38,'Budget Data'!$C:$C,'Variance by Program'!$B$2,'Budget Data'!$A:$A,'Variance by Program'!S$10)</f>
        <v>0</v>
      </c>
      <c r="T38" s="86">
        <f>SUMIFS('Allocated Transactions'!$J:$J,'Allocated Transactions'!$D:$D,'Variance by Program'!$B38,'Allocated Transactions'!$C:$C,'Variance by Program'!$B$2,'Allocated Transactions'!$A:$A,"&gt;="&amp;'Variance by Program'!T$10,'Allocated Transactions'!$A:$A,"&lt;="&amp;EOMONTH('Variance by Program'!T$10,0))</f>
        <v>0</v>
      </c>
      <c r="U38" s="84">
        <f>SUMIFS('Budget Data'!$J:$J,'Budget Data'!$E:$E,'Variance by Program'!$B38,'Budget Data'!$C:$C,'Variance by Program'!$B$2,'Budget Data'!$A:$A,'Variance by Program'!U$10)</f>
        <v>0</v>
      </c>
      <c r="V38" s="86">
        <f>SUMIFS('Allocated Transactions'!$J:$J,'Allocated Transactions'!$D:$D,'Variance by Program'!$B38,'Allocated Transactions'!$C:$C,'Variance by Program'!$B$2,'Allocated Transactions'!$A:$A,"&gt;="&amp;'Variance by Program'!V$10,'Allocated Transactions'!$A:$A,"&lt;="&amp;EOMONTH('Variance by Program'!V$10,0))</f>
        <v>0</v>
      </c>
      <c r="W38" s="84">
        <f>SUMIFS('Budget Data'!$J:$J,'Budget Data'!$E:$E,'Variance by Program'!$B38,'Budget Data'!$C:$C,'Variance by Program'!$B$2,'Budget Data'!$A:$A,'Variance by Program'!W$10)</f>
        <v>0</v>
      </c>
      <c r="X38" s="86">
        <f>SUMIFS('Allocated Transactions'!$J:$J,'Allocated Transactions'!$D:$D,'Variance by Program'!$B38,'Allocated Transactions'!$C:$C,'Variance by Program'!$B$2,'Allocated Transactions'!$A:$A,"&gt;="&amp;'Variance by Program'!X$10,'Allocated Transactions'!$A:$A,"&lt;="&amp;EOMONTH('Variance by Program'!X$10,0))</f>
        <v>0</v>
      </c>
      <c r="Y38" s="84">
        <f>SUMIFS('Budget Data'!$J:$J,'Budget Data'!$E:$E,'Variance by Program'!$B38,'Budget Data'!$C:$C,'Variance by Program'!$B$2,'Budget Data'!$A:$A,'Variance by Program'!Y$10)</f>
        <v>0</v>
      </c>
      <c r="Z38" s="86">
        <f>SUMIFS('Allocated Transactions'!$J:$J,'Allocated Transactions'!$D:$D,'Variance by Program'!$B38,'Allocated Transactions'!$C:$C,'Variance by Program'!$B$2,'Allocated Transactions'!$A:$A,"&gt;="&amp;'Variance by Program'!Z$10,'Allocated Transactions'!$A:$A,"&lt;="&amp;EOMONTH('Variance by Program'!Z$10,0))</f>
        <v>0</v>
      </c>
      <c r="AA38" s="84">
        <f>SUMIFS('Budget Data'!$J:$J,'Budget Data'!$E:$E,'Variance by Program'!$B38,'Budget Data'!$C:$C,'Variance by Program'!$B$2,'Budget Data'!$A:$A,'Variance by Program'!AA$10)</f>
        <v>0</v>
      </c>
      <c r="AC38" s="86">
        <f t="shared" si="3"/>
        <v>0</v>
      </c>
      <c r="AD38" s="84">
        <f t="shared" si="3"/>
        <v>0</v>
      </c>
    </row>
    <row r="39" spans="2:31" ht="15" customHeight="1">
      <c r="D39" s="86"/>
      <c r="E39" s="84"/>
      <c r="F39" s="86"/>
      <c r="G39" s="84"/>
      <c r="H39" s="86"/>
      <c r="I39" s="84"/>
      <c r="J39" s="86"/>
      <c r="K39" s="84"/>
      <c r="L39" s="86"/>
      <c r="M39" s="84"/>
      <c r="N39" s="86"/>
      <c r="O39" s="84"/>
      <c r="P39" s="86"/>
      <c r="Q39" s="84"/>
      <c r="R39" s="86"/>
      <c r="S39" s="84"/>
      <c r="T39" s="86"/>
      <c r="U39" s="84"/>
      <c r="V39" s="86"/>
      <c r="W39" s="84"/>
      <c r="X39" s="86"/>
      <c r="Y39" s="84"/>
      <c r="Z39" s="86"/>
      <c r="AA39" s="84"/>
      <c r="AC39" s="86"/>
      <c r="AD39" s="84"/>
    </row>
    <row r="40" spans="2:31" ht="15" customHeight="1">
      <c r="B40" s="91" t="s">
        <v>127</v>
      </c>
      <c r="C40" s="92" t="str">
        <f>_xlfn.XLOOKUP(B40,'Allocated Transactions'!D:D,'Allocated Transactions'!E:E,"")&amp;" - Excludes M&amp;G"</f>
        <v>Indirect Cost Allocation - Excludes M&amp;G</v>
      </c>
      <c r="D40" s="93">
        <f>SUMIFS('Allocated Transactions'!$J:$J,'Allocated Transactions'!$D:$D,'Variance by Program'!$B40,'Allocated Transactions'!$C:$C,'Variance by Program'!$B$2,'Allocated Transactions'!$A:$A,"&gt;="&amp;'Variance by Program'!D$10,'Allocated Transactions'!$A:$A,"&lt;="&amp;EOMONTH('Variance by Program'!D$10,0))</f>
        <v>-11694.059980652173</v>
      </c>
      <c r="E40" s="94">
        <f>SUMIFS('Budget Data'!$J:$J,'Budget Data'!$E:$E,'Variance by Program'!$B40,'Budget Data'!$C:$C,'Variance by Program'!$B$2,'Budget Data'!$A:$A,'Variance by Program'!E$10)</f>
        <v>-11600</v>
      </c>
      <c r="F40" s="93">
        <f>SUMIFS('Allocated Transactions'!$J:$J,'Allocated Transactions'!$D:$D,'Variance by Program'!$B40,'Allocated Transactions'!$C:$C,'Variance by Program'!$B$2,'Allocated Transactions'!$A:$A,"&gt;="&amp;'Variance by Program'!F$10,'Allocated Transactions'!$A:$A,"&lt;="&amp;EOMONTH('Variance by Program'!F$10,0))</f>
        <v>-12975.272225714287</v>
      </c>
      <c r="G40" s="94">
        <f>SUMIFS('Budget Data'!$J:$J,'Budget Data'!$E:$E,'Variance by Program'!$B40,'Budget Data'!$C:$C,'Variance by Program'!$B$2,'Budget Data'!$A:$A,'Variance by Program'!G$10)</f>
        <v>-12900</v>
      </c>
      <c r="H40" s="93">
        <f>SUMIFS('Allocated Transactions'!$J:$J,'Allocated Transactions'!$D:$D,'Variance by Program'!$B40,'Allocated Transactions'!$C:$C,'Variance by Program'!$B$2,'Allocated Transactions'!$A:$A,"&gt;="&amp;'Variance by Program'!H$10,'Allocated Transactions'!$A:$A,"&lt;="&amp;EOMONTH('Variance by Program'!H$10,0))</f>
        <v>-11074.74547465909</v>
      </c>
      <c r="I40" s="94">
        <f>SUMIFS('Budget Data'!$J:$J,'Budget Data'!$E:$E,'Variance by Program'!$B40,'Budget Data'!$C:$C,'Variance by Program'!$B$2,'Budget Data'!$A:$A,'Variance by Program'!I$10)</f>
        <v>-11000</v>
      </c>
      <c r="J40" s="93">
        <f>SUMIFS('Allocated Transactions'!$J:$J,'Allocated Transactions'!$D:$D,'Variance by Program'!$B40,'Allocated Transactions'!$C:$C,'Variance by Program'!$B$2,'Allocated Transactions'!$A:$A,"&gt;="&amp;'Variance by Program'!J$10,'Allocated Transactions'!$A:$A,"&lt;="&amp;EOMONTH('Variance by Program'!J$10,0))</f>
        <v>-11278.56296304348</v>
      </c>
      <c r="K40" s="94">
        <f>SUMIFS('Budget Data'!$J:$J,'Budget Data'!$E:$E,'Variance by Program'!$B40,'Budget Data'!$C:$C,'Variance by Program'!$B$2,'Budget Data'!$A:$A,'Variance by Program'!K$10)</f>
        <v>-11200</v>
      </c>
      <c r="L40" s="93">
        <f>SUMIFS('Allocated Transactions'!$J:$J,'Allocated Transactions'!$D:$D,'Variance by Program'!$B40,'Allocated Transactions'!$C:$C,'Variance by Program'!$B$2,'Allocated Transactions'!$A:$A,"&gt;="&amp;'Variance by Program'!L$10,'Allocated Transactions'!$A:$A,"&lt;="&amp;EOMONTH('Variance by Program'!L$10,0))</f>
        <v>-11434.771977043267</v>
      </c>
      <c r="M40" s="94">
        <f>SUMIFS('Budget Data'!$J:$J,'Budget Data'!$E:$E,'Variance by Program'!$B40,'Budget Data'!$C:$C,'Variance by Program'!$B$2,'Budget Data'!$A:$A,'Variance by Program'!M$10)</f>
        <v>-11300</v>
      </c>
      <c r="N40" s="93">
        <f>SUMIFS('Allocated Transactions'!$J:$J,'Allocated Transactions'!$D:$D,'Variance by Program'!$B40,'Allocated Transactions'!$C:$C,'Variance by Program'!$B$2,'Allocated Transactions'!$A:$A,"&gt;="&amp;'Variance by Program'!N$10,'Allocated Transactions'!$A:$A,"&lt;="&amp;EOMONTH('Variance by Program'!N$10,0))</f>
        <v>-11639.837666074414</v>
      </c>
      <c r="O40" s="94">
        <f>SUMIFS('Budget Data'!$J:$J,'Budget Data'!$E:$E,'Variance by Program'!$B40,'Budget Data'!$C:$C,'Variance by Program'!$B$2,'Budget Data'!$A:$A,'Variance by Program'!O$10)</f>
        <v>-11500</v>
      </c>
      <c r="P40" s="93">
        <f>SUMIFS('Allocated Transactions'!$J:$J,'Allocated Transactions'!$D:$D,'Variance by Program'!$B40,'Allocated Transactions'!$C:$C,'Variance by Program'!$B$2,'Allocated Transactions'!$A:$A,"&gt;="&amp;'Variance by Program'!P$10,'Allocated Transactions'!$A:$A,"&lt;="&amp;EOMONTH('Variance by Program'!P$10,0))</f>
        <v>-12551.946214090907</v>
      </c>
      <c r="Q40" s="94">
        <f>SUMIFS('Budget Data'!$J:$J,'Budget Data'!$E:$E,'Variance by Program'!$B40,'Budget Data'!$C:$C,'Variance by Program'!$B$2,'Budget Data'!$A:$A,'Variance by Program'!Q$10)</f>
        <v>-12500</v>
      </c>
      <c r="R40" s="93">
        <f>SUMIFS('Allocated Transactions'!$J:$J,'Allocated Transactions'!$D:$D,'Variance by Program'!$B40,'Allocated Transactions'!$C:$C,'Variance by Program'!$B$2,'Allocated Transactions'!$A:$A,"&gt;="&amp;'Variance by Program'!R$10,'Allocated Transactions'!$A:$A,"&lt;="&amp;EOMONTH('Variance by Program'!R$10,0))</f>
        <v>-12636.670891947117</v>
      </c>
      <c r="S40" s="94">
        <f>SUMIFS('Budget Data'!$J:$J,'Budget Data'!$E:$E,'Variance by Program'!$B40,'Budget Data'!$C:$C,'Variance by Program'!$B$2,'Budget Data'!$A:$A,'Variance by Program'!S$10)</f>
        <v>-12600</v>
      </c>
      <c r="T40" s="93">
        <f>SUMIFS('Allocated Transactions'!$J:$J,'Allocated Transactions'!$D:$D,'Variance by Program'!$B40,'Allocated Transactions'!$C:$C,'Variance by Program'!$B$2,'Allocated Transactions'!$A:$A,"&gt;="&amp;'Variance by Program'!T$10,'Allocated Transactions'!$A:$A,"&lt;="&amp;EOMONTH('Variance by Program'!T$10,0))</f>
        <v>-13581.811814138997</v>
      </c>
      <c r="U40" s="94">
        <f>SUMIFS('Budget Data'!$J:$J,'Budget Data'!$E:$E,'Variance by Program'!$B40,'Budget Data'!$C:$C,'Variance by Program'!$B$2,'Budget Data'!$A:$A,'Variance by Program'!U$10)</f>
        <v>-13600</v>
      </c>
      <c r="V40" s="93">
        <f>SUMIFS('Allocated Transactions'!$J:$J,'Allocated Transactions'!$D:$D,'Variance by Program'!$B40,'Allocated Transactions'!$C:$C,'Variance by Program'!$B$2,'Allocated Transactions'!$A:$A,"&gt;="&amp;'Variance by Program'!V$10,'Allocated Transactions'!$A:$A,"&lt;="&amp;EOMONTH('Variance by Program'!V$10,0))</f>
        <v>-13277.64840340909</v>
      </c>
      <c r="W40" s="94">
        <f>SUMIFS('Budget Data'!$J:$J,'Budget Data'!$E:$E,'Variance by Program'!$B40,'Budget Data'!$C:$C,'Variance by Program'!$B$2,'Budget Data'!$A:$A,'Variance by Program'!W$10)</f>
        <v>-13200</v>
      </c>
      <c r="X40" s="93">
        <f>SUMIFS('Allocated Transactions'!$J:$J,'Allocated Transactions'!$D:$D,'Variance by Program'!$B40,'Allocated Transactions'!$C:$C,'Variance by Program'!$B$2,'Allocated Transactions'!$A:$A,"&gt;="&amp;'Variance by Program'!X$10,'Allocated Transactions'!$A:$A,"&lt;="&amp;EOMONTH('Variance by Program'!X$10,0))</f>
        <v>-12171.149067651104</v>
      </c>
      <c r="Y40" s="94">
        <f>SUMIFS('Budget Data'!$J:$J,'Budget Data'!$E:$E,'Variance by Program'!$B40,'Budget Data'!$C:$C,'Variance by Program'!$B$2,'Budget Data'!$A:$A,'Variance by Program'!Y$10)</f>
        <v>-12100</v>
      </c>
      <c r="Z40" s="93">
        <f>SUMIFS('Allocated Transactions'!$J:$J,'Allocated Transactions'!$D:$D,'Variance by Program'!$B40,'Allocated Transactions'!$C:$C,'Variance by Program'!$B$2,'Allocated Transactions'!$A:$A,"&gt;="&amp;'Variance by Program'!Z$10,'Allocated Transactions'!$A:$A,"&lt;="&amp;EOMONTH('Variance by Program'!Z$10,0))</f>
        <v>-12378.176023273603</v>
      </c>
      <c r="AA40" s="94">
        <f>SUMIFS('Budget Data'!$J:$J,'Budget Data'!$E:$E,'Variance by Program'!$B40,'Budget Data'!$C:$C,'Variance by Program'!$B$2,'Budget Data'!$A:$A,'Variance by Program'!AA$10)</f>
        <v>-12300</v>
      </c>
      <c r="AB40" s="92"/>
      <c r="AC40" s="93">
        <f>SUMIF($D$9:$AA$9,AC$9,$D40:$AA40)</f>
        <v>-146694.65270169752</v>
      </c>
      <c r="AD40" s="94">
        <f>SUMIF($D$9:$AA$9,AD$9,$D40:$AA40)</f>
        <v>-145800</v>
      </c>
    </row>
    <row r="41" spans="2:31" ht="15" customHeight="1">
      <c r="D41" s="86"/>
      <c r="E41" s="84"/>
      <c r="F41" s="86"/>
      <c r="G41" s="84"/>
      <c r="H41" s="86"/>
      <c r="I41" s="84"/>
      <c r="J41" s="86"/>
      <c r="K41" s="84"/>
      <c r="L41" s="86"/>
      <c r="M41" s="84"/>
      <c r="N41" s="86"/>
      <c r="O41" s="84"/>
      <c r="P41" s="86"/>
      <c r="Q41" s="84"/>
      <c r="R41" s="86"/>
      <c r="S41" s="84"/>
      <c r="T41" s="86"/>
      <c r="U41" s="84"/>
      <c r="V41" s="86"/>
      <c r="W41" s="84"/>
      <c r="X41" s="86"/>
      <c r="Y41" s="84"/>
      <c r="Z41" s="86"/>
      <c r="AA41" s="84"/>
      <c r="AC41" s="86"/>
      <c r="AD41" s="84"/>
    </row>
    <row r="42" spans="2:31" ht="15" customHeight="1">
      <c r="D42" s="87"/>
      <c r="E42" s="108"/>
      <c r="F42" s="87"/>
      <c r="G42" s="108"/>
      <c r="H42" s="87"/>
      <c r="I42" s="108"/>
      <c r="J42" s="87"/>
      <c r="K42" s="108"/>
      <c r="L42" s="87"/>
      <c r="M42" s="108"/>
      <c r="N42" s="87"/>
      <c r="O42" s="108"/>
      <c r="P42" s="87"/>
      <c r="Q42" s="108"/>
      <c r="R42" s="87"/>
      <c r="S42" s="108"/>
      <c r="T42" s="87"/>
      <c r="U42" s="108"/>
      <c r="V42" s="87"/>
      <c r="W42" s="108"/>
      <c r="X42" s="87"/>
      <c r="Y42" s="108"/>
      <c r="Z42" s="87"/>
      <c r="AA42" s="108"/>
      <c r="AC42" s="87"/>
      <c r="AD42" s="108"/>
    </row>
    <row r="43" spans="2:31" ht="15.75" customHeight="1" thickBot="1">
      <c r="C43" s="37" t="s">
        <v>639</v>
      </c>
      <c r="D43" s="97">
        <f t="shared" ref="D43:E43" si="4">IF(LEFT($B$2,1)="2",SUM(D21:D40),SUM(D21:D38))</f>
        <v>11694.059980652173</v>
      </c>
      <c r="E43" s="109">
        <f t="shared" si="4"/>
        <v>11600</v>
      </c>
      <c r="F43" s="97">
        <f t="shared" ref="F43:AA43" si="5">IF(LEFT($B$2,1)="2",SUM(F21:F40),SUM(F21:F38))</f>
        <v>12975.272225714289</v>
      </c>
      <c r="G43" s="109">
        <f t="shared" si="5"/>
        <v>12900</v>
      </c>
      <c r="H43" s="97">
        <f t="shared" si="5"/>
        <v>11074.74547465909</v>
      </c>
      <c r="I43" s="109">
        <f t="shared" si="5"/>
        <v>11000</v>
      </c>
      <c r="J43" s="97">
        <f t="shared" si="5"/>
        <v>11278.56296304348</v>
      </c>
      <c r="K43" s="109">
        <f t="shared" si="5"/>
        <v>11200</v>
      </c>
      <c r="L43" s="97">
        <f t="shared" si="5"/>
        <v>11434.771977043269</v>
      </c>
      <c r="M43" s="109">
        <f t="shared" si="5"/>
        <v>11300</v>
      </c>
      <c r="N43" s="97">
        <f t="shared" si="5"/>
        <v>11639.837666074414</v>
      </c>
      <c r="O43" s="109">
        <f t="shared" si="5"/>
        <v>11500</v>
      </c>
      <c r="P43" s="97">
        <f t="shared" si="5"/>
        <v>12551.946214090911</v>
      </c>
      <c r="Q43" s="109">
        <f t="shared" si="5"/>
        <v>12500</v>
      </c>
      <c r="R43" s="97">
        <f t="shared" si="5"/>
        <v>12636.670891947117</v>
      </c>
      <c r="S43" s="109">
        <f t="shared" si="5"/>
        <v>12600</v>
      </c>
      <c r="T43" s="97">
        <f t="shared" si="5"/>
        <v>13581.811814138997</v>
      </c>
      <c r="U43" s="109">
        <f t="shared" si="5"/>
        <v>13600</v>
      </c>
      <c r="V43" s="97">
        <f t="shared" si="5"/>
        <v>13277.64840340909</v>
      </c>
      <c r="W43" s="109">
        <f t="shared" si="5"/>
        <v>13200</v>
      </c>
      <c r="X43" s="97">
        <f t="shared" si="5"/>
        <v>12171.149067651104</v>
      </c>
      <c r="Y43" s="109">
        <f t="shared" si="5"/>
        <v>12100</v>
      </c>
      <c r="Z43" s="97">
        <f t="shared" si="5"/>
        <v>12378.176023273605</v>
      </c>
      <c r="AA43" s="109">
        <f t="shared" si="5"/>
        <v>12300</v>
      </c>
      <c r="AC43" s="97">
        <f>IF(LEFT($B$2,1)="2",SUM(AC21:AC40),SUM(AC21:AC38))</f>
        <v>146694.65270169752</v>
      </c>
      <c r="AD43" s="110">
        <f>IF(LEFT($B$2,1)="2",SUM(AD21:AD40),SUM(AD21:AD38))</f>
        <v>145800</v>
      </c>
      <c r="AE43" s="83">
        <f>AC43-AD43</f>
        <v>894.65270169751602</v>
      </c>
    </row>
    <row r="44" spans="2:31" ht="15" customHeight="1">
      <c r="D44" s="87"/>
      <c r="F44" s="87"/>
      <c r="H44" s="87"/>
      <c r="J44" s="87"/>
      <c r="L44" s="87"/>
      <c r="N44" s="87"/>
      <c r="P44" s="87"/>
      <c r="R44" s="87"/>
      <c r="T44" s="87"/>
      <c r="V44" s="87"/>
      <c r="X44" s="87"/>
      <c r="Z44" s="87"/>
      <c r="AC44" s="87"/>
      <c r="AD44" s="87"/>
      <c r="AE44" s="12" t="str">
        <f>IF(AE43&lt;0,"underbudget","overbudget")</f>
        <v>overbudget</v>
      </c>
    </row>
    <row r="45" spans="2:31" ht="15.75" customHeight="1" thickBot="1">
      <c r="C45" s="37" t="s">
        <v>640</v>
      </c>
      <c r="D45" s="99">
        <f>D19-D43</f>
        <v>-11694.059980652173</v>
      </c>
      <c r="E45" s="100">
        <f>E19-E43</f>
        <v>-11600</v>
      </c>
      <c r="F45" s="99">
        <f t="shared" ref="F45:AA45" si="6">F19-F43</f>
        <v>-12975.272225714289</v>
      </c>
      <c r="G45" s="100">
        <f t="shared" si="6"/>
        <v>-12900</v>
      </c>
      <c r="H45" s="99">
        <f t="shared" si="6"/>
        <v>-11074.74547465909</v>
      </c>
      <c r="I45" s="100">
        <f t="shared" si="6"/>
        <v>-11000</v>
      </c>
      <c r="J45" s="99">
        <f t="shared" si="6"/>
        <v>-11278.56296304348</v>
      </c>
      <c r="K45" s="100">
        <f t="shared" si="6"/>
        <v>-11200</v>
      </c>
      <c r="L45" s="99">
        <f t="shared" si="6"/>
        <v>-11434.771977043269</v>
      </c>
      <c r="M45" s="100">
        <f t="shared" si="6"/>
        <v>-11300</v>
      </c>
      <c r="N45" s="99">
        <f t="shared" si="6"/>
        <v>-11639.837666074414</v>
      </c>
      <c r="O45" s="100">
        <f t="shared" si="6"/>
        <v>-11500</v>
      </c>
      <c r="P45" s="99">
        <f t="shared" si="6"/>
        <v>-12551.946214090911</v>
      </c>
      <c r="Q45" s="100">
        <f t="shared" si="6"/>
        <v>-12500</v>
      </c>
      <c r="R45" s="99">
        <f t="shared" si="6"/>
        <v>-12636.670891947117</v>
      </c>
      <c r="S45" s="100">
        <f t="shared" si="6"/>
        <v>-12600</v>
      </c>
      <c r="T45" s="99">
        <f t="shared" si="6"/>
        <v>-13581.811814138997</v>
      </c>
      <c r="U45" s="100">
        <f t="shared" si="6"/>
        <v>-13600</v>
      </c>
      <c r="V45" s="99">
        <f t="shared" si="6"/>
        <v>-13277.64840340909</v>
      </c>
      <c r="W45" s="100">
        <f t="shared" si="6"/>
        <v>-13200</v>
      </c>
      <c r="X45" s="99">
        <f t="shared" si="6"/>
        <v>-12171.149067651104</v>
      </c>
      <c r="Y45" s="100">
        <f t="shared" si="6"/>
        <v>-12100</v>
      </c>
      <c r="Z45" s="99">
        <f t="shared" si="6"/>
        <v>-12378.176023273605</v>
      </c>
      <c r="AA45" s="100">
        <f t="shared" si="6"/>
        <v>-12300</v>
      </c>
      <c r="AC45" s="99">
        <f>AC19-AC43</f>
        <v>-146694.65270169752</v>
      </c>
      <c r="AD45" s="101">
        <f>AD19-AD43</f>
        <v>-145800</v>
      </c>
    </row>
    <row r="46" spans="2:31" ht="16" thickTop="1"/>
  </sheetData>
  <pageMargins left="0.7" right="0.7" top="0.75" bottom="0.75" header="0.511811023622047" footer="0.511811023622047"/>
  <pageSetup paperSize="9" orientation="portrait" horizontalDpi="300" verticalDpi="30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C636685-EB42-EE43-9157-F2CA14F8ACF4}">
          <x14:formula1>
            <xm:f>'Cost Centers'!$B$2:$B$11</xm:f>
          </x14:formula1>
          <xm:sqref>C1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E49"/>
  <sheetViews>
    <sheetView showGridLines="0" tabSelected="1" zoomScaleNormal="100" workbookViewId="0">
      <pane ySplit="7" topLeftCell="A30" activePane="bottomLeft" state="frozen"/>
      <selection pane="bottomLeft" activeCell="D53" sqref="D53"/>
    </sheetView>
  </sheetViews>
  <sheetFormatPr baseColWidth="10" defaultColWidth="8.6640625" defaultRowHeight="15"/>
  <cols>
    <col min="1" max="1" width="3" style="12" customWidth="1"/>
    <col min="2" max="2" width="40" style="12" customWidth="1"/>
    <col min="3" max="5" width="20" style="12" customWidth="1"/>
    <col min="6" max="16384" width="8.6640625" style="12"/>
  </cols>
  <sheetData>
    <row r="2" spans="2:5" ht="18" customHeight="1">
      <c r="B2" s="52" t="s">
        <v>786</v>
      </c>
    </row>
    <row r="3" spans="2:5" ht="15" customHeight="1">
      <c r="B3" s="53" t="s">
        <v>664</v>
      </c>
    </row>
    <row r="4" spans="2:5" ht="15" customHeight="1">
      <c r="B4" s="53" t="s">
        <v>665</v>
      </c>
    </row>
    <row r="5" spans="2:5" ht="32.25" customHeight="1">
      <c r="B5" s="69" t="s">
        <v>666</v>
      </c>
      <c r="C5" s="129"/>
      <c r="D5" s="129"/>
      <c r="E5" s="129"/>
    </row>
    <row r="7" spans="2:5" ht="30" customHeight="1">
      <c r="B7" s="142"/>
      <c r="C7" s="142" t="s">
        <v>667</v>
      </c>
      <c r="D7" s="142" t="s">
        <v>668</v>
      </c>
      <c r="E7" s="157" t="s">
        <v>22</v>
      </c>
    </row>
    <row r="9" spans="2:5" ht="15" customHeight="1">
      <c r="B9" s="119" t="s">
        <v>669</v>
      </c>
    </row>
    <row r="10" spans="2:5" ht="15" customHeight="1">
      <c r="B10" s="161" t="s">
        <v>84</v>
      </c>
      <c r="C10" s="153">
        <f>SUMIF('Trial Balance'!$B:$B,"4000",'Trial Balance'!$H:$H)</f>
        <v>1480343.2700000005</v>
      </c>
      <c r="D10" s="153">
        <v>0</v>
      </c>
      <c r="E10" s="153">
        <f t="shared" ref="E10:E16" si="0">C10+D10</f>
        <v>1480343.2700000005</v>
      </c>
    </row>
    <row r="11" spans="2:5" ht="15" customHeight="1">
      <c r="B11" s="161" t="s">
        <v>91</v>
      </c>
      <c r="C11" s="153">
        <f>SUMIF('Trial Balance'!$B:$B,"4100",'Trial Balance'!$H:$H)</f>
        <v>623718.54000000074</v>
      </c>
      <c r="D11" s="153">
        <v>0</v>
      </c>
      <c r="E11" s="153">
        <f t="shared" si="0"/>
        <v>623718.54000000074</v>
      </c>
    </row>
    <row r="12" spans="2:5" ht="15" customHeight="1">
      <c r="B12" s="161" t="s">
        <v>93</v>
      </c>
      <c r="C12" s="153">
        <f>SUMIF('Trial Balance'!$B:$B,"4200",'Trial Balance'!$H:$H)</f>
        <v>10638.359999999999</v>
      </c>
      <c r="D12" s="153">
        <v>0</v>
      </c>
      <c r="E12" s="153">
        <f t="shared" si="0"/>
        <v>10638.359999999999</v>
      </c>
    </row>
    <row r="13" spans="2:5" ht="15" customHeight="1">
      <c r="B13" s="161" t="s">
        <v>95</v>
      </c>
      <c r="C13" s="153">
        <f>SUMIF('Trial Balance'!$B:$B,"4900",'Trial Balance'!$H:$H)</f>
        <v>4010.92</v>
      </c>
      <c r="D13" s="153">
        <v>0</v>
      </c>
      <c r="E13" s="153">
        <f t="shared" si="0"/>
        <v>4010.92</v>
      </c>
    </row>
    <row r="14" spans="2:5" ht="15" customHeight="1">
      <c r="B14" s="161" t="s">
        <v>87</v>
      </c>
      <c r="C14" s="153">
        <v>0</v>
      </c>
      <c r="D14" s="153">
        <f>SUMIF('Trial Balance'!$B:$B,"4010",'Trial Balance'!$H:$H)</f>
        <v>673862.12000000023</v>
      </c>
      <c r="E14" s="153">
        <f t="shared" si="0"/>
        <v>673862.12000000023</v>
      </c>
    </row>
    <row r="15" spans="2:5" ht="15" customHeight="1">
      <c r="B15" s="161" t="s">
        <v>89</v>
      </c>
      <c r="C15" s="153">
        <v>0</v>
      </c>
      <c r="D15" s="153">
        <f>SUMIF('Trial Balance'!$B:$B,"4020",'Trial Balance'!$H:$H)</f>
        <v>377393.55999999959</v>
      </c>
      <c r="E15" s="153">
        <f t="shared" si="0"/>
        <v>377393.55999999959</v>
      </c>
    </row>
    <row r="16" spans="2:5" ht="15" customHeight="1">
      <c r="B16" s="161" t="s">
        <v>670</v>
      </c>
      <c r="C16" s="153">
        <f>'Trial Balance'!F23</f>
        <v>1051255.68</v>
      </c>
      <c r="D16" s="153">
        <f>-'Trial Balance'!G24</f>
        <v>-1121255.68</v>
      </c>
      <c r="E16" s="153">
        <f t="shared" si="0"/>
        <v>-70000</v>
      </c>
    </row>
    <row r="17" spans="2:5" ht="15" customHeight="1">
      <c r="B17" s="119" t="s">
        <v>671</v>
      </c>
      <c r="C17" s="154">
        <f>SUM(C10:C16)</f>
        <v>3169966.7700000014</v>
      </c>
      <c r="D17" s="154">
        <f>SUM(D10:D16)</f>
        <v>-70000.000000000233</v>
      </c>
      <c r="E17" s="154">
        <f>SUM(E10:E16)</f>
        <v>3099966.7700000009</v>
      </c>
    </row>
    <row r="19" spans="2:5" ht="15" customHeight="1">
      <c r="B19" s="119" t="s">
        <v>672</v>
      </c>
    </row>
    <row r="20" spans="2:5" ht="15" customHeight="1">
      <c r="B20" s="161" t="s">
        <v>96</v>
      </c>
      <c r="C20" s="153">
        <f>SUMIF('Trial Balance'!$B:$B,"5000",'Trial Balance'!$H:$H)</f>
        <v>1506918.5100000012</v>
      </c>
      <c r="D20" s="153">
        <v>0</v>
      </c>
      <c r="E20" s="153">
        <f t="shared" ref="E20:E37" si="1">C20+D20</f>
        <v>1506918.5100000012</v>
      </c>
    </row>
    <row r="21" spans="2:5" ht="15" customHeight="1">
      <c r="B21" s="161" t="s">
        <v>98</v>
      </c>
      <c r="C21" s="153">
        <f>SUMIF('Trial Balance'!$B:$B,"5010",'Trial Balance'!$H:$H)</f>
        <v>115279.26000000002</v>
      </c>
      <c r="D21" s="153">
        <v>0</v>
      </c>
      <c r="E21" s="153">
        <f t="shared" si="1"/>
        <v>115279.26000000002</v>
      </c>
    </row>
    <row r="22" spans="2:5" ht="15" customHeight="1">
      <c r="B22" s="161" t="s">
        <v>99</v>
      </c>
      <c r="C22" s="153">
        <f>SUMIF('Trial Balance'!$B:$B,"5020",'Trial Balance'!$H:$H)</f>
        <v>535373.36593457905</v>
      </c>
      <c r="D22" s="153">
        <v>0</v>
      </c>
      <c r="E22" s="153">
        <f t="shared" si="1"/>
        <v>535373.36593457905</v>
      </c>
    </row>
    <row r="23" spans="2:5" ht="15" customHeight="1">
      <c r="B23" s="161" t="s">
        <v>100</v>
      </c>
      <c r="C23" s="153">
        <f>SUMIF('Trial Balance'!$B:$B,"5030",'Trial Balance'!$H:$H)</f>
        <v>45207.530000000013</v>
      </c>
      <c r="D23" s="153">
        <v>0</v>
      </c>
      <c r="E23" s="153">
        <f t="shared" si="1"/>
        <v>45207.530000000013</v>
      </c>
    </row>
    <row r="24" spans="2:5" ht="15" customHeight="1">
      <c r="B24" s="161" t="s">
        <v>102</v>
      </c>
      <c r="C24" s="153">
        <f>SUMIF('Trial Balance'!$B:$B,"5100",'Trial Balance'!$H:$H)</f>
        <v>55785.71</v>
      </c>
      <c r="D24" s="153">
        <v>0</v>
      </c>
      <c r="E24" s="153">
        <f t="shared" si="1"/>
        <v>55785.71</v>
      </c>
    </row>
    <row r="25" spans="2:5" ht="15" customHeight="1">
      <c r="B25" s="161" t="s">
        <v>103</v>
      </c>
      <c r="C25" s="153">
        <f>SUMIF('Trial Balance'!$B:$B,"5200",'Trial Balance'!$H:$H)</f>
        <v>117600.00000000012</v>
      </c>
      <c r="D25" s="153">
        <v>0</v>
      </c>
      <c r="E25" s="153">
        <f t="shared" si="1"/>
        <v>117600.00000000012</v>
      </c>
    </row>
    <row r="26" spans="2:5" ht="15" customHeight="1">
      <c r="B26" s="161" t="s">
        <v>104</v>
      </c>
      <c r="C26" s="153">
        <f>SUMIF('Trial Balance'!$B:$B,"5210",'Trial Balance'!$H:$H)</f>
        <v>13839.039999999999</v>
      </c>
      <c r="D26" s="153">
        <v>0</v>
      </c>
      <c r="E26" s="153">
        <f t="shared" si="1"/>
        <v>13839.039999999999</v>
      </c>
    </row>
    <row r="27" spans="2:5" ht="15" customHeight="1">
      <c r="B27" s="161" t="s">
        <v>106</v>
      </c>
      <c r="C27" s="153">
        <f>SUMIF('Trial Balance'!$B:$B,"5300",'Trial Balance'!$H:$H)</f>
        <v>23561.059999999994</v>
      </c>
      <c r="D27" s="153">
        <v>0</v>
      </c>
      <c r="E27" s="153">
        <f t="shared" si="1"/>
        <v>23561.059999999994</v>
      </c>
    </row>
    <row r="28" spans="2:5" ht="15" customHeight="1">
      <c r="B28" s="161" t="s">
        <v>108</v>
      </c>
      <c r="C28" s="153">
        <f>SUMIF('Trial Balance'!$B:$B,"5310",'Trial Balance'!$H:$H)</f>
        <v>32640.51</v>
      </c>
      <c r="D28" s="153">
        <v>0</v>
      </c>
      <c r="E28" s="153">
        <f t="shared" si="1"/>
        <v>32640.51</v>
      </c>
    </row>
    <row r="29" spans="2:5" ht="15" customHeight="1">
      <c r="B29" s="161" t="s">
        <v>110</v>
      </c>
      <c r="C29" s="153">
        <f>SUMIF('Trial Balance'!$B:$B,"5400",'Trial Balance'!$H:$H)</f>
        <v>31786.2</v>
      </c>
      <c r="D29" s="153">
        <v>0</v>
      </c>
      <c r="E29" s="153">
        <f t="shared" si="1"/>
        <v>31786.2</v>
      </c>
    </row>
    <row r="30" spans="2:5" ht="15" customHeight="1">
      <c r="B30" s="161" t="s">
        <v>112</v>
      </c>
      <c r="C30" s="153">
        <f>SUMIF('Trial Balance'!$B:$B,"5410",'Trial Balance'!$H:$H)</f>
        <v>3113.11</v>
      </c>
      <c r="D30" s="153">
        <v>0</v>
      </c>
      <c r="E30" s="153">
        <f t="shared" si="1"/>
        <v>3113.11</v>
      </c>
    </row>
    <row r="31" spans="2:5" ht="15" customHeight="1">
      <c r="B31" s="161" t="s">
        <v>114</v>
      </c>
      <c r="C31" s="153">
        <f>SUMIF('Trial Balance'!$B:$B,"5500",'Trial Balance'!$H:$H)</f>
        <v>4732.54</v>
      </c>
      <c r="D31" s="153">
        <v>0</v>
      </c>
      <c r="E31" s="153">
        <f t="shared" si="1"/>
        <v>4732.54</v>
      </c>
    </row>
    <row r="32" spans="2:5" ht="15" customHeight="1">
      <c r="B32" s="161" t="s">
        <v>116</v>
      </c>
      <c r="C32" s="153">
        <f>SUMIF('Trial Balance'!$B:$B,"5510",'Trial Balance'!$H:$H)</f>
        <v>42730.64</v>
      </c>
      <c r="D32" s="153">
        <v>0</v>
      </c>
      <c r="E32" s="153">
        <f t="shared" si="1"/>
        <v>42730.64</v>
      </c>
    </row>
    <row r="33" spans="2:5" ht="15" customHeight="1">
      <c r="B33" s="161" t="s">
        <v>118</v>
      </c>
      <c r="C33" s="153">
        <f>SUMIF('Trial Balance'!$B:$B,"5600",'Trial Balance'!$H:$H)</f>
        <v>32400.080000000002</v>
      </c>
      <c r="D33" s="153">
        <v>0</v>
      </c>
      <c r="E33" s="153">
        <f t="shared" si="1"/>
        <v>32400.080000000002</v>
      </c>
    </row>
    <row r="34" spans="2:5" ht="15" customHeight="1">
      <c r="B34" s="161" t="s">
        <v>120</v>
      </c>
      <c r="C34" s="153">
        <f>SUMIF('Trial Balance'!$B:$B,"5700",'Trial Balance'!$H:$H)</f>
        <v>29400</v>
      </c>
      <c r="D34" s="153">
        <v>0</v>
      </c>
      <c r="E34" s="153">
        <f t="shared" si="1"/>
        <v>29400</v>
      </c>
    </row>
    <row r="35" spans="2:5" ht="15" customHeight="1">
      <c r="B35" s="161" t="s">
        <v>122</v>
      </c>
      <c r="C35" s="153">
        <f>SUMIF('Trial Balance'!$B:$B,"5800",'Trial Balance'!$H:$H)</f>
        <v>1010.74</v>
      </c>
      <c r="D35" s="153">
        <v>0</v>
      </c>
      <c r="E35" s="153">
        <f t="shared" si="1"/>
        <v>1010.74</v>
      </c>
    </row>
    <row r="36" spans="2:5" ht="15" customHeight="1">
      <c r="B36" s="161" t="s">
        <v>124</v>
      </c>
      <c r="C36" s="153">
        <f>SUMIF('Trial Balance'!$B:$B,"5900",'Trial Balance'!$H:$H)</f>
        <v>4674.96</v>
      </c>
      <c r="D36" s="153">
        <v>0</v>
      </c>
      <c r="E36" s="153">
        <f t="shared" si="1"/>
        <v>4674.96</v>
      </c>
    </row>
    <row r="37" spans="2:5" ht="15" customHeight="1">
      <c r="B37" s="161" t="s">
        <v>126</v>
      </c>
      <c r="C37" s="153">
        <f>SUMIF('Trial Balance'!$B:$B,"5950",'Trial Balance'!$H:$H)</f>
        <v>806.84999999999991</v>
      </c>
      <c r="D37" s="153">
        <v>0</v>
      </c>
      <c r="E37" s="153">
        <f t="shared" si="1"/>
        <v>806.84999999999991</v>
      </c>
    </row>
    <row r="38" spans="2:5" ht="15" customHeight="1">
      <c r="B38" s="119" t="s">
        <v>673</v>
      </c>
      <c r="C38" s="154">
        <f>SUM(C20:C37)</f>
        <v>2596860.1059345803</v>
      </c>
      <c r="D38" s="154">
        <f>SUM(D20:D37)</f>
        <v>0</v>
      </c>
      <c r="E38" s="154">
        <f>SUM(E20:E37)</f>
        <v>2596860.1059345803</v>
      </c>
    </row>
    <row r="40" spans="2:5" ht="15.75" customHeight="1">
      <c r="B40" s="119" t="s">
        <v>674</v>
      </c>
      <c r="C40" s="155">
        <f>C17-C38</f>
        <v>573106.66406542109</v>
      </c>
      <c r="D40" s="155">
        <f>D17-D38</f>
        <v>-70000.000000000233</v>
      </c>
      <c r="E40" s="155">
        <f>E17-E38</f>
        <v>503106.66406542063</v>
      </c>
    </row>
    <row r="42" spans="2:5" ht="15.75" customHeight="1">
      <c r="B42" s="152" t="s">
        <v>675</v>
      </c>
      <c r="C42" s="153">
        <f>SUMIF('Trial Balance'!$B:$B,"3000",'Trial Balance'!$E:$E)</f>
        <v>310000</v>
      </c>
      <c r="D42" s="153">
        <f>SUMIF('Trial Balance'!$B:$B,"3100",'Trial Balance'!$E:$E)</f>
        <v>138300</v>
      </c>
      <c r="E42" s="153">
        <f>C42+D42</f>
        <v>448300</v>
      </c>
    </row>
    <row r="43" spans="2:5" ht="15.75" customHeight="1">
      <c r="B43" s="119" t="s">
        <v>676</v>
      </c>
      <c r="C43" s="155">
        <f>C42+C40</f>
        <v>883106.66406542109</v>
      </c>
      <c r="D43" s="155">
        <f>D42+D40</f>
        <v>68299.999999999767</v>
      </c>
      <c r="E43" s="155">
        <f>E42+E40</f>
        <v>951406.66406542063</v>
      </c>
    </row>
    <row r="46" spans="2:5" ht="15" customHeight="1">
      <c r="B46" s="119" t="s">
        <v>677</v>
      </c>
    </row>
    <row r="47" spans="2:5" ht="35" customHeight="1">
      <c r="B47" s="152" t="s">
        <v>678</v>
      </c>
      <c r="C47" s="156" t="s">
        <v>679</v>
      </c>
      <c r="D47" s="129"/>
      <c r="E47" s="129"/>
    </row>
    <row r="48" spans="2:5" ht="46" customHeight="1">
      <c r="B48" s="172" t="s">
        <v>680</v>
      </c>
      <c r="C48" s="156" t="s">
        <v>682</v>
      </c>
      <c r="D48" s="129"/>
      <c r="E48" s="129"/>
    </row>
    <row r="49" spans="2:5" ht="49" customHeight="1">
      <c r="B49" s="172" t="s">
        <v>681</v>
      </c>
      <c r="C49" s="156" t="s">
        <v>683</v>
      </c>
      <c r="D49" s="129"/>
      <c r="E49" s="129"/>
    </row>
  </sheetData>
  <mergeCells count="4">
    <mergeCell ref="C49:E49"/>
    <mergeCell ref="C48:E48"/>
    <mergeCell ref="B5:E5"/>
    <mergeCell ref="C47:E47"/>
  </mergeCells>
  <pageMargins left="0.75" right="0.75" top="1" bottom="1" header="0.511811023622047" footer="0.511811023622047"/>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Q59"/>
  <sheetViews>
    <sheetView showGridLines="0" zoomScaleNormal="100" workbookViewId="0">
      <pane ySplit="6" topLeftCell="A29" activePane="bottomLeft" state="frozen"/>
      <selection pane="bottomLeft"/>
    </sheetView>
  </sheetViews>
  <sheetFormatPr baseColWidth="10" defaultColWidth="8.6640625" defaultRowHeight="15"/>
  <cols>
    <col min="1" max="1" width="3.83203125" style="12" customWidth="1"/>
    <col min="2" max="2" width="33.33203125" style="12" customWidth="1"/>
    <col min="3" max="14" width="15.83203125" style="12" customWidth="1"/>
    <col min="15" max="15" width="4.6640625" style="12" customWidth="1"/>
    <col min="16" max="16" width="4.33203125" style="12" customWidth="1"/>
    <col min="17" max="17" width="19.5" style="12" bestFit="1" customWidth="1"/>
    <col min="18" max="16384" width="8.6640625" style="12"/>
  </cols>
  <sheetData>
    <row r="2" spans="2:14" ht="18">
      <c r="B2" s="164" t="s">
        <v>786</v>
      </c>
    </row>
    <row r="3" spans="2:14" ht="15" customHeight="1">
      <c r="B3" s="104" t="s">
        <v>651</v>
      </c>
      <c r="C3" s="27"/>
      <c r="D3" s="27"/>
      <c r="E3" s="27"/>
      <c r="F3" s="27"/>
      <c r="G3" s="27"/>
      <c r="H3" s="27"/>
      <c r="I3" s="27"/>
      <c r="J3" s="27"/>
      <c r="K3" s="27"/>
      <c r="L3" s="27"/>
      <c r="M3" s="27"/>
      <c r="N3" s="27"/>
    </row>
    <row r="4" spans="2:14" ht="15" customHeight="1">
      <c r="B4" s="104" t="s">
        <v>207</v>
      </c>
      <c r="C4" s="27"/>
      <c r="D4" s="27"/>
      <c r="E4" s="27"/>
      <c r="F4" s="27"/>
      <c r="G4" s="27"/>
      <c r="H4" s="27"/>
      <c r="I4" s="27"/>
      <c r="J4" s="27"/>
      <c r="K4" s="27"/>
      <c r="L4" s="27"/>
      <c r="M4" s="27"/>
      <c r="N4" s="27"/>
    </row>
    <row r="5" spans="2:14" ht="15" customHeight="1">
      <c r="B5" s="28"/>
      <c r="C5" s="28"/>
      <c r="D5" s="28"/>
      <c r="E5" s="28"/>
      <c r="F5" s="28"/>
      <c r="G5" s="28"/>
    </row>
    <row r="6" spans="2:14" ht="15" customHeight="1">
      <c r="B6" s="143" t="s">
        <v>221</v>
      </c>
      <c r="C6" s="144">
        <v>45839</v>
      </c>
      <c r="D6" s="144">
        <v>45870</v>
      </c>
      <c r="E6" s="144">
        <v>45901</v>
      </c>
      <c r="F6" s="144">
        <v>45931</v>
      </c>
      <c r="G6" s="144">
        <v>45962</v>
      </c>
      <c r="H6" s="144">
        <v>45992</v>
      </c>
      <c r="I6" s="144">
        <v>46023</v>
      </c>
      <c r="J6" s="144">
        <v>46054</v>
      </c>
      <c r="K6" s="144">
        <v>46082</v>
      </c>
      <c r="L6" s="144">
        <v>46113</v>
      </c>
      <c r="M6" s="144">
        <v>46143</v>
      </c>
      <c r="N6" s="144">
        <v>46174</v>
      </c>
    </row>
    <row r="7" spans="2:14" ht="15" customHeight="1">
      <c r="B7" s="29"/>
      <c r="C7" s="30"/>
      <c r="D7" s="30"/>
      <c r="E7" s="30"/>
      <c r="F7" s="30"/>
      <c r="G7" s="30"/>
      <c r="H7" s="30"/>
      <c r="I7" s="30"/>
      <c r="J7" s="30"/>
      <c r="K7" s="30"/>
      <c r="L7" s="30"/>
      <c r="M7" s="30"/>
      <c r="N7" s="30"/>
    </row>
    <row r="8" spans="2:14" ht="15" customHeight="1">
      <c r="B8" s="162" t="s">
        <v>607</v>
      </c>
      <c r="C8" s="30">
        <f>'Trial Balance'!E7</f>
        <v>185000</v>
      </c>
      <c r="D8" s="30">
        <f>C27</f>
        <v>241914.31999999995</v>
      </c>
      <c r="E8" s="30">
        <f>D27</f>
        <v>316619.01</v>
      </c>
      <c r="F8" s="30">
        <f t="shared" ref="F8:N8" si="0">E27</f>
        <v>375605.19000000012</v>
      </c>
      <c r="G8" s="30">
        <f t="shared" si="0"/>
        <v>399725.30000000016</v>
      </c>
      <c r="H8" s="30">
        <f t="shared" si="0"/>
        <v>482430.9200000001</v>
      </c>
      <c r="I8" s="30">
        <f t="shared" si="0"/>
        <v>562856.85000000033</v>
      </c>
      <c r="J8" s="30">
        <f t="shared" si="0"/>
        <v>526165.05000000051</v>
      </c>
      <c r="K8" s="30">
        <f t="shared" si="0"/>
        <v>687866.77000000037</v>
      </c>
      <c r="L8" s="30">
        <f t="shared" si="0"/>
        <v>762290.88000000035</v>
      </c>
      <c r="M8" s="30">
        <f t="shared" si="0"/>
        <v>786484.28000000049</v>
      </c>
      <c r="N8" s="30">
        <f t="shared" si="0"/>
        <v>829339.43000000063</v>
      </c>
    </row>
    <row r="9" spans="2:14" ht="15" customHeight="1">
      <c r="B9" s="29"/>
      <c r="C9" s="30"/>
      <c r="D9" s="30"/>
      <c r="E9" s="30"/>
      <c r="F9" s="30"/>
      <c r="G9" s="30"/>
      <c r="H9" s="30"/>
      <c r="I9" s="30"/>
      <c r="J9" s="30"/>
      <c r="K9" s="30"/>
      <c r="L9" s="30"/>
      <c r="M9" s="30"/>
      <c r="N9" s="30"/>
    </row>
    <row r="10" spans="2:14" ht="15" customHeight="1">
      <c r="B10" s="163" t="s">
        <v>501</v>
      </c>
      <c r="C10" s="146">
        <f>SUMIFS('Allocated Transactions'!$J:$J,'Allocated Transactions'!$D:$D,1000,'Allocated Transactions'!$A:$A,"&gt;="&amp;'Cash Flow Forecast'!C$6,'Allocated Transactions'!$A:$A,"&lt;="&amp;EOMONTH('Cash Flow Forecast'!C$6,0),'Allocated Transactions'!$G:$G,'Cash Flow Forecast'!$B10)</f>
        <v>189092.75</v>
      </c>
      <c r="D10" s="146">
        <f>SUMIFS('Allocated Transactions'!$J:$J,'Allocated Transactions'!$D:$D,1000,'Allocated Transactions'!$A:$A,"&gt;="&amp;'Cash Flow Forecast'!D$6,'Allocated Transactions'!$A:$A,"&lt;="&amp;EOMONTH('Cash Flow Forecast'!D$6,0),'Allocated Transactions'!$G:$G,'Cash Flow Forecast'!$B10)</f>
        <v>189320.03</v>
      </c>
      <c r="E10" s="146">
        <f>SUMIFS('Allocated Transactions'!$J:$J,'Allocated Transactions'!$D:$D,1000,'Allocated Transactions'!$A:$A,"&gt;="&amp;'Cash Flow Forecast'!E$6,'Allocated Transactions'!$A:$A,"&lt;="&amp;EOMONTH('Cash Flow Forecast'!E$6,0),'Allocated Transactions'!$G:$G,'Cash Flow Forecast'!$B10)</f>
        <v>194319.99</v>
      </c>
      <c r="F10" s="146">
        <f>SUMIFS('Allocated Transactions'!$J:$J,'Allocated Transactions'!$D:$D,1000,'Allocated Transactions'!$A:$A,"&gt;="&amp;'Cash Flow Forecast'!F$6,'Allocated Transactions'!$A:$A,"&lt;="&amp;EOMONTH('Cash Flow Forecast'!F$6,0),'Allocated Transactions'!$G:$G,'Cash Flow Forecast'!$B10)</f>
        <v>143298.15</v>
      </c>
      <c r="G10" s="146">
        <f>SUMIFS('Allocated Transactions'!$J:$J,'Allocated Transactions'!$D:$D,1000,'Allocated Transactions'!$A:$A,"&gt;="&amp;'Cash Flow Forecast'!G$6,'Allocated Transactions'!$A:$A,"&lt;="&amp;EOMONTH('Cash Flow Forecast'!G$6,0),'Allocated Transactions'!$G:$G,'Cash Flow Forecast'!$B10)</f>
        <v>183771.01</v>
      </c>
      <c r="H10" s="146">
        <f>SUMIFS('Allocated Transactions'!$J:$J,'Allocated Transactions'!$D:$D,1000,'Allocated Transactions'!$A:$A,"&gt;="&amp;'Cash Flow Forecast'!H$6,'Allocated Transactions'!$A:$A,"&lt;="&amp;EOMONTH('Cash Flow Forecast'!H$6,0),'Allocated Transactions'!$G:$G,'Cash Flow Forecast'!$B10)</f>
        <v>201070.31</v>
      </c>
      <c r="I10" s="146">
        <f>SUMIFS('Allocated Transactions'!$J:$J,'Allocated Transactions'!$D:$D,1000,'Allocated Transactions'!$A:$A,"&gt;="&amp;'Cash Flow Forecast'!I$6,'Allocated Transactions'!$A:$A,"&lt;="&amp;EOMONTH('Cash Flow Forecast'!I$6,0),'Allocated Transactions'!$G:$G,'Cash Flow Forecast'!$B10)</f>
        <v>149261.82999999999</v>
      </c>
      <c r="J10" s="146">
        <f>SUMIFS('Allocated Transactions'!$J:$J,'Allocated Transactions'!$D:$D,1000,'Allocated Transactions'!$A:$A,"&gt;="&amp;'Cash Flow Forecast'!J$6,'Allocated Transactions'!$A:$A,"&lt;="&amp;EOMONTH('Cash Flow Forecast'!J$6,0),'Allocated Transactions'!$G:$G,'Cash Flow Forecast'!$B10)</f>
        <v>204628.59</v>
      </c>
      <c r="K10" s="146">
        <f>SUMIFS('Allocated Transactions'!$J:$J,'Allocated Transactions'!$D:$D,1000,'Allocated Transactions'!$A:$A,"&gt;="&amp;'Cash Flow Forecast'!K$6,'Allocated Transactions'!$A:$A,"&lt;="&amp;EOMONTH('Cash Flow Forecast'!K$6,0),'Allocated Transactions'!$G:$G,'Cash Flow Forecast'!$B10)</f>
        <v>150835.78</v>
      </c>
      <c r="L10" s="146">
        <f>SUMIFS('Allocated Transactions'!$J:$J,'Allocated Transactions'!$D:$D,1000,'Allocated Transactions'!$A:$A,"&gt;="&amp;'Cash Flow Forecast'!L$6,'Allocated Transactions'!$A:$A,"&lt;="&amp;EOMONTH('Cash Flow Forecast'!L$6,0),'Allocated Transactions'!$G:$G,'Cash Flow Forecast'!$B10)</f>
        <v>154298.14000000001</v>
      </c>
      <c r="M10" s="146">
        <f>SUMIFS('Allocated Transactions'!$J:$J,'Allocated Transactions'!$D:$D,1000,'Allocated Transactions'!$A:$A,"&gt;="&amp;'Cash Flow Forecast'!M$6,'Allocated Transactions'!$A:$A,"&lt;="&amp;EOMONTH('Cash Flow Forecast'!M$6,0),'Allocated Transactions'!$G:$G,'Cash Flow Forecast'!$B10)</f>
        <v>140547.62</v>
      </c>
      <c r="N10" s="146">
        <f>SUMIFS('Allocated Transactions'!$J:$J,'Allocated Transactions'!$D:$D,1000,'Allocated Transactions'!$A:$A,"&gt;="&amp;'Cash Flow Forecast'!N$6,'Allocated Transactions'!$A:$A,"&lt;="&amp;EOMONTH('Cash Flow Forecast'!N$6,0),'Allocated Transactions'!$G:$G,'Cash Flow Forecast'!$B10)</f>
        <v>178617.63</v>
      </c>
    </row>
    <row r="11" spans="2:14" ht="15" customHeight="1">
      <c r="B11" s="163" t="s">
        <v>500</v>
      </c>
      <c r="C11" s="146">
        <f>SUMIFS('Allocated Transactions'!$J:$J,'Allocated Transactions'!$D:$D,1000,'Allocated Transactions'!$A:$A,"&gt;="&amp;'Cash Flow Forecast'!C$6,'Allocated Transactions'!$A:$A,"&lt;="&amp;EOMONTH('Cash Flow Forecast'!C$6,0),'Allocated Transactions'!$G:$G,'Cash Flow Forecast'!$B11)</f>
        <v>67460.45</v>
      </c>
      <c r="D11" s="146">
        <f>SUMIFS('Allocated Transactions'!$J:$J,'Allocated Transactions'!$D:$D,1000,'Allocated Transactions'!$A:$A,"&gt;="&amp;'Cash Flow Forecast'!D$6,'Allocated Transactions'!$A:$A,"&lt;="&amp;EOMONTH('Cash Flow Forecast'!D$6,0),'Allocated Transactions'!$G:$G,'Cash Flow Forecast'!$B11)</f>
        <v>56394.91</v>
      </c>
      <c r="E11" s="146">
        <f>SUMIFS('Allocated Transactions'!$J:$J,'Allocated Transactions'!$D:$D,1000,'Allocated Transactions'!$A:$A,"&gt;="&amp;'Cash Flow Forecast'!E$6,'Allocated Transactions'!$A:$A,"&lt;="&amp;EOMONTH('Cash Flow Forecast'!E$6,0),'Allocated Transactions'!$G:$G,'Cash Flow Forecast'!$B11)</f>
        <v>46605.01</v>
      </c>
      <c r="F11" s="146">
        <f>SUMIFS('Allocated Transactions'!$J:$J,'Allocated Transactions'!$D:$D,1000,'Allocated Transactions'!$A:$A,"&gt;="&amp;'Cash Flow Forecast'!F$6,'Allocated Transactions'!$A:$A,"&lt;="&amp;EOMONTH('Cash Flow Forecast'!F$6,0),'Allocated Transactions'!$G:$G,'Cash Flow Forecast'!$B11)</f>
        <v>76372.3</v>
      </c>
      <c r="G11" s="146">
        <f>SUMIFS('Allocated Transactions'!$J:$J,'Allocated Transactions'!$D:$D,1000,'Allocated Transactions'!$A:$A,"&gt;="&amp;'Cash Flow Forecast'!G$6,'Allocated Transactions'!$A:$A,"&lt;="&amp;EOMONTH('Cash Flow Forecast'!G$6,0),'Allocated Transactions'!$G:$G,'Cash Flow Forecast'!$B11)</f>
        <v>70383.14</v>
      </c>
      <c r="H11" s="146">
        <f>SUMIFS('Allocated Transactions'!$J:$J,'Allocated Transactions'!$D:$D,1000,'Allocated Transactions'!$A:$A,"&gt;="&amp;'Cash Flow Forecast'!H$6,'Allocated Transactions'!$A:$A,"&lt;="&amp;EOMONTH('Cash Flow Forecast'!H$6,0),'Allocated Transactions'!$G:$G,'Cash Flow Forecast'!$B11)</f>
        <v>55589.91</v>
      </c>
      <c r="I11" s="146">
        <f>SUMIFS('Allocated Transactions'!$J:$J,'Allocated Transactions'!$D:$D,1000,'Allocated Transactions'!$A:$A,"&gt;="&amp;'Cash Flow Forecast'!I$6,'Allocated Transactions'!$A:$A,"&lt;="&amp;EOMONTH('Cash Flow Forecast'!I$6,0),'Allocated Transactions'!$G:$G,'Cash Flow Forecast'!$B11)</f>
        <v>0</v>
      </c>
      <c r="J11" s="146">
        <f>SUMIFS('Allocated Transactions'!$J:$J,'Allocated Transactions'!$D:$D,1000,'Allocated Transactions'!$A:$A,"&gt;="&amp;'Cash Flow Forecast'!J$6,'Allocated Transactions'!$A:$A,"&lt;="&amp;EOMONTH('Cash Flow Forecast'!J$6,0),'Allocated Transactions'!$G:$G,'Cash Flow Forecast'!$B11)</f>
        <v>88067.46</v>
      </c>
      <c r="K11" s="146">
        <f>SUMIFS('Allocated Transactions'!$J:$J,'Allocated Transactions'!$D:$D,1000,'Allocated Transactions'!$A:$A,"&gt;="&amp;'Cash Flow Forecast'!K$6,'Allocated Transactions'!$A:$A,"&lt;="&amp;EOMONTH('Cash Flow Forecast'!K$6,0),'Allocated Transactions'!$G:$G,'Cash Flow Forecast'!$B11)</f>
        <v>93435.47</v>
      </c>
      <c r="L11" s="146">
        <f>SUMIFS('Allocated Transactions'!$J:$J,'Allocated Transactions'!$D:$D,1000,'Allocated Transactions'!$A:$A,"&gt;="&amp;'Cash Flow Forecast'!L$6,'Allocated Transactions'!$A:$A,"&lt;="&amp;EOMONTH('Cash Flow Forecast'!L$6,0),'Allocated Transactions'!$G:$G,'Cash Flow Forecast'!$B11)</f>
        <v>56934.3</v>
      </c>
      <c r="M11" s="146">
        <f>SUMIFS('Allocated Transactions'!$J:$J,'Allocated Transactions'!$D:$D,1000,'Allocated Transactions'!$A:$A,"&gt;="&amp;'Cash Flow Forecast'!M$6,'Allocated Transactions'!$A:$A,"&lt;="&amp;EOMONTH('Cash Flow Forecast'!M$6,0),'Allocated Transactions'!$G:$G,'Cash Flow Forecast'!$B11)</f>
        <v>59968.94</v>
      </c>
      <c r="N11" s="146">
        <f>SUMIFS('Allocated Transactions'!$J:$J,'Allocated Transactions'!$D:$D,1000,'Allocated Transactions'!$A:$A,"&gt;="&amp;'Cash Flow Forecast'!N$6,'Allocated Transactions'!$A:$A,"&lt;="&amp;EOMONTH('Cash Flow Forecast'!N$6,0),'Allocated Transactions'!$G:$G,'Cash Flow Forecast'!$B11)</f>
        <v>45483.48</v>
      </c>
    </row>
    <row r="12" spans="2:14" ht="15" customHeight="1">
      <c r="B12" s="163" t="s">
        <v>511</v>
      </c>
      <c r="C12" s="146">
        <f>SUMIFS('Allocated Transactions'!$J:$J,'Allocated Transactions'!$D:$D,1000,'Allocated Transactions'!$A:$A,"&gt;="&amp;'Cash Flow Forecast'!C$6,'Allocated Transactions'!$A:$A,"&lt;="&amp;EOMONTH('Cash Flow Forecast'!C$6,0),'Allocated Transactions'!$G:$G,'Cash Flow Forecast'!$B12)</f>
        <v>0</v>
      </c>
      <c r="D12" s="146">
        <f>SUMIFS('Allocated Transactions'!$J:$J,'Allocated Transactions'!$D:$D,1000,'Allocated Transactions'!$A:$A,"&gt;="&amp;'Cash Flow Forecast'!D$6,'Allocated Transactions'!$A:$A,"&lt;="&amp;EOMONTH('Cash Flow Forecast'!D$6,0),'Allocated Transactions'!$G:$G,'Cash Flow Forecast'!$B12)</f>
        <v>0</v>
      </c>
      <c r="E12" s="146">
        <f>SUMIFS('Allocated Transactions'!$J:$J,'Allocated Transactions'!$D:$D,1000,'Allocated Transactions'!$A:$A,"&gt;="&amp;'Cash Flow Forecast'!E$6,'Allocated Transactions'!$A:$A,"&lt;="&amp;EOMONTH('Cash Flow Forecast'!E$6,0),'Allocated Transactions'!$G:$G,'Cash Flow Forecast'!$B12)</f>
        <v>0</v>
      </c>
      <c r="F12" s="146">
        <f>SUMIFS('Allocated Transactions'!$J:$J,'Allocated Transactions'!$D:$D,1000,'Allocated Transactions'!$A:$A,"&gt;="&amp;'Cash Flow Forecast'!F$6,'Allocated Transactions'!$A:$A,"&lt;="&amp;EOMONTH('Cash Flow Forecast'!F$6,0),'Allocated Transactions'!$G:$G,'Cash Flow Forecast'!$B12)</f>
        <v>0</v>
      </c>
      <c r="G12" s="146">
        <f>SUMIFS('Allocated Transactions'!$J:$J,'Allocated Transactions'!$D:$D,1000,'Allocated Transactions'!$A:$A,"&gt;="&amp;'Cash Flow Forecast'!G$6,'Allocated Transactions'!$A:$A,"&lt;="&amp;EOMONTH('Cash Flow Forecast'!G$6,0),'Allocated Transactions'!$G:$G,'Cash Flow Forecast'!$B12)</f>
        <v>0</v>
      </c>
      <c r="H12" s="146">
        <f>SUMIFS('Allocated Transactions'!$J:$J,'Allocated Transactions'!$D:$D,1000,'Allocated Transactions'!$A:$A,"&gt;="&amp;'Cash Flow Forecast'!H$6,'Allocated Transactions'!$A:$A,"&lt;="&amp;EOMONTH('Cash Flow Forecast'!H$6,0),'Allocated Transactions'!$G:$G,'Cash Flow Forecast'!$B12)</f>
        <v>0</v>
      </c>
      <c r="I12" s="146">
        <f>SUMIFS('Allocated Transactions'!$J:$J,'Allocated Transactions'!$D:$D,1000,'Allocated Transactions'!$A:$A,"&gt;="&amp;'Cash Flow Forecast'!I$6,'Allocated Transactions'!$A:$A,"&lt;="&amp;EOMONTH('Cash Flow Forecast'!I$6,0),'Allocated Transactions'!$G:$G,'Cash Flow Forecast'!$B12)</f>
        <v>790.79</v>
      </c>
      <c r="J12" s="146">
        <f>SUMIFS('Allocated Transactions'!$J:$J,'Allocated Transactions'!$D:$D,1000,'Allocated Transactions'!$A:$A,"&gt;="&amp;'Cash Flow Forecast'!J$6,'Allocated Transactions'!$A:$A,"&lt;="&amp;EOMONTH('Cash Flow Forecast'!J$6,0),'Allocated Transactions'!$G:$G,'Cash Flow Forecast'!$B12)</f>
        <v>0</v>
      </c>
      <c r="K12" s="146">
        <f>SUMIFS('Allocated Transactions'!$J:$J,'Allocated Transactions'!$D:$D,1000,'Allocated Transactions'!$A:$A,"&gt;="&amp;'Cash Flow Forecast'!K$6,'Allocated Transactions'!$A:$A,"&lt;="&amp;EOMONTH('Cash Flow Forecast'!K$6,0),'Allocated Transactions'!$G:$G,'Cash Flow Forecast'!$B12)</f>
        <v>0</v>
      </c>
      <c r="L12" s="146">
        <f>SUMIFS('Allocated Transactions'!$J:$J,'Allocated Transactions'!$D:$D,1000,'Allocated Transactions'!$A:$A,"&gt;="&amp;'Cash Flow Forecast'!L$6,'Allocated Transactions'!$A:$A,"&lt;="&amp;EOMONTH('Cash Flow Forecast'!L$6,0),'Allocated Transactions'!$G:$G,'Cash Flow Forecast'!$B12)</f>
        <v>1874.86</v>
      </c>
      <c r="M12" s="146">
        <f>SUMIFS('Allocated Transactions'!$J:$J,'Allocated Transactions'!$D:$D,1000,'Allocated Transactions'!$A:$A,"&gt;="&amp;'Cash Flow Forecast'!M$6,'Allocated Transactions'!$A:$A,"&lt;="&amp;EOMONTH('Cash Flow Forecast'!M$6,0),'Allocated Transactions'!$G:$G,'Cash Flow Forecast'!$B12)</f>
        <v>1345.27</v>
      </c>
      <c r="N12" s="146">
        <f>SUMIFS('Allocated Transactions'!$J:$J,'Allocated Transactions'!$D:$D,1000,'Allocated Transactions'!$A:$A,"&gt;="&amp;'Cash Flow Forecast'!N$6,'Allocated Transactions'!$A:$A,"&lt;="&amp;EOMONTH('Cash Flow Forecast'!N$6,0),'Allocated Transactions'!$G:$G,'Cash Flow Forecast'!$B12)</f>
        <v>0</v>
      </c>
    </row>
    <row r="13" spans="2:14" ht="15" customHeight="1">
      <c r="B13" s="163" t="s">
        <v>485</v>
      </c>
      <c r="C13" s="146">
        <f>SUMIFS('Allocated Transactions'!$J:$J,'Allocated Transactions'!$D:$D,1000,'Allocated Transactions'!$A:$A,"&gt;="&amp;'Cash Flow Forecast'!C$6,'Allocated Transactions'!$A:$A,"&lt;="&amp;EOMONTH('Cash Flow Forecast'!C$6,0),'Allocated Transactions'!$G:$G,'Cash Flow Forecast'!$B13)</f>
        <v>0</v>
      </c>
      <c r="D13" s="146">
        <f>SUMIFS('Allocated Transactions'!$J:$J,'Allocated Transactions'!$D:$D,1000,'Allocated Transactions'!$A:$A,"&gt;="&amp;'Cash Flow Forecast'!D$6,'Allocated Transactions'!$A:$A,"&lt;="&amp;EOMONTH('Cash Flow Forecast'!D$6,0),'Allocated Transactions'!$G:$G,'Cash Flow Forecast'!$B13)</f>
        <v>0</v>
      </c>
      <c r="E13" s="146">
        <f>SUMIFS('Allocated Transactions'!$J:$J,'Allocated Transactions'!$D:$D,1000,'Allocated Transactions'!$A:$A,"&gt;="&amp;'Cash Flow Forecast'!E$6,'Allocated Transactions'!$A:$A,"&lt;="&amp;EOMONTH('Cash Flow Forecast'!E$6,0),'Allocated Transactions'!$G:$G,'Cash Flow Forecast'!$B13)</f>
        <v>0</v>
      </c>
      <c r="F13" s="146">
        <f>SUMIFS('Allocated Transactions'!$J:$J,'Allocated Transactions'!$D:$D,1000,'Allocated Transactions'!$A:$A,"&gt;="&amp;'Cash Flow Forecast'!F$6,'Allocated Transactions'!$A:$A,"&lt;="&amp;EOMONTH('Cash Flow Forecast'!F$6,0),'Allocated Transactions'!$G:$G,'Cash Flow Forecast'!$B13)</f>
        <v>0</v>
      </c>
      <c r="G13" s="146">
        <f>SUMIFS('Allocated Transactions'!$J:$J,'Allocated Transactions'!$D:$D,1000,'Allocated Transactions'!$A:$A,"&gt;="&amp;'Cash Flow Forecast'!G$6,'Allocated Transactions'!$A:$A,"&lt;="&amp;EOMONTH('Cash Flow Forecast'!G$6,0),'Allocated Transactions'!$G:$G,'Cash Flow Forecast'!$B13)</f>
        <v>0</v>
      </c>
      <c r="H13" s="146">
        <f>SUMIFS('Allocated Transactions'!$J:$J,'Allocated Transactions'!$D:$D,1000,'Allocated Transactions'!$A:$A,"&gt;="&amp;'Cash Flow Forecast'!H$6,'Allocated Transactions'!$A:$A,"&lt;="&amp;EOMONTH('Cash Flow Forecast'!H$6,0),'Allocated Transactions'!$G:$G,'Cash Flow Forecast'!$B13)</f>
        <v>0</v>
      </c>
      <c r="I13" s="146">
        <f>SUMIFS('Allocated Transactions'!$J:$J,'Allocated Transactions'!$D:$D,1000,'Allocated Transactions'!$A:$A,"&gt;="&amp;'Cash Flow Forecast'!I$6,'Allocated Transactions'!$A:$A,"&lt;="&amp;EOMONTH('Cash Flow Forecast'!I$6,0),'Allocated Transactions'!$G:$G,'Cash Flow Forecast'!$B13)</f>
        <v>0</v>
      </c>
      <c r="J13" s="146">
        <f>SUMIFS('Allocated Transactions'!$J:$J,'Allocated Transactions'!$D:$D,1000,'Allocated Transactions'!$A:$A,"&gt;="&amp;'Cash Flow Forecast'!J$6,'Allocated Transactions'!$A:$A,"&lt;="&amp;EOMONTH('Cash Flow Forecast'!J$6,0),'Allocated Transactions'!$G:$G,'Cash Flow Forecast'!$B13)</f>
        <v>40000</v>
      </c>
      <c r="K13" s="146">
        <f>SUMIFS('Allocated Transactions'!$J:$J,'Allocated Transactions'!$D:$D,1000,'Allocated Transactions'!$A:$A,"&gt;="&amp;'Cash Flow Forecast'!K$6,'Allocated Transactions'!$A:$A,"&lt;="&amp;EOMONTH('Cash Flow Forecast'!K$6,0),'Allocated Transactions'!$G:$G,'Cash Flow Forecast'!$B13)</f>
        <v>0</v>
      </c>
      <c r="L13" s="146">
        <f>SUMIFS('Allocated Transactions'!$J:$J,'Allocated Transactions'!$D:$D,1000,'Allocated Transactions'!$A:$A,"&gt;="&amp;'Cash Flow Forecast'!L$6,'Allocated Transactions'!$A:$A,"&lt;="&amp;EOMONTH('Cash Flow Forecast'!L$6,0),'Allocated Transactions'!$G:$G,'Cash Flow Forecast'!$B13)</f>
        <v>0</v>
      </c>
      <c r="M13" s="146">
        <f>SUMIFS('Allocated Transactions'!$J:$J,'Allocated Transactions'!$D:$D,1000,'Allocated Transactions'!$A:$A,"&gt;="&amp;'Cash Flow Forecast'!M$6,'Allocated Transactions'!$A:$A,"&lt;="&amp;EOMONTH('Cash Flow Forecast'!M$6,0),'Allocated Transactions'!$G:$G,'Cash Flow Forecast'!$B13)</f>
        <v>0</v>
      </c>
      <c r="N13" s="146">
        <f>SUMIFS('Allocated Transactions'!$J:$J,'Allocated Transactions'!$D:$D,1000,'Allocated Transactions'!$A:$A,"&gt;="&amp;'Cash Flow Forecast'!N$6,'Allocated Transactions'!$A:$A,"&lt;="&amp;EOMONTH('Cash Flow Forecast'!N$6,0),'Allocated Transactions'!$G:$G,'Cash Flow Forecast'!$B13)</f>
        <v>0</v>
      </c>
    </row>
    <row r="14" spans="2:14" ht="15" customHeight="1">
      <c r="B14" s="29"/>
      <c r="C14" s="30"/>
      <c r="D14" s="30"/>
      <c r="E14" s="30"/>
      <c r="F14" s="30"/>
      <c r="G14" s="30"/>
      <c r="H14" s="30"/>
      <c r="I14" s="30"/>
      <c r="J14" s="30"/>
      <c r="K14" s="30"/>
      <c r="L14" s="30"/>
      <c r="M14" s="30"/>
      <c r="N14" s="30"/>
    </row>
    <row r="15" spans="2:14" ht="15" customHeight="1">
      <c r="B15" s="162" t="s">
        <v>423</v>
      </c>
      <c r="C15" s="30">
        <f>SUMIFS('Allocated Transactions'!$J:$J,'Allocated Transactions'!$D:$D,1000,'Allocated Transactions'!$A:$A,"&gt;="&amp;'Cash Flow Forecast'!C$6,'Allocated Transactions'!$A:$A,"&lt;="&amp;EOMONTH('Cash Flow Forecast'!C$6,0),'Allocated Transactions'!$G:$G,'Cash Flow Forecast'!$B15)</f>
        <v>-25491.47</v>
      </c>
      <c r="D15" s="30">
        <f>SUMIFS('Allocated Transactions'!$J:$J,'Allocated Transactions'!$D:$D,1000,'Allocated Transactions'!$A:$A,"&gt;="&amp;'Cash Flow Forecast'!D$6,'Allocated Transactions'!$A:$A,"&lt;="&amp;EOMONTH('Cash Flow Forecast'!D$6,0),'Allocated Transactions'!$G:$G,'Cash Flow Forecast'!$B15)</f>
        <v>-10183</v>
      </c>
      <c r="E15" s="30">
        <f>SUMIFS('Allocated Transactions'!$J:$J,'Allocated Transactions'!$D:$D,1000,'Allocated Transactions'!$A:$A,"&gt;="&amp;'Cash Flow Forecast'!E$6,'Allocated Transactions'!$A:$A,"&lt;="&amp;EOMONTH('Cash Flow Forecast'!E$6,0),'Allocated Transactions'!$G:$G,'Cash Flow Forecast'!$B15)</f>
        <v>-19622.849999999999</v>
      </c>
      <c r="F15" s="30">
        <f>SUMIFS('Allocated Transactions'!$J:$J,'Allocated Transactions'!$D:$D,1000,'Allocated Transactions'!$A:$A,"&gt;="&amp;'Cash Flow Forecast'!F$6,'Allocated Transactions'!$A:$A,"&lt;="&amp;EOMONTH('Cash Flow Forecast'!F$6,0),'Allocated Transactions'!$G:$G,'Cash Flow Forecast'!$B15)</f>
        <v>-23527.74</v>
      </c>
      <c r="G15" s="30">
        <f>SUMIFS('Allocated Transactions'!$J:$J,'Allocated Transactions'!$D:$D,1000,'Allocated Transactions'!$A:$A,"&gt;="&amp;'Cash Flow Forecast'!G$6,'Allocated Transactions'!$A:$A,"&lt;="&amp;EOMONTH('Cash Flow Forecast'!G$6,0),'Allocated Transactions'!$G:$G,'Cash Flow Forecast'!$B15)</f>
        <v>-14446.02</v>
      </c>
      <c r="H15" s="30">
        <f>SUMIFS('Allocated Transactions'!$J:$J,'Allocated Transactions'!$D:$D,1000,'Allocated Transactions'!$A:$A,"&gt;="&amp;'Cash Flow Forecast'!H$6,'Allocated Transactions'!$A:$A,"&lt;="&amp;EOMONTH('Cash Flow Forecast'!H$6,0),'Allocated Transactions'!$G:$G,'Cash Flow Forecast'!$B15)</f>
        <v>-13854.94</v>
      </c>
      <c r="I15" s="30">
        <f>SUMIFS('Allocated Transactions'!$J:$J,'Allocated Transactions'!$D:$D,1000,'Allocated Transactions'!$A:$A,"&gt;="&amp;'Cash Flow Forecast'!I$6,'Allocated Transactions'!$A:$A,"&lt;="&amp;EOMONTH('Cash Flow Forecast'!I$6,0),'Allocated Transactions'!$G:$G,'Cash Flow Forecast'!$B15)</f>
        <v>-18029.22</v>
      </c>
      <c r="J15" s="30">
        <f>SUMIFS('Allocated Transactions'!$J:$J,'Allocated Transactions'!$D:$D,1000,'Allocated Transactions'!$A:$A,"&gt;="&amp;'Cash Flow Forecast'!J$6,'Allocated Transactions'!$A:$A,"&lt;="&amp;EOMONTH('Cash Flow Forecast'!J$6,0),'Allocated Transactions'!$G:$G,'Cash Flow Forecast'!$B15)</f>
        <v>-5670.59</v>
      </c>
      <c r="K15" s="30">
        <f>SUMIFS('Allocated Transactions'!$J:$J,'Allocated Transactions'!$D:$D,1000,'Allocated Transactions'!$A:$A,"&gt;="&amp;'Cash Flow Forecast'!K$6,'Allocated Transactions'!$A:$A,"&lt;="&amp;EOMONTH('Cash Flow Forecast'!K$6,0),'Allocated Transactions'!$G:$G,'Cash Flow Forecast'!$B15)</f>
        <v>-8377.5499999999993</v>
      </c>
      <c r="L15" s="30">
        <f>SUMIFS('Allocated Transactions'!$J:$J,'Allocated Transactions'!$D:$D,1000,'Allocated Transactions'!$A:$A,"&gt;="&amp;'Cash Flow Forecast'!L$6,'Allocated Transactions'!$A:$A,"&lt;="&amp;EOMONTH('Cash Flow Forecast'!L$6,0),'Allocated Transactions'!$G:$G,'Cash Flow Forecast'!$B15)</f>
        <v>-17616.2</v>
      </c>
      <c r="M15" s="30">
        <f>SUMIFS('Allocated Transactions'!$J:$J,'Allocated Transactions'!$D:$D,1000,'Allocated Transactions'!$A:$A,"&gt;="&amp;'Cash Flow Forecast'!M$6,'Allocated Transactions'!$A:$A,"&lt;="&amp;EOMONTH('Cash Flow Forecast'!M$6,0),'Allocated Transactions'!$G:$G,'Cash Flow Forecast'!$B15)</f>
        <v>-7222.58</v>
      </c>
      <c r="N15" s="30">
        <f>SUMIFS('Allocated Transactions'!$J:$J,'Allocated Transactions'!$D:$D,1000,'Allocated Transactions'!$A:$A,"&gt;="&amp;'Cash Flow Forecast'!N$6,'Allocated Transactions'!$A:$A,"&lt;="&amp;EOMONTH('Cash Flow Forecast'!N$6,0),'Allocated Transactions'!$G:$G,'Cash Flow Forecast'!$B15)</f>
        <v>-13730.12</v>
      </c>
    </row>
    <row r="16" spans="2:14" ht="15" customHeight="1">
      <c r="B16" s="162" t="s">
        <v>505</v>
      </c>
      <c r="C16" s="30">
        <f>SUMIFS('Allocated Transactions'!$J:$J,'Allocated Transactions'!$D:$D,1000,'Allocated Transactions'!$A:$A,"&gt;="&amp;'Cash Flow Forecast'!C$6,'Allocated Transactions'!$A:$A,"&lt;="&amp;EOMONTH('Cash Flow Forecast'!C$6,0),'Allocated Transactions'!$G:$G,'Cash Flow Forecast'!$B16)</f>
        <v>-204.62</v>
      </c>
      <c r="D16" s="30">
        <f>SUMIFS('Allocated Transactions'!$J:$J,'Allocated Transactions'!$D:$D,1000,'Allocated Transactions'!$A:$A,"&gt;="&amp;'Cash Flow Forecast'!D$6,'Allocated Transactions'!$A:$A,"&lt;="&amp;EOMONTH('Cash Flow Forecast'!D$6,0),'Allocated Transactions'!$G:$G,'Cash Flow Forecast'!$B16)</f>
        <v>-247.11</v>
      </c>
      <c r="E16" s="30">
        <f>SUMIFS('Allocated Transactions'!$J:$J,'Allocated Transactions'!$D:$D,1000,'Allocated Transactions'!$A:$A,"&gt;="&amp;'Cash Flow Forecast'!E$6,'Allocated Transactions'!$A:$A,"&lt;="&amp;EOMONTH('Cash Flow Forecast'!E$6,0),'Allocated Transactions'!$G:$G,'Cash Flow Forecast'!$B16)</f>
        <v>0</v>
      </c>
      <c r="F16" s="30">
        <f>SUMIFS('Allocated Transactions'!$J:$J,'Allocated Transactions'!$D:$D,1000,'Allocated Transactions'!$A:$A,"&gt;="&amp;'Cash Flow Forecast'!F$6,'Allocated Transactions'!$A:$A,"&lt;="&amp;EOMONTH('Cash Flow Forecast'!F$6,0),'Allocated Transactions'!$G:$G,'Cash Flow Forecast'!$B16)</f>
        <v>0</v>
      </c>
      <c r="G16" s="30">
        <f>SUMIFS('Allocated Transactions'!$J:$J,'Allocated Transactions'!$D:$D,1000,'Allocated Transactions'!$A:$A,"&gt;="&amp;'Cash Flow Forecast'!G$6,'Allocated Transactions'!$A:$A,"&lt;="&amp;EOMONTH('Cash Flow Forecast'!G$6,0),'Allocated Transactions'!$G:$G,'Cash Flow Forecast'!$B16)</f>
        <v>0</v>
      </c>
      <c r="H16" s="30">
        <f>SUMIFS('Allocated Transactions'!$J:$J,'Allocated Transactions'!$D:$D,1000,'Allocated Transactions'!$A:$A,"&gt;="&amp;'Cash Flow Forecast'!H$6,'Allocated Transactions'!$A:$A,"&lt;="&amp;EOMONTH('Cash Flow Forecast'!H$6,0),'Allocated Transactions'!$G:$G,'Cash Flow Forecast'!$B16)</f>
        <v>-513.54</v>
      </c>
      <c r="I16" s="30">
        <f>SUMIFS('Allocated Transactions'!$J:$J,'Allocated Transactions'!$D:$D,1000,'Allocated Transactions'!$A:$A,"&gt;="&amp;'Cash Flow Forecast'!I$6,'Allocated Transactions'!$A:$A,"&lt;="&amp;EOMONTH('Cash Flow Forecast'!I$6,0),'Allocated Transactions'!$G:$G,'Cash Flow Forecast'!$B16)</f>
        <v>-596.09</v>
      </c>
      <c r="J16" s="30">
        <f>SUMIFS('Allocated Transactions'!$J:$J,'Allocated Transactions'!$D:$D,1000,'Allocated Transactions'!$A:$A,"&gt;="&amp;'Cash Flow Forecast'!J$6,'Allocated Transactions'!$A:$A,"&lt;="&amp;EOMONTH('Cash Flow Forecast'!J$6,0),'Allocated Transactions'!$G:$G,'Cash Flow Forecast'!$B16)</f>
        <v>-385.68</v>
      </c>
      <c r="K16" s="30">
        <f>SUMIFS('Allocated Transactions'!$J:$J,'Allocated Transactions'!$D:$D,1000,'Allocated Transactions'!$A:$A,"&gt;="&amp;'Cash Flow Forecast'!K$6,'Allocated Transactions'!$A:$A,"&lt;="&amp;EOMONTH('Cash Flow Forecast'!K$6,0),'Allocated Transactions'!$G:$G,'Cash Flow Forecast'!$B16)</f>
        <v>-477.06</v>
      </c>
      <c r="L16" s="30">
        <f>SUMIFS('Allocated Transactions'!$J:$J,'Allocated Transactions'!$D:$D,1000,'Allocated Transactions'!$A:$A,"&gt;="&amp;'Cash Flow Forecast'!L$6,'Allocated Transactions'!$A:$A,"&lt;="&amp;EOMONTH('Cash Flow Forecast'!L$6,0),'Allocated Transactions'!$G:$G,'Cash Flow Forecast'!$B16)</f>
        <v>-418.88</v>
      </c>
      <c r="M16" s="30">
        <f>SUMIFS('Allocated Transactions'!$J:$J,'Allocated Transactions'!$D:$D,1000,'Allocated Transactions'!$A:$A,"&gt;="&amp;'Cash Flow Forecast'!M$6,'Allocated Transactions'!$A:$A,"&lt;="&amp;EOMONTH('Cash Flow Forecast'!M$6,0),'Allocated Transactions'!$G:$G,'Cash Flow Forecast'!$B16)</f>
        <v>0</v>
      </c>
      <c r="N16" s="30">
        <f>SUMIFS('Allocated Transactions'!$J:$J,'Allocated Transactions'!$D:$D,1000,'Allocated Transactions'!$A:$A,"&gt;="&amp;'Cash Flow Forecast'!N$6,'Allocated Transactions'!$A:$A,"&lt;="&amp;EOMONTH('Cash Flow Forecast'!N$6,0),'Allocated Transactions'!$G:$G,'Cash Flow Forecast'!$B16)</f>
        <v>-270.13</v>
      </c>
    </row>
    <row r="17" spans="2:14" ht="15" customHeight="1">
      <c r="B17" s="162" t="s">
        <v>489</v>
      </c>
      <c r="C17" s="30">
        <f>SUMIFS('Allocated Transactions'!$J:$J,'Allocated Transactions'!$D:$D,1000,'Allocated Transactions'!$A:$A,"&gt;="&amp;'Cash Flow Forecast'!C$6,'Allocated Transactions'!$A:$A,"&lt;="&amp;EOMONTH('Cash Flow Forecast'!C$6,0),'Allocated Transactions'!$G:$G,'Cash Flow Forecast'!$B17)</f>
        <v>0</v>
      </c>
      <c r="D17" s="30">
        <f>SUMIFS('Allocated Transactions'!$J:$J,'Allocated Transactions'!$D:$D,1000,'Allocated Transactions'!$A:$A,"&gt;="&amp;'Cash Flow Forecast'!D$6,'Allocated Transactions'!$A:$A,"&lt;="&amp;EOMONTH('Cash Flow Forecast'!D$6,0),'Allocated Transactions'!$G:$G,'Cash Flow Forecast'!$B17)</f>
        <v>-523.03</v>
      </c>
      <c r="E17" s="30">
        <f>SUMIFS('Allocated Transactions'!$J:$J,'Allocated Transactions'!$D:$D,1000,'Allocated Transactions'!$A:$A,"&gt;="&amp;'Cash Flow Forecast'!E$6,'Allocated Transactions'!$A:$A,"&lt;="&amp;EOMONTH('Cash Flow Forecast'!E$6,0),'Allocated Transactions'!$G:$G,'Cash Flow Forecast'!$B17)</f>
        <v>0</v>
      </c>
      <c r="F17" s="30">
        <f>SUMIFS('Allocated Transactions'!$J:$J,'Allocated Transactions'!$D:$D,1000,'Allocated Transactions'!$A:$A,"&gt;="&amp;'Cash Flow Forecast'!F$6,'Allocated Transactions'!$A:$A,"&lt;="&amp;EOMONTH('Cash Flow Forecast'!F$6,0),'Allocated Transactions'!$G:$G,'Cash Flow Forecast'!$B17)</f>
        <v>0</v>
      </c>
      <c r="G17" s="30">
        <f>SUMIFS('Allocated Transactions'!$J:$J,'Allocated Transactions'!$D:$D,1000,'Allocated Transactions'!$A:$A,"&gt;="&amp;'Cash Flow Forecast'!G$6,'Allocated Transactions'!$A:$A,"&lt;="&amp;EOMONTH('Cash Flow Forecast'!G$6,0),'Allocated Transactions'!$G:$G,'Cash Flow Forecast'!$B17)</f>
        <v>0</v>
      </c>
      <c r="H17" s="30">
        <f>SUMIFS('Allocated Transactions'!$J:$J,'Allocated Transactions'!$D:$D,1000,'Allocated Transactions'!$A:$A,"&gt;="&amp;'Cash Flow Forecast'!H$6,'Allocated Transactions'!$A:$A,"&lt;="&amp;EOMONTH('Cash Flow Forecast'!H$6,0),'Allocated Transactions'!$G:$G,'Cash Flow Forecast'!$B17)</f>
        <v>0</v>
      </c>
      <c r="I17" s="30">
        <f>SUMIFS('Allocated Transactions'!$J:$J,'Allocated Transactions'!$D:$D,1000,'Allocated Transactions'!$A:$A,"&gt;="&amp;'Cash Flow Forecast'!I$6,'Allocated Transactions'!$A:$A,"&lt;="&amp;EOMONTH('Cash Flow Forecast'!I$6,0),'Allocated Transactions'!$G:$G,'Cash Flow Forecast'!$B17)</f>
        <v>0</v>
      </c>
      <c r="J17" s="30">
        <f>SUMIFS('Allocated Transactions'!$J:$J,'Allocated Transactions'!$D:$D,1000,'Allocated Transactions'!$A:$A,"&gt;="&amp;'Cash Flow Forecast'!J$6,'Allocated Transactions'!$A:$A,"&lt;="&amp;EOMONTH('Cash Flow Forecast'!J$6,0),'Allocated Transactions'!$G:$G,'Cash Flow Forecast'!$B17)</f>
        <v>0</v>
      </c>
      <c r="K17" s="30">
        <f>SUMIFS('Allocated Transactions'!$J:$J,'Allocated Transactions'!$D:$D,1000,'Allocated Transactions'!$A:$A,"&gt;="&amp;'Cash Flow Forecast'!K$6,'Allocated Transactions'!$A:$A,"&lt;="&amp;EOMONTH('Cash Flow Forecast'!K$6,0),'Allocated Transactions'!$G:$G,'Cash Flow Forecast'!$B17)</f>
        <v>0</v>
      </c>
      <c r="L17" s="30">
        <f>SUMIFS('Allocated Transactions'!$J:$J,'Allocated Transactions'!$D:$D,1000,'Allocated Transactions'!$A:$A,"&gt;="&amp;'Cash Flow Forecast'!L$6,'Allocated Transactions'!$A:$A,"&lt;="&amp;EOMONTH('Cash Flow Forecast'!L$6,0),'Allocated Transactions'!$G:$G,'Cash Flow Forecast'!$B17)</f>
        <v>0</v>
      </c>
      <c r="M17" s="30">
        <f>SUMIFS('Allocated Transactions'!$J:$J,'Allocated Transactions'!$D:$D,1000,'Allocated Transactions'!$A:$A,"&gt;="&amp;'Cash Flow Forecast'!M$6,'Allocated Transactions'!$A:$A,"&lt;="&amp;EOMONTH('Cash Flow Forecast'!M$6,0),'Allocated Transactions'!$G:$G,'Cash Flow Forecast'!$B17)</f>
        <v>0</v>
      </c>
      <c r="N17" s="30">
        <f>SUMIFS('Allocated Transactions'!$J:$J,'Allocated Transactions'!$D:$D,1000,'Allocated Transactions'!$A:$A,"&gt;="&amp;'Cash Flow Forecast'!N$6,'Allocated Transactions'!$A:$A,"&lt;="&amp;EOMONTH('Cash Flow Forecast'!N$6,0),'Allocated Transactions'!$G:$G,'Cash Flow Forecast'!$B17)</f>
        <v>-283.82</v>
      </c>
    </row>
    <row r="18" spans="2:14" ht="15" customHeight="1">
      <c r="B18" s="162" t="s">
        <v>503</v>
      </c>
      <c r="C18" s="30">
        <f>SUMIFS('Allocated Transactions'!$J:$J,'Allocated Transactions'!$D:$D,1000,'Allocated Transactions'!$A:$A,"&gt;="&amp;'Cash Flow Forecast'!C$6,'Allocated Transactions'!$A:$A,"&lt;="&amp;EOMONTH('Cash Flow Forecast'!C$6,0),'Allocated Transactions'!$G:$G,'Cash Flow Forecast'!$B18)</f>
        <v>-82.71</v>
      </c>
      <c r="D18" s="30">
        <f>SUMIFS('Allocated Transactions'!$J:$J,'Allocated Transactions'!$D:$D,1000,'Allocated Transactions'!$A:$A,"&gt;="&amp;'Cash Flow Forecast'!D$6,'Allocated Transactions'!$A:$A,"&lt;="&amp;EOMONTH('Cash Flow Forecast'!D$6,0),'Allocated Transactions'!$G:$G,'Cash Flow Forecast'!$B18)</f>
        <v>-108.25</v>
      </c>
      <c r="E18" s="30">
        <f>SUMIFS('Allocated Transactions'!$J:$J,'Allocated Transactions'!$D:$D,1000,'Allocated Transactions'!$A:$A,"&gt;="&amp;'Cash Flow Forecast'!E$6,'Allocated Transactions'!$A:$A,"&lt;="&amp;EOMONTH('Cash Flow Forecast'!E$6,0),'Allocated Transactions'!$G:$G,'Cash Flow Forecast'!$B18)</f>
        <v>-93.19</v>
      </c>
      <c r="F18" s="30">
        <f>SUMIFS('Allocated Transactions'!$J:$J,'Allocated Transactions'!$D:$D,1000,'Allocated Transactions'!$A:$A,"&gt;="&amp;'Cash Flow Forecast'!F$6,'Allocated Transactions'!$A:$A,"&lt;="&amp;EOMONTH('Cash Flow Forecast'!F$6,0),'Allocated Transactions'!$G:$G,'Cash Flow Forecast'!$B18)</f>
        <v>-78.31</v>
      </c>
      <c r="G18" s="30">
        <f>SUMIFS('Allocated Transactions'!$J:$J,'Allocated Transactions'!$D:$D,1000,'Allocated Transactions'!$A:$A,"&gt;="&amp;'Cash Flow Forecast'!G$6,'Allocated Transactions'!$A:$A,"&lt;="&amp;EOMONTH('Cash Flow Forecast'!G$6,0),'Allocated Transactions'!$G:$G,'Cash Flow Forecast'!$B18)</f>
        <v>-78.150000000000006</v>
      </c>
      <c r="H18" s="30">
        <f>SUMIFS('Allocated Transactions'!$J:$J,'Allocated Transactions'!$D:$D,1000,'Allocated Transactions'!$A:$A,"&gt;="&amp;'Cash Flow Forecast'!H$6,'Allocated Transactions'!$A:$A,"&lt;="&amp;EOMONTH('Cash Flow Forecast'!H$6,0),'Allocated Transactions'!$G:$G,'Cash Flow Forecast'!$B18)</f>
        <v>-81.73</v>
      </c>
      <c r="I18" s="30">
        <f>SUMIFS('Allocated Transactions'!$J:$J,'Allocated Transactions'!$D:$D,1000,'Allocated Transactions'!$A:$A,"&gt;="&amp;'Cash Flow Forecast'!I$6,'Allocated Transactions'!$A:$A,"&lt;="&amp;EOMONTH('Cash Flow Forecast'!I$6,0),'Allocated Transactions'!$G:$G,'Cash Flow Forecast'!$B18)</f>
        <v>-91.86</v>
      </c>
      <c r="J18" s="30">
        <f>SUMIFS('Allocated Transactions'!$J:$J,'Allocated Transactions'!$D:$D,1000,'Allocated Transactions'!$A:$A,"&gt;="&amp;'Cash Flow Forecast'!J$6,'Allocated Transactions'!$A:$A,"&lt;="&amp;EOMONTH('Cash Flow Forecast'!J$6,0),'Allocated Transactions'!$G:$G,'Cash Flow Forecast'!$B18)</f>
        <v>-58.68</v>
      </c>
      <c r="K18" s="30">
        <f>SUMIFS('Allocated Transactions'!$J:$J,'Allocated Transactions'!$D:$D,1000,'Allocated Transactions'!$A:$A,"&gt;="&amp;'Cash Flow Forecast'!K$6,'Allocated Transactions'!$A:$A,"&lt;="&amp;EOMONTH('Cash Flow Forecast'!K$6,0),'Allocated Transactions'!$G:$G,'Cash Flow Forecast'!$B18)</f>
        <v>-82.24</v>
      </c>
      <c r="L18" s="30">
        <f>SUMIFS('Allocated Transactions'!$J:$J,'Allocated Transactions'!$D:$D,1000,'Allocated Transactions'!$A:$A,"&gt;="&amp;'Cash Flow Forecast'!L$6,'Allocated Transactions'!$A:$A,"&lt;="&amp;EOMONTH('Cash Flow Forecast'!L$6,0),'Allocated Transactions'!$G:$G,'Cash Flow Forecast'!$B18)</f>
        <v>-79.44</v>
      </c>
      <c r="M18" s="30">
        <f>SUMIFS('Allocated Transactions'!$J:$J,'Allocated Transactions'!$D:$D,1000,'Allocated Transactions'!$A:$A,"&gt;="&amp;'Cash Flow Forecast'!M$6,'Allocated Transactions'!$A:$A,"&lt;="&amp;EOMONTH('Cash Flow Forecast'!M$6,0),'Allocated Transactions'!$G:$G,'Cash Flow Forecast'!$B18)</f>
        <v>-118.91</v>
      </c>
      <c r="N18" s="30">
        <f>SUMIFS('Allocated Transactions'!$J:$J,'Allocated Transactions'!$D:$D,1000,'Allocated Transactions'!$A:$A,"&gt;="&amp;'Cash Flow Forecast'!N$6,'Allocated Transactions'!$A:$A,"&lt;="&amp;EOMONTH('Cash Flow Forecast'!N$6,0),'Allocated Transactions'!$G:$G,'Cash Flow Forecast'!$B18)</f>
        <v>-57.27</v>
      </c>
    </row>
    <row r="19" spans="2:14" ht="15" customHeight="1">
      <c r="B19" s="162" t="s">
        <v>509</v>
      </c>
      <c r="C19" s="30">
        <f>SUMIFS('Allocated Transactions'!$J:$J,'Allocated Transactions'!$D:$D,1000,'Allocated Transactions'!$A:$A,"&gt;="&amp;'Cash Flow Forecast'!C$6,'Allocated Transactions'!$A:$A,"&lt;="&amp;EOMONTH('Cash Flow Forecast'!C$6,0),'Allocated Transactions'!$G:$G,'Cash Flow Forecast'!$B19)</f>
        <v>-9800</v>
      </c>
      <c r="D19" s="30">
        <f>SUMIFS('Allocated Transactions'!$J:$J,'Allocated Transactions'!$D:$D,1000,'Allocated Transactions'!$A:$A,"&gt;="&amp;'Cash Flow Forecast'!D$6,'Allocated Transactions'!$A:$A,"&lt;="&amp;EOMONTH('Cash Flow Forecast'!D$6,0),'Allocated Transactions'!$G:$G,'Cash Flow Forecast'!$B19)</f>
        <v>0</v>
      </c>
      <c r="E19" s="30">
        <f>SUMIFS('Allocated Transactions'!$J:$J,'Allocated Transactions'!$D:$D,1000,'Allocated Transactions'!$A:$A,"&gt;="&amp;'Cash Flow Forecast'!E$6,'Allocated Transactions'!$A:$A,"&lt;="&amp;EOMONTH('Cash Flow Forecast'!E$6,0),'Allocated Transactions'!$G:$G,'Cash Flow Forecast'!$B19)</f>
        <v>0</v>
      </c>
      <c r="F19" s="30">
        <f>SUMIFS('Allocated Transactions'!$J:$J,'Allocated Transactions'!$D:$D,1000,'Allocated Transactions'!$A:$A,"&gt;="&amp;'Cash Flow Forecast'!F$6,'Allocated Transactions'!$A:$A,"&lt;="&amp;EOMONTH('Cash Flow Forecast'!F$6,0),'Allocated Transactions'!$G:$G,'Cash Flow Forecast'!$B19)</f>
        <v>0</v>
      </c>
      <c r="G19" s="30">
        <f>SUMIFS('Allocated Transactions'!$J:$J,'Allocated Transactions'!$D:$D,1000,'Allocated Transactions'!$A:$A,"&gt;="&amp;'Cash Flow Forecast'!G$6,'Allocated Transactions'!$A:$A,"&lt;="&amp;EOMONTH('Cash Flow Forecast'!G$6,0),'Allocated Transactions'!$G:$G,'Cash Flow Forecast'!$B19)</f>
        <v>0</v>
      </c>
      <c r="H19" s="30">
        <f>SUMIFS('Allocated Transactions'!$J:$J,'Allocated Transactions'!$D:$D,1000,'Allocated Transactions'!$A:$A,"&gt;="&amp;'Cash Flow Forecast'!H$6,'Allocated Transactions'!$A:$A,"&lt;="&amp;EOMONTH('Cash Flow Forecast'!H$6,0),'Allocated Transactions'!$G:$G,'Cash Flow Forecast'!$B19)</f>
        <v>0</v>
      </c>
      <c r="I19" s="30">
        <f>SUMIFS('Allocated Transactions'!$J:$J,'Allocated Transactions'!$D:$D,1000,'Allocated Transactions'!$A:$A,"&gt;="&amp;'Cash Flow Forecast'!I$6,'Allocated Transactions'!$A:$A,"&lt;="&amp;EOMONTH('Cash Flow Forecast'!I$6,0),'Allocated Transactions'!$G:$G,'Cash Flow Forecast'!$B19)</f>
        <v>0</v>
      </c>
      <c r="J19" s="30">
        <f>SUMIFS('Allocated Transactions'!$J:$J,'Allocated Transactions'!$D:$D,1000,'Allocated Transactions'!$A:$A,"&gt;="&amp;'Cash Flow Forecast'!J$6,'Allocated Transactions'!$A:$A,"&lt;="&amp;EOMONTH('Cash Flow Forecast'!J$6,0),'Allocated Transactions'!$G:$G,'Cash Flow Forecast'!$B19)</f>
        <v>0</v>
      </c>
      <c r="K19" s="30">
        <f>SUMIFS('Allocated Transactions'!$J:$J,'Allocated Transactions'!$D:$D,1000,'Allocated Transactions'!$A:$A,"&gt;="&amp;'Cash Flow Forecast'!K$6,'Allocated Transactions'!$A:$A,"&lt;="&amp;EOMONTH('Cash Flow Forecast'!K$6,0),'Allocated Transactions'!$G:$G,'Cash Flow Forecast'!$B19)</f>
        <v>0</v>
      </c>
      <c r="L19" s="30">
        <f>SUMIFS('Allocated Transactions'!$J:$J,'Allocated Transactions'!$D:$D,1000,'Allocated Transactions'!$A:$A,"&gt;="&amp;'Cash Flow Forecast'!L$6,'Allocated Transactions'!$A:$A,"&lt;="&amp;EOMONTH('Cash Flow Forecast'!L$6,0),'Allocated Transactions'!$G:$G,'Cash Flow Forecast'!$B19)</f>
        <v>0</v>
      </c>
      <c r="M19" s="30">
        <f>SUMIFS('Allocated Transactions'!$J:$J,'Allocated Transactions'!$D:$D,1000,'Allocated Transactions'!$A:$A,"&gt;="&amp;'Cash Flow Forecast'!M$6,'Allocated Transactions'!$A:$A,"&lt;="&amp;EOMONTH('Cash Flow Forecast'!M$6,0),'Allocated Transactions'!$G:$G,'Cash Flow Forecast'!$B19)</f>
        <v>0</v>
      </c>
      <c r="N19" s="30">
        <f>SUMIFS('Allocated Transactions'!$J:$J,'Allocated Transactions'!$D:$D,1000,'Allocated Transactions'!$A:$A,"&gt;="&amp;'Cash Flow Forecast'!N$6,'Allocated Transactions'!$A:$A,"&lt;="&amp;EOMONTH('Cash Flow Forecast'!N$6,0),'Allocated Transactions'!$G:$G,'Cash Flow Forecast'!$B19)</f>
        <v>0</v>
      </c>
    </row>
    <row r="20" spans="2:14" ht="15" customHeight="1">
      <c r="B20" s="162" t="s">
        <v>491</v>
      </c>
      <c r="C20" s="30">
        <f>SUMIFS('Allocated Transactions'!$J:$J,'Allocated Transactions'!$D:$D,1000,'Allocated Transactions'!$A:$A,"&gt;="&amp;'Cash Flow Forecast'!C$6,'Allocated Transactions'!$A:$A,"&lt;="&amp;EOMONTH('Cash Flow Forecast'!C$6,0),'Allocated Transactions'!$G:$G,'Cash Flow Forecast'!$B20)</f>
        <v>-1569.58</v>
      </c>
      <c r="D20" s="30">
        <f>SUMIFS('Allocated Transactions'!$J:$J,'Allocated Transactions'!$D:$D,1000,'Allocated Transactions'!$A:$A,"&gt;="&amp;'Cash Flow Forecast'!D$6,'Allocated Transactions'!$A:$A,"&lt;="&amp;EOMONTH('Cash Flow Forecast'!D$6,0),'Allocated Transactions'!$G:$G,'Cash Flow Forecast'!$B20)</f>
        <v>-1569.58</v>
      </c>
      <c r="E20" s="30">
        <f>SUMIFS('Allocated Transactions'!$J:$J,'Allocated Transactions'!$D:$D,1000,'Allocated Transactions'!$A:$A,"&gt;="&amp;'Cash Flow Forecast'!E$6,'Allocated Transactions'!$A:$A,"&lt;="&amp;EOMONTH('Cash Flow Forecast'!E$6,0),'Allocated Transactions'!$G:$G,'Cash Flow Forecast'!$B20)</f>
        <v>-1569.58</v>
      </c>
      <c r="F20" s="30">
        <f>SUMIFS('Allocated Transactions'!$J:$J,'Allocated Transactions'!$D:$D,1000,'Allocated Transactions'!$A:$A,"&gt;="&amp;'Cash Flow Forecast'!F$6,'Allocated Transactions'!$A:$A,"&lt;="&amp;EOMONTH('Cash Flow Forecast'!F$6,0),'Allocated Transactions'!$G:$G,'Cash Flow Forecast'!$B20)</f>
        <v>-1569.58</v>
      </c>
      <c r="G20" s="30">
        <f>SUMIFS('Allocated Transactions'!$J:$J,'Allocated Transactions'!$D:$D,1000,'Allocated Transactions'!$A:$A,"&gt;="&amp;'Cash Flow Forecast'!G$6,'Allocated Transactions'!$A:$A,"&lt;="&amp;EOMONTH('Cash Flow Forecast'!G$6,0),'Allocated Transactions'!$G:$G,'Cash Flow Forecast'!$B20)</f>
        <v>-1569.58</v>
      </c>
      <c r="H20" s="30">
        <f>SUMIFS('Allocated Transactions'!$J:$J,'Allocated Transactions'!$D:$D,1000,'Allocated Transactions'!$A:$A,"&gt;="&amp;'Cash Flow Forecast'!H$6,'Allocated Transactions'!$A:$A,"&lt;="&amp;EOMONTH('Cash Flow Forecast'!H$6,0),'Allocated Transactions'!$G:$G,'Cash Flow Forecast'!$B20)</f>
        <v>-1569.58</v>
      </c>
      <c r="I20" s="30">
        <f>SUMIFS('Allocated Transactions'!$J:$J,'Allocated Transactions'!$D:$D,1000,'Allocated Transactions'!$A:$A,"&gt;="&amp;'Cash Flow Forecast'!I$6,'Allocated Transactions'!$A:$A,"&lt;="&amp;EOMONTH('Cash Flow Forecast'!I$6,0),'Allocated Transactions'!$G:$G,'Cash Flow Forecast'!$B20)</f>
        <v>-1569.58</v>
      </c>
      <c r="J20" s="30">
        <f>SUMIFS('Allocated Transactions'!$J:$J,'Allocated Transactions'!$D:$D,1000,'Allocated Transactions'!$A:$A,"&gt;="&amp;'Cash Flow Forecast'!J$6,'Allocated Transactions'!$A:$A,"&lt;="&amp;EOMONTH('Cash Flow Forecast'!J$6,0),'Allocated Transactions'!$G:$G,'Cash Flow Forecast'!$B20)</f>
        <v>-1569.58</v>
      </c>
      <c r="K20" s="30">
        <f>SUMIFS('Allocated Transactions'!$J:$J,'Allocated Transactions'!$D:$D,1000,'Allocated Transactions'!$A:$A,"&gt;="&amp;'Cash Flow Forecast'!K$6,'Allocated Transactions'!$A:$A,"&lt;="&amp;EOMONTH('Cash Flow Forecast'!K$6,0),'Allocated Transactions'!$G:$G,'Cash Flow Forecast'!$B20)</f>
        <v>-1569.58</v>
      </c>
      <c r="L20" s="30">
        <f>SUMIFS('Allocated Transactions'!$J:$J,'Allocated Transactions'!$D:$D,1000,'Allocated Transactions'!$A:$A,"&gt;="&amp;'Cash Flow Forecast'!L$6,'Allocated Transactions'!$A:$A,"&lt;="&amp;EOMONTH('Cash Flow Forecast'!L$6,0),'Allocated Transactions'!$G:$G,'Cash Flow Forecast'!$B20)</f>
        <v>-1569.58</v>
      </c>
      <c r="M20" s="30">
        <f>SUMIFS('Allocated Transactions'!$J:$J,'Allocated Transactions'!$D:$D,1000,'Allocated Transactions'!$A:$A,"&gt;="&amp;'Cash Flow Forecast'!M$6,'Allocated Transactions'!$A:$A,"&lt;="&amp;EOMONTH('Cash Flow Forecast'!M$6,0),'Allocated Transactions'!$G:$G,'Cash Flow Forecast'!$B20)</f>
        <v>-1569.58</v>
      </c>
      <c r="N20" s="30">
        <f>SUMIFS('Allocated Transactions'!$J:$J,'Allocated Transactions'!$D:$D,1000,'Allocated Transactions'!$A:$A,"&gt;="&amp;'Cash Flow Forecast'!N$6,'Allocated Transactions'!$A:$A,"&lt;="&amp;EOMONTH('Cash Flow Forecast'!N$6,0),'Allocated Transactions'!$G:$G,'Cash Flow Forecast'!$B20)</f>
        <v>-1569.6</v>
      </c>
    </row>
    <row r="21" spans="2:14" ht="15" customHeight="1">
      <c r="B21" s="162" t="s">
        <v>487</v>
      </c>
      <c r="C21" s="30">
        <f>SUMIFS('Allocated Transactions'!$J:$J,'Allocated Transactions'!$D:$D,1000,'Allocated Transactions'!$A:$A,"&gt;="&amp;'Cash Flow Forecast'!C$6,'Allocated Transactions'!$A:$A,"&lt;="&amp;EOMONTH('Cash Flow Forecast'!C$6,0),'Allocated Transactions'!$G:$G,'Cash Flow Forecast'!$B21)</f>
        <v>0</v>
      </c>
      <c r="D21" s="30">
        <f>SUMIFS('Allocated Transactions'!$J:$J,'Allocated Transactions'!$D:$D,1000,'Allocated Transactions'!$A:$A,"&gt;="&amp;'Cash Flow Forecast'!D$6,'Allocated Transactions'!$A:$A,"&lt;="&amp;EOMONTH('Cash Flow Forecast'!D$6,0),'Allocated Transactions'!$G:$G,'Cash Flow Forecast'!$B21)</f>
        <v>0</v>
      </c>
      <c r="E21" s="30">
        <f>SUMIFS('Allocated Transactions'!$J:$J,'Allocated Transactions'!$D:$D,1000,'Allocated Transactions'!$A:$A,"&gt;="&amp;'Cash Flow Forecast'!E$6,'Allocated Transactions'!$A:$A,"&lt;="&amp;EOMONTH('Cash Flow Forecast'!E$6,0),'Allocated Transactions'!$G:$G,'Cash Flow Forecast'!$B21)</f>
        <v>0</v>
      </c>
      <c r="F21" s="30">
        <f>SUMIFS('Allocated Transactions'!$J:$J,'Allocated Transactions'!$D:$D,1000,'Allocated Transactions'!$A:$A,"&gt;="&amp;'Cash Flow Forecast'!F$6,'Allocated Transactions'!$A:$A,"&lt;="&amp;EOMONTH('Cash Flow Forecast'!F$6,0),'Allocated Transactions'!$G:$G,'Cash Flow Forecast'!$B21)</f>
        <v>0</v>
      </c>
      <c r="G21" s="30">
        <f>SUMIFS('Allocated Transactions'!$J:$J,'Allocated Transactions'!$D:$D,1000,'Allocated Transactions'!$A:$A,"&gt;="&amp;'Cash Flow Forecast'!G$6,'Allocated Transactions'!$A:$A,"&lt;="&amp;EOMONTH('Cash Flow Forecast'!G$6,0),'Allocated Transactions'!$G:$G,'Cash Flow Forecast'!$B21)</f>
        <v>0</v>
      </c>
      <c r="H21" s="30">
        <f>SUMIFS('Allocated Transactions'!$J:$J,'Allocated Transactions'!$D:$D,1000,'Allocated Transactions'!$A:$A,"&gt;="&amp;'Cash Flow Forecast'!H$6,'Allocated Transactions'!$A:$A,"&lt;="&amp;EOMONTH('Cash Flow Forecast'!H$6,0),'Allocated Transactions'!$G:$G,'Cash Flow Forecast'!$B21)</f>
        <v>0</v>
      </c>
      <c r="I21" s="30">
        <f>SUMIFS('Allocated Transactions'!$J:$J,'Allocated Transactions'!$D:$D,1000,'Allocated Transactions'!$A:$A,"&gt;="&amp;'Cash Flow Forecast'!I$6,'Allocated Transactions'!$A:$A,"&lt;="&amp;EOMONTH('Cash Flow Forecast'!I$6,0),'Allocated Transactions'!$G:$G,'Cash Flow Forecast'!$B21)</f>
        <v>0</v>
      </c>
      <c r="J21" s="30">
        <f>SUMIFS('Allocated Transactions'!$J:$J,'Allocated Transactions'!$D:$D,1000,'Allocated Transactions'!$A:$A,"&gt;="&amp;'Cash Flow Forecast'!J$6,'Allocated Transactions'!$A:$A,"&lt;="&amp;EOMONTH('Cash Flow Forecast'!J$6,0),'Allocated Transactions'!$G:$G,'Cash Flow Forecast'!$B21)</f>
        <v>0</v>
      </c>
      <c r="K21" s="30">
        <f>SUMIFS('Allocated Transactions'!$J:$J,'Allocated Transactions'!$D:$D,1000,'Allocated Transactions'!$A:$A,"&gt;="&amp;'Cash Flow Forecast'!K$6,'Allocated Transactions'!$A:$A,"&lt;="&amp;EOMONTH('Cash Flow Forecast'!K$6,0),'Allocated Transactions'!$G:$G,'Cash Flow Forecast'!$B21)</f>
        <v>0</v>
      </c>
      <c r="L21" s="30">
        <f>SUMIFS('Allocated Transactions'!$J:$J,'Allocated Transactions'!$D:$D,1000,'Allocated Transactions'!$A:$A,"&gt;="&amp;'Cash Flow Forecast'!L$6,'Allocated Transactions'!$A:$A,"&lt;="&amp;EOMONTH('Cash Flow Forecast'!L$6,0),'Allocated Transactions'!$G:$G,'Cash Flow Forecast'!$B21)</f>
        <v>0</v>
      </c>
      <c r="M21" s="30">
        <f>SUMIFS('Allocated Transactions'!$J:$J,'Allocated Transactions'!$D:$D,1000,'Allocated Transactions'!$A:$A,"&gt;="&amp;'Cash Flow Forecast'!M$6,'Allocated Transactions'!$A:$A,"&lt;="&amp;EOMONTH('Cash Flow Forecast'!M$6,0),'Allocated Transactions'!$G:$G,'Cash Flow Forecast'!$B21)</f>
        <v>0</v>
      </c>
      <c r="N21" s="30">
        <f>SUMIFS('Allocated Transactions'!$J:$J,'Allocated Transactions'!$D:$D,1000,'Allocated Transactions'!$A:$A,"&gt;="&amp;'Cash Flow Forecast'!N$6,'Allocated Transactions'!$A:$A,"&lt;="&amp;EOMONTH('Cash Flow Forecast'!N$6,0),'Allocated Transactions'!$G:$G,'Cash Flow Forecast'!$B21)</f>
        <v>0</v>
      </c>
    </row>
    <row r="22" spans="2:14" ht="15" customHeight="1">
      <c r="B22" s="162" t="s">
        <v>419</v>
      </c>
      <c r="C22" s="30">
        <f>SUMIFS('Allocated Transactions'!$J:$J,'Allocated Transactions'!$D:$D,1000,'Allocated Transactions'!$A:$A,"&gt;="&amp;'Cash Flow Forecast'!C$6,'Allocated Transactions'!$A:$A,"&lt;="&amp;EOMONTH('Cash Flow Forecast'!C$6,0),'Allocated Transactions'!$G:$G,'Cash Flow Forecast'!$B22)</f>
        <v>-8100</v>
      </c>
      <c r="D22" s="30">
        <f>SUMIFS('Allocated Transactions'!$J:$J,'Allocated Transactions'!$D:$D,1000,'Allocated Transactions'!$A:$A,"&gt;="&amp;'Cash Flow Forecast'!D$6,'Allocated Transactions'!$A:$A,"&lt;="&amp;EOMONTH('Cash Flow Forecast'!D$6,0),'Allocated Transactions'!$G:$G,'Cash Flow Forecast'!$B22)</f>
        <v>0</v>
      </c>
      <c r="E22" s="30">
        <f>SUMIFS('Allocated Transactions'!$J:$J,'Allocated Transactions'!$D:$D,1000,'Allocated Transactions'!$A:$A,"&gt;="&amp;'Cash Flow Forecast'!E$6,'Allocated Transactions'!$A:$A,"&lt;="&amp;EOMONTH('Cash Flow Forecast'!E$6,0),'Allocated Transactions'!$G:$G,'Cash Flow Forecast'!$B22)</f>
        <v>0</v>
      </c>
      <c r="F22" s="30">
        <f>SUMIFS('Allocated Transactions'!$J:$J,'Allocated Transactions'!$D:$D,1000,'Allocated Transactions'!$A:$A,"&gt;="&amp;'Cash Flow Forecast'!F$6,'Allocated Transactions'!$A:$A,"&lt;="&amp;EOMONTH('Cash Flow Forecast'!F$6,0),'Allocated Transactions'!$G:$G,'Cash Flow Forecast'!$B22)</f>
        <v>-8100</v>
      </c>
      <c r="G22" s="30">
        <f>SUMIFS('Allocated Transactions'!$J:$J,'Allocated Transactions'!$D:$D,1000,'Allocated Transactions'!$A:$A,"&gt;="&amp;'Cash Flow Forecast'!G$6,'Allocated Transactions'!$A:$A,"&lt;="&amp;EOMONTH('Cash Flow Forecast'!G$6,0),'Allocated Transactions'!$G:$G,'Cash Flow Forecast'!$B22)</f>
        <v>0</v>
      </c>
      <c r="H22" s="30">
        <f>SUMIFS('Allocated Transactions'!$J:$J,'Allocated Transactions'!$D:$D,1000,'Allocated Transactions'!$A:$A,"&gt;="&amp;'Cash Flow Forecast'!H$6,'Allocated Transactions'!$A:$A,"&lt;="&amp;EOMONTH('Cash Flow Forecast'!H$6,0),'Allocated Transactions'!$G:$G,'Cash Flow Forecast'!$B22)</f>
        <v>0</v>
      </c>
      <c r="I22" s="30">
        <f>SUMIFS('Allocated Transactions'!$J:$J,'Allocated Transactions'!$D:$D,1000,'Allocated Transactions'!$A:$A,"&gt;="&amp;'Cash Flow Forecast'!I$6,'Allocated Transactions'!$A:$A,"&lt;="&amp;EOMONTH('Cash Flow Forecast'!I$6,0),'Allocated Transactions'!$G:$G,'Cash Flow Forecast'!$B22)</f>
        <v>-8100</v>
      </c>
      <c r="J22" s="30">
        <f>SUMIFS('Allocated Transactions'!$J:$J,'Allocated Transactions'!$D:$D,1000,'Allocated Transactions'!$A:$A,"&gt;="&amp;'Cash Flow Forecast'!J$6,'Allocated Transactions'!$A:$A,"&lt;="&amp;EOMONTH('Cash Flow Forecast'!J$6,0),'Allocated Transactions'!$G:$G,'Cash Flow Forecast'!$B22)</f>
        <v>0</v>
      </c>
      <c r="K22" s="30">
        <f>SUMIFS('Allocated Transactions'!$J:$J,'Allocated Transactions'!$D:$D,1000,'Allocated Transactions'!$A:$A,"&gt;="&amp;'Cash Flow Forecast'!K$6,'Allocated Transactions'!$A:$A,"&lt;="&amp;EOMONTH('Cash Flow Forecast'!K$6,0),'Allocated Transactions'!$G:$G,'Cash Flow Forecast'!$B22)</f>
        <v>0</v>
      </c>
      <c r="L22" s="30">
        <f>SUMIFS('Allocated Transactions'!$J:$J,'Allocated Transactions'!$D:$D,1000,'Allocated Transactions'!$A:$A,"&gt;="&amp;'Cash Flow Forecast'!L$6,'Allocated Transactions'!$A:$A,"&lt;="&amp;EOMONTH('Cash Flow Forecast'!L$6,0),'Allocated Transactions'!$G:$G,'Cash Flow Forecast'!$B22)</f>
        <v>-8100</v>
      </c>
      <c r="M22" s="30">
        <f>SUMIFS('Allocated Transactions'!$J:$J,'Allocated Transactions'!$D:$D,1000,'Allocated Transactions'!$A:$A,"&gt;="&amp;'Cash Flow Forecast'!M$6,'Allocated Transactions'!$A:$A,"&lt;="&amp;EOMONTH('Cash Flow Forecast'!M$6,0),'Allocated Transactions'!$G:$G,'Cash Flow Forecast'!$B22)</f>
        <v>0</v>
      </c>
      <c r="N22" s="30">
        <f>SUMIFS('Allocated Transactions'!$J:$J,'Allocated Transactions'!$D:$D,1000,'Allocated Transactions'!$A:$A,"&gt;="&amp;'Cash Flow Forecast'!N$6,'Allocated Transactions'!$A:$A,"&lt;="&amp;EOMONTH('Cash Flow Forecast'!N$6,0),'Allocated Transactions'!$G:$G,'Cash Flow Forecast'!$B22)</f>
        <v>0</v>
      </c>
    </row>
    <row r="23" spans="2:14" ht="15" customHeight="1">
      <c r="B23" s="162" t="s">
        <v>507</v>
      </c>
      <c r="C23" s="30">
        <f>SUMIFS('Allocated Transactions'!$J:$J,'Allocated Transactions'!$D:$D,1000,'Allocated Transactions'!$A:$A,"&gt;="&amp;'Cash Flow Forecast'!C$6,'Allocated Transactions'!$A:$A,"&lt;="&amp;EOMONTH('Cash Flow Forecast'!C$6,0),'Allocated Transactions'!$G:$G,'Cash Flow Forecast'!$B23)</f>
        <v>-2467.85</v>
      </c>
      <c r="D23" s="30">
        <f>SUMIFS('Allocated Transactions'!$J:$J,'Allocated Transactions'!$D:$D,1000,'Allocated Transactions'!$A:$A,"&gt;="&amp;'Cash Flow Forecast'!D$6,'Allocated Transactions'!$A:$A,"&lt;="&amp;EOMONTH('Cash Flow Forecast'!D$6,0),'Allocated Transactions'!$G:$G,'Cash Flow Forecast'!$B23)</f>
        <v>-2630.78</v>
      </c>
      <c r="E23" s="30">
        <f>SUMIFS('Allocated Transactions'!$J:$J,'Allocated Transactions'!$D:$D,1000,'Allocated Transactions'!$A:$A,"&gt;="&amp;'Cash Flow Forecast'!E$6,'Allocated Transactions'!$A:$A,"&lt;="&amp;EOMONTH('Cash Flow Forecast'!E$6,0),'Allocated Transactions'!$G:$G,'Cash Flow Forecast'!$B23)</f>
        <v>-2930.96</v>
      </c>
      <c r="F23" s="30">
        <f>SUMIFS('Allocated Transactions'!$J:$J,'Allocated Transactions'!$D:$D,1000,'Allocated Transactions'!$A:$A,"&gt;="&amp;'Cash Flow Forecast'!F$6,'Allocated Transactions'!$A:$A,"&lt;="&amp;EOMONTH('Cash Flow Forecast'!F$6,0),'Allocated Transactions'!$G:$G,'Cash Flow Forecast'!$B23)</f>
        <v>-2517.86</v>
      </c>
      <c r="G23" s="30">
        <f>SUMIFS('Allocated Transactions'!$J:$J,'Allocated Transactions'!$D:$D,1000,'Allocated Transactions'!$A:$A,"&gt;="&amp;'Cash Flow Forecast'!G$6,'Allocated Transactions'!$A:$A,"&lt;="&amp;EOMONTH('Cash Flow Forecast'!G$6,0),'Allocated Transactions'!$G:$G,'Cash Flow Forecast'!$B23)</f>
        <v>-3018.05</v>
      </c>
      <c r="H23" s="30">
        <f>SUMIFS('Allocated Transactions'!$J:$J,'Allocated Transactions'!$D:$D,1000,'Allocated Transactions'!$A:$A,"&gt;="&amp;'Cash Flow Forecast'!H$6,'Allocated Transactions'!$A:$A,"&lt;="&amp;EOMONTH('Cash Flow Forecast'!H$6,0),'Allocated Transactions'!$G:$G,'Cash Flow Forecast'!$B23)</f>
        <v>-2635.58</v>
      </c>
      <c r="I23" s="30">
        <f>SUMIFS('Allocated Transactions'!$J:$J,'Allocated Transactions'!$D:$D,1000,'Allocated Transactions'!$A:$A,"&gt;="&amp;'Cash Flow Forecast'!I$6,'Allocated Transactions'!$A:$A,"&lt;="&amp;EOMONTH('Cash Flow Forecast'!I$6,0),'Allocated Transactions'!$G:$G,'Cash Flow Forecast'!$B23)</f>
        <v>-2469.64</v>
      </c>
      <c r="J23" s="30">
        <f>SUMIFS('Allocated Transactions'!$J:$J,'Allocated Transactions'!$D:$D,1000,'Allocated Transactions'!$A:$A,"&gt;="&amp;'Cash Flow Forecast'!J$6,'Allocated Transactions'!$A:$A,"&lt;="&amp;EOMONTH('Cash Flow Forecast'!J$6,0),'Allocated Transactions'!$G:$G,'Cash Flow Forecast'!$B23)</f>
        <v>-2984.15</v>
      </c>
      <c r="K23" s="30">
        <f>SUMIFS('Allocated Transactions'!$J:$J,'Allocated Transactions'!$D:$D,1000,'Allocated Transactions'!$A:$A,"&gt;="&amp;'Cash Flow Forecast'!K$6,'Allocated Transactions'!$A:$A,"&lt;="&amp;EOMONTH('Cash Flow Forecast'!K$6,0),'Allocated Transactions'!$G:$G,'Cash Flow Forecast'!$B23)</f>
        <v>-2456.5</v>
      </c>
      <c r="L23" s="30">
        <f>SUMIFS('Allocated Transactions'!$J:$J,'Allocated Transactions'!$D:$D,1000,'Allocated Transactions'!$A:$A,"&gt;="&amp;'Cash Flow Forecast'!L$6,'Allocated Transactions'!$A:$A,"&lt;="&amp;EOMONTH('Cash Flow Forecast'!L$6,0),'Allocated Transactions'!$G:$G,'Cash Flow Forecast'!$B23)</f>
        <v>-2422.9899999999998</v>
      </c>
      <c r="M23" s="30">
        <f>SUMIFS('Allocated Transactions'!$J:$J,'Allocated Transactions'!$D:$D,1000,'Allocated Transactions'!$A:$A,"&gt;="&amp;'Cash Flow Forecast'!M$6,'Allocated Transactions'!$A:$A,"&lt;="&amp;EOMONTH('Cash Flow Forecast'!M$6,0),'Allocated Transactions'!$G:$G,'Cash Flow Forecast'!$B23)</f>
        <v>-3319.91</v>
      </c>
      <c r="N23" s="30">
        <f>SUMIFS('Allocated Transactions'!$J:$J,'Allocated Transactions'!$D:$D,1000,'Allocated Transactions'!$A:$A,"&gt;="&amp;'Cash Flow Forecast'!N$6,'Allocated Transactions'!$A:$A,"&lt;="&amp;EOMONTH('Cash Flow Forecast'!N$6,0),'Allocated Transactions'!$G:$G,'Cash Flow Forecast'!$B23)</f>
        <v>-2786.24</v>
      </c>
    </row>
    <row r="24" spans="2:14" ht="15" customHeight="1">
      <c r="B24" s="162" t="s">
        <v>518</v>
      </c>
      <c r="C24" s="30">
        <f>SUMIFS('Allocated Transactions'!$J:$J,'Allocated Transactions'!$D:$D,1000,'Allocated Transactions'!$A:$A,"&gt;="&amp;'Cash Flow Forecast'!C$6,'Allocated Transactions'!$A:$A,"&lt;="&amp;EOMONTH('Cash Flow Forecast'!C$6,0),'Allocated Transactions'!$G:$G,'Cash Flow Forecast'!$B24)</f>
        <v>-2725.77</v>
      </c>
      <c r="D24" s="30">
        <f>SUMIFS('Allocated Transactions'!$J:$J,'Allocated Transactions'!$D:$D,1000,'Allocated Transactions'!$A:$A,"&gt;="&amp;'Cash Flow Forecast'!D$6,'Allocated Transactions'!$A:$A,"&lt;="&amp;EOMONTH('Cash Flow Forecast'!D$6,0),'Allocated Transactions'!$G:$G,'Cash Flow Forecast'!$B24)</f>
        <v>-4103.22</v>
      </c>
      <c r="E24" s="30">
        <f>SUMIFS('Allocated Transactions'!$J:$J,'Allocated Transactions'!$D:$D,1000,'Allocated Transactions'!$A:$A,"&gt;="&amp;'Cash Flow Forecast'!E$6,'Allocated Transactions'!$A:$A,"&lt;="&amp;EOMONTH('Cash Flow Forecast'!E$6,0),'Allocated Transactions'!$G:$G,'Cash Flow Forecast'!$B24)</f>
        <v>-1966.04</v>
      </c>
      <c r="F24" s="30">
        <f>SUMIFS('Allocated Transactions'!$J:$J,'Allocated Transactions'!$D:$D,1000,'Allocated Transactions'!$A:$A,"&gt;="&amp;'Cash Flow Forecast'!F$6,'Allocated Transactions'!$A:$A,"&lt;="&amp;EOMONTH('Cash Flow Forecast'!F$6,0),'Allocated Transactions'!$G:$G,'Cash Flow Forecast'!$B24)</f>
        <v>-2704.51</v>
      </c>
      <c r="G24" s="30">
        <f>SUMIFS('Allocated Transactions'!$J:$J,'Allocated Transactions'!$D:$D,1000,'Allocated Transactions'!$A:$A,"&gt;="&amp;'Cash Flow Forecast'!G$6,'Allocated Transactions'!$A:$A,"&lt;="&amp;EOMONTH('Cash Flow Forecast'!G$6,0),'Allocated Transactions'!$G:$G,'Cash Flow Forecast'!$B24)</f>
        <v>-611.67999999999995</v>
      </c>
      <c r="H24" s="30">
        <f>SUMIFS('Allocated Transactions'!$J:$J,'Allocated Transactions'!$D:$D,1000,'Allocated Transactions'!$A:$A,"&gt;="&amp;'Cash Flow Forecast'!H$6,'Allocated Transactions'!$A:$A,"&lt;="&amp;EOMONTH('Cash Flow Forecast'!H$6,0),'Allocated Transactions'!$G:$G,'Cash Flow Forecast'!$B24)</f>
        <v>-3234.87</v>
      </c>
      <c r="I24" s="30">
        <f>SUMIFS('Allocated Transactions'!$J:$J,'Allocated Transactions'!$D:$D,1000,'Allocated Transactions'!$A:$A,"&gt;="&amp;'Cash Flow Forecast'!I$6,'Allocated Transactions'!$A:$A,"&lt;="&amp;EOMONTH('Cash Flow Forecast'!I$6,0),'Allocated Transactions'!$G:$G,'Cash Flow Forecast'!$B24)</f>
        <v>-3148.23</v>
      </c>
      <c r="J24" s="30">
        <f>SUMIFS('Allocated Transactions'!$J:$J,'Allocated Transactions'!$D:$D,1000,'Allocated Transactions'!$A:$A,"&gt;="&amp;'Cash Flow Forecast'!J$6,'Allocated Transactions'!$A:$A,"&lt;="&amp;EOMONTH('Cash Flow Forecast'!J$6,0),'Allocated Transactions'!$G:$G,'Cash Flow Forecast'!$B24)</f>
        <v>-3702.02</v>
      </c>
      <c r="K24" s="30">
        <f>SUMIFS('Allocated Transactions'!$J:$J,'Allocated Transactions'!$D:$D,1000,'Allocated Transactions'!$A:$A,"&gt;="&amp;'Cash Flow Forecast'!K$6,'Allocated Transactions'!$A:$A,"&lt;="&amp;EOMONTH('Cash Flow Forecast'!K$6,0),'Allocated Transactions'!$G:$G,'Cash Flow Forecast'!$B24)</f>
        <v>-3422.65</v>
      </c>
      <c r="L24" s="30">
        <f>SUMIFS('Allocated Transactions'!$J:$J,'Allocated Transactions'!$D:$D,1000,'Allocated Transactions'!$A:$A,"&gt;="&amp;'Cash Flow Forecast'!L$6,'Allocated Transactions'!$A:$A,"&lt;="&amp;EOMONTH('Cash Flow Forecast'!L$6,0),'Allocated Transactions'!$G:$G,'Cash Flow Forecast'!$B24)</f>
        <v>-3989.75</v>
      </c>
      <c r="M24" s="30">
        <f>SUMIFS('Allocated Transactions'!$J:$J,'Allocated Transactions'!$D:$D,1000,'Allocated Transactions'!$A:$A,"&gt;="&amp;'Cash Flow Forecast'!M$6,'Allocated Transactions'!$A:$A,"&lt;="&amp;EOMONTH('Cash Flow Forecast'!M$6,0),'Allocated Transactions'!$G:$G,'Cash Flow Forecast'!$B24)</f>
        <v>-2177.46</v>
      </c>
      <c r="N24" s="30">
        <f>SUMIFS('Allocated Transactions'!$J:$J,'Allocated Transactions'!$D:$D,1000,'Allocated Transactions'!$A:$A,"&gt;="&amp;'Cash Flow Forecast'!N$6,'Allocated Transactions'!$A:$A,"&lt;="&amp;EOMONTH('Cash Flow Forecast'!N$6,0),'Allocated Transactions'!$G:$G,'Cash Flow Forecast'!$B24)</f>
        <v>0</v>
      </c>
    </row>
    <row r="25" spans="2:14" ht="15" customHeight="1">
      <c r="B25" s="162" t="s">
        <v>649</v>
      </c>
      <c r="C25" s="30">
        <f>SUMIFS('Allocated Transactions'!$J:$J,'Allocated Transactions'!$D:$D,"1010",'Allocated Transactions'!$A:$A,"&gt;="&amp;'Cash Flow Forecast'!C$6,'Allocated Transactions'!$A:$A,"&lt;="&amp;EOMONTH('Cash Flow Forecast'!C$6,0))</f>
        <v>-149196.88</v>
      </c>
      <c r="D25" s="30">
        <f>SUMIFS('Allocated Transactions'!$J:$J,'Allocated Transactions'!$D:$D,"1010",'Allocated Transactions'!$A:$A,"&gt;="&amp;'Cash Flow Forecast'!D$6,'Allocated Transactions'!$A:$A,"&lt;="&amp;EOMONTH('Cash Flow Forecast'!D$6,0))</f>
        <v>-151645.28</v>
      </c>
      <c r="E25" s="30">
        <f>SUMIFS('Allocated Transactions'!$J:$J,'Allocated Transactions'!$D:$D,"1010",'Allocated Transactions'!$A:$A,"&gt;="&amp;'Cash Flow Forecast'!E$6,'Allocated Transactions'!$A:$A,"&lt;="&amp;EOMONTH('Cash Flow Forecast'!E$6,0))</f>
        <v>-155756.20000000001</v>
      </c>
      <c r="F25" s="30">
        <f>SUMIFS('Allocated Transactions'!$J:$J,'Allocated Transactions'!$D:$D,"1010",'Allocated Transactions'!$A:$A,"&gt;="&amp;'Cash Flow Forecast'!F$6,'Allocated Transactions'!$A:$A,"&lt;="&amp;EOMONTH('Cash Flow Forecast'!F$6,0))</f>
        <v>-157052.34</v>
      </c>
      <c r="G25" s="30">
        <f>SUMIFS('Allocated Transactions'!$J:$J,'Allocated Transactions'!$D:$D,"1010",'Allocated Transactions'!$A:$A,"&gt;="&amp;'Cash Flow Forecast'!G$6,'Allocated Transactions'!$A:$A,"&lt;="&amp;EOMONTH('Cash Flow Forecast'!G$6,0))</f>
        <v>-151725.04999999999</v>
      </c>
      <c r="H25" s="30">
        <f>SUMIFS('Allocated Transactions'!$J:$J,'Allocated Transactions'!$D:$D,"1010",'Allocated Transactions'!$A:$A,"&gt;="&amp;'Cash Flow Forecast'!H$6,'Allocated Transactions'!$A:$A,"&lt;="&amp;EOMONTH('Cash Flow Forecast'!H$6,0))</f>
        <v>-154344.04999999999</v>
      </c>
      <c r="I25" s="30">
        <f>SUMIFS('Allocated Transactions'!$J:$J,'Allocated Transactions'!$D:$D,"1010",'Allocated Transactions'!$A:$A,"&gt;="&amp;'Cash Flow Forecast'!I$6,'Allocated Transactions'!$A:$A,"&lt;="&amp;EOMONTH('Cash Flow Forecast'!I$6,0))</f>
        <v>-152739.79999999999</v>
      </c>
      <c r="J25" s="30">
        <f>SUMIFS('Allocated Transactions'!$J:$J,'Allocated Transactions'!$D:$D,"1010",'Allocated Transactions'!$A:$A,"&gt;="&amp;'Cash Flow Forecast'!J$6,'Allocated Transactions'!$A:$A,"&lt;="&amp;EOMONTH('Cash Flow Forecast'!J$6,0))</f>
        <v>-156623.63</v>
      </c>
      <c r="K25" s="30">
        <f>SUMIFS('Allocated Transactions'!$J:$J,'Allocated Transactions'!$D:$D,"1010",'Allocated Transactions'!$A:$A,"&gt;="&amp;'Cash Flow Forecast'!K$6,'Allocated Transactions'!$A:$A,"&lt;="&amp;EOMONTH('Cash Flow Forecast'!K$6,0))</f>
        <v>-153461.56</v>
      </c>
      <c r="L25" s="30">
        <f>SUMIFS('Allocated Transactions'!$J:$J,'Allocated Transactions'!$D:$D,"1010",'Allocated Transactions'!$A:$A,"&gt;="&amp;'Cash Flow Forecast'!L$6,'Allocated Transactions'!$A:$A,"&lt;="&amp;EOMONTH('Cash Flow Forecast'!L$6,0))</f>
        <v>-154717.06</v>
      </c>
      <c r="M25" s="30">
        <f>SUMIFS('Allocated Transactions'!$J:$J,'Allocated Transactions'!$D:$D,"1010",'Allocated Transactions'!$A:$A,"&gt;="&amp;'Cash Flow Forecast'!M$6,'Allocated Transactions'!$A:$A,"&lt;="&amp;EOMONTH('Cash Flow Forecast'!M$6,0))</f>
        <v>-144598.24</v>
      </c>
      <c r="N25" s="30">
        <f>SUMIFS('Allocated Transactions'!$J:$J,'Allocated Transactions'!$D:$D,"1010",'Allocated Transactions'!$A:$A,"&gt;="&amp;'Cash Flow Forecast'!N$6,'Allocated Transactions'!$A:$A,"&lt;="&amp;EOMONTH('Cash Flow Forecast'!N$6,0))</f>
        <v>-151306.26</v>
      </c>
    </row>
    <row r="26" spans="2:14" ht="15" customHeight="1"/>
    <row r="27" spans="2:14" ht="15.75" customHeight="1">
      <c r="B27" s="31" t="s">
        <v>650</v>
      </c>
      <c r="C27" s="32">
        <f>SUM(C8:C25)</f>
        <v>241914.31999999995</v>
      </c>
      <c r="D27" s="32">
        <f>SUM(D8:D25)</f>
        <v>316619.01</v>
      </c>
      <c r="E27" s="32">
        <f>SUM(E8:E25)</f>
        <v>375605.19000000012</v>
      </c>
      <c r="F27" s="32">
        <f>SUM(F8:F25)</f>
        <v>399725.30000000016</v>
      </c>
      <c r="G27" s="32">
        <f>SUM(G8:G25)</f>
        <v>482430.9200000001</v>
      </c>
      <c r="H27" s="32">
        <f>SUM(H8:H25)</f>
        <v>562856.85000000033</v>
      </c>
      <c r="I27" s="32">
        <f>SUM(I8:I25)</f>
        <v>526165.05000000051</v>
      </c>
      <c r="J27" s="32">
        <f>SUM(J8:J25)</f>
        <v>687866.77000000037</v>
      </c>
      <c r="K27" s="32">
        <f>SUM(K8:K25)</f>
        <v>762290.88000000035</v>
      </c>
      <c r="L27" s="32">
        <f>SUM(L8:L25)</f>
        <v>786484.28000000049</v>
      </c>
      <c r="M27" s="32">
        <f>SUM(M8:M25)</f>
        <v>829339.43000000063</v>
      </c>
      <c r="N27" s="32">
        <f>SUM(N8:N25)</f>
        <v>883437.10000000079</v>
      </c>
    </row>
    <row r="28" spans="2:14" ht="15" customHeight="1">
      <c r="B28" s="33"/>
      <c r="C28" s="26"/>
      <c r="D28" s="26"/>
      <c r="E28" s="26"/>
      <c r="F28" s="26"/>
      <c r="G28" s="26"/>
      <c r="H28" s="26"/>
      <c r="I28" s="26"/>
      <c r="J28" s="26"/>
      <c r="K28" s="26"/>
      <c r="L28" s="26"/>
      <c r="M28" s="26"/>
      <c r="N28" s="26"/>
    </row>
    <row r="29" spans="2:14" ht="15" customHeight="1" thickBot="1">
      <c r="B29" s="33"/>
      <c r="C29" s="26"/>
      <c r="D29" s="26"/>
      <c r="E29" s="26"/>
      <c r="F29" s="26"/>
      <c r="G29" s="26"/>
      <c r="H29" s="26"/>
      <c r="I29" s="26"/>
      <c r="J29" s="26"/>
      <c r="K29" s="26"/>
      <c r="L29" s="26"/>
      <c r="M29" s="26"/>
      <c r="N29" s="26"/>
    </row>
    <row r="30" spans="2:14" ht="15" customHeight="1">
      <c r="B30" s="127"/>
      <c r="C30" s="128"/>
      <c r="D30" s="128"/>
      <c r="E30" s="128"/>
      <c r="F30" s="128"/>
      <c r="G30" s="128"/>
      <c r="H30" s="128"/>
      <c r="I30" s="128"/>
      <c r="J30" s="128"/>
      <c r="K30" s="128"/>
      <c r="L30" s="128"/>
      <c r="M30" s="128"/>
      <c r="N30" s="128"/>
    </row>
    <row r="31" spans="2:14" ht="15" customHeight="1">
      <c r="B31" s="104" t="s">
        <v>651</v>
      </c>
      <c r="C31" s="27"/>
      <c r="D31" s="27"/>
      <c r="E31" s="27"/>
      <c r="F31" s="27"/>
      <c r="G31" s="27"/>
      <c r="H31" s="27"/>
      <c r="I31" s="27"/>
      <c r="J31" s="27"/>
      <c r="K31" s="27"/>
      <c r="L31" s="27"/>
      <c r="M31" s="27"/>
      <c r="N31" s="27"/>
    </row>
    <row r="32" spans="2:14" ht="15" customHeight="1">
      <c r="B32" s="104" t="s">
        <v>653</v>
      </c>
      <c r="C32" s="27"/>
      <c r="D32" s="27"/>
      <c r="E32" s="27"/>
      <c r="F32" s="27"/>
      <c r="G32" s="27"/>
      <c r="H32" s="27"/>
      <c r="I32" s="27"/>
      <c r="J32" s="27"/>
      <c r="K32" s="27"/>
      <c r="L32" s="27"/>
      <c r="M32" s="27"/>
      <c r="N32" s="27"/>
    </row>
    <row r="34" spans="2:17" ht="15" customHeight="1">
      <c r="B34" s="143" t="s">
        <v>221</v>
      </c>
      <c r="C34" s="144">
        <v>46204</v>
      </c>
      <c r="D34" s="144">
        <v>46235</v>
      </c>
      <c r="E34" s="144">
        <v>46266</v>
      </c>
      <c r="F34" s="144">
        <v>46296</v>
      </c>
      <c r="G34" s="144">
        <v>46327</v>
      </c>
      <c r="H34" s="144">
        <v>46357</v>
      </c>
      <c r="I34" s="144">
        <v>46388</v>
      </c>
      <c r="J34" s="144">
        <v>46419</v>
      </c>
      <c r="K34" s="144">
        <v>46447</v>
      </c>
      <c r="L34" s="144">
        <v>46478</v>
      </c>
      <c r="M34" s="144">
        <v>46508</v>
      </c>
      <c r="N34" s="144">
        <v>46539</v>
      </c>
      <c r="P34" s="123">
        <v>0.03</v>
      </c>
      <c r="Q34" s="124" t="s">
        <v>652</v>
      </c>
    </row>
    <row r="35" spans="2:17" ht="16" customHeight="1">
      <c r="B35" s="29"/>
      <c r="C35" s="30"/>
      <c r="D35" s="30"/>
      <c r="E35" s="30"/>
      <c r="F35" s="30"/>
      <c r="G35" s="30"/>
      <c r="H35" s="30"/>
      <c r="I35" s="30"/>
      <c r="J35" s="30"/>
      <c r="K35" s="30"/>
      <c r="L35" s="30"/>
      <c r="M35" s="30"/>
      <c r="N35" s="30"/>
      <c r="P35" s="125">
        <v>0.03</v>
      </c>
      <c r="Q35" s="126" t="s">
        <v>654</v>
      </c>
    </row>
    <row r="36" spans="2:17" ht="16" customHeight="1">
      <c r="B36" s="162" t="s">
        <v>607</v>
      </c>
      <c r="C36" s="30">
        <f>N27</f>
        <v>883437.10000000079</v>
      </c>
      <c r="D36" s="30">
        <f t="shared" ref="D36:N36" si="1">C55</f>
        <v>871737.98710000084</v>
      </c>
      <c r="E36" s="30">
        <f t="shared" si="1"/>
        <v>922753.87640000065</v>
      </c>
      <c r="F36" s="30">
        <f t="shared" si="1"/>
        <v>954994.04900000058</v>
      </c>
      <c r="G36" s="30">
        <f t="shared" si="1"/>
        <v>952293.09080000059</v>
      </c>
      <c r="H36" s="30">
        <f t="shared" si="1"/>
        <v>999923.46230000048</v>
      </c>
      <c r="I36" s="30">
        <f t="shared" si="1"/>
        <v>970440.08020000067</v>
      </c>
      <c r="J36" s="30">
        <f t="shared" si="1"/>
        <v>899401.03990000067</v>
      </c>
      <c r="K36" s="30">
        <f t="shared" si="1"/>
        <v>978913.46800000104</v>
      </c>
      <c r="L36" s="30">
        <f t="shared" si="1"/>
        <v>1014193.7626000007</v>
      </c>
      <c r="M36" s="30">
        <f t="shared" si="1"/>
        <v>998783.54090000084</v>
      </c>
      <c r="N36" s="30">
        <f t="shared" si="1"/>
        <v>1001586.606600001</v>
      </c>
    </row>
    <row r="37" spans="2:17" ht="15" customHeight="1">
      <c r="B37" s="29"/>
      <c r="C37" s="30"/>
      <c r="D37" s="30"/>
      <c r="E37" s="30"/>
      <c r="F37" s="30"/>
      <c r="G37" s="30"/>
      <c r="H37" s="30"/>
      <c r="I37" s="30"/>
      <c r="J37" s="30"/>
      <c r="K37" s="30"/>
      <c r="L37" s="30"/>
      <c r="M37" s="30"/>
      <c r="N37" s="30"/>
    </row>
    <row r="38" spans="2:17" ht="15" customHeight="1">
      <c r="B38" s="163" t="s">
        <v>501</v>
      </c>
      <c r="C38" s="146">
        <f>_xlfn.XLOOKUP($B38,$B$10:$B$25,C$10:C$25)*(1-$P$34)</f>
        <v>183419.9675</v>
      </c>
      <c r="D38" s="146">
        <f>_xlfn.XLOOKUP($B38,$B$10:$B$25,D$10:D$25)*(1-$P$34)</f>
        <v>183640.42909999998</v>
      </c>
      <c r="E38" s="146">
        <f>_xlfn.XLOOKUP($B38,$B$10:$B$25,E$10:E$25)*(1-$P$34)</f>
        <v>188490.3903</v>
      </c>
      <c r="F38" s="146">
        <f>_xlfn.XLOOKUP($B38,$B$10:$B$25,F$10:F$25)*(1-$P$34)</f>
        <v>138999.20549999998</v>
      </c>
      <c r="G38" s="146">
        <f>_xlfn.XLOOKUP($B38,$B$10:$B$25,G$10:G$25)*(1-$P$34)</f>
        <v>178257.87969999999</v>
      </c>
      <c r="H38" s="146">
        <f>_xlfn.XLOOKUP($B38,$B$10:$B$25,H$10:H$25)*(1-$P$34)</f>
        <v>195038.20069999999</v>
      </c>
      <c r="I38" s="146">
        <f>_xlfn.XLOOKUP($B38,$B$10:$B$25,I$10:I$25)*(1-$P$34)</f>
        <v>144783.97509999998</v>
      </c>
      <c r="J38" s="146">
        <f>_xlfn.XLOOKUP($B38,$B$10:$B$25,J$10:J$25)*(1-$P$34)</f>
        <v>198489.7323</v>
      </c>
      <c r="K38" s="146">
        <f>_xlfn.XLOOKUP($B38,$B$10:$B$25,K$10:K$25)*(1-$P$34)</f>
        <v>146310.7066</v>
      </c>
      <c r="L38" s="146">
        <f>_xlfn.XLOOKUP($B38,$B$10:$B$25,L$10:L$25)*(1-$P$34)</f>
        <v>149669.19580000002</v>
      </c>
      <c r="M38" s="146">
        <f>_xlfn.XLOOKUP($B38,$B$10:$B$25,M$10:M$25)*(1-$P$34)</f>
        <v>136331.19139999998</v>
      </c>
      <c r="N38" s="146">
        <f>_xlfn.XLOOKUP($B38,$B$10:$B$25,N$10:N$25)*(1-$P$34)</f>
        <v>173259.1011</v>
      </c>
    </row>
    <row r="39" spans="2:17" ht="15" customHeight="1">
      <c r="B39" s="163" t="s">
        <v>500</v>
      </c>
      <c r="C39" s="146">
        <f>_xlfn.XLOOKUP($B39,$B$10:$B$25,C$10:C$25)*(1-$P$34)</f>
        <v>65436.636499999993</v>
      </c>
      <c r="D39" s="146">
        <f>_xlfn.XLOOKUP($B39,$B$10:$B$25,D$10:D$25)*(1-$P$34)</f>
        <v>54703.062700000002</v>
      </c>
      <c r="E39" s="146">
        <f>_xlfn.XLOOKUP($B39,$B$10:$B$25,E$10:E$25)*(1-$P$34)</f>
        <v>45206.859700000001</v>
      </c>
      <c r="F39" s="146">
        <f>_xlfn.XLOOKUP($B39,$B$10:$B$25,F$10:F$25)*(1-$P$34)</f>
        <v>74081.130999999994</v>
      </c>
      <c r="G39" s="146">
        <f>_xlfn.XLOOKUP($B39,$B$10:$B$25,G$10:G$25)*(1-$P$34)</f>
        <v>68271.645799999998</v>
      </c>
      <c r="H39" s="146">
        <f>_xlfn.XLOOKUP($B39,$B$10:$B$25,H$10:H$25)*(1-$P$34)</f>
        <v>53922.212700000004</v>
      </c>
      <c r="I39" s="146">
        <f>_xlfn.XLOOKUP($B39,$B$10:$B$25,I$10:I$25)*(1-$P$34)</f>
        <v>0</v>
      </c>
      <c r="J39" s="146">
        <f>_xlfn.XLOOKUP($B39,$B$10:$B$25,J$10:J$25)*(1-$P$34)</f>
        <v>85425.436200000011</v>
      </c>
      <c r="K39" s="146">
        <f>_xlfn.XLOOKUP($B39,$B$10:$B$25,K$10:K$25)*(1-$P$34)</f>
        <v>90632.405899999998</v>
      </c>
      <c r="L39" s="146">
        <f>_xlfn.XLOOKUP($B39,$B$10:$B$25,L$10:L$25)*(1-$P$34)</f>
        <v>55226.271000000001</v>
      </c>
      <c r="M39" s="146">
        <f>_xlfn.XLOOKUP($B39,$B$10:$B$25,M$10:M$25)*(1-$P$34)</f>
        <v>58169.871800000001</v>
      </c>
      <c r="N39" s="146">
        <f>_xlfn.XLOOKUP($B39,$B$10:$B$25,N$10:N$25)*(1-$P$34)</f>
        <v>44118.975600000005</v>
      </c>
    </row>
    <row r="40" spans="2:17" ht="15" customHeight="1">
      <c r="B40" s="163" t="s">
        <v>511</v>
      </c>
      <c r="C40" s="146">
        <f>_xlfn.XLOOKUP($B40,$B$10:$B$25,C$10:C$25)*(1-$P$34)</f>
        <v>0</v>
      </c>
      <c r="D40" s="146">
        <f>_xlfn.XLOOKUP($B40,$B$10:$B$25,D$10:D$25)*(1-$P$34)</f>
        <v>0</v>
      </c>
      <c r="E40" s="146">
        <f>_xlfn.XLOOKUP($B40,$B$10:$B$25,E$10:E$25)*(1-$P$34)</f>
        <v>0</v>
      </c>
      <c r="F40" s="146">
        <f>_xlfn.XLOOKUP($B40,$B$10:$B$25,F$10:F$25)*(1-$P$34)</f>
        <v>0</v>
      </c>
      <c r="G40" s="146">
        <f>_xlfn.XLOOKUP($B40,$B$10:$B$25,G$10:G$25)*(1-$P$34)</f>
        <v>0</v>
      </c>
      <c r="H40" s="146">
        <f>_xlfn.XLOOKUP($B40,$B$10:$B$25,H$10:H$25)*(1-$P$34)</f>
        <v>0</v>
      </c>
      <c r="I40" s="146">
        <f>_xlfn.XLOOKUP($B40,$B$10:$B$25,I$10:I$25)*(1-$P$34)</f>
        <v>767.06629999999996</v>
      </c>
      <c r="J40" s="146">
        <f>_xlfn.XLOOKUP($B40,$B$10:$B$25,J$10:J$25)*(1-$P$34)</f>
        <v>0</v>
      </c>
      <c r="K40" s="146">
        <f>_xlfn.XLOOKUP($B40,$B$10:$B$25,K$10:K$25)*(1-$P$34)</f>
        <v>0</v>
      </c>
      <c r="L40" s="146">
        <f>_xlfn.XLOOKUP($B40,$B$10:$B$25,L$10:L$25)*(1-$P$34)</f>
        <v>1818.6141999999998</v>
      </c>
      <c r="M40" s="146">
        <f>_xlfn.XLOOKUP($B40,$B$10:$B$25,M$10:M$25)*(1-$P$34)</f>
        <v>1304.9119000000001</v>
      </c>
      <c r="N40" s="146">
        <f>_xlfn.XLOOKUP($B40,$B$10:$B$25,N$10:N$25)*(1-$P$34)</f>
        <v>0</v>
      </c>
    </row>
    <row r="41" spans="2:17" ht="15" customHeight="1">
      <c r="B41" s="29"/>
      <c r="C41" s="30"/>
      <c r="D41" s="30"/>
      <c r="E41" s="30"/>
      <c r="F41" s="30"/>
      <c r="G41" s="30"/>
      <c r="H41" s="30"/>
      <c r="I41" s="30"/>
      <c r="J41" s="30"/>
      <c r="K41" s="30"/>
      <c r="L41" s="30"/>
      <c r="M41" s="30"/>
      <c r="N41" s="30"/>
    </row>
    <row r="42" spans="2:17" ht="15" customHeight="1">
      <c r="B42" s="162" t="s">
        <v>423</v>
      </c>
      <c r="C42" s="30">
        <f>_xlfn.XLOOKUP($B42,$B$15:$B$25,C$15:C$25)*(1+$P$34)</f>
        <v>-26256.214100000001</v>
      </c>
      <c r="D42" s="30">
        <f>_xlfn.XLOOKUP($B42,$B$15:$B$25,D$15:D$25)*(1+$P$34)</f>
        <v>-10488.49</v>
      </c>
      <c r="E42" s="30">
        <f>_xlfn.XLOOKUP($B42,$B$15:$B$25,E$15:E$25)*(1+$P$34)</f>
        <v>-20211.535499999998</v>
      </c>
      <c r="F42" s="30">
        <f>_xlfn.XLOOKUP($B42,$B$15:$B$25,F$15:F$25)*(1+$P$34)</f>
        <v>-24233.572200000002</v>
      </c>
      <c r="G42" s="30">
        <f>_xlfn.XLOOKUP($B42,$B$15:$B$25,G$15:G$25)*(1+$P$34)</f>
        <v>-14879.400600000001</v>
      </c>
      <c r="H42" s="30">
        <v>-80000</v>
      </c>
      <c r="I42" s="30">
        <f>_xlfn.XLOOKUP($B42,$B$15:$B$25,I$15:I$25)*(1+$P$34)</f>
        <v>-18570.096600000001</v>
      </c>
      <c r="J42" s="30">
        <f>_xlfn.XLOOKUP($B42,$B$15:$B$25,J$15:J$25)*(1+$P$34)</f>
        <v>-5840.7076999999999</v>
      </c>
      <c r="K42" s="30">
        <f>_xlfn.XLOOKUP($B42,$B$15:$B$25,K$15:K$25)*(1+$P$34)</f>
        <v>-8628.8765000000003</v>
      </c>
      <c r="L42" s="30">
        <f>_xlfn.XLOOKUP($B42,$B$15:$B$25,L$15:L$25)*(1+$P$34)</f>
        <v>-18144.686000000002</v>
      </c>
      <c r="M42" s="30">
        <f>_xlfn.XLOOKUP($B42,$B$15:$B$25,M$15:M$25)*(1+$P$34)</f>
        <v>-7439.2574000000004</v>
      </c>
      <c r="N42" s="30">
        <f>_xlfn.XLOOKUP($B42,$B$15:$B$25,N$15:N$25)*(1+$P$34)</f>
        <v>-14142.0236</v>
      </c>
    </row>
    <row r="43" spans="2:17" ht="15" customHeight="1">
      <c r="B43" s="162" t="s">
        <v>505</v>
      </c>
      <c r="C43" s="30">
        <f>_xlfn.XLOOKUP($B43,$B$15:$B$25,C$15:C$25)*(1+$P$34)</f>
        <v>-210.7586</v>
      </c>
      <c r="D43" s="30">
        <f>_xlfn.XLOOKUP($B43,$B$15:$B$25,D$15:D$25)*(1+$P$34)</f>
        <v>-254.52330000000003</v>
      </c>
      <c r="E43" s="30">
        <f>_xlfn.XLOOKUP($B43,$B$15:$B$25,E$15:E$25)*(1+$P$34)</f>
        <v>0</v>
      </c>
      <c r="F43" s="30">
        <f>_xlfn.XLOOKUP($B43,$B$15:$B$25,F$15:F$25)*(1+$P$34)</f>
        <v>0</v>
      </c>
      <c r="G43" s="30">
        <f>_xlfn.XLOOKUP($B43,$B$15:$B$25,G$15:G$25)*(1+$P$34)</f>
        <v>0</v>
      </c>
      <c r="H43" s="30">
        <f>_xlfn.XLOOKUP($B43,$B$15:$B$25,H$15:H$25)*(1+$P$34)</f>
        <v>-528.94619999999998</v>
      </c>
      <c r="I43" s="30">
        <f>_xlfn.XLOOKUP($B43,$B$15:$B$25,I$15:I$25)*(1+$P$34)</f>
        <v>-613.97270000000003</v>
      </c>
      <c r="J43" s="30">
        <f>_xlfn.XLOOKUP($B43,$B$15:$B$25,J$15:J$25)*(1+$P$34)</f>
        <v>-397.25040000000001</v>
      </c>
      <c r="K43" s="30">
        <f>_xlfn.XLOOKUP($B43,$B$15:$B$25,K$15:K$25)*(1+$P$34)</f>
        <v>-491.37180000000001</v>
      </c>
      <c r="L43" s="30">
        <f>_xlfn.XLOOKUP($B43,$B$15:$B$25,L$15:L$25)*(1+$P$34)</f>
        <v>-431.44639999999998</v>
      </c>
      <c r="M43" s="30">
        <f>_xlfn.XLOOKUP($B43,$B$15:$B$25,M$15:M$25)*(1+$P$34)</f>
        <v>0</v>
      </c>
      <c r="N43" s="30">
        <f>_xlfn.XLOOKUP($B43,$B$15:$B$25,N$15:N$25)*(1+$P$34)</f>
        <v>-278.23390000000001</v>
      </c>
    </row>
    <row r="44" spans="2:17" ht="15" customHeight="1">
      <c r="B44" s="162" t="s">
        <v>489</v>
      </c>
      <c r="C44" s="30">
        <f>_xlfn.XLOOKUP($B44,$B$15:$B$25,C$15:C$25)*(1+$P$34)</f>
        <v>0</v>
      </c>
      <c r="D44" s="30">
        <f>_xlfn.XLOOKUP($B44,$B$15:$B$25,D$15:D$25)*(1+$P$34)</f>
        <v>-538.72090000000003</v>
      </c>
      <c r="E44" s="30">
        <f>_xlfn.XLOOKUP($B44,$B$15:$B$25,E$15:E$25)*(1+$P$34)</f>
        <v>0</v>
      </c>
      <c r="F44" s="30">
        <f>_xlfn.XLOOKUP($B44,$B$15:$B$25,F$15:F$25)*(1+$P$34)</f>
        <v>0</v>
      </c>
      <c r="G44" s="30">
        <f>_xlfn.XLOOKUP($B44,$B$15:$B$25,G$15:G$25)*(1+$P$34)</f>
        <v>0</v>
      </c>
      <c r="H44" s="30">
        <f>_xlfn.XLOOKUP($B44,$B$15:$B$25,H$15:H$25)*(1+$P$34)</f>
        <v>0</v>
      </c>
      <c r="I44" s="30">
        <f>_xlfn.XLOOKUP($B44,$B$15:$B$25,I$15:I$25)*(1+$P$34)</f>
        <v>0</v>
      </c>
      <c r="J44" s="30">
        <f>_xlfn.XLOOKUP($B44,$B$15:$B$25,J$15:J$25)*(1+$P$34)</f>
        <v>0</v>
      </c>
      <c r="K44" s="30">
        <f>_xlfn.XLOOKUP($B44,$B$15:$B$25,K$15:K$25)*(1+$P$34)</f>
        <v>0</v>
      </c>
      <c r="L44" s="30">
        <f>_xlfn.XLOOKUP($B44,$B$15:$B$25,L$15:L$25)*(1+$P$34)</f>
        <v>0</v>
      </c>
      <c r="M44" s="30">
        <f>_xlfn.XLOOKUP($B44,$B$15:$B$25,M$15:M$25)*(1+$P$34)</f>
        <v>0</v>
      </c>
      <c r="N44" s="30">
        <f>_xlfn.XLOOKUP($B44,$B$15:$B$25,N$15:N$25)*(1+$P$34)</f>
        <v>-292.33460000000002</v>
      </c>
    </row>
    <row r="45" spans="2:17" ht="15" customHeight="1">
      <c r="B45" s="162" t="s">
        <v>503</v>
      </c>
      <c r="C45" s="30">
        <f>_xlfn.XLOOKUP($B45,$B$15:$B$25,C$15:C$25)*(1+$P$34)</f>
        <v>-85.191299999999998</v>
      </c>
      <c r="D45" s="30">
        <f>_xlfn.XLOOKUP($B45,$B$15:$B$25,D$15:D$25)*(1+$P$34)</f>
        <v>-111.4975</v>
      </c>
      <c r="E45" s="30">
        <f>_xlfn.XLOOKUP($B45,$B$15:$B$25,E$15:E$25)*(1+$P$34)</f>
        <v>-95.985699999999994</v>
      </c>
      <c r="F45" s="30">
        <f>_xlfn.XLOOKUP($B45,$B$15:$B$25,F$15:F$25)*(1+$P$34)</f>
        <v>-80.659300000000002</v>
      </c>
      <c r="G45" s="30">
        <f>_xlfn.XLOOKUP($B45,$B$15:$B$25,G$15:G$25)*(1+$P$34)</f>
        <v>-80.494500000000002</v>
      </c>
      <c r="H45" s="30">
        <f>_xlfn.XLOOKUP($B45,$B$15:$B$25,H$15:H$25)*(1+$P$34)</f>
        <v>-84.181900000000013</v>
      </c>
      <c r="I45" s="30">
        <f>_xlfn.XLOOKUP($B45,$B$15:$B$25,I$15:I$25)*(1+$P$34)</f>
        <v>-94.615800000000007</v>
      </c>
      <c r="J45" s="30">
        <f>_xlfn.XLOOKUP($B45,$B$15:$B$25,J$15:J$25)*(1+$P$34)</f>
        <v>-60.440400000000004</v>
      </c>
      <c r="K45" s="30">
        <f>_xlfn.XLOOKUP($B45,$B$15:$B$25,K$15:K$25)*(1+$P$34)</f>
        <v>-84.7072</v>
      </c>
      <c r="L45" s="30">
        <f>_xlfn.XLOOKUP($B45,$B$15:$B$25,L$15:L$25)*(1+$P$34)</f>
        <v>-81.8232</v>
      </c>
      <c r="M45" s="30">
        <f>_xlfn.XLOOKUP($B45,$B$15:$B$25,M$15:M$25)*(1+$P$34)</f>
        <v>-122.4773</v>
      </c>
      <c r="N45" s="30">
        <f>_xlfn.XLOOKUP($B45,$B$15:$B$25,N$15:N$25)*(1+$P$34)</f>
        <v>-58.988100000000003</v>
      </c>
    </row>
    <row r="46" spans="2:17" ht="15" customHeight="1">
      <c r="B46" s="162" t="s">
        <v>509</v>
      </c>
      <c r="C46" s="30">
        <f>_xlfn.XLOOKUP($B46,$B$15:$B$25,C$15:C$25)*(1+$P$34)</f>
        <v>-10094</v>
      </c>
      <c r="D46" s="30">
        <f>_xlfn.XLOOKUP($B46,$B$15:$B$25,D$15:D$25)*(1+$P$34)</f>
        <v>0</v>
      </c>
      <c r="E46" s="30">
        <f>_xlfn.XLOOKUP($B46,$B$15:$B$25,E$15:E$25)*(1+$P$34)</f>
        <v>0</v>
      </c>
      <c r="F46" s="30">
        <f>_xlfn.XLOOKUP($B46,$B$15:$B$25,F$15:F$25)*(1+$P$34)</f>
        <v>0</v>
      </c>
      <c r="G46" s="30">
        <f>_xlfn.XLOOKUP($B46,$B$15:$B$25,G$15:G$25)*(1+$P$34)</f>
        <v>0</v>
      </c>
      <c r="H46" s="30">
        <f>_xlfn.XLOOKUP($B46,$B$15:$B$25,H$15:H$25)*(1+$P$34)</f>
        <v>0</v>
      </c>
      <c r="I46" s="30">
        <f>_xlfn.XLOOKUP($B46,$B$15:$B$25,I$15:I$25)*(1+$P$34)</f>
        <v>0</v>
      </c>
      <c r="J46" s="30">
        <f>_xlfn.XLOOKUP($B46,$B$15:$B$25,J$15:J$25)*(1+$P$34)</f>
        <v>0</v>
      </c>
      <c r="K46" s="30">
        <f>_xlfn.XLOOKUP($B46,$B$15:$B$25,K$15:K$25)*(1+$P$34)</f>
        <v>0</v>
      </c>
      <c r="L46" s="30">
        <f>_xlfn.XLOOKUP($B46,$B$15:$B$25,L$15:L$25)*(1+$P$34)</f>
        <v>0</v>
      </c>
      <c r="M46" s="30">
        <f>_xlfn.XLOOKUP($B46,$B$15:$B$25,M$15:M$25)*(1+$P$34)</f>
        <v>0</v>
      </c>
      <c r="N46" s="30">
        <f>_xlfn.XLOOKUP($B46,$B$15:$B$25,N$15:N$25)*(1+$P$34)</f>
        <v>0</v>
      </c>
    </row>
    <row r="47" spans="2:17" ht="15" customHeight="1">
      <c r="B47" s="162" t="s">
        <v>491</v>
      </c>
      <c r="C47" s="30">
        <f>_xlfn.XLOOKUP($B47,$B$15:$B$25,C$15:C$25)*(1+$P$34)</f>
        <v>-1616.6674</v>
      </c>
      <c r="D47" s="30">
        <f>_xlfn.XLOOKUP($B47,$B$15:$B$25,D$15:D$25)*(1+$P$34)</f>
        <v>-1616.6674</v>
      </c>
      <c r="E47" s="30">
        <f>_xlfn.XLOOKUP($B47,$B$15:$B$25,E$15:E$25)*(1+$P$34)</f>
        <v>-1616.6674</v>
      </c>
      <c r="F47" s="30">
        <f>_xlfn.XLOOKUP($B47,$B$15:$B$25,F$15:F$25)*(1+$P$34)</f>
        <v>-1616.6674</v>
      </c>
      <c r="G47" s="30">
        <f>_xlfn.XLOOKUP($B47,$B$15:$B$25,G$15:G$25)*(1+$P$34)</f>
        <v>-1616.6674</v>
      </c>
      <c r="H47" s="30">
        <f>_xlfn.XLOOKUP($B47,$B$15:$B$25,H$15:H$25)*(1+$P$34)</f>
        <v>-1616.6674</v>
      </c>
      <c r="I47" s="30">
        <f>_xlfn.XLOOKUP($B47,$B$15:$B$25,I$15:I$25)*(1+$P$34)</f>
        <v>-1616.6674</v>
      </c>
      <c r="J47" s="30">
        <f>_xlfn.XLOOKUP($B47,$B$15:$B$25,J$15:J$25)*(1+$P$34)</f>
        <v>-1616.6674</v>
      </c>
      <c r="K47" s="30">
        <f>_xlfn.XLOOKUP($B47,$B$15:$B$25,K$15:K$25)*(1+$P$34)</f>
        <v>-1616.6674</v>
      </c>
      <c r="L47" s="30">
        <f>_xlfn.XLOOKUP($B47,$B$15:$B$25,L$15:L$25)*(1+$P$34)</f>
        <v>-1616.6674</v>
      </c>
      <c r="M47" s="30">
        <f>_xlfn.XLOOKUP($B47,$B$15:$B$25,M$15:M$25)*(1+$P$34)</f>
        <v>-1616.6674</v>
      </c>
      <c r="N47" s="30">
        <f>_xlfn.XLOOKUP($B47,$B$15:$B$25,N$15:N$25)*(1+$P$34)</f>
        <v>-1616.6879999999999</v>
      </c>
    </row>
    <row r="48" spans="2:17" ht="15" customHeight="1">
      <c r="B48" s="162" t="s">
        <v>655</v>
      </c>
      <c r="C48" s="30">
        <f>-J13*(1.15)</f>
        <v>-46000</v>
      </c>
      <c r="D48" s="30"/>
      <c r="E48" s="30"/>
      <c r="F48" s="30"/>
      <c r="G48" s="30"/>
      <c r="H48" s="30"/>
      <c r="I48" s="30"/>
      <c r="J48" s="30"/>
      <c r="K48" s="30"/>
      <c r="L48" s="30"/>
      <c r="M48" s="30"/>
      <c r="N48" s="30"/>
    </row>
    <row r="49" spans="2:14" ht="15" customHeight="1">
      <c r="B49" s="162" t="s">
        <v>487</v>
      </c>
      <c r="C49" s="30">
        <f>_xlfn.XLOOKUP($B49,$B$15:$B$25,C$15:C$25)*(1+$P$34)</f>
        <v>0</v>
      </c>
      <c r="D49" s="30">
        <f>_xlfn.XLOOKUP($B49,$B$15:$B$25,D$15:D$25)*(1+$P$34)</f>
        <v>0</v>
      </c>
      <c r="E49" s="30">
        <f>_xlfn.XLOOKUP($B49,$B$15:$B$25,E$15:E$25)*(1+$P$34)</f>
        <v>0</v>
      </c>
      <c r="F49" s="30">
        <f>_xlfn.XLOOKUP($B49,$B$15:$B$25,F$15:F$25)*(1+$P$34)</f>
        <v>0</v>
      </c>
      <c r="G49" s="30">
        <f>_xlfn.XLOOKUP($B49,$B$15:$B$25,G$15:G$25)*(1+$P$34)</f>
        <v>0</v>
      </c>
      <c r="H49" s="30">
        <f>_xlfn.XLOOKUP($B49,$B$15:$B$25,H$15:H$25)*(1+$P$34)</f>
        <v>0</v>
      </c>
      <c r="I49" s="30">
        <f>_xlfn.XLOOKUP($B49,$B$15:$B$25,I$15:I$25)*(1+$P$34)</f>
        <v>0</v>
      </c>
      <c r="J49" s="30">
        <f>_xlfn.XLOOKUP($B49,$B$15:$B$25,J$15:J$25)*(1+$P$34)</f>
        <v>0</v>
      </c>
      <c r="K49" s="30">
        <f>_xlfn.XLOOKUP($B49,$B$15:$B$25,K$15:K$25)*(1+$P$34)</f>
        <v>0</v>
      </c>
      <c r="L49" s="30">
        <f>_xlfn.XLOOKUP($B49,$B$15:$B$25,L$15:L$25)*(1+$P$34)</f>
        <v>0</v>
      </c>
      <c r="M49" s="30">
        <f>_xlfn.XLOOKUP($B49,$B$15:$B$25,M$15:M$25)*(1+$P$34)</f>
        <v>0</v>
      </c>
      <c r="N49" s="30">
        <f>_xlfn.XLOOKUP($B49,$B$15:$B$25,N$15:N$25)*(1+$P$34)</f>
        <v>0</v>
      </c>
    </row>
    <row r="50" spans="2:14" ht="15" customHeight="1">
      <c r="B50" s="162" t="s">
        <v>419</v>
      </c>
      <c r="C50" s="30">
        <f>_xlfn.XLOOKUP($B50,$B$15:$B$25,C$15:C$25)*(1+$P$34)</f>
        <v>-8343</v>
      </c>
      <c r="D50" s="30">
        <f>_xlfn.XLOOKUP($B50,$B$15:$B$25,D$15:D$25)*(1+$P$34)</f>
        <v>0</v>
      </c>
      <c r="E50" s="30">
        <f>_xlfn.XLOOKUP($B50,$B$15:$B$25,E$15:E$25)*(1+$P$34)</f>
        <v>0</v>
      </c>
      <c r="F50" s="30">
        <f>_xlfn.XLOOKUP($B50,$B$15:$B$25,F$15:F$25)*(1+$P$34)</f>
        <v>-8343</v>
      </c>
      <c r="G50" s="30">
        <f>_xlfn.XLOOKUP($B50,$B$15:$B$25,G$15:G$25)*(1+$P$34)</f>
        <v>0</v>
      </c>
      <c r="H50" s="30">
        <f>_xlfn.XLOOKUP($B50,$B$15:$B$25,H$15:H$25)*(1+$P$34)</f>
        <v>0</v>
      </c>
      <c r="I50" s="30">
        <f>_xlfn.XLOOKUP($B50,$B$15:$B$25,I$15:I$25)*(1+$P$34)</f>
        <v>-8343</v>
      </c>
      <c r="J50" s="30">
        <f>_xlfn.XLOOKUP($B50,$B$15:$B$25,J$15:J$25)*(1+$P$34)</f>
        <v>0</v>
      </c>
      <c r="K50" s="30">
        <f>_xlfn.XLOOKUP($B50,$B$15:$B$25,K$15:K$25)*(1+$P$34)</f>
        <v>0</v>
      </c>
      <c r="L50" s="30">
        <f>_xlfn.XLOOKUP($B50,$B$15:$B$25,L$15:L$25)*(1+$P$34)</f>
        <v>-8343</v>
      </c>
      <c r="M50" s="30">
        <f>_xlfn.XLOOKUP($B50,$B$15:$B$25,M$15:M$25)*(1+$P$34)</f>
        <v>0</v>
      </c>
      <c r="N50" s="30">
        <f>_xlfn.XLOOKUP($B50,$B$15:$B$25,N$15:N$25)*(1+$P$34)</f>
        <v>0</v>
      </c>
    </row>
    <row r="51" spans="2:14" ht="15" customHeight="1">
      <c r="B51" s="162" t="s">
        <v>507</v>
      </c>
      <c r="C51" s="30">
        <f>_xlfn.XLOOKUP($B51,$B$15:$B$25,C$15:C$25)*(1+$P$34)</f>
        <v>-2541.8854999999999</v>
      </c>
      <c r="D51" s="30">
        <f>_xlfn.XLOOKUP($B51,$B$15:$B$25,D$15:D$25)*(1+$P$34)</f>
        <v>-2709.7034000000003</v>
      </c>
      <c r="E51" s="30">
        <f>_xlfn.XLOOKUP($B51,$B$15:$B$25,E$15:E$25)*(1+$P$34)</f>
        <v>-3018.8888000000002</v>
      </c>
      <c r="F51" s="30">
        <f>_xlfn.XLOOKUP($B51,$B$15:$B$25,F$15:F$25)*(1+$P$34)</f>
        <v>-2593.3958000000002</v>
      </c>
      <c r="G51" s="30">
        <f>_xlfn.XLOOKUP($B51,$B$15:$B$25,G$15:G$25)*(1+$P$34)</f>
        <v>-3108.5915000000005</v>
      </c>
      <c r="H51" s="30">
        <v>-15000</v>
      </c>
      <c r="I51" s="30">
        <f>_xlfn.XLOOKUP($B51,$B$15:$B$25,I$15:I$25)*(1+$P$34)</f>
        <v>-2543.7291999999998</v>
      </c>
      <c r="J51" s="30">
        <f>_xlfn.XLOOKUP($B51,$B$15:$B$25,J$15:J$25)*(1+$P$34)</f>
        <v>-3073.6745000000001</v>
      </c>
      <c r="K51" s="30">
        <f>_xlfn.XLOOKUP($B51,$B$15:$B$25,K$15:K$25)*(1+$P$34)</f>
        <v>-2530.1950000000002</v>
      </c>
      <c r="L51" s="30">
        <f>_xlfn.XLOOKUP($B51,$B$15:$B$25,L$15:L$25)*(1+$P$34)</f>
        <v>-2495.6796999999997</v>
      </c>
      <c r="M51" s="30">
        <f>_xlfn.XLOOKUP($B51,$B$15:$B$25,M$15:M$25)*(1+$P$34)</f>
        <v>-3419.5072999999998</v>
      </c>
      <c r="N51" s="30">
        <f>_xlfn.XLOOKUP($B51,$B$15:$B$25,N$15:N$25)*(1+$P$34)</f>
        <v>-2869.8271999999997</v>
      </c>
    </row>
    <row r="52" spans="2:14" ht="15" customHeight="1">
      <c r="B52" s="162" t="s">
        <v>518</v>
      </c>
      <c r="C52" s="34"/>
      <c r="D52" s="34"/>
      <c r="E52" s="34"/>
      <c r="F52" s="34"/>
      <c r="G52" s="34"/>
      <c r="H52" s="34"/>
      <c r="I52" s="34"/>
      <c r="J52" s="34"/>
      <c r="K52" s="34"/>
      <c r="L52" s="34"/>
      <c r="M52" s="34"/>
      <c r="N52" s="34"/>
    </row>
    <row r="53" spans="2:14" ht="15" customHeight="1">
      <c r="B53" s="162" t="s">
        <v>649</v>
      </c>
      <c r="C53" s="30">
        <f>(-SUMIFS('Budget Data'!$J:$J,'Budget Data'!$E:$E,"5000",'Budget Data'!$A:$A,C$6)-SUMIFS('Budget Data'!$J:$J,'Budget Data'!$E:$E,"5010",'Budget Data'!$A:$A,C$6)-SUMIFS('Budget Data'!$J:$J,'Budget Data'!$E:$E,"5020",'Budget Data'!$A:$A,C$6)-SUMIFS('Budget Data'!$J:$J,'Budget Data'!$E:$E,"5030",'Budget Data'!$A:$A,C$6)*(1+$P$34))</f>
        <v>-165408</v>
      </c>
      <c r="D53" s="30">
        <f>(-SUMIFS('Budget Data'!$J:$J,'Budget Data'!$E:$E,"5000",'Budget Data'!$A:$A,D$6)-SUMIFS('Budget Data'!$J:$J,'Budget Data'!$E:$E,"5010",'Budget Data'!$A:$A,D$6)-SUMIFS('Budget Data'!$J:$J,'Budget Data'!$E:$E,"5020",'Budget Data'!$A:$A,D$6)-SUMIFS('Budget Data'!$J:$J,'Budget Data'!$E:$E,"5030",'Budget Data'!$A:$A,D$6)*(1+$P$34))</f>
        <v>-171608</v>
      </c>
      <c r="E53" s="30">
        <f>(-SUMIFS('Budget Data'!$J:$J,'Budget Data'!$E:$E,"5000",'Budget Data'!$A:$A,E$6)-SUMIFS('Budget Data'!$J:$J,'Budget Data'!$E:$E,"5010",'Budget Data'!$A:$A,E$6)-SUMIFS('Budget Data'!$J:$J,'Budget Data'!$E:$E,"5020",'Budget Data'!$A:$A,E$6)-SUMIFS('Budget Data'!$J:$J,'Budget Data'!$E:$E,"5030",'Budget Data'!$A:$A,E$6)*(1+$P$34))</f>
        <v>-176514</v>
      </c>
      <c r="F53" s="30">
        <f>(-SUMIFS('Budget Data'!$J:$J,'Budget Data'!$E:$E,"5000",'Budget Data'!$A:$A,F$6)-SUMIFS('Budget Data'!$J:$J,'Budget Data'!$E:$E,"5010",'Budget Data'!$A:$A,F$6)-SUMIFS('Budget Data'!$J:$J,'Budget Data'!$E:$E,"5020",'Budget Data'!$A:$A,F$6)-SUMIFS('Budget Data'!$J:$J,'Budget Data'!$E:$E,"5030",'Budget Data'!$A:$A,F$6)*(1+$P$34))</f>
        <v>-178914</v>
      </c>
      <c r="G53" s="30">
        <f>(-SUMIFS('Budget Data'!$J:$J,'Budget Data'!$E:$E,"5000",'Budget Data'!$A:$A,G$6)-SUMIFS('Budget Data'!$J:$J,'Budget Data'!$E:$E,"5010",'Budget Data'!$A:$A,G$6)-SUMIFS('Budget Data'!$J:$J,'Budget Data'!$E:$E,"5020",'Budget Data'!$A:$A,G$6)-SUMIFS('Budget Data'!$J:$J,'Budget Data'!$E:$E,"5030",'Budget Data'!$A:$A,G$6)*(1+$P$34))</f>
        <v>-179214</v>
      </c>
      <c r="H53" s="30">
        <f>(-SUMIFS('Budget Data'!$J:$J,'Budget Data'!$E:$E,"5000",'Budget Data'!$A:$A,H$6)-SUMIFS('Budget Data'!$J:$J,'Budget Data'!$E:$E,"5010",'Budget Data'!$A:$A,H$6)-SUMIFS('Budget Data'!$J:$J,'Budget Data'!$E:$E,"5020",'Budget Data'!$A:$A,H$6)-SUMIFS('Budget Data'!$J:$J,'Budget Data'!$E:$E,"5030",'Budget Data'!$A:$A,H$6)*(1+$P$34))</f>
        <v>-181214</v>
      </c>
      <c r="I53" s="30">
        <f>(-SUMIFS('Budget Data'!$J:$J,'Budget Data'!$E:$E,"5000",'Budget Data'!$A:$A,I$6)-SUMIFS('Budget Data'!$J:$J,'Budget Data'!$E:$E,"5010",'Budget Data'!$A:$A,I$6)-SUMIFS('Budget Data'!$J:$J,'Budget Data'!$E:$E,"5020",'Budget Data'!$A:$A,I$6)-SUMIFS('Budget Data'!$J:$J,'Budget Data'!$E:$E,"5030",'Budget Data'!$A:$A,I$6)*(1+$P$34))</f>
        <v>-184808</v>
      </c>
      <c r="J53" s="30">
        <f>(-SUMIFS('Budget Data'!$J:$J,'Budget Data'!$E:$E,"5000",'Budget Data'!$A:$A,J$6)-SUMIFS('Budget Data'!$J:$J,'Budget Data'!$E:$E,"5010",'Budget Data'!$A:$A,J$6)-SUMIFS('Budget Data'!$J:$J,'Budget Data'!$E:$E,"5020",'Budget Data'!$A:$A,J$6)-SUMIFS('Budget Data'!$J:$J,'Budget Data'!$E:$E,"5030",'Budget Data'!$A:$A,J$6)*(1+$P$34))</f>
        <v>-193414</v>
      </c>
      <c r="K53" s="30">
        <f>(-SUMIFS('Budget Data'!$J:$J,'Budget Data'!$E:$E,"5000",'Budget Data'!$A:$A,K$6)-SUMIFS('Budget Data'!$J:$J,'Budget Data'!$E:$E,"5010",'Budget Data'!$A:$A,K$6)-SUMIFS('Budget Data'!$J:$J,'Budget Data'!$E:$E,"5020",'Budget Data'!$A:$A,K$6)-SUMIFS('Budget Data'!$J:$J,'Budget Data'!$E:$E,"5030",'Budget Data'!$A:$A,K$6)*(1+$P$34))</f>
        <v>-188311</v>
      </c>
      <c r="L53" s="30">
        <f>(-SUMIFS('Budget Data'!$J:$J,'Budget Data'!$E:$E,"5000",'Budget Data'!$A:$A,L$6)-SUMIFS('Budget Data'!$J:$J,'Budget Data'!$E:$E,"5010",'Budget Data'!$A:$A,L$6)-SUMIFS('Budget Data'!$J:$J,'Budget Data'!$E:$E,"5020",'Budget Data'!$A:$A,L$6)-SUMIFS('Budget Data'!$J:$J,'Budget Data'!$E:$E,"5030",'Budget Data'!$A:$A,L$6)*(1+$P$34))</f>
        <v>-191011</v>
      </c>
      <c r="M53" s="30">
        <f>(-SUMIFS('Budget Data'!$J:$J,'Budget Data'!$E:$E,"5000",'Budget Data'!$A:$A,M$6)-SUMIFS('Budget Data'!$J:$J,'Budget Data'!$E:$E,"5010",'Budget Data'!$A:$A,M$6)-SUMIFS('Budget Data'!$J:$J,'Budget Data'!$E:$E,"5020",'Budget Data'!$A:$A,M$6)-SUMIFS('Budget Data'!$J:$J,'Budget Data'!$E:$E,"5030",'Budget Data'!$A:$A,M$6)*(1+$P$34))</f>
        <v>-180405</v>
      </c>
      <c r="N53" s="30">
        <f>(-SUMIFS('Budget Data'!$J:$J,'Budget Data'!$E:$E,"5000",'Budget Data'!$A:$A,N$6)-SUMIFS('Budget Data'!$J:$J,'Budget Data'!$E:$E,"5010",'Budget Data'!$A:$A,N$6)-SUMIFS('Budget Data'!$J:$J,'Budget Data'!$E:$E,"5020",'Budget Data'!$A:$A,N$6)-SUMIFS('Budget Data'!$J:$J,'Budget Data'!$E:$E,"5030",'Budget Data'!$A:$A,N$6)*(1+$P$34))</f>
        <v>-190711</v>
      </c>
    </row>
    <row r="54" spans="2:14">
      <c r="C54" s="34"/>
      <c r="D54" s="34"/>
      <c r="E54" s="34"/>
      <c r="F54" s="34"/>
      <c r="G54" s="34"/>
      <c r="H54" s="34"/>
      <c r="I54" s="34"/>
      <c r="J54" s="34"/>
      <c r="K54" s="34"/>
      <c r="L54" s="34"/>
      <c r="M54" s="34"/>
      <c r="N54" s="34"/>
    </row>
    <row r="55" spans="2:14" ht="15.75" customHeight="1">
      <c r="B55" s="31" t="s">
        <v>650</v>
      </c>
      <c r="C55" s="35">
        <f>SUM(C36:C53)</f>
        <v>871737.98710000084</v>
      </c>
      <c r="D55" s="35">
        <f>SUM(D36:D53)</f>
        <v>922753.87640000065</v>
      </c>
      <c r="E55" s="35">
        <f t="shared" ref="E55:N55" si="2">SUM(E36:E53)</f>
        <v>954994.04900000058</v>
      </c>
      <c r="F55" s="35">
        <f t="shared" si="2"/>
        <v>952293.09080000059</v>
      </c>
      <c r="G55" s="35">
        <f t="shared" si="2"/>
        <v>999923.46230000048</v>
      </c>
      <c r="H55" s="35">
        <f t="shared" si="2"/>
        <v>970440.08020000067</v>
      </c>
      <c r="I55" s="35">
        <f t="shared" si="2"/>
        <v>899401.03990000067</v>
      </c>
      <c r="J55" s="35">
        <f t="shared" si="2"/>
        <v>978913.46800000104</v>
      </c>
      <c r="K55" s="35">
        <f t="shared" si="2"/>
        <v>1014193.7626000007</v>
      </c>
      <c r="L55" s="35">
        <f t="shared" si="2"/>
        <v>998783.54090000084</v>
      </c>
      <c r="M55" s="35">
        <f t="shared" si="2"/>
        <v>1001586.606600001</v>
      </c>
      <c r="N55" s="35">
        <f t="shared" si="2"/>
        <v>1008995.5879000011</v>
      </c>
    </row>
    <row r="56" spans="2:14">
      <c r="C56" s="36"/>
      <c r="D56" s="36"/>
      <c r="E56" s="36"/>
      <c r="F56" s="36"/>
      <c r="G56" s="36"/>
      <c r="H56" s="36"/>
      <c r="I56" s="36"/>
      <c r="J56" s="36"/>
      <c r="K56" s="36"/>
      <c r="L56" s="36"/>
      <c r="M56" s="36"/>
      <c r="N56" s="36"/>
    </row>
    <row r="57" spans="2:14" ht="15" customHeight="1">
      <c r="B57" s="37" t="s">
        <v>656</v>
      </c>
      <c r="C57" s="38">
        <f>-SUM($C42:$N53)/12</f>
        <v>215851.38237499996</v>
      </c>
      <c r="D57" s="38">
        <f t="shared" ref="D57:N57" si="3">-SUM($C42:$N53)/12</f>
        <v>215851.38237499996</v>
      </c>
      <c r="E57" s="38">
        <f t="shared" si="3"/>
        <v>215851.38237499996</v>
      </c>
      <c r="F57" s="38">
        <f t="shared" si="3"/>
        <v>215851.38237499996</v>
      </c>
      <c r="G57" s="38">
        <f t="shared" si="3"/>
        <v>215851.38237499996</v>
      </c>
      <c r="H57" s="38">
        <f t="shared" si="3"/>
        <v>215851.38237499996</v>
      </c>
      <c r="I57" s="38">
        <f t="shared" si="3"/>
        <v>215851.38237499996</v>
      </c>
      <c r="J57" s="38">
        <f t="shared" si="3"/>
        <v>215851.38237499996</v>
      </c>
      <c r="K57" s="38">
        <f t="shared" si="3"/>
        <v>215851.38237499996</v>
      </c>
      <c r="L57" s="38">
        <f t="shared" si="3"/>
        <v>215851.38237499996</v>
      </c>
      <c r="M57" s="38">
        <f t="shared" si="3"/>
        <v>215851.38237499996</v>
      </c>
      <c r="N57" s="38">
        <f t="shared" si="3"/>
        <v>215851.38237499996</v>
      </c>
    </row>
    <row r="58" spans="2:14">
      <c r="B58" s="39"/>
    </row>
    <row r="59" spans="2:14" ht="15" customHeight="1">
      <c r="B59" s="37" t="s">
        <v>657</v>
      </c>
      <c r="C59" s="40">
        <f>C55/C57</f>
        <v>4.0386027530068116</v>
      </c>
      <c r="D59" s="40">
        <f t="shared" ref="C59:N59" si="4">D55/D57</f>
        <v>4.2749500431592997</v>
      </c>
      <c r="E59" s="40">
        <f t="shared" si="4"/>
        <v>4.4243128697729786</v>
      </c>
      <c r="F59" s="40">
        <f t="shared" si="4"/>
        <v>4.4117998241288809</v>
      </c>
      <c r="G59" s="40">
        <f t="shared" si="4"/>
        <v>4.6324626291381685</v>
      </c>
      <c r="H59" s="40">
        <f t="shared" si="4"/>
        <v>4.4958715090091435</v>
      </c>
      <c r="I59" s="40">
        <f t="shared" si="4"/>
        <v>4.1667606202190806</v>
      </c>
      <c r="J59" s="40">
        <f t="shared" si="4"/>
        <v>4.5351271658725283</v>
      </c>
      <c r="K59" s="40">
        <f t="shared" si="4"/>
        <v>4.6985743220214156</v>
      </c>
      <c r="L59" s="40">
        <f t="shared" si="4"/>
        <v>4.6271815816532875</v>
      </c>
      <c r="M59" s="40">
        <f t="shared" si="4"/>
        <v>4.6401676726810965</v>
      </c>
      <c r="N59" s="40">
        <f t="shared" si="4"/>
        <v>4.6744921287882546</v>
      </c>
    </row>
  </sheetData>
  <autoFilter ref="B6:N25" xr:uid="{00000000-0009-0000-0000-00000E000000}"/>
  <sortState xmlns:xlrd2="http://schemas.microsoft.com/office/spreadsheetml/2017/richdata2" ref="B42:B52">
    <sortCondition ref="B42:B52"/>
  </sortState>
  <pageMargins left="0.25" right="0.25" top="0.75" bottom="0.75" header="0.511811023622047" footer="0.511811023622047"/>
  <pageSetup paperSize="9" orientation="landscape"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2:L60"/>
  <sheetViews>
    <sheetView showGridLines="0" zoomScaleNormal="100" workbookViewId="0">
      <pane ySplit="6" topLeftCell="A7" activePane="bottomLeft" state="frozen"/>
      <selection pane="bottomLeft"/>
    </sheetView>
  </sheetViews>
  <sheetFormatPr baseColWidth="10" defaultColWidth="8.6640625" defaultRowHeight="15"/>
  <cols>
    <col min="1" max="1" width="4.33203125" style="12" customWidth="1"/>
    <col min="2" max="2" width="16" style="12" customWidth="1"/>
    <col min="3" max="3" width="42.33203125" style="12" customWidth="1"/>
    <col min="4" max="4" width="14" style="12" customWidth="1"/>
    <col min="5" max="7" width="16" style="12" customWidth="1"/>
    <col min="8" max="8" width="18" style="12" customWidth="1"/>
    <col min="9" max="9" width="8.6640625" style="12"/>
    <col min="10" max="11" width="12.6640625" style="12" customWidth="1"/>
    <col min="12" max="12" width="11.6640625" style="12" customWidth="1"/>
    <col min="13" max="16384" width="8.6640625" style="12"/>
  </cols>
  <sheetData>
    <row r="2" spans="2:12" ht="18">
      <c r="B2" s="164" t="s">
        <v>786</v>
      </c>
    </row>
    <row r="3" spans="2:12" ht="15" customHeight="1">
      <c r="B3" s="104" t="s">
        <v>658</v>
      </c>
      <c r="C3" s="27"/>
      <c r="D3" s="27"/>
      <c r="E3" s="27"/>
      <c r="F3" s="27"/>
      <c r="G3" s="27"/>
      <c r="H3" s="27"/>
    </row>
    <row r="4" spans="2:12" ht="15" customHeight="1">
      <c r="B4" s="104" t="s">
        <v>748</v>
      </c>
      <c r="C4" s="27"/>
      <c r="D4" s="27"/>
      <c r="E4" s="27"/>
      <c r="F4" s="27"/>
      <c r="G4" s="27"/>
      <c r="H4" s="27"/>
    </row>
    <row r="5" spans="2:12" ht="15" customHeight="1">
      <c r="B5" s="28"/>
      <c r="C5" s="28"/>
      <c r="D5" s="28"/>
      <c r="E5" s="28"/>
      <c r="F5" s="28"/>
      <c r="G5" s="28"/>
      <c r="H5" s="28"/>
    </row>
    <row r="6" spans="2:12" ht="15" customHeight="1">
      <c r="B6" s="11" t="s">
        <v>26</v>
      </c>
      <c r="C6" s="11" t="s">
        <v>27</v>
      </c>
      <c r="D6" s="11" t="s">
        <v>37</v>
      </c>
      <c r="E6" s="11" t="s">
        <v>659</v>
      </c>
      <c r="F6" s="11" t="s">
        <v>660</v>
      </c>
      <c r="G6" s="11" t="s">
        <v>661</v>
      </c>
      <c r="H6" s="11" t="s">
        <v>662</v>
      </c>
    </row>
    <row r="7" spans="2:12" ht="15" customHeight="1">
      <c r="B7" s="19" t="s">
        <v>40</v>
      </c>
      <c r="C7" s="14" t="s">
        <v>41</v>
      </c>
      <c r="D7" s="14" t="s">
        <v>42</v>
      </c>
      <c r="E7" s="16">
        <f>ABS(SUMIFS('Allocated Transactions'!$J:$J,'Allocated Transactions'!$D:$D,$B7,'Allocated Transactions'!$K:$K,"Opening"))</f>
        <v>185000</v>
      </c>
      <c r="F7" s="16">
        <f>SUMIFS('Allocated Transactions'!$H:$H,'Allocated Transactions'!$D:$D,$B7,'Allocated Transactions'!$K:$K,"GL")</f>
        <v>2839768.1199999996</v>
      </c>
      <c r="G7" s="16">
        <f>SUMIFS('Allocated Transactions'!$I:$I,'Allocated Transactions'!$D:$D,$B7,'Allocated Transactions'!$K:$K,"GL")</f>
        <v>326664.66999999987</v>
      </c>
      <c r="H7" s="16">
        <f t="shared" ref="H7:H14" si="0">E7+F7-G7</f>
        <v>2698103.4499999997</v>
      </c>
      <c r="J7" s="118"/>
    </row>
    <row r="8" spans="2:12" ht="15" customHeight="1">
      <c r="B8" s="19" t="s">
        <v>4</v>
      </c>
      <c r="C8" s="14" t="s">
        <v>45</v>
      </c>
      <c r="D8" s="14" t="s">
        <v>42</v>
      </c>
      <c r="E8" s="16">
        <f>ABS(SUMIFS('Allocated Transactions'!$J:$J,'Allocated Transactions'!$D:$D,$B8,'Allocated Transactions'!$K:$K,"Opening"))</f>
        <v>42000</v>
      </c>
      <c r="F8" s="16">
        <f>SUMIFS('Allocated Transactions'!$H:$H,'Allocated Transactions'!$D:$D,$B8,'Allocated Transactions'!$K:$K,"GL")</f>
        <v>0</v>
      </c>
      <c r="G8" s="16">
        <f>SUMIFS('Allocated Transactions'!$I:$I,'Allocated Transactions'!$D:$D,$B8,'Allocated Transactions'!$K:$K,"GL")</f>
        <v>1833166.35</v>
      </c>
      <c r="H8" s="16">
        <f t="shared" si="0"/>
        <v>-1791166.35</v>
      </c>
    </row>
    <row r="9" spans="2:12" ht="15" customHeight="1">
      <c r="B9" s="19" t="s">
        <v>46</v>
      </c>
      <c r="C9" s="14" t="s">
        <v>47</v>
      </c>
      <c r="D9" s="14" t="s">
        <v>42</v>
      </c>
      <c r="E9" s="16">
        <f>ABS(SUMIFS('Allocated Transactions'!$J:$J,'Allocated Transactions'!$D:$D,$B9,'Allocated Transactions'!$K:$K,"Opening"))</f>
        <v>250000</v>
      </c>
      <c r="F9" s="30">
        <f>SUMIFS('Allocated Transactions'!$H:$H,'Allocated Transactions'!$D:$D,$B9,'Allocated Transactions'!$K:$K,"GL")</f>
        <v>10638.359999999999</v>
      </c>
      <c r="G9" s="30">
        <f>SUMIFS('Allocated Transactions'!$I:$I,'Allocated Transactions'!$D:$D,$B9,'Allocated Transactions'!$K:$K,"GL")</f>
        <v>0</v>
      </c>
      <c r="H9" s="16">
        <f t="shared" si="0"/>
        <v>260638.36</v>
      </c>
    </row>
    <row r="10" spans="2:12" ht="15" customHeight="1">
      <c r="B10" s="19" t="s">
        <v>48</v>
      </c>
      <c r="C10" s="14" t="s">
        <v>49</v>
      </c>
      <c r="D10" s="14" t="s">
        <v>42</v>
      </c>
      <c r="E10" s="16">
        <f>ABS(SUMIFS('Allocated Transactions'!$J:$J,'Allocated Transactions'!$D:$D,$B10,'Allocated Transactions'!$K:$K,"Opening"))</f>
        <v>38500</v>
      </c>
      <c r="F10" s="30">
        <f>SUMIFS('Allocated Transactions'!$H:$H,'Allocated Transactions'!$D:$D,$B10,'Allocated Transactions'!$K:$K,"GL")</f>
        <v>377393.56000000006</v>
      </c>
      <c r="G10" s="30">
        <f>SUMIFS('Allocated Transactions'!$I:$I,'Allocated Transactions'!$D:$D,$B10,'Allocated Transactions'!$K:$K,"GL")</f>
        <v>0</v>
      </c>
      <c r="H10" s="16">
        <f t="shared" si="0"/>
        <v>415893.56000000006</v>
      </c>
    </row>
    <row r="11" spans="2:12" ht="15" customHeight="1">
      <c r="B11" s="19" t="s">
        <v>51</v>
      </c>
      <c r="C11" s="14" t="s">
        <v>52</v>
      </c>
      <c r="D11" s="14" t="s">
        <v>42</v>
      </c>
      <c r="E11" s="16">
        <f>ABS(SUMIFS('Allocated Transactions'!$J:$J,'Allocated Transactions'!$D:$D,$B11,'Allocated Transactions'!$K:$K,"Opening"))</f>
        <v>96000</v>
      </c>
      <c r="F11" s="30">
        <f>SUMIFS('Allocated Transactions'!$H:$H,'Allocated Transactions'!$D:$D,$B11,'Allocated Transactions'!$K:$K,"GL")</f>
        <v>743862.12000000011</v>
      </c>
      <c r="G11" s="30">
        <f>SUMIFS('Allocated Transactions'!$I:$I,'Allocated Transactions'!$D:$D,$B11,'Allocated Transactions'!$K:$K,"GL")</f>
        <v>716695.37000000011</v>
      </c>
      <c r="H11" s="16">
        <f t="shared" si="0"/>
        <v>123166.75</v>
      </c>
    </row>
    <row r="12" spans="2:12" ht="15" customHeight="1">
      <c r="B12" s="19" t="s">
        <v>53</v>
      </c>
      <c r="C12" s="14" t="s">
        <v>54</v>
      </c>
      <c r="D12" s="14" t="s">
        <v>42</v>
      </c>
      <c r="E12" s="16">
        <f>ABS(SUMIFS('Allocated Transactions'!$J:$J,'Allocated Transactions'!$D:$D,$B12,'Allocated Transactions'!$K:$K,"Opening"))</f>
        <v>0</v>
      </c>
      <c r="F12" s="30">
        <f>SUMIFS('Allocated Transactions'!$H:$H,'Allocated Transactions'!$D:$D,$B12,'Allocated Transactions'!$K:$K,"GL")</f>
        <v>32400</v>
      </c>
      <c r="G12" s="30">
        <f>SUMIFS('Allocated Transactions'!$I:$I,'Allocated Transactions'!$D:$D,$B12,'Allocated Transactions'!$K:$K,"GL")</f>
        <v>32400.080000000002</v>
      </c>
      <c r="H12" s="16">
        <f t="shared" si="0"/>
        <v>-8.000000000174623E-2</v>
      </c>
    </row>
    <row r="13" spans="2:12" ht="15" customHeight="1">
      <c r="B13" s="19" t="s">
        <v>55</v>
      </c>
      <c r="C13" s="14" t="s">
        <v>56</v>
      </c>
      <c r="D13" s="14" t="s">
        <v>42</v>
      </c>
      <c r="E13" s="16">
        <f>ABS(SUMIFS('Allocated Transactions'!$J:$J,'Allocated Transactions'!$D:$D,$B13,'Allocated Transactions'!$K:$K,"Opening"))</f>
        <v>145000</v>
      </c>
      <c r="F13" s="30">
        <f>SUMIFS('Allocated Transactions'!$H:$H,'Allocated Transactions'!$D:$D,$B13,'Allocated Transactions'!$K:$K,"GL")</f>
        <v>18500</v>
      </c>
      <c r="G13" s="30">
        <f>SUMIFS('Allocated Transactions'!$I:$I,'Allocated Transactions'!$D:$D,$B13,'Allocated Transactions'!$K:$K,"GL")</f>
        <v>0</v>
      </c>
      <c r="H13" s="16">
        <f t="shared" si="0"/>
        <v>163500</v>
      </c>
    </row>
    <row r="14" spans="2:12" ht="15" customHeight="1">
      <c r="B14" s="19" t="s">
        <v>58</v>
      </c>
      <c r="C14" s="14" t="s">
        <v>59</v>
      </c>
      <c r="D14" s="14" t="s">
        <v>42</v>
      </c>
      <c r="E14" s="16">
        <f>ABS(SUMIFS('Allocated Transactions'!$J:$J,'Allocated Transactions'!$D:$D,$B14,'Allocated Transactions'!$K:$K,"Opening"))</f>
        <v>62000</v>
      </c>
      <c r="F14" s="30">
        <f>SUMIFS('Allocated Transactions'!$H:$H,'Allocated Transactions'!$D:$D,$B14,'Allocated Transactions'!$K:$K,"GL")</f>
        <v>0</v>
      </c>
      <c r="G14" s="30">
        <f>SUMIFS('Allocated Transactions'!$I:$I,'Allocated Transactions'!$D:$D,$B14,'Allocated Transactions'!$K:$K,"GL")</f>
        <v>29400</v>
      </c>
      <c r="H14" s="16">
        <f>-(E14+G14-F14)</f>
        <v>-91400</v>
      </c>
    </row>
    <row r="15" spans="2:12" ht="15" customHeight="1">
      <c r="B15" s="19" t="s">
        <v>61</v>
      </c>
      <c r="C15" s="14" t="s">
        <v>62</v>
      </c>
      <c r="D15" s="14" t="s">
        <v>42</v>
      </c>
      <c r="E15" s="16">
        <f>ABS(SUMIFS('Allocated Transactions'!$J:$J,'Allocated Transactions'!$D:$D,$B15,'Allocated Transactions'!$K:$K,"Opening"))</f>
        <v>8000</v>
      </c>
      <c r="F15" s="30">
        <f>SUMIFS('Allocated Transactions'!$H:$H,'Allocated Transactions'!$D:$D,$B15,'Allocated Transactions'!$K:$K,"GL")</f>
        <v>0</v>
      </c>
      <c r="G15" s="30">
        <f>SUMIFS('Allocated Transactions'!$I:$I,'Allocated Transactions'!$D:$D,$B15,'Allocated Transactions'!$K:$K,"GL")</f>
        <v>0</v>
      </c>
      <c r="H15" s="16">
        <f>E15+F15-G15</f>
        <v>8000</v>
      </c>
      <c r="J15" s="21"/>
      <c r="K15" s="21"/>
      <c r="L15" s="118"/>
    </row>
    <row r="16" spans="2:12" ht="15" customHeight="1">
      <c r="B16" s="19" t="s">
        <v>63</v>
      </c>
      <c r="C16" s="14" t="s">
        <v>64</v>
      </c>
      <c r="D16" s="14" t="s">
        <v>65</v>
      </c>
      <c r="E16" s="16">
        <f>ABS(SUMIFS('Allocated Transactions'!$J:$J,'Allocated Transactions'!$D:$D,$B16,'Allocated Transactions'!$K:$K,"Opening"))</f>
        <v>23763.8</v>
      </c>
      <c r="F16" s="30">
        <f>SUMIFS('Allocated Transactions'!$H:$H,'Allocated Transactions'!$D:$D,$B16,'Allocated Transactions'!$K:$K,"GL")</f>
        <v>177772.28</v>
      </c>
      <c r="G16" s="30">
        <f>SUMIFS('Allocated Transactions'!$I:$I,'Allocated Transactions'!$D:$D,$B16,'Allocated Transactions'!$K:$K,"GL")</f>
        <v>266385.19000000006</v>
      </c>
      <c r="H16" s="16">
        <f t="shared" ref="H16:H30" si="1">E16+G16-F16</f>
        <v>112376.71000000005</v>
      </c>
    </row>
    <row r="17" spans="2:11" ht="15" customHeight="1">
      <c r="B17" s="19" t="s">
        <v>12</v>
      </c>
      <c r="C17" s="14" t="s">
        <v>66</v>
      </c>
      <c r="D17" s="14" t="s">
        <v>65</v>
      </c>
      <c r="E17" s="16">
        <f>ABS(SUMIFS('Allocated Transactions'!$J:$J,'Allocated Transactions'!$D:$D,$B17,'Allocated Transactions'!$K:$K,"Opening"))</f>
        <v>31000</v>
      </c>
      <c r="F17" s="30">
        <f>SUMIFS('Allocated Transactions'!$H:$H,'Allocated Transactions'!$D:$D,$B17,'Allocated Transactions'!$K:$K,"GL")</f>
        <v>1833166.35</v>
      </c>
      <c r="G17" s="30">
        <f>SUMIFS('Allocated Transactions'!$I:$I,'Allocated Transactions'!$D:$D,$B17,'Allocated Transactions'!$K:$K,"GL")</f>
        <v>1833166.3500000006</v>
      </c>
      <c r="H17" s="16">
        <f t="shared" si="1"/>
        <v>31000.000000000466</v>
      </c>
    </row>
    <row r="18" spans="2:11" ht="15" customHeight="1">
      <c r="B18" s="19" t="s">
        <v>14</v>
      </c>
      <c r="C18" s="14" t="s">
        <v>67</v>
      </c>
      <c r="D18" s="14" t="s">
        <v>65</v>
      </c>
      <c r="E18" s="16">
        <f>ABS(SUMIFS('Allocated Transactions'!$J:$J,'Allocated Transactions'!$D:$D,$B18,'Allocated Transactions'!$K:$K,"Opening"))</f>
        <v>18500</v>
      </c>
      <c r="F18" s="30">
        <f>SUMIFS('Allocated Transactions'!$H:$H,'Allocated Transactions'!$D:$D,$B18,'Allocated Transactions'!$K:$K,"GL")</f>
        <v>0</v>
      </c>
      <c r="G18" s="30">
        <f>SUMIFS('Allocated Transactions'!$I:$I,'Allocated Transactions'!$D:$D,$B18,'Allocated Transactions'!$K:$K,"GL")</f>
        <v>369612.315934579</v>
      </c>
      <c r="H18" s="16">
        <f t="shared" si="1"/>
        <v>388112.315934579</v>
      </c>
    </row>
    <row r="19" spans="2:11" ht="15" customHeight="1">
      <c r="B19" s="19" t="s">
        <v>68</v>
      </c>
      <c r="C19" s="14" t="s">
        <v>69</v>
      </c>
      <c r="D19" s="14" t="s">
        <v>65</v>
      </c>
      <c r="E19" s="16">
        <f>ABS(SUMIFS('Allocated Transactions'!$J:$J,'Allocated Transactions'!$D:$D,$B19,'Allocated Transactions'!$K:$K,"Opening"))</f>
        <v>41000</v>
      </c>
      <c r="F19" s="30">
        <f>SUMIFS('Allocated Transactions'!$H:$H,'Allocated Transactions'!$D:$D,$B19,'Allocated Transactions'!$K:$K,"GL")</f>
        <v>25000</v>
      </c>
      <c r="G19" s="30">
        <f>SUMIFS('Allocated Transactions'!$I:$I,'Allocated Transactions'!$D:$D,$B19,'Allocated Transactions'!$K:$K,"GL")</f>
        <v>0</v>
      </c>
      <c r="H19" s="16">
        <f t="shared" si="1"/>
        <v>16000</v>
      </c>
      <c r="K19" s="118"/>
    </row>
    <row r="20" spans="2:11" ht="15" customHeight="1">
      <c r="B20" s="19" t="s">
        <v>70</v>
      </c>
      <c r="C20" s="14" t="s">
        <v>71</v>
      </c>
      <c r="D20" s="14" t="s">
        <v>65</v>
      </c>
      <c r="E20" s="16">
        <f>ABS(SUMIFS('Allocated Transactions'!$J:$J,'Allocated Transactions'!$D:$D,$B20,'Allocated Transactions'!$K:$K,"Opening"))</f>
        <v>22000</v>
      </c>
      <c r="F20" s="30">
        <f>SUMIFS('Allocated Transactions'!$H:$H,'Allocated Transactions'!$D:$D,$B20,'Allocated Transactions'!$K:$K,"GL")</f>
        <v>0</v>
      </c>
      <c r="G20" s="30">
        <f>SUMIFS('Allocated Transactions'!$I:$I,'Allocated Transactions'!$D:$D,$B20,'Allocated Transactions'!$K:$K,"GL")</f>
        <v>0</v>
      </c>
      <c r="H20" s="16">
        <f t="shared" si="1"/>
        <v>22000</v>
      </c>
    </row>
    <row r="21" spans="2:11" ht="15" customHeight="1">
      <c r="B21" s="19" t="s">
        <v>72</v>
      </c>
      <c r="C21" s="14" t="s">
        <v>73</v>
      </c>
      <c r="D21" s="14" t="s">
        <v>65</v>
      </c>
      <c r="E21" s="16">
        <f>ABS(SUMIFS('Allocated Transactions'!$J:$J,'Allocated Transactions'!$D:$D,$B21,'Allocated Transactions'!$K:$K,"Opening"))</f>
        <v>15000</v>
      </c>
      <c r="F21" s="30">
        <f>SUMIFS('Allocated Transactions'!$H:$H,'Allocated Transactions'!$D:$D,$B21,'Allocated Transactions'!$K:$K,"GL")</f>
        <v>0</v>
      </c>
      <c r="G21" s="30">
        <f>SUMIFS('Allocated Transactions'!$I:$I,'Allocated Transactions'!$D:$D,$B21,'Allocated Transactions'!$K:$K,"GL")</f>
        <v>40000</v>
      </c>
      <c r="H21" s="16">
        <f t="shared" si="1"/>
        <v>55000</v>
      </c>
    </row>
    <row r="22" spans="2:11" ht="15" customHeight="1">
      <c r="B22" s="19" t="s">
        <v>75</v>
      </c>
      <c r="C22" s="14" t="s">
        <v>76</v>
      </c>
      <c r="D22" s="14" t="s">
        <v>65</v>
      </c>
      <c r="E22" s="16">
        <f>ABS(SUMIFS('Allocated Transactions'!$J:$J,'Allocated Transactions'!$D:$D,$B22,'Allocated Transactions'!$K:$K,"Opening"))</f>
        <v>85000</v>
      </c>
      <c r="F22" s="30">
        <f>SUMIFS('Allocated Transactions'!$H:$H,'Allocated Transactions'!$D:$D,$B22,'Allocated Transactions'!$K:$K,"GL")</f>
        <v>14160</v>
      </c>
      <c r="G22" s="30">
        <f>SUMIFS('Allocated Transactions'!$I:$I,'Allocated Transactions'!$D:$D,$B22,'Allocated Transactions'!$K:$K,"GL")</f>
        <v>0</v>
      </c>
      <c r="H22" s="16">
        <f t="shared" si="1"/>
        <v>70840</v>
      </c>
    </row>
    <row r="23" spans="2:11" ht="15" customHeight="1">
      <c r="B23" s="19" t="s">
        <v>77</v>
      </c>
      <c r="C23" s="14" t="s">
        <v>78</v>
      </c>
      <c r="D23" s="14" t="s">
        <v>79</v>
      </c>
      <c r="E23" s="16">
        <f>ABS(SUMIFS('Allocated Transactions'!$J:$J,'Allocated Transactions'!$D:$D,$B23,'Allocated Transactions'!$K:$K,"Opening"))</f>
        <v>310000</v>
      </c>
      <c r="F23" s="30">
        <f>SUMIFS('Allocated Transactions'!$H:$H,'Allocated Transactions'!$D:$D,$B23,'Allocated Transactions'!$K:$K,"GL")</f>
        <v>1051255.68</v>
      </c>
      <c r="G23" s="30">
        <f>SUMIFS('Allocated Transactions'!$I:$I,'Allocated Transactions'!$D:$D,$B23,'Allocated Transactions'!$K:$K,"GL")</f>
        <v>1051255.6800000002</v>
      </c>
      <c r="H23" s="16">
        <f t="shared" si="1"/>
        <v>310000.00000000023</v>
      </c>
    </row>
    <row r="24" spans="2:11" ht="15" customHeight="1">
      <c r="B24" s="19" t="s">
        <v>81</v>
      </c>
      <c r="C24" s="14" t="s">
        <v>82</v>
      </c>
      <c r="D24" s="14" t="s">
        <v>79</v>
      </c>
      <c r="E24" s="16">
        <f>ABS(SUMIFS('Allocated Transactions'!$J:$J,'Allocated Transactions'!$D:$D,$B24,'Allocated Transactions'!$K:$K,"Opening"))</f>
        <v>138300</v>
      </c>
      <c r="F24" s="30">
        <f>SUMIFS('Allocated Transactions'!$H:$H,'Allocated Transactions'!$D:$D,$B24,'Allocated Transactions'!$K:$K,"GL")</f>
        <v>1051255.6800000002</v>
      </c>
      <c r="G24" s="30">
        <f>SUMIFS('Allocated Transactions'!$I:$I,'Allocated Transactions'!$D:$D,$B24,'Allocated Transactions'!$K:$K,"GL")</f>
        <v>1121255.68</v>
      </c>
      <c r="H24" s="16">
        <f t="shared" si="1"/>
        <v>208299.99999999977</v>
      </c>
      <c r="J24" s="21"/>
      <c r="K24" s="21"/>
    </row>
    <row r="25" spans="2:11" ht="15" customHeight="1">
      <c r="B25" s="19" t="s">
        <v>83</v>
      </c>
      <c r="C25" s="14" t="s">
        <v>84</v>
      </c>
      <c r="D25" s="14" t="s">
        <v>85</v>
      </c>
      <c r="E25" s="16">
        <v>0</v>
      </c>
      <c r="F25" s="30">
        <f>SUMIFS('Allocated Transactions'!$H:$H,'Allocated Transactions'!$D:$D,$B25,'Allocated Transactions'!$K:$K,"GL")</f>
        <v>0</v>
      </c>
      <c r="G25" s="30">
        <f>SUMIFS('Allocated Transactions'!$I:$I,'Allocated Transactions'!$D:$D,$B25,'Allocated Transactions'!$K:$K,"GL")</f>
        <v>1480343.2700000005</v>
      </c>
      <c r="H25" s="16">
        <f t="shared" si="1"/>
        <v>1480343.2700000005</v>
      </c>
    </row>
    <row r="26" spans="2:11" ht="15" customHeight="1">
      <c r="B26" s="19" t="s">
        <v>86</v>
      </c>
      <c r="C26" s="14" t="s">
        <v>87</v>
      </c>
      <c r="D26" s="14" t="s">
        <v>85</v>
      </c>
      <c r="E26" s="16">
        <v>0</v>
      </c>
      <c r="F26" s="30">
        <f>SUMIFS('Allocated Transactions'!$H:$H,'Allocated Transactions'!$D:$D,$B26,'Allocated Transactions'!$K:$K,"GL")</f>
        <v>0</v>
      </c>
      <c r="G26" s="30">
        <f>SUMIFS('Allocated Transactions'!$I:$I,'Allocated Transactions'!$D:$D,$B26,'Allocated Transactions'!$K:$K,"GL")</f>
        <v>673862.12000000023</v>
      </c>
      <c r="H26" s="16">
        <f t="shared" si="1"/>
        <v>673862.12000000023</v>
      </c>
    </row>
    <row r="27" spans="2:11" ht="15" customHeight="1">
      <c r="B27" s="19" t="s">
        <v>88</v>
      </c>
      <c r="C27" s="14" t="s">
        <v>89</v>
      </c>
      <c r="D27" s="14" t="s">
        <v>85</v>
      </c>
      <c r="E27" s="16">
        <v>0</v>
      </c>
      <c r="F27" s="30">
        <f>SUMIFS('Allocated Transactions'!$H:$H,'Allocated Transactions'!$D:$D,$B27,'Allocated Transactions'!$K:$K,"GL")</f>
        <v>0</v>
      </c>
      <c r="G27" s="30">
        <f>SUMIFS('Allocated Transactions'!$I:$I,'Allocated Transactions'!$D:$D,$B27,'Allocated Transactions'!$K:$K,"GL")</f>
        <v>377393.55999999959</v>
      </c>
      <c r="H27" s="16">
        <f t="shared" si="1"/>
        <v>377393.55999999959</v>
      </c>
    </row>
    <row r="28" spans="2:11" ht="15" customHeight="1">
      <c r="B28" s="19" t="s">
        <v>90</v>
      </c>
      <c r="C28" s="14" t="s">
        <v>91</v>
      </c>
      <c r="D28" s="14" t="s">
        <v>85</v>
      </c>
      <c r="E28" s="16">
        <v>0</v>
      </c>
      <c r="F28" s="30">
        <f>SUMIFS('Allocated Transactions'!$H:$H,'Allocated Transactions'!$D:$D,$B28,'Allocated Transactions'!$K:$K,"GL")</f>
        <v>0</v>
      </c>
      <c r="G28" s="30">
        <f>SUMIFS('Allocated Transactions'!$I:$I,'Allocated Transactions'!$D:$D,$B28,'Allocated Transactions'!$K:$K,"GL")</f>
        <v>623718.54000000074</v>
      </c>
      <c r="H28" s="16">
        <f t="shared" si="1"/>
        <v>623718.54000000074</v>
      </c>
    </row>
    <row r="29" spans="2:11" ht="15" customHeight="1">
      <c r="B29" s="19" t="s">
        <v>92</v>
      </c>
      <c r="C29" s="14" t="s">
        <v>93</v>
      </c>
      <c r="D29" s="14" t="s">
        <v>85</v>
      </c>
      <c r="E29" s="16">
        <v>0</v>
      </c>
      <c r="F29" s="30">
        <f>SUMIFS('Allocated Transactions'!$H:$H,'Allocated Transactions'!$D:$D,$B29,'Allocated Transactions'!$K:$K,"GL")</f>
        <v>0</v>
      </c>
      <c r="G29" s="30">
        <f>SUMIFS('Allocated Transactions'!$I:$I,'Allocated Transactions'!$D:$D,$B29,'Allocated Transactions'!$K:$K,"GL")</f>
        <v>10638.359999999999</v>
      </c>
      <c r="H29" s="16">
        <f t="shared" si="1"/>
        <v>10638.359999999999</v>
      </c>
    </row>
    <row r="30" spans="2:11" ht="15" customHeight="1">
      <c r="B30" s="19" t="s">
        <v>94</v>
      </c>
      <c r="C30" s="14" t="s">
        <v>95</v>
      </c>
      <c r="D30" s="14" t="s">
        <v>85</v>
      </c>
      <c r="E30" s="16">
        <v>0</v>
      </c>
      <c r="F30" s="30">
        <f>SUMIFS('Allocated Transactions'!$H:$H,'Allocated Transactions'!$D:$D,$B30,'Allocated Transactions'!$K:$K,"GL")</f>
        <v>0</v>
      </c>
      <c r="G30" s="30">
        <f>SUMIFS('Allocated Transactions'!$I:$I,'Allocated Transactions'!$D:$D,$B30,'Allocated Transactions'!$K:$K,"GL")</f>
        <v>4010.92</v>
      </c>
      <c r="H30" s="16">
        <f t="shared" si="1"/>
        <v>4010.92</v>
      </c>
    </row>
    <row r="31" spans="2:11" ht="15" customHeight="1">
      <c r="B31" s="19" t="s">
        <v>28</v>
      </c>
      <c r="C31" s="14" t="s">
        <v>96</v>
      </c>
      <c r="D31" s="14" t="s">
        <v>97</v>
      </c>
      <c r="E31" s="16">
        <v>0</v>
      </c>
      <c r="F31" s="30">
        <f>SUMIFS('Allocated Transactions'!$H:$H,'Allocated Transactions'!$D:$D,$B31,'Allocated Transactions'!$K:$K,"GL")</f>
        <v>1506918.5100000012</v>
      </c>
      <c r="G31" s="30">
        <f>SUMIFS('Allocated Transactions'!$I:$I,'Allocated Transactions'!$D:$D,$B31,'Allocated Transactions'!$K:$K,"GL")</f>
        <v>0</v>
      </c>
      <c r="H31" s="16">
        <f t="shared" ref="H31:H48" si="2">E31+F31-G31</f>
        <v>1506918.5100000012</v>
      </c>
    </row>
    <row r="32" spans="2:11" ht="15" customHeight="1">
      <c r="B32" s="19" t="s">
        <v>29</v>
      </c>
      <c r="C32" s="14" t="s">
        <v>98</v>
      </c>
      <c r="D32" s="14" t="s">
        <v>97</v>
      </c>
      <c r="E32" s="16">
        <v>0</v>
      </c>
      <c r="F32" s="30">
        <f>SUMIFS('Allocated Transactions'!$H:$H,'Allocated Transactions'!$D:$D,$B32,'Allocated Transactions'!$K:$K,"GL")</f>
        <v>115279.26000000002</v>
      </c>
      <c r="G32" s="30">
        <f>SUMIFS('Allocated Transactions'!$I:$I,'Allocated Transactions'!$D:$D,$B32,'Allocated Transactions'!$K:$K,"GL")</f>
        <v>0</v>
      </c>
      <c r="H32" s="16">
        <f t="shared" si="2"/>
        <v>115279.26000000002</v>
      </c>
    </row>
    <row r="33" spans="2:8" ht="15" customHeight="1">
      <c r="B33" s="19" t="s">
        <v>30</v>
      </c>
      <c r="C33" s="14" t="s">
        <v>99</v>
      </c>
      <c r="D33" s="14" t="s">
        <v>97</v>
      </c>
      <c r="E33" s="16">
        <v>0</v>
      </c>
      <c r="F33" s="30">
        <f>SUMIFS('Allocated Transactions'!$H:$H,'Allocated Transactions'!$D:$D,$B33,'Allocated Transactions'!$K:$K,"GL")</f>
        <v>535373.36593457905</v>
      </c>
      <c r="G33" s="30">
        <f>SUMIFS('Allocated Transactions'!$I:$I,'Allocated Transactions'!$D:$D,$B33,'Allocated Transactions'!$K:$K,"GL")</f>
        <v>0</v>
      </c>
      <c r="H33" s="16">
        <f t="shared" si="2"/>
        <v>535373.36593457905</v>
      </c>
    </row>
    <row r="34" spans="2:8" ht="15" customHeight="1">
      <c r="B34" s="19" t="s">
        <v>31</v>
      </c>
      <c r="C34" s="14" t="s">
        <v>100</v>
      </c>
      <c r="D34" s="14" t="s">
        <v>97</v>
      </c>
      <c r="E34" s="16">
        <v>0</v>
      </c>
      <c r="F34" s="30">
        <f>SUMIFS('Allocated Transactions'!$H:$H,'Allocated Transactions'!$D:$D,$B34,'Allocated Transactions'!$K:$K,"GL")</f>
        <v>45207.530000000013</v>
      </c>
      <c r="G34" s="30">
        <f>SUMIFS('Allocated Transactions'!$I:$I,'Allocated Transactions'!$D:$D,$B34,'Allocated Transactions'!$K:$K,"GL")</f>
        <v>0</v>
      </c>
      <c r="H34" s="16">
        <f t="shared" si="2"/>
        <v>45207.530000000013</v>
      </c>
    </row>
    <row r="35" spans="2:8" ht="15" customHeight="1">
      <c r="B35" s="19" t="s">
        <v>101</v>
      </c>
      <c r="C35" s="14" t="s">
        <v>102</v>
      </c>
      <c r="D35" s="14" t="s">
        <v>97</v>
      </c>
      <c r="E35" s="16">
        <v>0</v>
      </c>
      <c r="F35" s="30">
        <f>SUMIFS('Allocated Transactions'!$H:$H,'Allocated Transactions'!$D:$D,$B35,'Allocated Transactions'!$K:$K,"GL")</f>
        <v>55785.71</v>
      </c>
      <c r="G35" s="30">
        <f>SUMIFS('Allocated Transactions'!$I:$I,'Allocated Transactions'!$D:$D,$B35,'Allocated Transactions'!$K:$K,"GL")</f>
        <v>0</v>
      </c>
      <c r="H35" s="16">
        <f t="shared" si="2"/>
        <v>55785.71</v>
      </c>
    </row>
    <row r="36" spans="2:8" ht="15" customHeight="1">
      <c r="B36" s="19" t="s">
        <v>32</v>
      </c>
      <c r="C36" s="14" t="s">
        <v>103</v>
      </c>
      <c r="D36" s="14" t="s">
        <v>97</v>
      </c>
      <c r="E36" s="16">
        <v>0</v>
      </c>
      <c r="F36" s="30">
        <f>SUMIFS('Allocated Transactions'!$H:$H,'Allocated Transactions'!$D:$D,$B36,'Allocated Transactions'!$K:$K,"GL")</f>
        <v>117600.00000000012</v>
      </c>
      <c r="G36" s="30">
        <f>SUMIFS('Allocated Transactions'!$I:$I,'Allocated Transactions'!$D:$D,$B36,'Allocated Transactions'!$K:$K,"GL")</f>
        <v>0</v>
      </c>
      <c r="H36" s="16">
        <f t="shared" si="2"/>
        <v>117600.00000000012</v>
      </c>
    </row>
    <row r="37" spans="2:8" ht="15" customHeight="1">
      <c r="B37" s="19" t="s">
        <v>33</v>
      </c>
      <c r="C37" s="14" t="s">
        <v>104</v>
      </c>
      <c r="D37" s="14" t="s">
        <v>97</v>
      </c>
      <c r="E37" s="16">
        <v>0</v>
      </c>
      <c r="F37" s="30">
        <f>SUMIFS('Allocated Transactions'!$H:$H,'Allocated Transactions'!$D:$D,$B37,'Allocated Transactions'!$K:$K,"GL")</f>
        <v>13839.039999999999</v>
      </c>
      <c r="G37" s="30">
        <f>SUMIFS('Allocated Transactions'!$I:$I,'Allocated Transactions'!$D:$D,$B37,'Allocated Transactions'!$K:$K,"GL")</f>
        <v>0</v>
      </c>
      <c r="H37" s="16">
        <f t="shared" si="2"/>
        <v>13839.039999999999</v>
      </c>
    </row>
    <row r="38" spans="2:8" ht="15" customHeight="1">
      <c r="B38" s="19" t="s">
        <v>105</v>
      </c>
      <c r="C38" s="14" t="s">
        <v>106</v>
      </c>
      <c r="D38" s="14" t="s">
        <v>97</v>
      </c>
      <c r="E38" s="16">
        <v>0</v>
      </c>
      <c r="F38" s="30">
        <f>SUMIFS('Allocated Transactions'!$H:$H,'Allocated Transactions'!$D:$D,$B38,'Allocated Transactions'!$K:$K,"GL")</f>
        <v>23561.059999999994</v>
      </c>
      <c r="G38" s="30">
        <f>SUMIFS('Allocated Transactions'!$I:$I,'Allocated Transactions'!$D:$D,$B38,'Allocated Transactions'!$K:$K,"GL")</f>
        <v>0</v>
      </c>
      <c r="H38" s="16">
        <f t="shared" si="2"/>
        <v>23561.059999999994</v>
      </c>
    </row>
    <row r="39" spans="2:8" ht="15" customHeight="1">
      <c r="B39" s="19" t="s">
        <v>107</v>
      </c>
      <c r="C39" s="14" t="s">
        <v>108</v>
      </c>
      <c r="D39" s="14" t="s">
        <v>97</v>
      </c>
      <c r="E39" s="16">
        <v>0</v>
      </c>
      <c r="F39" s="30">
        <f>SUMIFS('Allocated Transactions'!$H:$H,'Allocated Transactions'!$D:$D,$B39,'Allocated Transactions'!$K:$K,"GL")</f>
        <v>32640.51</v>
      </c>
      <c r="G39" s="30">
        <f>SUMIFS('Allocated Transactions'!$I:$I,'Allocated Transactions'!$D:$D,$B39,'Allocated Transactions'!$K:$K,"GL")</f>
        <v>0</v>
      </c>
      <c r="H39" s="16">
        <f t="shared" si="2"/>
        <v>32640.51</v>
      </c>
    </row>
    <row r="40" spans="2:8" ht="15" customHeight="1">
      <c r="B40" s="19" t="s">
        <v>109</v>
      </c>
      <c r="C40" s="14" t="s">
        <v>110</v>
      </c>
      <c r="D40" s="14" t="s">
        <v>97</v>
      </c>
      <c r="E40" s="16">
        <v>0</v>
      </c>
      <c r="F40" s="30">
        <f>SUMIFS('Allocated Transactions'!$H:$H,'Allocated Transactions'!$D:$D,$B40,'Allocated Transactions'!$K:$K,"GL")</f>
        <v>31786.2</v>
      </c>
      <c r="G40" s="30">
        <f>SUMIFS('Allocated Transactions'!$I:$I,'Allocated Transactions'!$D:$D,$B40,'Allocated Transactions'!$K:$K,"GL")</f>
        <v>0</v>
      </c>
      <c r="H40" s="16">
        <f t="shared" si="2"/>
        <v>31786.2</v>
      </c>
    </row>
    <row r="41" spans="2:8" ht="15" customHeight="1">
      <c r="B41" s="19" t="s">
        <v>111</v>
      </c>
      <c r="C41" s="14" t="s">
        <v>112</v>
      </c>
      <c r="D41" s="14" t="s">
        <v>97</v>
      </c>
      <c r="E41" s="16">
        <v>0</v>
      </c>
      <c r="F41" s="30">
        <f>SUMIFS('Allocated Transactions'!$H:$H,'Allocated Transactions'!$D:$D,$B41,'Allocated Transactions'!$K:$K,"GL")</f>
        <v>3113.11</v>
      </c>
      <c r="G41" s="30">
        <f>SUMIFS('Allocated Transactions'!$I:$I,'Allocated Transactions'!$D:$D,$B41,'Allocated Transactions'!$K:$K,"GL")</f>
        <v>0</v>
      </c>
      <c r="H41" s="16">
        <f t="shared" si="2"/>
        <v>3113.11</v>
      </c>
    </row>
    <row r="42" spans="2:8" ht="15" customHeight="1">
      <c r="B42" s="19" t="s">
        <v>113</v>
      </c>
      <c r="C42" s="14" t="s">
        <v>114</v>
      </c>
      <c r="D42" s="14" t="s">
        <v>97</v>
      </c>
      <c r="E42" s="16">
        <v>0</v>
      </c>
      <c r="F42" s="30">
        <f>SUMIFS('Allocated Transactions'!$H:$H,'Allocated Transactions'!$D:$D,$B42,'Allocated Transactions'!$K:$K,"GL")</f>
        <v>4732.54</v>
      </c>
      <c r="G42" s="30">
        <f>SUMIFS('Allocated Transactions'!$I:$I,'Allocated Transactions'!$D:$D,$B42,'Allocated Transactions'!$K:$K,"GL")</f>
        <v>0</v>
      </c>
      <c r="H42" s="16">
        <f t="shared" si="2"/>
        <v>4732.54</v>
      </c>
    </row>
    <row r="43" spans="2:8" ht="15" customHeight="1">
      <c r="B43" s="19" t="s">
        <v>115</v>
      </c>
      <c r="C43" s="14" t="s">
        <v>116</v>
      </c>
      <c r="D43" s="14" t="s">
        <v>97</v>
      </c>
      <c r="E43" s="16">
        <v>0</v>
      </c>
      <c r="F43" s="30">
        <f>SUMIFS('Allocated Transactions'!$H:$H,'Allocated Transactions'!$D:$D,$B43,'Allocated Transactions'!$K:$K,"GL")</f>
        <v>42730.64</v>
      </c>
      <c r="G43" s="30">
        <f>SUMIFS('Allocated Transactions'!$I:$I,'Allocated Transactions'!$D:$D,$B43,'Allocated Transactions'!$K:$K,"GL")</f>
        <v>0</v>
      </c>
      <c r="H43" s="16">
        <f t="shared" si="2"/>
        <v>42730.64</v>
      </c>
    </row>
    <row r="44" spans="2:8" ht="15" customHeight="1">
      <c r="B44" s="19" t="s">
        <v>117</v>
      </c>
      <c r="C44" s="14" t="s">
        <v>118</v>
      </c>
      <c r="D44" s="14" t="s">
        <v>97</v>
      </c>
      <c r="E44" s="16">
        <v>0</v>
      </c>
      <c r="F44" s="30">
        <f>SUMIFS('Allocated Transactions'!$H:$H,'Allocated Transactions'!$D:$D,$B44,'Allocated Transactions'!$K:$K,"GL")</f>
        <v>32400.080000000002</v>
      </c>
      <c r="G44" s="30">
        <f>SUMIFS('Allocated Transactions'!$I:$I,'Allocated Transactions'!$D:$D,$B44,'Allocated Transactions'!$K:$K,"GL")</f>
        <v>0</v>
      </c>
      <c r="H44" s="16">
        <f t="shared" si="2"/>
        <v>32400.080000000002</v>
      </c>
    </row>
    <row r="45" spans="2:8" ht="15" customHeight="1">
      <c r="B45" s="19" t="s">
        <v>119</v>
      </c>
      <c r="C45" s="14" t="s">
        <v>120</v>
      </c>
      <c r="D45" s="14" t="s">
        <v>97</v>
      </c>
      <c r="E45" s="16">
        <v>0</v>
      </c>
      <c r="F45" s="30">
        <f>SUMIFS('Allocated Transactions'!$H:$H,'Allocated Transactions'!$D:$D,$B45,'Allocated Transactions'!$K:$K,"GL")</f>
        <v>29400</v>
      </c>
      <c r="G45" s="30">
        <f>SUMIFS('Allocated Transactions'!$I:$I,'Allocated Transactions'!$D:$D,$B45,'Allocated Transactions'!$K:$K,"GL")</f>
        <v>0</v>
      </c>
      <c r="H45" s="16">
        <f t="shared" si="2"/>
        <v>29400</v>
      </c>
    </row>
    <row r="46" spans="2:8" ht="15" customHeight="1">
      <c r="B46" s="19" t="s">
        <v>121</v>
      </c>
      <c r="C46" s="14" t="s">
        <v>122</v>
      </c>
      <c r="D46" s="14" t="s">
        <v>97</v>
      </c>
      <c r="E46" s="16">
        <v>0</v>
      </c>
      <c r="F46" s="30">
        <f>SUMIFS('Allocated Transactions'!$H:$H,'Allocated Transactions'!$D:$D,$B46,'Allocated Transactions'!$K:$K,"GL")</f>
        <v>1010.74</v>
      </c>
      <c r="G46" s="30">
        <f>SUMIFS('Allocated Transactions'!$I:$I,'Allocated Transactions'!$D:$D,$B46,'Allocated Transactions'!$K:$K,"GL")</f>
        <v>0</v>
      </c>
      <c r="H46" s="16">
        <f t="shared" si="2"/>
        <v>1010.74</v>
      </c>
    </row>
    <row r="47" spans="2:8" ht="15" customHeight="1">
      <c r="B47" s="19" t="s">
        <v>123</v>
      </c>
      <c r="C47" s="14" t="s">
        <v>124</v>
      </c>
      <c r="D47" s="14" t="s">
        <v>97</v>
      </c>
      <c r="E47" s="16">
        <v>0</v>
      </c>
      <c r="F47" s="30">
        <f>SUMIFS('Allocated Transactions'!$H:$H,'Allocated Transactions'!$D:$D,$B47,'Allocated Transactions'!$K:$K,"GL")</f>
        <v>4674.96</v>
      </c>
      <c r="G47" s="30">
        <f>SUMIFS('Allocated Transactions'!$I:$I,'Allocated Transactions'!$D:$D,$B47,'Allocated Transactions'!$K:$K,"GL")</f>
        <v>0</v>
      </c>
      <c r="H47" s="16">
        <f t="shared" si="2"/>
        <v>4674.96</v>
      </c>
    </row>
    <row r="48" spans="2:8" ht="15" customHeight="1">
      <c r="B48" s="19" t="s">
        <v>125</v>
      </c>
      <c r="C48" s="14" t="s">
        <v>126</v>
      </c>
      <c r="D48" s="14" t="s">
        <v>97</v>
      </c>
      <c r="E48" s="16">
        <v>0</v>
      </c>
      <c r="F48" s="30">
        <f>SUMIFS('Allocated Transactions'!$H:$H,'Allocated Transactions'!$D:$D,$B48,'Allocated Transactions'!$K:$K,"GL")</f>
        <v>806.84999999999991</v>
      </c>
      <c r="G48" s="30">
        <f>SUMIFS('Allocated Transactions'!$I:$I,'Allocated Transactions'!$D:$D,$B48,'Allocated Transactions'!$K:$K,"GL")</f>
        <v>0</v>
      </c>
      <c r="H48" s="16">
        <f t="shared" si="2"/>
        <v>806.84999999999991</v>
      </c>
    </row>
    <row r="49" spans="2:8" ht="15" customHeight="1">
      <c r="B49" s="19">
        <v>5990</v>
      </c>
      <c r="C49" s="14" t="s">
        <v>684</v>
      </c>
      <c r="D49" s="14" t="s">
        <v>129</v>
      </c>
      <c r="E49" s="16">
        <v>0</v>
      </c>
      <c r="F49" s="30">
        <f>SUMIFS('Allocated Transactions'!$H:$H,'Allocated Transactions'!$D:$D,$B49,'Allocated Transactions'!$K:$K,"GL")</f>
        <v>726355.73863821104</v>
      </c>
      <c r="G49" s="30">
        <f>SUMIFS('Allocated Transactions'!$I:$I,'Allocated Transactions'!$D:$D,$B49,'Allocated Transactions'!$K:$K,"GL")</f>
        <v>726355.73863821104</v>
      </c>
      <c r="H49" s="16">
        <f t="shared" ref="H49" si="3">E49+F49-G49</f>
        <v>0</v>
      </c>
    </row>
    <row r="50" spans="2:8" ht="15" customHeight="1">
      <c r="B50" s="105"/>
      <c r="C50" s="47" t="s">
        <v>663</v>
      </c>
      <c r="D50" s="47" t="s">
        <v>79</v>
      </c>
      <c r="E50" s="117">
        <v>0</v>
      </c>
      <c r="F50" s="137">
        <v>0</v>
      </c>
      <c r="G50" s="137">
        <v>0</v>
      </c>
      <c r="H50" s="117">
        <f>SUM(H25:H30)-SUM(H31:H49)</f>
        <v>573106.66406542063</v>
      </c>
    </row>
    <row r="51" spans="2:8" ht="15" customHeight="1">
      <c r="B51" s="105"/>
      <c r="E51" s="21"/>
      <c r="F51" s="21"/>
      <c r="G51" s="21"/>
      <c r="H51" s="21"/>
    </row>
    <row r="52" spans="2:8" ht="15" customHeight="1">
      <c r="B52" s="105"/>
      <c r="C52" s="135" t="str">
        <f>"Total Liabilities"&amp;REPT(" . ",300)</f>
        <v xml:space="preserve">Total Liabilities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
      </c>
      <c r="D52" s="132"/>
      <c r="E52" s="133"/>
      <c r="F52" s="133"/>
      <c r="G52" s="133"/>
      <c r="H52" s="136">
        <f>SUMIF(D7:D48,"Liability",H7:H48)</f>
        <v>695329.02593457955</v>
      </c>
    </row>
    <row r="53" spans="2:8" ht="15" customHeight="1">
      <c r="B53" s="105"/>
      <c r="C53" s="135" t="str">
        <f>"Total Equity - Beginning Balances Only"&amp;REPT(" . ",300)</f>
        <v xml:space="preserve">Total Equity - Beginning Balances Only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
      </c>
      <c r="D53" s="132"/>
      <c r="E53" s="133"/>
      <c r="F53" s="133"/>
      <c r="G53" s="133"/>
      <c r="H53" s="136">
        <f>SUMIF(D7:D48,"Equity",H7:H48)</f>
        <v>518300</v>
      </c>
    </row>
    <row r="54" spans="2:8" ht="15" customHeight="1">
      <c r="B54" s="105"/>
      <c r="C54" s="135" t="str">
        <f>"Total Revenue"&amp;REPT(" . ",300)</f>
        <v xml:space="preserve">Total Revenue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
      </c>
      <c r="D54" s="132"/>
      <c r="E54" s="133"/>
      <c r="F54" s="133"/>
      <c r="G54" s="133"/>
      <c r="H54" s="136">
        <f>SUMIF(D7:D48,"Revenue",H7:H48)</f>
        <v>3169966.7700000009</v>
      </c>
    </row>
    <row r="55" spans="2:8" ht="15" customHeight="1">
      <c r="B55" s="105"/>
      <c r="C55" s="135" t="str">
        <f>"Total Expense"&amp;REPT(" . ",300)</f>
        <v xml:space="preserve">Total Expense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
      </c>
      <c r="D55" s="132"/>
      <c r="E55" s="133"/>
      <c r="F55" s="133"/>
      <c r="G55" s="133"/>
      <c r="H55" s="136">
        <f>SUMIF(D7:D48,"Expense",H7:H48)</f>
        <v>2596860.1059345803</v>
      </c>
    </row>
    <row r="56" spans="2:8" ht="15" customHeight="1">
      <c r="B56" s="105"/>
      <c r="C56" s="135" t="str">
        <f>"Net Income - Current Year (same figure as above)"&amp;REPT(" . ",300)</f>
        <v xml:space="preserve">Net Income - Current Year (same figure as above)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
      </c>
      <c r="D56" s="132"/>
      <c r="E56" s="133"/>
      <c r="F56" s="133"/>
      <c r="G56" s="133"/>
      <c r="H56" s="136">
        <f>H50</f>
        <v>573106.66406542063</v>
      </c>
    </row>
    <row r="57" spans="2:8" ht="15" customHeight="1">
      <c r="B57" s="105"/>
      <c r="C57" s="132"/>
      <c r="D57" s="132"/>
      <c r="E57" s="133"/>
      <c r="F57" s="133"/>
      <c r="G57" s="133"/>
      <c r="H57" s="133"/>
    </row>
    <row r="58" spans="2:8" ht="15" customHeight="1">
      <c r="B58" s="105"/>
      <c r="C58" s="131" t="str">
        <f>"Total Assets"&amp;REPT(" . ",300)</f>
        <v xml:space="preserve">Total Assets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
      </c>
      <c r="D58" s="132"/>
      <c r="E58" s="133"/>
      <c r="F58" s="133"/>
      <c r="G58" s="133"/>
      <c r="H58" s="134">
        <f>SUMIF(D7:D48,"Asset",H7:H48)</f>
        <v>1786735.6899999995</v>
      </c>
    </row>
    <row r="59" spans="2:8" ht="15" customHeight="1">
      <c r="B59" s="105"/>
      <c r="C59" s="131" t="str">
        <f>"Total Liabilities + Equity + Net Income"&amp;REPT(" . ",300)</f>
        <v xml:space="preserve">Total Liabilities + Equity + Net Income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
      </c>
      <c r="D59" s="132"/>
      <c r="E59" s="133"/>
      <c r="F59" s="133"/>
      <c r="G59" s="133"/>
      <c r="H59" s="134">
        <f>H52+H53+H56</f>
        <v>1786735.6900000002</v>
      </c>
    </row>
    <row r="60" spans="2:8" ht="15" customHeight="1">
      <c r="B60" s="105"/>
      <c r="C60" s="131" t="str">
        <f>"Balance Check (should be $0.00)"&amp;REPT(" . ",300)</f>
        <v xml:space="preserve">Balance Check (should be $0.00)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
      </c>
      <c r="D60" s="132"/>
      <c r="E60" s="133"/>
      <c r="F60" s="133"/>
      <c r="G60" s="133"/>
      <c r="H60" s="134">
        <f>H58-H59</f>
        <v>0</v>
      </c>
    </row>
  </sheetData>
  <autoFilter ref="B6:H49" xr:uid="{00000000-0001-0000-0F00-000000000000}"/>
  <pageMargins left="0.25" right="0.25" top="0.75" bottom="0.75" header="0.511811023622047" footer="0.511811023622047"/>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Q33"/>
  <sheetViews>
    <sheetView showGridLines="0" zoomScaleNormal="100" workbookViewId="0">
      <pane ySplit="7" topLeftCell="A8" activePane="bottomLeft" state="frozen"/>
      <selection pane="bottomLeft" activeCell="F2" sqref="F2"/>
    </sheetView>
  </sheetViews>
  <sheetFormatPr baseColWidth="10" defaultColWidth="8.6640625" defaultRowHeight="15"/>
  <cols>
    <col min="1" max="1" width="3.83203125" style="12" customWidth="1"/>
    <col min="2" max="2" width="34" style="12" customWidth="1"/>
    <col min="3" max="3" width="22" style="12" customWidth="1"/>
    <col min="4" max="15" width="11" style="12" customWidth="1"/>
    <col min="16" max="16" width="8.6640625" style="12"/>
    <col min="17" max="17" width="10.1640625" style="12" customWidth="1"/>
    <col min="18" max="16384" width="8.6640625" style="12"/>
  </cols>
  <sheetData>
    <row r="2" spans="2:17" ht="18">
      <c r="B2" s="164" t="s">
        <v>786</v>
      </c>
    </row>
    <row r="3" spans="2:17" ht="15" customHeight="1">
      <c r="B3" s="53" t="s">
        <v>199</v>
      </c>
    </row>
    <row r="4" spans="2:17" ht="15" customHeight="1">
      <c r="B4" s="53" t="s">
        <v>207</v>
      </c>
    </row>
    <row r="5" spans="2:17" ht="15" customHeight="1">
      <c r="B5" s="42" t="s">
        <v>200</v>
      </c>
    </row>
    <row r="7" spans="2:17" ht="15" customHeight="1">
      <c r="B7" s="142" t="s">
        <v>201</v>
      </c>
      <c r="C7" s="142" t="s">
        <v>26</v>
      </c>
      <c r="D7" s="142">
        <v>45839</v>
      </c>
      <c r="E7" s="142">
        <v>45870</v>
      </c>
      <c r="F7" s="142">
        <v>45901</v>
      </c>
      <c r="G7" s="142">
        <v>45931</v>
      </c>
      <c r="H7" s="142">
        <v>45962</v>
      </c>
      <c r="I7" s="142">
        <v>45992</v>
      </c>
      <c r="J7" s="142">
        <v>46023</v>
      </c>
      <c r="K7" s="142">
        <v>46054</v>
      </c>
      <c r="L7" s="142">
        <v>46082</v>
      </c>
      <c r="M7" s="142">
        <v>46113</v>
      </c>
      <c r="N7" s="142">
        <v>46143</v>
      </c>
      <c r="O7" s="142">
        <v>46174</v>
      </c>
    </row>
    <row r="8" spans="2:17" ht="15" customHeight="1">
      <c r="B8" s="14" t="s">
        <v>202</v>
      </c>
      <c r="C8" s="19">
        <v>5600</v>
      </c>
      <c r="D8" s="30">
        <v>587</v>
      </c>
      <c r="E8" s="30">
        <v>587</v>
      </c>
      <c r="F8" s="30">
        <v>587</v>
      </c>
      <c r="G8" s="30">
        <v>587</v>
      </c>
      <c r="H8" s="30">
        <v>587</v>
      </c>
      <c r="I8" s="30">
        <v>587</v>
      </c>
      <c r="J8" s="30">
        <v>587</v>
      </c>
      <c r="K8" s="30">
        <v>587</v>
      </c>
      <c r="L8" s="30">
        <v>587</v>
      </c>
      <c r="M8" s="30">
        <v>587</v>
      </c>
      <c r="N8" s="30">
        <v>587</v>
      </c>
      <c r="O8" s="30">
        <v>587</v>
      </c>
    </row>
    <row r="9" spans="2:17" ht="15" customHeight="1">
      <c r="B9" s="14" t="s">
        <v>203</v>
      </c>
      <c r="C9" s="19">
        <v>5600</v>
      </c>
      <c r="D9" s="30">
        <f t="shared" ref="D9:O9" si="0">2700-D8</f>
        <v>2113</v>
      </c>
      <c r="E9" s="30">
        <f t="shared" si="0"/>
        <v>2113</v>
      </c>
      <c r="F9" s="30">
        <f t="shared" si="0"/>
        <v>2113</v>
      </c>
      <c r="G9" s="30">
        <f t="shared" si="0"/>
        <v>2113</v>
      </c>
      <c r="H9" s="30">
        <f t="shared" si="0"/>
        <v>2113</v>
      </c>
      <c r="I9" s="30">
        <f t="shared" si="0"/>
        <v>2113</v>
      </c>
      <c r="J9" s="30">
        <f t="shared" si="0"/>
        <v>2113</v>
      </c>
      <c r="K9" s="30">
        <f t="shared" si="0"/>
        <v>2113</v>
      </c>
      <c r="L9" s="30">
        <f t="shared" si="0"/>
        <v>2113</v>
      </c>
      <c r="M9" s="30">
        <f t="shared" si="0"/>
        <v>2113</v>
      </c>
      <c r="N9" s="30">
        <f t="shared" si="0"/>
        <v>2113</v>
      </c>
      <c r="O9" s="30">
        <f t="shared" si="0"/>
        <v>2113</v>
      </c>
    </row>
    <row r="10" spans="2:17" ht="15" customHeight="1" thickBot="1">
      <c r="B10" s="47" t="s">
        <v>204</v>
      </c>
      <c r="C10" s="147" t="s">
        <v>22</v>
      </c>
      <c r="D10" s="117">
        <f t="shared" ref="D10:O10" si="1">D8+D9</f>
        <v>2700</v>
      </c>
      <c r="E10" s="117">
        <f t="shared" si="1"/>
        <v>2700</v>
      </c>
      <c r="F10" s="117">
        <f t="shared" si="1"/>
        <v>2700</v>
      </c>
      <c r="G10" s="117">
        <f t="shared" si="1"/>
        <v>2700</v>
      </c>
      <c r="H10" s="117">
        <f t="shared" si="1"/>
        <v>2700</v>
      </c>
      <c r="I10" s="117">
        <f t="shared" si="1"/>
        <v>2700</v>
      </c>
      <c r="J10" s="117">
        <f t="shared" si="1"/>
        <v>2700</v>
      </c>
      <c r="K10" s="117">
        <f t="shared" si="1"/>
        <v>2700</v>
      </c>
      <c r="L10" s="117">
        <f t="shared" si="1"/>
        <v>2700</v>
      </c>
      <c r="M10" s="117">
        <f t="shared" si="1"/>
        <v>2700</v>
      </c>
      <c r="N10" s="117">
        <f t="shared" si="1"/>
        <v>2700</v>
      </c>
      <c r="O10" s="117">
        <f t="shared" si="1"/>
        <v>2700</v>
      </c>
      <c r="P10" s="118"/>
      <c r="Q10" s="120">
        <f>SUM(D10:O10)</f>
        <v>32400</v>
      </c>
    </row>
    <row r="11" spans="2:17" ht="16" thickTop="1"/>
    <row r="13" spans="2:17" ht="15" customHeight="1">
      <c r="B13" s="119" t="s">
        <v>205</v>
      </c>
    </row>
    <row r="14" spans="2:17" ht="15" customHeight="1">
      <c r="B14" s="142" t="s">
        <v>2</v>
      </c>
      <c r="C14" s="142" t="s">
        <v>3</v>
      </c>
      <c r="D14" s="142">
        <v>45839</v>
      </c>
      <c r="E14" s="142">
        <v>45870</v>
      </c>
      <c r="F14" s="142">
        <v>45901</v>
      </c>
      <c r="G14" s="142">
        <v>45931</v>
      </c>
      <c r="H14" s="142">
        <v>45962</v>
      </c>
      <c r="I14" s="142">
        <v>45992</v>
      </c>
      <c r="J14" s="142">
        <v>46023</v>
      </c>
      <c r="K14" s="142">
        <v>46054</v>
      </c>
      <c r="L14" s="142">
        <v>46082</v>
      </c>
      <c r="M14" s="142">
        <v>46113</v>
      </c>
      <c r="N14" s="142">
        <v>46143</v>
      </c>
      <c r="O14" s="142">
        <v>46174</v>
      </c>
    </row>
    <row r="15" spans="2:17" ht="15" customHeight="1">
      <c r="B15" s="19" t="s">
        <v>12</v>
      </c>
      <c r="C15" s="14" t="s">
        <v>13</v>
      </c>
      <c r="D15" s="30">
        <f>ROUND((_xlfn.XLOOKUP($B15,'Personnel &amp; Rent Allocation'!$B$8:$B$16,'Personnel &amp; Rent Allocation'!D$8:D$16,0)/SUM('Personnel &amp; Rent Allocation'!D$12:D$16)*$D$8),2)-0.01</f>
        <v>117.39</v>
      </c>
      <c r="E15" s="30">
        <f>ROUND((_xlfn.XLOOKUP($B15,'Personnel &amp; Rent Allocation'!$B$8:$B$16,'Personnel &amp; Rent Allocation'!E$8:E$16,0)/SUM('Personnel &amp; Rent Allocation'!E$12:E$16)*$D$8),2)-0.01</f>
        <v>117.39</v>
      </c>
      <c r="F15" s="30">
        <f>ROUND((_xlfn.XLOOKUP($B15,'Personnel &amp; Rent Allocation'!$B$8:$B$16,'Personnel &amp; Rent Allocation'!F$8:F$16,0)/SUM('Personnel &amp; Rent Allocation'!F$12:F$16)*$D$8),2)-0.01</f>
        <v>117.39</v>
      </c>
      <c r="G15" s="30">
        <f>ROUND((_xlfn.XLOOKUP($B15,'Personnel &amp; Rent Allocation'!$B$8:$B$16,'Personnel &amp; Rent Allocation'!G$8:G$16,0)/SUM('Personnel &amp; Rent Allocation'!G$12:G$16)*$D$8),2)-0.01</f>
        <v>83.85</v>
      </c>
      <c r="H15" s="30">
        <f>ROUND((_xlfn.XLOOKUP($B15,'Personnel &amp; Rent Allocation'!$B$8:$B$16,'Personnel &amp; Rent Allocation'!H$8:H$16,0)/SUM('Personnel &amp; Rent Allocation'!H$12:H$16)*$D$8),2)</f>
        <v>111.05</v>
      </c>
      <c r="I15" s="30">
        <f>ROUND((_xlfn.XLOOKUP($B15,'Personnel &amp; Rent Allocation'!$B$8:$B$16,'Personnel &amp; Rent Allocation'!I$8:I$16,0)/SUM('Personnel &amp; Rent Allocation'!I$12:I$16)*$D$8),2)</f>
        <v>111.05</v>
      </c>
      <c r="J15" s="30">
        <f>ROUND((_xlfn.XLOOKUP($B15,'Personnel &amp; Rent Allocation'!$B$8:$B$16,'Personnel &amp; Rent Allocation'!J$8:J$16,0)/SUM('Personnel &amp; Rent Allocation'!J$12:J$16)*$D$8),2)-0.01</f>
        <v>117.39</v>
      </c>
      <c r="K15" s="30">
        <f>ROUND((_xlfn.XLOOKUP($B15,'Personnel &amp; Rent Allocation'!$B$8:$B$16,'Personnel &amp; Rent Allocation'!K$8:K$16,0)/SUM('Personnel &amp; Rent Allocation'!K$12:K$16)*$D$8),2)</f>
        <v>111.05</v>
      </c>
      <c r="L15" s="30">
        <f>ROUND((_xlfn.XLOOKUP($B15,'Personnel &amp; Rent Allocation'!$B$8:$B$16,'Personnel &amp; Rent Allocation'!L$8:L$16,0)/SUM('Personnel &amp; Rent Allocation'!L$12:L$16)*$D$8),2)</f>
        <v>105.36</v>
      </c>
      <c r="M15" s="30">
        <f>ROUND((_xlfn.XLOOKUP($B15,'Personnel &amp; Rent Allocation'!$B$8:$B$16,'Personnel &amp; Rent Allocation'!M$8:M$16,0)/SUM('Personnel &amp; Rent Allocation'!M$12:M$16)*$D$8),2)</f>
        <v>105.36</v>
      </c>
      <c r="N15" s="30">
        <f>ROUND((_xlfn.XLOOKUP($B15,'Personnel &amp; Rent Allocation'!$B$8:$B$16,'Personnel &amp; Rent Allocation'!N$8:N$16,0)/SUM('Personnel &amp; Rent Allocation'!N$12:N$16)*$D$8),2)</f>
        <v>111.05</v>
      </c>
      <c r="O15" s="30">
        <f>ROUND((_xlfn.XLOOKUP($B15,'Personnel &amp; Rent Allocation'!$B$8:$B$16,'Personnel &amp; Rent Allocation'!O$8:O$16,0)/SUM('Personnel &amp; Rent Allocation'!O$12:O$16)*$D$8),2)</f>
        <v>111.05</v>
      </c>
    </row>
    <row r="16" spans="2:17" ht="15" customHeight="1">
      <c r="B16" s="19" t="s">
        <v>14</v>
      </c>
      <c r="C16" s="14" t="s">
        <v>15</v>
      </c>
      <c r="D16" s="30">
        <f>ROUND((_xlfn.XLOOKUP($B16,'Personnel &amp; Rent Allocation'!$B$8:$B$16,'Personnel &amp; Rent Allocation'!D$8:D$16,0)/SUM('Personnel &amp; Rent Allocation'!D$12:D$16)*$D$8),2)+0.01</f>
        <v>100.64</v>
      </c>
      <c r="E16" s="30">
        <f>ROUND((_xlfn.XLOOKUP($B16,'Personnel &amp; Rent Allocation'!$B$8:$B$16,'Personnel &amp; Rent Allocation'!E$8:E$16,0)/SUM('Personnel &amp; Rent Allocation'!E$12:E$16)*$D$8),2)+0.01</f>
        <v>100.64</v>
      </c>
      <c r="F16" s="30">
        <f>ROUND((_xlfn.XLOOKUP($B16,'Personnel &amp; Rent Allocation'!$B$8:$B$16,'Personnel &amp; Rent Allocation'!F$8:F$16,0)/SUM('Personnel &amp; Rent Allocation'!F$12:F$16)*$D$8),2)+0.01</f>
        <v>100.64</v>
      </c>
      <c r="G16" s="30">
        <f>ROUND((_xlfn.XLOOKUP($B16,'Personnel &amp; Rent Allocation'!$B$8:$B$16,'Personnel &amp; Rent Allocation'!G$8:G$16,0)/SUM('Personnel &amp; Rent Allocation'!G$12:G$16)*$D$8),2)+0.01</f>
        <v>134.17999999999998</v>
      </c>
      <c r="H16" s="30">
        <f>ROUND((_xlfn.XLOOKUP($B16,'Personnel &amp; Rent Allocation'!$B$8:$B$16,'Personnel &amp; Rent Allocation'!H$8:H$16,0)/SUM('Personnel &amp; Rent Allocation'!H$12:H$16)*$D$8),2)</f>
        <v>126.92</v>
      </c>
      <c r="I16" s="30">
        <f>ROUND((_xlfn.XLOOKUP($B16,'Personnel &amp; Rent Allocation'!$B$8:$B$16,'Personnel &amp; Rent Allocation'!I$8:I$16,0)/SUM('Personnel &amp; Rent Allocation'!I$12:I$16)*$D$8),2)</f>
        <v>126.92</v>
      </c>
      <c r="J16" s="30">
        <f>ROUND((_xlfn.XLOOKUP($B16,'Personnel &amp; Rent Allocation'!$B$8:$B$16,'Personnel &amp; Rent Allocation'!J$8:J$16,0)/SUM('Personnel &amp; Rent Allocation'!J$12:J$16)*$D$8),2)+0.01</f>
        <v>134.17999999999998</v>
      </c>
      <c r="K16" s="30">
        <f>ROUND((_xlfn.XLOOKUP($B16,'Personnel &amp; Rent Allocation'!$B$8:$B$16,'Personnel &amp; Rent Allocation'!K$8:K$16,0)/SUM('Personnel &amp; Rent Allocation'!K$12:K$16)*$D$8),2)</f>
        <v>126.92</v>
      </c>
      <c r="L16" s="30">
        <f>ROUND((_xlfn.XLOOKUP($B16,'Personnel &amp; Rent Allocation'!$B$8:$B$16,'Personnel &amp; Rent Allocation'!L$8:L$16,0)/SUM('Personnel &amp; Rent Allocation'!L$12:L$16)*$D$8),2)</f>
        <v>120.41</v>
      </c>
      <c r="M16" s="30">
        <f>ROUND((_xlfn.XLOOKUP($B16,'Personnel &amp; Rent Allocation'!$B$8:$B$16,'Personnel &amp; Rent Allocation'!M$8:M$16,0)/SUM('Personnel &amp; Rent Allocation'!M$12:M$16)*$D$8),2)</f>
        <v>120.41</v>
      </c>
      <c r="N16" s="30">
        <f>ROUND((_xlfn.XLOOKUP($B16,'Personnel &amp; Rent Allocation'!$B$8:$B$16,'Personnel &amp; Rent Allocation'!N$8:N$16,0)/SUM('Personnel &amp; Rent Allocation'!N$12:N$16)*$D$8),2)</f>
        <v>126.92</v>
      </c>
      <c r="O16" s="30">
        <f>ROUND((_xlfn.XLOOKUP($B16,'Personnel &amp; Rent Allocation'!$B$8:$B$16,'Personnel &amp; Rent Allocation'!O$8:O$16,0)/SUM('Personnel &amp; Rent Allocation'!O$12:O$16)*$D$8),2)</f>
        <v>126.92</v>
      </c>
    </row>
    <row r="17" spans="2:17" ht="15" customHeight="1">
      <c r="B17" s="19" t="s">
        <v>16</v>
      </c>
      <c r="C17" s="14" t="s">
        <v>17</v>
      </c>
      <c r="D17" s="30">
        <f>ROUND((_xlfn.XLOOKUP($B17,'Personnel &amp; Rent Allocation'!$B$8:$B$16,'Personnel &amp; Rent Allocation'!D$8:D$16,0)/SUM('Personnel &amp; Rent Allocation'!D$12:D$16)*$D$8),2)</f>
        <v>100.63</v>
      </c>
      <c r="E17" s="30">
        <f>ROUND((_xlfn.XLOOKUP($B17,'Personnel &amp; Rent Allocation'!$B$8:$B$16,'Personnel &amp; Rent Allocation'!E$8:E$16,0)/SUM('Personnel &amp; Rent Allocation'!E$12:E$16)*$D$8),2)</f>
        <v>100.63</v>
      </c>
      <c r="F17" s="30">
        <f>ROUND((_xlfn.XLOOKUP($B17,'Personnel &amp; Rent Allocation'!$B$8:$B$16,'Personnel &amp; Rent Allocation'!F$8:F$16,0)/SUM('Personnel &amp; Rent Allocation'!F$12:F$16)*$D$8),2)</f>
        <v>100.63</v>
      </c>
      <c r="G17" s="30">
        <f>ROUND((_xlfn.XLOOKUP($B17,'Personnel &amp; Rent Allocation'!$B$8:$B$16,'Personnel &amp; Rent Allocation'!G$8:G$16,0)/SUM('Personnel &amp; Rent Allocation'!G$12:G$16)*$D$8),2)</f>
        <v>100.63</v>
      </c>
      <c r="H17" s="30">
        <f>ROUND((_xlfn.XLOOKUP($B17,'Personnel &amp; Rent Allocation'!$B$8:$B$16,'Personnel &amp; Rent Allocation'!H$8:H$16,0)/SUM('Personnel &amp; Rent Allocation'!H$12:H$16)*$D$8),2)</f>
        <v>95.19</v>
      </c>
      <c r="I17" s="30">
        <f>ROUND((_xlfn.XLOOKUP($B17,'Personnel &amp; Rent Allocation'!$B$8:$B$16,'Personnel &amp; Rent Allocation'!I$8:I$16,0)/SUM('Personnel &amp; Rent Allocation'!I$12:I$16)*$D$8),2)</f>
        <v>95.19</v>
      </c>
      <c r="J17" s="30">
        <f>ROUND((_xlfn.XLOOKUP($B17,'Personnel &amp; Rent Allocation'!$B$8:$B$16,'Personnel &amp; Rent Allocation'!J$8:J$16,0)/SUM('Personnel &amp; Rent Allocation'!J$12:J$16)*$D$8),2)</f>
        <v>100.63</v>
      </c>
      <c r="K17" s="30">
        <f>ROUND((_xlfn.XLOOKUP($B17,'Personnel &amp; Rent Allocation'!$B$8:$B$16,'Personnel &amp; Rent Allocation'!K$8:K$16,0)/SUM('Personnel &amp; Rent Allocation'!K$12:K$16)*$D$8),2)</f>
        <v>95.19</v>
      </c>
      <c r="L17" s="30">
        <f>ROUND((_xlfn.XLOOKUP($B17,'Personnel &amp; Rent Allocation'!$B$8:$B$16,'Personnel &amp; Rent Allocation'!L$8:L$16,0)/SUM('Personnel &amp; Rent Allocation'!L$12:L$16)*$D$8),2)</f>
        <v>90.31</v>
      </c>
      <c r="M17" s="30">
        <f>ROUND((_xlfn.XLOOKUP($B17,'Personnel &amp; Rent Allocation'!$B$8:$B$16,'Personnel &amp; Rent Allocation'!M$8:M$16,0)/SUM('Personnel &amp; Rent Allocation'!M$12:M$16)*$D$8),2)</f>
        <v>90.31</v>
      </c>
      <c r="N17" s="30">
        <f>ROUND((_xlfn.XLOOKUP($B17,'Personnel &amp; Rent Allocation'!$B$8:$B$16,'Personnel &amp; Rent Allocation'!N$8:N$16,0)/SUM('Personnel &amp; Rent Allocation'!N$12:N$16)*$D$8),2)</f>
        <v>63.46</v>
      </c>
      <c r="O17" s="30">
        <f>ROUND((_xlfn.XLOOKUP($B17,'Personnel &amp; Rent Allocation'!$B$8:$B$16,'Personnel &amp; Rent Allocation'!O$8:O$16,0)/SUM('Personnel &amp; Rent Allocation'!O$12:O$16)*$D$8),2)</f>
        <v>63.46</v>
      </c>
    </row>
    <row r="18" spans="2:17" ht="15" customHeight="1">
      <c r="B18" s="19" t="s">
        <v>18</v>
      </c>
      <c r="C18" s="14" t="s">
        <v>19</v>
      </c>
      <c r="D18" s="30">
        <f>ROUND((_xlfn.XLOOKUP($B18,'Personnel &amp; Rent Allocation'!$B$8:$B$16,'Personnel &amp; Rent Allocation'!D$8:D$16,0)/SUM('Personnel &amp; Rent Allocation'!D$12:D$16)*$D$8),2)</f>
        <v>134.16999999999999</v>
      </c>
      <c r="E18" s="30">
        <f>ROUND((_xlfn.XLOOKUP($B18,'Personnel &amp; Rent Allocation'!$B$8:$B$16,'Personnel &amp; Rent Allocation'!E$8:E$16,0)/SUM('Personnel &amp; Rent Allocation'!E$12:E$16)*$D$8),2)</f>
        <v>134.16999999999999</v>
      </c>
      <c r="F18" s="30">
        <f>ROUND((_xlfn.XLOOKUP($B18,'Personnel &amp; Rent Allocation'!$B$8:$B$16,'Personnel &amp; Rent Allocation'!F$8:F$16,0)/SUM('Personnel &amp; Rent Allocation'!F$12:F$16)*$D$8),2)</f>
        <v>134.16999999999999</v>
      </c>
      <c r="G18" s="30">
        <f>ROUND((_xlfn.XLOOKUP($B18,'Personnel &amp; Rent Allocation'!$B$8:$B$16,'Personnel &amp; Rent Allocation'!G$8:G$16,0)/SUM('Personnel &amp; Rent Allocation'!G$12:G$16)*$D$8),2)</f>
        <v>134.16999999999999</v>
      </c>
      <c r="H18" s="30">
        <f>ROUND((_xlfn.XLOOKUP($B18,'Personnel &amp; Rent Allocation'!$B$8:$B$16,'Personnel &amp; Rent Allocation'!H$8:H$16,0)/SUM('Personnel &amp; Rent Allocation'!H$12:H$16)*$D$8),2)</f>
        <v>126.92</v>
      </c>
      <c r="I18" s="30">
        <f>ROUND((_xlfn.XLOOKUP($B18,'Personnel &amp; Rent Allocation'!$B$8:$B$16,'Personnel &amp; Rent Allocation'!I$8:I$16,0)/SUM('Personnel &amp; Rent Allocation'!I$12:I$16)*$D$8),2)</f>
        <v>126.92</v>
      </c>
      <c r="J18" s="30">
        <f>ROUND((_xlfn.XLOOKUP($B18,'Personnel &amp; Rent Allocation'!$B$8:$B$16,'Personnel &amp; Rent Allocation'!J$8:J$16,0)/SUM('Personnel &amp; Rent Allocation'!J$12:J$16)*$D$8),2)</f>
        <v>100.63</v>
      </c>
      <c r="K18" s="30">
        <f>ROUND((_xlfn.XLOOKUP($B18,'Personnel &amp; Rent Allocation'!$B$8:$B$16,'Personnel &amp; Rent Allocation'!K$8:K$16,0)/SUM('Personnel &amp; Rent Allocation'!K$12:K$16)*$D$8),2)</f>
        <v>126.92</v>
      </c>
      <c r="L18" s="30">
        <f>ROUND((_xlfn.XLOOKUP($B18,'Personnel &amp; Rent Allocation'!$B$8:$B$16,'Personnel &amp; Rent Allocation'!L$8:L$16,0)/SUM('Personnel &amp; Rent Allocation'!L$12:L$16)*$D$8),2)</f>
        <v>120.41</v>
      </c>
      <c r="M18" s="30">
        <f>ROUND((_xlfn.XLOOKUP($B18,'Personnel &amp; Rent Allocation'!$B$8:$B$16,'Personnel &amp; Rent Allocation'!M$8:M$16,0)/SUM('Personnel &amp; Rent Allocation'!M$12:M$16)*$D$8),2)</f>
        <v>120.41</v>
      </c>
      <c r="N18" s="30">
        <f>ROUND((_xlfn.XLOOKUP($B18,'Personnel &amp; Rent Allocation'!$B$8:$B$16,'Personnel &amp; Rent Allocation'!N$8:N$16,0)/SUM('Personnel &amp; Rent Allocation'!N$12:N$16)*$D$8),2)</f>
        <v>126.92</v>
      </c>
      <c r="O18" s="30">
        <f>ROUND((_xlfn.XLOOKUP($B18,'Personnel &amp; Rent Allocation'!$B$8:$B$16,'Personnel &amp; Rent Allocation'!O$8:O$16,0)/SUM('Personnel &amp; Rent Allocation'!O$12:O$16)*$D$8),2)</f>
        <v>126.92</v>
      </c>
    </row>
    <row r="19" spans="2:17" ht="15" customHeight="1">
      <c r="B19" s="19" t="s">
        <v>20</v>
      </c>
      <c r="C19" s="14" t="s">
        <v>21</v>
      </c>
      <c r="D19" s="30">
        <f>ROUND((_xlfn.XLOOKUP($B19,'Personnel &amp; Rent Allocation'!$B$8:$B$16,'Personnel &amp; Rent Allocation'!D$8:D$16,0)/SUM('Personnel &amp; Rent Allocation'!D$12:D$16)*$D$8),2)</f>
        <v>134.16999999999999</v>
      </c>
      <c r="E19" s="30">
        <f>ROUND((_xlfn.XLOOKUP($B19,'Personnel &amp; Rent Allocation'!$B$8:$B$16,'Personnel &amp; Rent Allocation'!E$8:E$16,0)/SUM('Personnel &amp; Rent Allocation'!E$12:E$16)*$D$8),2)</f>
        <v>134.16999999999999</v>
      </c>
      <c r="F19" s="30">
        <f>ROUND((_xlfn.XLOOKUP($B19,'Personnel &amp; Rent Allocation'!$B$8:$B$16,'Personnel &amp; Rent Allocation'!F$8:F$16,0)/SUM('Personnel &amp; Rent Allocation'!F$12:F$16)*$D$8),2)</f>
        <v>134.16999999999999</v>
      </c>
      <c r="G19" s="30">
        <f>ROUND((_xlfn.XLOOKUP($B19,'Personnel &amp; Rent Allocation'!$B$8:$B$16,'Personnel &amp; Rent Allocation'!G$8:G$16,0)/SUM('Personnel &amp; Rent Allocation'!G$12:G$16)*$D$8),2)</f>
        <v>134.16999999999999</v>
      </c>
      <c r="H19" s="30">
        <f>ROUND((_xlfn.XLOOKUP($B19,'Personnel &amp; Rent Allocation'!$B$8:$B$16,'Personnel &amp; Rent Allocation'!H$8:H$16,0)/SUM('Personnel &amp; Rent Allocation'!H$12:H$16)*$D$8),2)</f>
        <v>126.92</v>
      </c>
      <c r="I19" s="30">
        <f>ROUND((_xlfn.XLOOKUP($B19,'Personnel &amp; Rent Allocation'!$B$8:$B$16,'Personnel &amp; Rent Allocation'!I$8:I$16,0)/SUM('Personnel &amp; Rent Allocation'!I$12:I$16)*$D$8),2)</f>
        <v>126.92</v>
      </c>
      <c r="J19" s="30">
        <f>ROUND((_xlfn.XLOOKUP($B19,'Personnel &amp; Rent Allocation'!$B$8:$B$16,'Personnel &amp; Rent Allocation'!J$8:J$16,0)/SUM('Personnel &amp; Rent Allocation'!J$12:J$16)*$D$8),2)</f>
        <v>134.16999999999999</v>
      </c>
      <c r="K19" s="30">
        <f>ROUND((_xlfn.XLOOKUP($B19,'Personnel &amp; Rent Allocation'!$B$8:$B$16,'Personnel &amp; Rent Allocation'!K$8:K$16,0)/SUM('Personnel &amp; Rent Allocation'!K$12:K$16)*$D$8),2)</f>
        <v>126.92</v>
      </c>
      <c r="L19" s="30">
        <f>ROUND((_xlfn.XLOOKUP($B19,'Personnel &amp; Rent Allocation'!$B$8:$B$16,'Personnel &amp; Rent Allocation'!L$8:L$16,0)/SUM('Personnel &amp; Rent Allocation'!L$12:L$16)*$D$8),2)</f>
        <v>150.51</v>
      </c>
      <c r="M19" s="30">
        <f>ROUND((_xlfn.XLOOKUP($B19,'Personnel &amp; Rent Allocation'!$B$8:$B$16,'Personnel &amp; Rent Allocation'!M$8:M$16,0)/SUM('Personnel &amp; Rent Allocation'!M$12:M$16)*$D$8),2)</f>
        <v>150.51</v>
      </c>
      <c r="N19" s="30">
        <f>ROUND((_xlfn.XLOOKUP($B19,'Personnel &amp; Rent Allocation'!$B$8:$B$16,'Personnel &amp; Rent Allocation'!N$8:N$16,0)/SUM('Personnel &amp; Rent Allocation'!N$12:N$16)*$D$8),2)</f>
        <v>158.65</v>
      </c>
      <c r="O19" s="30">
        <f>ROUND((_xlfn.XLOOKUP($B19,'Personnel &amp; Rent Allocation'!$B$8:$B$16,'Personnel &amp; Rent Allocation'!O$8:O$16,0)/SUM('Personnel &amp; Rent Allocation'!O$12:O$16)*$D$8),2)</f>
        <v>158.65</v>
      </c>
    </row>
    <row r="20" spans="2:17" ht="15" customHeight="1" thickBot="1">
      <c r="B20" s="46"/>
      <c r="C20" s="147" t="s">
        <v>22</v>
      </c>
      <c r="D20" s="117">
        <f t="shared" ref="D20:O20" si="2">SUM(D15:D19)</f>
        <v>586.99999999999989</v>
      </c>
      <c r="E20" s="117">
        <f t="shared" si="2"/>
        <v>586.99999999999989</v>
      </c>
      <c r="F20" s="117">
        <f t="shared" si="2"/>
        <v>586.99999999999989</v>
      </c>
      <c r="G20" s="117">
        <f t="shared" si="2"/>
        <v>586.99999999999989</v>
      </c>
      <c r="H20" s="117">
        <f t="shared" si="2"/>
        <v>587</v>
      </c>
      <c r="I20" s="117">
        <f t="shared" si="2"/>
        <v>587</v>
      </c>
      <c r="J20" s="117">
        <f t="shared" si="2"/>
        <v>587</v>
      </c>
      <c r="K20" s="117">
        <f t="shared" si="2"/>
        <v>587</v>
      </c>
      <c r="L20" s="117">
        <f t="shared" si="2"/>
        <v>587</v>
      </c>
      <c r="M20" s="117">
        <f t="shared" si="2"/>
        <v>587</v>
      </c>
      <c r="N20" s="117">
        <f t="shared" si="2"/>
        <v>587</v>
      </c>
      <c r="O20" s="117">
        <f t="shared" si="2"/>
        <v>587</v>
      </c>
      <c r="Q20" s="121">
        <f>SUM(D20:O20)</f>
        <v>7044</v>
      </c>
    </row>
    <row r="23" spans="2:17" ht="15" customHeight="1">
      <c r="B23" s="119" t="s">
        <v>206</v>
      </c>
    </row>
    <row r="24" spans="2:17" ht="15" customHeight="1">
      <c r="B24" s="142" t="s">
        <v>2</v>
      </c>
      <c r="C24" s="142" t="s">
        <v>3</v>
      </c>
      <c r="D24" s="142">
        <v>45839</v>
      </c>
      <c r="E24" s="142">
        <v>45870</v>
      </c>
      <c r="F24" s="142">
        <v>45901</v>
      </c>
      <c r="G24" s="142">
        <v>45931</v>
      </c>
      <c r="H24" s="142">
        <v>45962</v>
      </c>
      <c r="I24" s="142">
        <v>45992</v>
      </c>
      <c r="J24" s="142">
        <v>46023</v>
      </c>
      <c r="K24" s="142">
        <v>46054</v>
      </c>
      <c r="L24" s="142">
        <v>46082</v>
      </c>
      <c r="M24" s="142">
        <v>46113</v>
      </c>
      <c r="N24" s="142">
        <v>46143</v>
      </c>
      <c r="O24" s="142">
        <v>46174</v>
      </c>
    </row>
    <row r="25" spans="2:17" ht="15" customHeight="1">
      <c r="B25" s="19" t="s">
        <v>4</v>
      </c>
      <c r="C25" s="14" t="s">
        <v>5</v>
      </c>
      <c r="D25" s="30">
        <f>ROUND((_xlfn.XLOOKUP($B25,'Personnel &amp; Rent Allocation'!$B$8:$B$16,'Personnel &amp; Rent Allocation'!D$8:D$16,0)/SUM('Personnel &amp; Rent Allocation'!D$8:D$11)*$D$9),2)-0.01</f>
        <v>422.59000000000003</v>
      </c>
      <c r="E25" s="30">
        <f>ROUND((_xlfn.XLOOKUP($B25,'Personnel &amp; Rent Allocation'!$B$8:$B$16,'Personnel &amp; Rent Allocation'!E$8:E$16,0)/SUM('Personnel &amp; Rent Allocation'!E$8:E$11)*$D$9),2)-0.01</f>
        <v>422.59000000000003</v>
      </c>
      <c r="F25" s="30">
        <f>ROUND((_xlfn.XLOOKUP($B25,'Personnel &amp; Rent Allocation'!$B$8:$B$16,'Personnel &amp; Rent Allocation'!F$8:F$16,0)/SUM('Personnel &amp; Rent Allocation'!F$8:F$11)*$D$9),2)-0.01</f>
        <v>422.59000000000003</v>
      </c>
      <c r="G25" s="30">
        <f>ROUND((_xlfn.XLOOKUP($B25,'Personnel &amp; Rent Allocation'!$B$8:$B$16,'Personnel &amp; Rent Allocation'!G$8:G$16,0)/SUM('Personnel &amp; Rent Allocation'!G$8:G$11)*$D$9),2)-0.01</f>
        <v>422.59000000000003</v>
      </c>
      <c r="H25" s="30">
        <f>ROUND((_xlfn.XLOOKUP($B25,'Personnel &amp; Rent Allocation'!$B$8:$B$16,'Personnel &amp; Rent Allocation'!H$8:H$16,0)/SUM('Personnel &amp; Rent Allocation'!H$8:H$11)*$D$9),2)-0.01</f>
        <v>422.59000000000003</v>
      </c>
      <c r="I25" s="30">
        <f>ROUND((_xlfn.XLOOKUP($B25,'Personnel &amp; Rent Allocation'!$B$8:$B$16,'Personnel &amp; Rent Allocation'!I$8:I$16,0)/SUM('Personnel &amp; Rent Allocation'!I$8:I$11)*$D$9),2)-0.01</f>
        <v>422.59000000000003</v>
      </c>
      <c r="J25" s="30">
        <f>ROUND((_xlfn.XLOOKUP($B25,'Personnel &amp; Rent Allocation'!$B$8:$B$16,'Personnel &amp; Rent Allocation'!J$8:J$16,0)/SUM('Personnel &amp; Rent Allocation'!J$8:J$11)*$D$9),2)-0.01</f>
        <v>422.59000000000003</v>
      </c>
      <c r="K25" s="30">
        <f>ROUND((_xlfn.XLOOKUP($B25,'Personnel &amp; Rent Allocation'!$B$8:$B$16,'Personnel &amp; Rent Allocation'!K$8:K$16,0)/SUM('Personnel &amp; Rent Allocation'!K$8:K$11)*$D$9),2)-0.01</f>
        <v>422.59000000000003</v>
      </c>
      <c r="L25" s="30">
        <f>ROUND((_xlfn.XLOOKUP($B25,'Personnel &amp; Rent Allocation'!$B$8:$B$16,'Personnel &amp; Rent Allocation'!L$8:L$16,0)/SUM('Personnel &amp; Rent Allocation'!L$8:L$11)*$D$9),2)</f>
        <v>487.62</v>
      </c>
      <c r="M25" s="30">
        <f>ROUND((_xlfn.XLOOKUP($B25,'Personnel &amp; Rent Allocation'!$B$8:$B$16,'Personnel &amp; Rent Allocation'!M$8:M$16,0)/SUM('Personnel &amp; Rent Allocation'!M$8:M$11)*$D$9),2)</f>
        <v>487.62</v>
      </c>
      <c r="N25" s="30">
        <f>ROUND((_xlfn.XLOOKUP($B25,'Personnel &amp; Rent Allocation'!$B$8:$B$16,'Personnel &amp; Rent Allocation'!N$8:N$16,0)/SUM('Personnel &amp; Rent Allocation'!N$8:N$11)*$D$9),2)</f>
        <v>422.6</v>
      </c>
      <c r="O25" s="30">
        <f>ROUND((_xlfn.XLOOKUP($B25,'Personnel &amp; Rent Allocation'!$B$8:$B$16,'Personnel &amp; Rent Allocation'!O$8:O$16,0)/SUM('Personnel &amp; Rent Allocation'!O$8:O$11)*$D$9),2)</f>
        <v>422.6</v>
      </c>
    </row>
    <row r="26" spans="2:17" ht="15" customHeight="1">
      <c r="B26" s="19" t="s">
        <v>6</v>
      </c>
      <c r="C26" s="14" t="s">
        <v>7</v>
      </c>
      <c r="D26" s="30">
        <f>ROUND((_xlfn.XLOOKUP($B26,'Personnel &amp; Rent Allocation'!$B$8:$B$16,'Personnel &amp; Rent Allocation'!D$8:D$16,0)/SUM('Personnel &amp; Rent Allocation'!D$8:D$11)*$D$9),2)</f>
        <v>563.47</v>
      </c>
      <c r="E26" s="30">
        <f>ROUND((_xlfn.XLOOKUP($B26,'Personnel &amp; Rent Allocation'!$B$8:$B$16,'Personnel &amp; Rent Allocation'!E$8:E$16,0)/SUM('Personnel &amp; Rent Allocation'!E$8:E$11)*$D$9),2)</f>
        <v>563.47</v>
      </c>
      <c r="F26" s="30">
        <f>ROUND((_xlfn.XLOOKUP($B26,'Personnel &amp; Rent Allocation'!$B$8:$B$16,'Personnel &amp; Rent Allocation'!F$8:F$16,0)/SUM('Personnel &amp; Rent Allocation'!F$8:F$11)*$D$9),2)</f>
        <v>563.47</v>
      </c>
      <c r="G26" s="30">
        <f>ROUND((_xlfn.XLOOKUP($B26,'Personnel &amp; Rent Allocation'!$B$8:$B$16,'Personnel &amp; Rent Allocation'!G$8:G$16,0)/SUM('Personnel &amp; Rent Allocation'!G$8:G$11)*$D$9),2)</f>
        <v>563.47</v>
      </c>
      <c r="H26" s="30">
        <f>ROUND((_xlfn.XLOOKUP($B26,'Personnel &amp; Rent Allocation'!$B$8:$B$16,'Personnel &amp; Rent Allocation'!H$8:H$16,0)/SUM('Personnel &amp; Rent Allocation'!H$8:H$11)*$D$9),2)</f>
        <v>563.47</v>
      </c>
      <c r="I26" s="30">
        <f>ROUND((_xlfn.XLOOKUP($B26,'Personnel &amp; Rent Allocation'!$B$8:$B$16,'Personnel &amp; Rent Allocation'!I$8:I$16,0)/SUM('Personnel &amp; Rent Allocation'!I$8:I$11)*$D$9),2)</f>
        <v>563.47</v>
      </c>
      <c r="J26" s="30">
        <f>ROUND((_xlfn.XLOOKUP($B26,'Personnel &amp; Rent Allocation'!$B$8:$B$16,'Personnel &amp; Rent Allocation'!J$8:J$16,0)/SUM('Personnel &amp; Rent Allocation'!J$8:J$11)*$D$9),2)</f>
        <v>563.47</v>
      </c>
      <c r="K26" s="30">
        <f>ROUND((_xlfn.XLOOKUP($B26,'Personnel &amp; Rent Allocation'!$B$8:$B$16,'Personnel &amp; Rent Allocation'!K$8:K$16,0)/SUM('Personnel &amp; Rent Allocation'!K$8:K$11)*$D$9),2)</f>
        <v>563.47</v>
      </c>
      <c r="L26" s="30">
        <f>ROUND((_xlfn.XLOOKUP($B26,'Personnel &amp; Rent Allocation'!$B$8:$B$16,'Personnel &amp; Rent Allocation'!L$8:L$16,0)/SUM('Personnel &amp; Rent Allocation'!L$8:L$11)*$D$9),2)</f>
        <v>650.15</v>
      </c>
      <c r="M26" s="30">
        <f>ROUND((_xlfn.XLOOKUP($B26,'Personnel &amp; Rent Allocation'!$B$8:$B$16,'Personnel &amp; Rent Allocation'!M$8:M$16,0)/SUM('Personnel &amp; Rent Allocation'!M$8:M$11)*$D$9),2)</f>
        <v>650.15</v>
      </c>
      <c r="N26" s="30">
        <f>ROUND((_xlfn.XLOOKUP($B26,'Personnel &amp; Rent Allocation'!$B$8:$B$16,'Personnel &amp; Rent Allocation'!N$8:N$16,0)/SUM('Personnel &amp; Rent Allocation'!N$8:N$11)*$D$9),2)</f>
        <v>563.47</v>
      </c>
      <c r="O26" s="30">
        <f>ROUND((_xlfn.XLOOKUP($B26,'Personnel &amp; Rent Allocation'!$B$8:$B$16,'Personnel &amp; Rent Allocation'!O$8:O$16,0)/SUM('Personnel &amp; Rent Allocation'!O$8:O$11)*$D$9),2)</f>
        <v>563.47</v>
      </c>
    </row>
    <row r="27" spans="2:17" ht="15" customHeight="1">
      <c r="B27" s="19" t="s">
        <v>8</v>
      </c>
      <c r="C27" s="14" t="s">
        <v>9</v>
      </c>
      <c r="D27" s="30">
        <f>ROUND((_xlfn.XLOOKUP($B27,'Personnel &amp; Rent Allocation'!$B$8:$B$16,'Personnel &amp; Rent Allocation'!D$8:D$16,0)/SUM('Personnel &amp; Rent Allocation'!D$8:D$11)*$D$9),2)</f>
        <v>563.47</v>
      </c>
      <c r="E27" s="30">
        <f>ROUND((_xlfn.XLOOKUP($B27,'Personnel &amp; Rent Allocation'!$B$8:$B$16,'Personnel &amp; Rent Allocation'!E$8:E$16,0)/SUM('Personnel &amp; Rent Allocation'!E$8:E$11)*$D$9),2)</f>
        <v>563.47</v>
      </c>
      <c r="F27" s="30">
        <f>ROUND((_xlfn.XLOOKUP($B27,'Personnel &amp; Rent Allocation'!$B$8:$B$16,'Personnel &amp; Rent Allocation'!F$8:F$16,0)/SUM('Personnel &amp; Rent Allocation'!F$8:F$11)*$D$9),2)</f>
        <v>563.47</v>
      </c>
      <c r="G27" s="30">
        <f>ROUND((_xlfn.XLOOKUP($B27,'Personnel &amp; Rent Allocation'!$B$8:$B$16,'Personnel &amp; Rent Allocation'!G$8:G$16,0)/SUM('Personnel &amp; Rent Allocation'!G$8:G$11)*$D$9),2)</f>
        <v>563.47</v>
      </c>
      <c r="H27" s="30">
        <f>ROUND((_xlfn.XLOOKUP($B27,'Personnel &amp; Rent Allocation'!$B$8:$B$16,'Personnel &amp; Rent Allocation'!H$8:H$16,0)/SUM('Personnel &amp; Rent Allocation'!H$8:H$11)*$D$9),2)</f>
        <v>563.47</v>
      </c>
      <c r="I27" s="30">
        <f>ROUND((_xlfn.XLOOKUP($B27,'Personnel &amp; Rent Allocation'!$B$8:$B$16,'Personnel &amp; Rent Allocation'!I$8:I$16,0)/SUM('Personnel &amp; Rent Allocation'!I$8:I$11)*$D$9),2)</f>
        <v>563.47</v>
      </c>
      <c r="J27" s="30">
        <f>ROUND((_xlfn.XLOOKUP($B27,'Personnel &amp; Rent Allocation'!$B$8:$B$16,'Personnel &amp; Rent Allocation'!J$8:J$16,0)/SUM('Personnel &amp; Rent Allocation'!J$8:J$11)*$D$9),2)</f>
        <v>563.47</v>
      </c>
      <c r="K27" s="30">
        <f>ROUND((_xlfn.XLOOKUP($B27,'Personnel &amp; Rent Allocation'!$B$8:$B$16,'Personnel &amp; Rent Allocation'!K$8:K$16,0)/SUM('Personnel &amp; Rent Allocation'!K$8:K$11)*$D$9),2)</f>
        <v>563.47</v>
      </c>
      <c r="L27" s="30">
        <f>ROUND((_xlfn.XLOOKUP($B27,'Personnel &amp; Rent Allocation'!$B$8:$B$16,'Personnel &amp; Rent Allocation'!L$8:L$16,0)/SUM('Personnel &amp; Rent Allocation'!L$8:L$11)*$D$9),2)</f>
        <v>650.15</v>
      </c>
      <c r="M27" s="30">
        <f>ROUND((_xlfn.XLOOKUP($B27,'Personnel &amp; Rent Allocation'!$B$8:$B$16,'Personnel &amp; Rent Allocation'!M$8:M$16,0)/SUM('Personnel &amp; Rent Allocation'!M$8:M$11)*$D$9),2)</f>
        <v>650.15</v>
      </c>
      <c r="N27" s="30">
        <f>ROUND((_xlfn.XLOOKUP($B27,'Personnel &amp; Rent Allocation'!$B$8:$B$16,'Personnel &amp; Rent Allocation'!N$8:N$16,0)/SUM('Personnel &amp; Rent Allocation'!N$8:N$11)*$D$9),2)</f>
        <v>845.2</v>
      </c>
      <c r="O27" s="30">
        <f>ROUND((_xlfn.XLOOKUP($B27,'Personnel &amp; Rent Allocation'!$B$8:$B$16,'Personnel &amp; Rent Allocation'!O$8:O$16,0)/SUM('Personnel &amp; Rent Allocation'!O$8:O$11)*$D$9),2)</f>
        <v>845.2</v>
      </c>
    </row>
    <row r="28" spans="2:17" ht="15" customHeight="1">
      <c r="B28" s="19" t="s">
        <v>10</v>
      </c>
      <c r="C28" s="14" t="s">
        <v>11</v>
      </c>
      <c r="D28" s="30">
        <f>ROUND((_xlfn.XLOOKUP($B28,'Personnel &amp; Rent Allocation'!$B$8:$B$16,'Personnel &amp; Rent Allocation'!D$8:D$16,0)/SUM('Personnel &amp; Rent Allocation'!D$8:D$11)*$D$9),2)</f>
        <v>563.47</v>
      </c>
      <c r="E28" s="30">
        <f>ROUND((_xlfn.XLOOKUP($B28,'Personnel &amp; Rent Allocation'!$B$8:$B$16,'Personnel &amp; Rent Allocation'!E$8:E$16,0)/SUM('Personnel &amp; Rent Allocation'!E$8:E$11)*$D$9),2)</f>
        <v>563.47</v>
      </c>
      <c r="F28" s="30">
        <f>ROUND((_xlfn.XLOOKUP($B28,'Personnel &amp; Rent Allocation'!$B$8:$B$16,'Personnel &amp; Rent Allocation'!F$8:F$16,0)/SUM('Personnel &amp; Rent Allocation'!F$8:F$11)*$D$9),2)</f>
        <v>563.47</v>
      </c>
      <c r="G28" s="30">
        <f>ROUND((_xlfn.XLOOKUP($B28,'Personnel &amp; Rent Allocation'!$B$8:$B$16,'Personnel &amp; Rent Allocation'!G$8:G$16,0)/SUM('Personnel &amp; Rent Allocation'!G$8:G$11)*$D$9),2)</f>
        <v>563.47</v>
      </c>
      <c r="H28" s="30">
        <f>ROUND((_xlfn.XLOOKUP($B28,'Personnel &amp; Rent Allocation'!$B$8:$B$16,'Personnel &amp; Rent Allocation'!H$8:H$16,0)/SUM('Personnel &amp; Rent Allocation'!H$8:H$11)*$D$9),2)</f>
        <v>563.47</v>
      </c>
      <c r="I28" s="30">
        <f>ROUND((_xlfn.XLOOKUP($B28,'Personnel &amp; Rent Allocation'!$B$8:$B$16,'Personnel &amp; Rent Allocation'!I$8:I$16,0)/SUM('Personnel &amp; Rent Allocation'!I$8:I$11)*$D$9),2)</f>
        <v>563.47</v>
      </c>
      <c r="J28" s="30">
        <f>ROUND((_xlfn.XLOOKUP($B28,'Personnel &amp; Rent Allocation'!$B$8:$B$16,'Personnel &amp; Rent Allocation'!J$8:J$16,0)/SUM('Personnel &amp; Rent Allocation'!J$8:J$11)*$D$9),2)</f>
        <v>563.47</v>
      </c>
      <c r="K28" s="30">
        <f>ROUND((_xlfn.XLOOKUP($B28,'Personnel &amp; Rent Allocation'!$B$8:$B$16,'Personnel &amp; Rent Allocation'!K$8:K$16,0)/SUM('Personnel &amp; Rent Allocation'!K$8:K$11)*$D$9),2)</f>
        <v>563.47</v>
      </c>
      <c r="L28" s="30">
        <f>ROUND((_xlfn.XLOOKUP($B28,'Personnel &amp; Rent Allocation'!$B$8:$B$16,'Personnel &amp; Rent Allocation'!L$8:L$16,0)/SUM('Personnel &amp; Rent Allocation'!L$8:L$11)*$D$9),2)</f>
        <v>325.08</v>
      </c>
      <c r="M28" s="30">
        <f>ROUND((_xlfn.XLOOKUP($B28,'Personnel &amp; Rent Allocation'!$B$8:$B$16,'Personnel &amp; Rent Allocation'!M$8:M$16,0)/SUM('Personnel &amp; Rent Allocation'!M$8:M$11)*$D$9),2)</f>
        <v>325.08</v>
      </c>
      <c r="N28" s="30">
        <f>ROUND((_xlfn.XLOOKUP($B28,'Personnel &amp; Rent Allocation'!$B$8:$B$16,'Personnel &amp; Rent Allocation'!N$8:N$16,0)/SUM('Personnel &amp; Rent Allocation'!N$8:N$11)*$D$9),2)</f>
        <v>281.73</v>
      </c>
      <c r="O28" s="30">
        <f>ROUND((_xlfn.XLOOKUP($B28,'Personnel &amp; Rent Allocation'!$B$8:$B$16,'Personnel &amp; Rent Allocation'!O$8:O$16,0)/SUM('Personnel &amp; Rent Allocation'!O$8:O$11)*$D$9),2)</f>
        <v>281.73</v>
      </c>
    </row>
    <row r="29" spans="2:17" ht="15" customHeight="1" thickBot="1">
      <c r="B29" s="46"/>
      <c r="C29" s="147" t="s">
        <v>22</v>
      </c>
      <c r="D29" s="117">
        <f t="shared" ref="D29:O29" si="3">SUM(D25:D28)</f>
        <v>2113</v>
      </c>
      <c r="E29" s="117">
        <f t="shared" si="3"/>
        <v>2113</v>
      </c>
      <c r="F29" s="117">
        <f t="shared" si="3"/>
        <v>2113</v>
      </c>
      <c r="G29" s="117">
        <f t="shared" si="3"/>
        <v>2113</v>
      </c>
      <c r="H29" s="117">
        <f t="shared" si="3"/>
        <v>2113</v>
      </c>
      <c r="I29" s="117">
        <f t="shared" si="3"/>
        <v>2113</v>
      </c>
      <c r="J29" s="117">
        <f t="shared" si="3"/>
        <v>2113</v>
      </c>
      <c r="K29" s="117">
        <f t="shared" si="3"/>
        <v>2113</v>
      </c>
      <c r="L29" s="117">
        <f t="shared" si="3"/>
        <v>2113</v>
      </c>
      <c r="M29" s="117">
        <f t="shared" si="3"/>
        <v>2113</v>
      </c>
      <c r="N29" s="117">
        <f t="shared" si="3"/>
        <v>2113</v>
      </c>
      <c r="O29" s="117">
        <f t="shared" si="3"/>
        <v>2113</v>
      </c>
      <c r="Q29" s="121">
        <f>SUM(D29:O29)</f>
        <v>25356</v>
      </c>
    </row>
    <row r="32" spans="2:17" ht="15" customHeight="1" thickBot="1">
      <c r="Q32" s="122">
        <f>Q10-(Q20+Q29)</f>
        <v>0</v>
      </c>
    </row>
    <row r="33" ht="16" thickTop="1"/>
  </sheetData>
  <pageMargins left="0.75" right="0.75" top="1" bottom="1" header="0.511811023622047" footer="0.511811023622047"/>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934"/>
  <sheetViews>
    <sheetView showGridLines="0" topLeftCell="D1" zoomScaleNormal="100" workbookViewId="0">
      <pane ySplit="1" topLeftCell="A1919" activePane="bottomLeft" state="frozen"/>
      <selection pane="bottomLeft" activeCell="I1029" sqref="I1029"/>
    </sheetView>
  </sheetViews>
  <sheetFormatPr baseColWidth="10" defaultColWidth="5" defaultRowHeight="15"/>
  <cols>
    <col min="1" max="1" width="16.6640625" style="20" customWidth="1"/>
    <col min="2" max="2" width="10.1640625" style="12" customWidth="1"/>
    <col min="3" max="3" width="10.6640625" style="12" customWidth="1"/>
    <col min="4" max="4" width="14.6640625" style="12" customWidth="1"/>
    <col min="5" max="5" width="23.6640625" style="12" customWidth="1"/>
    <col min="6" max="6" width="12.33203125" style="12" customWidth="1"/>
    <col min="7" max="7" width="59.5" style="12" customWidth="1"/>
    <col min="8" max="8" width="11.1640625" style="12" customWidth="1"/>
    <col min="9" max="9" width="11" style="12" customWidth="1"/>
    <col min="10" max="10" width="12.1640625" style="12" customWidth="1"/>
    <col min="11" max="11" width="12" style="12" customWidth="1"/>
    <col min="12" max="13" width="5" style="12"/>
    <col min="14" max="14" width="8.6640625" style="12" customWidth="1"/>
    <col min="15" max="16384" width="5" style="12"/>
  </cols>
  <sheetData>
    <row r="1" spans="1:11" ht="15" customHeight="1">
      <c r="A1" s="10" t="s">
        <v>25</v>
      </c>
      <c r="B1" s="11" t="s">
        <v>220</v>
      </c>
      <c r="C1" s="11" t="s">
        <v>2</v>
      </c>
      <c r="D1" s="11" t="s">
        <v>26</v>
      </c>
      <c r="E1" s="11" t="s">
        <v>27</v>
      </c>
      <c r="F1" s="11" t="s">
        <v>37</v>
      </c>
      <c r="G1" s="11" t="s">
        <v>221</v>
      </c>
      <c r="H1" s="11" t="s">
        <v>44</v>
      </c>
      <c r="I1" s="11" t="s">
        <v>60</v>
      </c>
      <c r="J1" s="11" t="s">
        <v>22</v>
      </c>
      <c r="K1" s="11" t="s">
        <v>222</v>
      </c>
    </row>
    <row r="2" spans="1:11" ht="15" customHeight="1">
      <c r="A2" s="13">
        <v>46172</v>
      </c>
      <c r="B2" s="14" t="s">
        <v>223</v>
      </c>
      <c r="C2" s="15" t="s">
        <v>12</v>
      </c>
      <c r="D2" s="15" t="s">
        <v>51</v>
      </c>
      <c r="E2" s="14" t="str">
        <f>_xlfn.XLOOKUP($D2,'Chart of Accounts'!$A:$A,'Chart of Accounts'!B:B,"")</f>
        <v>Grants Receivable</v>
      </c>
      <c r="F2" s="14" t="str">
        <f>_xlfn.XLOOKUP($D2,'Chart of Accounts'!$A:$A,'Chart of Accounts'!C:C,"")</f>
        <v>Asset</v>
      </c>
      <c r="G2" s="14" t="s">
        <v>224</v>
      </c>
      <c r="H2" s="16">
        <v>70000</v>
      </c>
      <c r="I2" s="16"/>
      <c r="J2" s="16">
        <v>70000</v>
      </c>
      <c r="K2" s="14" t="s">
        <v>225</v>
      </c>
    </row>
    <row r="3" spans="1:11" ht="15" customHeight="1">
      <c r="A3" s="13">
        <v>46172</v>
      </c>
      <c r="B3" s="14" t="s">
        <v>223</v>
      </c>
      <c r="C3" s="15" t="s">
        <v>12</v>
      </c>
      <c r="D3" s="15" t="s">
        <v>81</v>
      </c>
      <c r="E3" s="14" t="str">
        <f>_xlfn.XLOOKUP($D3,'Chart of Accounts'!$A:$A,'Chart of Accounts'!B:B,"")</f>
        <v>Net Assets - Temporarily Restricted</v>
      </c>
      <c r="F3" s="14" t="str">
        <f>_xlfn.XLOOKUP($D3,'Chart of Accounts'!$A:$A,'Chart of Accounts'!C:C,"")</f>
        <v>Equity</v>
      </c>
      <c r="G3" s="14" t="s">
        <v>224</v>
      </c>
      <c r="H3" s="16"/>
      <c r="I3" s="16">
        <v>70000</v>
      </c>
      <c r="J3" s="16">
        <v>-70000</v>
      </c>
      <c r="K3" s="14" t="s">
        <v>225</v>
      </c>
    </row>
    <row r="4" spans="1:11" ht="15" customHeight="1">
      <c r="A4" s="13">
        <v>45839</v>
      </c>
      <c r="B4" s="14" t="s">
        <v>226</v>
      </c>
      <c r="C4" s="14" t="s">
        <v>12</v>
      </c>
      <c r="D4" s="14" t="s">
        <v>81</v>
      </c>
      <c r="E4" s="14" t="str">
        <f>_xlfn.XLOOKUP($D4,'Chart of Accounts'!$A:$A,'Chart of Accounts'!B:B,"")</f>
        <v>Net Assets - Temporarily Restricted</v>
      </c>
      <c r="F4" s="14" t="str">
        <f>_xlfn.XLOOKUP($D4,'Chart of Accounts'!$A:$A,'Chart of Accounts'!C:C,"")</f>
        <v>Equity</v>
      </c>
      <c r="G4" s="14" t="s">
        <v>227</v>
      </c>
      <c r="H4" s="16"/>
      <c r="I4" s="16">
        <v>36609.78</v>
      </c>
      <c r="J4" s="16">
        <v>-36609.78</v>
      </c>
      <c r="K4" s="14" t="s">
        <v>225</v>
      </c>
    </row>
    <row r="5" spans="1:11" ht="15" customHeight="1">
      <c r="A5" s="13">
        <v>45839</v>
      </c>
      <c r="B5" s="14" t="s">
        <v>226</v>
      </c>
      <c r="C5" s="14" t="s">
        <v>14</v>
      </c>
      <c r="D5" s="14" t="s">
        <v>81</v>
      </c>
      <c r="E5" s="14" t="str">
        <f>_xlfn.XLOOKUP($D5,'Chart of Accounts'!$A:$A,'Chart of Accounts'!B:B,"")</f>
        <v>Net Assets - Temporarily Restricted</v>
      </c>
      <c r="F5" s="14" t="str">
        <f>_xlfn.XLOOKUP($D5,'Chart of Accounts'!$A:$A,'Chart of Accounts'!C:C,"")</f>
        <v>Equity</v>
      </c>
      <c r="G5" s="14" t="s">
        <v>228</v>
      </c>
      <c r="H5" s="16"/>
      <c r="I5" s="16">
        <v>27465.59</v>
      </c>
      <c r="J5" s="16">
        <v>-27465.59</v>
      </c>
      <c r="K5" s="14" t="s">
        <v>225</v>
      </c>
    </row>
    <row r="6" spans="1:11" ht="15" customHeight="1">
      <c r="A6" s="13">
        <v>45839</v>
      </c>
      <c r="B6" s="14" t="s">
        <v>226</v>
      </c>
      <c r="C6" s="14" t="s">
        <v>16</v>
      </c>
      <c r="D6" s="14" t="s">
        <v>81</v>
      </c>
      <c r="E6" s="14" t="str">
        <f>_xlfn.XLOOKUP($D6,'Chart of Accounts'!$A:$A,'Chart of Accounts'!B:B,"")</f>
        <v>Net Assets - Temporarily Restricted</v>
      </c>
      <c r="F6" s="14" t="str">
        <f>_xlfn.XLOOKUP($D6,'Chart of Accounts'!$A:$A,'Chart of Accounts'!C:C,"")</f>
        <v>Equity</v>
      </c>
      <c r="G6" s="14" t="s">
        <v>229</v>
      </c>
      <c r="H6" s="16"/>
      <c r="I6" s="16">
        <v>27465.59</v>
      </c>
      <c r="J6" s="16">
        <v>-27465.59</v>
      </c>
      <c r="K6" s="14" t="s">
        <v>225</v>
      </c>
    </row>
    <row r="7" spans="1:11" ht="15" customHeight="1">
      <c r="A7" s="13">
        <v>45839</v>
      </c>
      <c r="B7" s="14" t="s">
        <v>226</v>
      </c>
      <c r="C7" s="14" t="s">
        <v>18</v>
      </c>
      <c r="D7" s="14" t="s">
        <v>81</v>
      </c>
      <c r="E7" s="14" t="str">
        <f>_xlfn.XLOOKUP($D7,'Chart of Accounts'!$A:$A,'Chart of Accounts'!B:B,"")</f>
        <v>Net Assets - Temporarily Restricted</v>
      </c>
      <c r="F7" s="14" t="str">
        <f>_xlfn.XLOOKUP($D7,'Chart of Accounts'!$A:$A,'Chart of Accounts'!C:C,"")</f>
        <v>Equity</v>
      </c>
      <c r="G7" s="14" t="s">
        <v>230</v>
      </c>
      <c r="H7" s="16"/>
      <c r="I7" s="16">
        <v>36609.800000000003</v>
      </c>
      <c r="J7" s="16">
        <v>-36609.800000000003</v>
      </c>
      <c r="K7" s="14" t="s">
        <v>225</v>
      </c>
    </row>
    <row r="8" spans="1:11" ht="15" customHeight="1">
      <c r="A8" s="13">
        <v>45839</v>
      </c>
      <c r="B8" s="14" t="s">
        <v>226</v>
      </c>
      <c r="C8" s="14" t="s">
        <v>20</v>
      </c>
      <c r="D8" s="14" t="s">
        <v>81</v>
      </c>
      <c r="E8" s="14" t="str">
        <f>_xlfn.XLOOKUP($D8,'Chart of Accounts'!$A:$A,'Chart of Accounts'!B:B,"")</f>
        <v>Net Assets - Temporarily Restricted</v>
      </c>
      <c r="F8" s="14" t="str">
        <f>_xlfn.XLOOKUP($D8,'Chart of Accounts'!$A:$A,'Chart of Accounts'!C:C,"")</f>
        <v>Equity</v>
      </c>
      <c r="G8" s="14" t="s">
        <v>231</v>
      </c>
      <c r="H8" s="16"/>
      <c r="I8" s="16">
        <v>36609.800000000003</v>
      </c>
      <c r="J8" s="16">
        <v>-36609.800000000003</v>
      </c>
      <c r="K8" s="14" t="s">
        <v>225</v>
      </c>
    </row>
    <row r="9" spans="1:11" ht="15" customHeight="1">
      <c r="A9" s="13">
        <v>45839</v>
      </c>
      <c r="B9" s="14" t="s">
        <v>226</v>
      </c>
      <c r="C9" s="14"/>
      <c r="D9" s="14" t="s">
        <v>77</v>
      </c>
      <c r="E9" s="14" t="str">
        <f>_xlfn.XLOOKUP($D9,'Chart of Accounts'!$A:$A,'Chart of Accounts'!B:B,"")</f>
        <v>Net Assets - Unrestricted</v>
      </c>
      <c r="F9" s="14" t="str">
        <f>_xlfn.XLOOKUP($D9,'Chart of Accounts'!$A:$A,'Chart of Accounts'!C:C,"")</f>
        <v>Equity</v>
      </c>
      <c r="G9" s="14" t="s">
        <v>232</v>
      </c>
      <c r="H9" s="16">
        <v>164760.56</v>
      </c>
      <c r="I9" s="16"/>
      <c r="J9" s="16">
        <v>164760.56</v>
      </c>
      <c r="K9" s="14" t="s">
        <v>225</v>
      </c>
    </row>
    <row r="10" spans="1:11" ht="15" customHeight="1">
      <c r="A10" s="13">
        <v>45839</v>
      </c>
      <c r="B10" s="14" t="s">
        <v>233</v>
      </c>
      <c r="C10" s="14"/>
      <c r="D10" s="14" t="s">
        <v>81</v>
      </c>
      <c r="E10" s="14" t="str">
        <f>_xlfn.XLOOKUP($D10,'Chart of Accounts'!$A:$A,'Chart of Accounts'!B:B,"")</f>
        <v>Net Assets - Temporarily Restricted</v>
      </c>
      <c r="F10" s="14" t="str">
        <f>_xlfn.XLOOKUP($D10,'Chart of Accounts'!$A:$A,'Chart of Accounts'!C:C,"")</f>
        <v>Equity</v>
      </c>
      <c r="G10" s="14" t="s">
        <v>234</v>
      </c>
      <c r="H10" s="16">
        <v>119939.86</v>
      </c>
      <c r="I10" s="16"/>
      <c r="J10" s="16">
        <v>119939.86</v>
      </c>
      <c r="K10" s="14" t="s">
        <v>225</v>
      </c>
    </row>
    <row r="11" spans="1:11" ht="15" customHeight="1">
      <c r="A11" s="13">
        <v>45839</v>
      </c>
      <c r="B11" s="14" t="s">
        <v>233</v>
      </c>
      <c r="C11" s="14"/>
      <c r="D11" s="14" t="s">
        <v>77</v>
      </c>
      <c r="E11" s="14" t="str">
        <f>_xlfn.XLOOKUP($D11,'Chart of Accounts'!$A:$A,'Chart of Accounts'!B:B,"")</f>
        <v>Net Assets - Unrestricted</v>
      </c>
      <c r="F11" s="14" t="str">
        <f>_xlfn.XLOOKUP($D11,'Chart of Accounts'!$A:$A,'Chart of Accounts'!C:C,"")</f>
        <v>Equity</v>
      </c>
      <c r="G11" s="14" t="s">
        <v>234</v>
      </c>
      <c r="H11" s="16"/>
      <c r="I11" s="16">
        <v>119939.86</v>
      </c>
      <c r="J11" s="16">
        <v>-119939.86</v>
      </c>
      <c r="K11" s="14" t="s">
        <v>225</v>
      </c>
    </row>
    <row r="12" spans="1:11" ht="15" customHeight="1">
      <c r="A12" s="13">
        <v>45870</v>
      </c>
      <c r="B12" s="14" t="s">
        <v>235</v>
      </c>
      <c r="C12" s="14" t="s">
        <v>12</v>
      </c>
      <c r="D12" s="14" t="s">
        <v>81</v>
      </c>
      <c r="E12" s="14" t="str">
        <f>_xlfn.XLOOKUP($D12,'Chart of Accounts'!$A:$A,'Chart of Accounts'!B:B,"")</f>
        <v>Net Assets - Temporarily Restricted</v>
      </c>
      <c r="F12" s="14" t="str">
        <f>_xlfn.XLOOKUP($D12,'Chart of Accounts'!$A:$A,'Chart of Accounts'!C:C,"")</f>
        <v>Equity</v>
      </c>
      <c r="G12" s="14" t="s">
        <v>236</v>
      </c>
      <c r="H12" s="16"/>
      <c r="I12" s="16">
        <v>12103.1</v>
      </c>
      <c r="J12" s="16">
        <v>-12103.1</v>
      </c>
      <c r="K12" s="14" t="s">
        <v>225</v>
      </c>
    </row>
    <row r="13" spans="1:11" ht="15" customHeight="1">
      <c r="A13" s="13">
        <v>45870</v>
      </c>
      <c r="B13" s="14" t="s">
        <v>235</v>
      </c>
      <c r="C13" s="14" t="s">
        <v>14</v>
      </c>
      <c r="D13" s="14" t="s">
        <v>81</v>
      </c>
      <c r="E13" s="14" t="str">
        <f>_xlfn.XLOOKUP($D13,'Chart of Accounts'!$A:$A,'Chart of Accounts'!B:B,"")</f>
        <v>Net Assets - Temporarily Restricted</v>
      </c>
      <c r="F13" s="14" t="str">
        <f>_xlfn.XLOOKUP($D13,'Chart of Accounts'!$A:$A,'Chart of Accounts'!C:C,"")</f>
        <v>Equity</v>
      </c>
      <c r="G13" s="14" t="s">
        <v>237</v>
      </c>
      <c r="H13" s="16"/>
      <c r="I13" s="16">
        <v>9080.0499999999993</v>
      </c>
      <c r="J13" s="16">
        <v>-9080.0499999999993</v>
      </c>
      <c r="K13" s="14" t="s">
        <v>225</v>
      </c>
    </row>
    <row r="14" spans="1:11" ht="15" customHeight="1">
      <c r="A14" s="13">
        <v>45870</v>
      </c>
      <c r="B14" s="14" t="s">
        <v>235</v>
      </c>
      <c r="C14" s="14" t="s">
        <v>16</v>
      </c>
      <c r="D14" s="14" t="s">
        <v>81</v>
      </c>
      <c r="E14" s="14" t="str">
        <f>_xlfn.XLOOKUP($D14,'Chart of Accounts'!$A:$A,'Chart of Accounts'!B:B,"")</f>
        <v>Net Assets - Temporarily Restricted</v>
      </c>
      <c r="F14" s="14" t="str">
        <f>_xlfn.XLOOKUP($D14,'Chart of Accounts'!$A:$A,'Chart of Accounts'!C:C,"")</f>
        <v>Equity</v>
      </c>
      <c r="G14" s="14" t="s">
        <v>238</v>
      </c>
      <c r="H14" s="16"/>
      <c r="I14" s="16">
        <v>9080.0499999999993</v>
      </c>
      <c r="J14" s="16">
        <v>-9080.0499999999993</v>
      </c>
      <c r="K14" s="14" t="s">
        <v>225</v>
      </c>
    </row>
    <row r="15" spans="1:11" ht="15" customHeight="1">
      <c r="A15" s="13">
        <v>45870</v>
      </c>
      <c r="B15" s="14" t="s">
        <v>235</v>
      </c>
      <c r="C15" s="14" t="s">
        <v>18</v>
      </c>
      <c r="D15" s="14" t="s">
        <v>81</v>
      </c>
      <c r="E15" s="14" t="str">
        <f>_xlfn.XLOOKUP($D15,'Chart of Accounts'!$A:$A,'Chart of Accounts'!B:B,"")</f>
        <v>Net Assets - Temporarily Restricted</v>
      </c>
      <c r="F15" s="14" t="str">
        <f>_xlfn.XLOOKUP($D15,'Chart of Accounts'!$A:$A,'Chart of Accounts'!C:C,"")</f>
        <v>Equity</v>
      </c>
      <c r="G15" s="14" t="s">
        <v>239</v>
      </c>
      <c r="H15" s="16"/>
      <c r="I15" s="16">
        <v>12103.1</v>
      </c>
      <c r="J15" s="16">
        <v>-12103.1</v>
      </c>
      <c r="K15" s="14" t="s">
        <v>225</v>
      </c>
    </row>
    <row r="16" spans="1:11" ht="15" customHeight="1">
      <c r="A16" s="13">
        <v>45870</v>
      </c>
      <c r="B16" s="14" t="s">
        <v>235</v>
      </c>
      <c r="C16" s="14" t="s">
        <v>20</v>
      </c>
      <c r="D16" s="14" t="s">
        <v>81</v>
      </c>
      <c r="E16" s="14" t="str">
        <f>_xlfn.XLOOKUP($D16,'Chart of Accounts'!$A:$A,'Chart of Accounts'!B:B,"")</f>
        <v>Net Assets - Temporarily Restricted</v>
      </c>
      <c r="F16" s="14" t="str">
        <f>_xlfn.XLOOKUP($D16,'Chart of Accounts'!$A:$A,'Chart of Accounts'!C:C,"")</f>
        <v>Equity</v>
      </c>
      <c r="G16" s="14" t="s">
        <v>240</v>
      </c>
      <c r="H16" s="16"/>
      <c r="I16" s="16">
        <v>12103.1</v>
      </c>
      <c r="J16" s="16">
        <v>-12103.1</v>
      </c>
      <c r="K16" s="14" t="s">
        <v>225</v>
      </c>
    </row>
    <row r="17" spans="1:11" ht="15" customHeight="1">
      <c r="A17" s="13">
        <v>45870</v>
      </c>
      <c r="B17" s="14" t="s">
        <v>235</v>
      </c>
      <c r="C17" s="14"/>
      <c r="D17" s="14" t="s">
        <v>77</v>
      </c>
      <c r="E17" s="14" t="str">
        <f>_xlfn.XLOOKUP($D17,'Chart of Accounts'!$A:$A,'Chart of Accounts'!B:B,"")</f>
        <v>Net Assets - Unrestricted</v>
      </c>
      <c r="F17" s="14" t="str">
        <f>_xlfn.XLOOKUP($D17,'Chart of Accounts'!$A:$A,'Chart of Accounts'!C:C,"")</f>
        <v>Equity</v>
      </c>
      <c r="G17" s="14" t="s">
        <v>241</v>
      </c>
      <c r="H17" s="16">
        <v>54469.4</v>
      </c>
      <c r="I17" s="16"/>
      <c r="J17" s="16">
        <v>54469.4</v>
      </c>
      <c r="K17" s="14" t="s">
        <v>225</v>
      </c>
    </row>
    <row r="18" spans="1:11" ht="15" customHeight="1">
      <c r="A18" s="13">
        <v>45870</v>
      </c>
      <c r="B18" s="14" t="s">
        <v>242</v>
      </c>
      <c r="C18" s="14"/>
      <c r="D18" s="14" t="s">
        <v>81</v>
      </c>
      <c r="E18" s="14" t="str">
        <f>_xlfn.XLOOKUP($D18,'Chart of Accounts'!$A:$A,'Chart of Accounts'!B:B,"")</f>
        <v>Net Assets - Temporarily Restricted</v>
      </c>
      <c r="F18" s="14" t="str">
        <f>_xlfn.XLOOKUP($D18,'Chart of Accounts'!$A:$A,'Chart of Accounts'!C:C,"")</f>
        <v>Equity</v>
      </c>
      <c r="G18" s="14" t="s">
        <v>243</v>
      </c>
      <c r="H18" s="16">
        <v>99290.1</v>
      </c>
      <c r="I18" s="16"/>
      <c r="J18" s="16">
        <v>99290.1</v>
      </c>
      <c r="K18" s="14" t="s">
        <v>225</v>
      </c>
    </row>
    <row r="19" spans="1:11" ht="15" customHeight="1">
      <c r="A19" s="13">
        <v>45870</v>
      </c>
      <c r="B19" s="14" t="s">
        <v>242</v>
      </c>
      <c r="C19" s="14"/>
      <c r="D19" s="14" t="s">
        <v>77</v>
      </c>
      <c r="E19" s="14" t="str">
        <f>_xlfn.XLOOKUP($D19,'Chart of Accounts'!$A:$A,'Chart of Accounts'!B:B,"")</f>
        <v>Net Assets - Unrestricted</v>
      </c>
      <c r="F19" s="14" t="str">
        <f>_xlfn.XLOOKUP($D19,'Chart of Accounts'!$A:$A,'Chart of Accounts'!C:C,"")</f>
        <v>Equity</v>
      </c>
      <c r="G19" s="14" t="s">
        <v>243</v>
      </c>
      <c r="H19" s="16"/>
      <c r="I19" s="16">
        <v>99290.1</v>
      </c>
      <c r="J19" s="16">
        <v>-99290.1</v>
      </c>
      <c r="K19" s="14" t="s">
        <v>225</v>
      </c>
    </row>
    <row r="20" spans="1:11" ht="15" customHeight="1">
      <c r="A20" s="13">
        <v>45901</v>
      </c>
      <c r="B20" s="14" t="s">
        <v>244</v>
      </c>
      <c r="C20" s="14" t="s">
        <v>12</v>
      </c>
      <c r="D20" s="14" t="s">
        <v>81</v>
      </c>
      <c r="E20" s="14" t="str">
        <f>_xlfn.XLOOKUP($D20,'Chart of Accounts'!$A:$A,'Chart of Accounts'!B:B,"")</f>
        <v>Net Assets - Temporarily Restricted</v>
      </c>
      <c r="F20" s="14" t="str">
        <f>_xlfn.XLOOKUP($D20,'Chart of Accounts'!$A:$A,'Chart of Accounts'!C:C,"")</f>
        <v>Equity</v>
      </c>
      <c r="G20" s="14" t="s">
        <v>245</v>
      </c>
      <c r="H20" s="16"/>
      <c r="I20" s="16">
        <v>12392.69</v>
      </c>
      <c r="J20" s="16">
        <v>-12392.69</v>
      </c>
      <c r="K20" s="14" t="s">
        <v>225</v>
      </c>
    </row>
    <row r="21" spans="1:11" ht="15" customHeight="1">
      <c r="A21" s="13">
        <v>45901</v>
      </c>
      <c r="B21" s="14" t="s">
        <v>244</v>
      </c>
      <c r="C21" s="14" t="s">
        <v>14</v>
      </c>
      <c r="D21" s="14" t="s">
        <v>81</v>
      </c>
      <c r="E21" s="14" t="str">
        <f>_xlfn.XLOOKUP($D21,'Chart of Accounts'!$A:$A,'Chart of Accounts'!B:B,"")</f>
        <v>Net Assets - Temporarily Restricted</v>
      </c>
      <c r="F21" s="14" t="str">
        <f>_xlfn.XLOOKUP($D21,'Chart of Accounts'!$A:$A,'Chart of Accounts'!C:C,"")</f>
        <v>Equity</v>
      </c>
      <c r="G21" s="14" t="s">
        <v>246</v>
      </c>
      <c r="H21" s="16"/>
      <c r="I21" s="16">
        <v>9297.2999999999993</v>
      </c>
      <c r="J21" s="16">
        <v>-9297.2999999999993</v>
      </c>
      <c r="K21" s="14" t="s">
        <v>225</v>
      </c>
    </row>
    <row r="22" spans="1:11" ht="15" customHeight="1">
      <c r="A22" s="13">
        <v>45901</v>
      </c>
      <c r="B22" s="14" t="s">
        <v>244</v>
      </c>
      <c r="C22" s="14" t="s">
        <v>16</v>
      </c>
      <c r="D22" s="14" t="s">
        <v>81</v>
      </c>
      <c r="E22" s="14" t="str">
        <f>_xlfn.XLOOKUP($D22,'Chart of Accounts'!$A:$A,'Chart of Accounts'!B:B,"")</f>
        <v>Net Assets - Temporarily Restricted</v>
      </c>
      <c r="F22" s="14" t="str">
        <f>_xlfn.XLOOKUP($D22,'Chart of Accounts'!$A:$A,'Chart of Accounts'!C:C,"")</f>
        <v>Equity</v>
      </c>
      <c r="G22" s="14" t="s">
        <v>247</v>
      </c>
      <c r="H22" s="16"/>
      <c r="I22" s="16">
        <v>9297.2999999999993</v>
      </c>
      <c r="J22" s="16">
        <v>-9297.2999999999993</v>
      </c>
      <c r="K22" s="14" t="s">
        <v>225</v>
      </c>
    </row>
    <row r="23" spans="1:11" ht="15" customHeight="1">
      <c r="A23" s="13">
        <v>45901</v>
      </c>
      <c r="B23" s="14" t="s">
        <v>244</v>
      </c>
      <c r="C23" s="14" t="s">
        <v>18</v>
      </c>
      <c r="D23" s="14" t="s">
        <v>81</v>
      </c>
      <c r="E23" s="14" t="str">
        <f>_xlfn.XLOOKUP($D23,'Chart of Accounts'!$A:$A,'Chart of Accounts'!B:B,"")</f>
        <v>Net Assets - Temporarily Restricted</v>
      </c>
      <c r="F23" s="14" t="str">
        <f>_xlfn.XLOOKUP($D23,'Chart of Accounts'!$A:$A,'Chart of Accounts'!C:C,"")</f>
        <v>Equity</v>
      </c>
      <c r="G23" s="14" t="s">
        <v>248</v>
      </c>
      <c r="H23" s="16"/>
      <c r="I23" s="16">
        <v>12392.68</v>
      </c>
      <c r="J23" s="16">
        <v>-12392.68</v>
      </c>
      <c r="K23" s="14" t="s">
        <v>225</v>
      </c>
    </row>
    <row r="24" spans="1:11" ht="15" customHeight="1">
      <c r="A24" s="13">
        <v>45901</v>
      </c>
      <c r="B24" s="14" t="s">
        <v>244</v>
      </c>
      <c r="C24" s="14" t="s">
        <v>20</v>
      </c>
      <c r="D24" s="14" t="s">
        <v>81</v>
      </c>
      <c r="E24" s="14" t="str">
        <f>_xlfn.XLOOKUP($D24,'Chart of Accounts'!$A:$A,'Chart of Accounts'!B:B,"")</f>
        <v>Net Assets - Temporarily Restricted</v>
      </c>
      <c r="F24" s="14" t="str">
        <f>_xlfn.XLOOKUP($D24,'Chart of Accounts'!$A:$A,'Chart of Accounts'!C:C,"")</f>
        <v>Equity</v>
      </c>
      <c r="G24" s="14" t="s">
        <v>249</v>
      </c>
      <c r="H24" s="16"/>
      <c r="I24" s="16">
        <v>12392.68</v>
      </c>
      <c r="J24" s="16">
        <v>-12392.68</v>
      </c>
      <c r="K24" s="14" t="s">
        <v>225</v>
      </c>
    </row>
    <row r="25" spans="1:11" ht="15" customHeight="1">
      <c r="A25" s="13">
        <v>45901</v>
      </c>
      <c r="B25" s="14" t="s">
        <v>244</v>
      </c>
      <c r="C25" s="14"/>
      <c r="D25" s="14" t="s">
        <v>77</v>
      </c>
      <c r="E25" s="14" t="str">
        <f>_xlfn.XLOOKUP($D25,'Chart of Accounts'!$A:$A,'Chart of Accounts'!B:B,"")</f>
        <v>Net Assets - Unrestricted</v>
      </c>
      <c r="F25" s="14" t="str">
        <f>_xlfn.XLOOKUP($D25,'Chart of Accounts'!$A:$A,'Chart of Accounts'!C:C,"")</f>
        <v>Equity</v>
      </c>
      <c r="G25" s="14" t="s">
        <v>250</v>
      </c>
      <c r="H25" s="16">
        <v>55772.65</v>
      </c>
      <c r="I25" s="16"/>
      <c r="J25" s="16">
        <v>55772.65</v>
      </c>
      <c r="K25" s="14" t="s">
        <v>225</v>
      </c>
    </row>
    <row r="26" spans="1:11" ht="15" customHeight="1">
      <c r="A26" s="13">
        <v>45901</v>
      </c>
      <c r="B26" s="14" t="s">
        <v>251</v>
      </c>
      <c r="C26" s="14"/>
      <c r="D26" s="14" t="s">
        <v>81</v>
      </c>
      <c r="E26" s="14" t="str">
        <f>_xlfn.XLOOKUP($D26,'Chart of Accounts'!$A:$A,'Chart of Accounts'!B:B,"")</f>
        <v>Net Assets - Temporarily Restricted</v>
      </c>
      <c r="F26" s="14" t="str">
        <f>_xlfn.XLOOKUP($D26,'Chart of Accounts'!$A:$A,'Chart of Accounts'!C:C,"")</f>
        <v>Equity</v>
      </c>
      <c r="G26" s="14" t="s">
        <v>252</v>
      </c>
      <c r="H26" s="16">
        <v>55772.65</v>
      </c>
      <c r="I26" s="16"/>
      <c r="J26" s="16">
        <v>55772.65</v>
      </c>
      <c r="K26" s="14" t="s">
        <v>225</v>
      </c>
    </row>
    <row r="27" spans="1:11" ht="15" customHeight="1">
      <c r="A27" s="13">
        <v>45901</v>
      </c>
      <c r="B27" s="14" t="s">
        <v>251</v>
      </c>
      <c r="C27" s="14"/>
      <c r="D27" s="14" t="s">
        <v>77</v>
      </c>
      <c r="E27" s="14" t="str">
        <f>_xlfn.XLOOKUP($D27,'Chart of Accounts'!$A:$A,'Chart of Accounts'!B:B,"")</f>
        <v>Net Assets - Unrestricted</v>
      </c>
      <c r="F27" s="14" t="str">
        <f>_xlfn.XLOOKUP($D27,'Chart of Accounts'!$A:$A,'Chart of Accounts'!C:C,"")</f>
        <v>Equity</v>
      </c>
      <c r="G27" s="14" t="s">
        <v>252</v>
      </c>
      <c r="H27" s="16"/>
      <c r="I27" s="16">
        <v>55772.65</v>
      </c>
      <c r="J27" s="16">
        <v>-55772.65</v>
      </c>
      <c r="K27" s="14" t="s">
        <v>225</v>
      </c>
    </row>
    <row r="28" spans="1:11" ht="15" customHeight="1">
      <c r="A28" s="13">
        <v>45931</v>
      </c>
      <c r="B28" s="14" t="s">
        <v>253</v>
      </c>
      <c r="C28" s="14" t="s">
        <v>12</v>
      </c>
      <c r="D28" s="14" t="s">
        <v>81</v>
      </c>
      <c r="E28" s="14" t="str">
        <f>_xlfn.XLOOKUP($D28,'Chart of Accounts'!$A:$A,'Chart of Accounts'!B:B,"")</f>
        <v>Net Assets - Temporarily Restricted</v>
      </c>
      <c r="F28" s="14" t="str">
        <f>_xlfn.XLOOKUP($D28,'Chart of Accounts'!$A:$A,'Chart of Accounts'!C:C,"")</f>
        <v>Equity</v>
      </c>
      <c r="G28" s="14" t="s">
        <v>254</v>
      </c>
      <c r="H28" s="16"/>
      <c r="I28" s="16">
        <v>26531.17</v>
      </c>
      <c r="J28" s="16">
        <v>-26531.17</v>
      </c>
      <c r="K28" s="14" t="s">
        <v>225</v>
      </c>
    </row>
    <row r="29" spans="1:11" ht="15" customHeight="1">
      <c r="A29" s="13">
        <v>45931</v>
      </c>
      <c r="B29" s="14" t="s">
        <v>253</v>
      </c>
      <c r="C29" s="14" t="s">
        <v>14</v>
      </c>
      <c r="D29" s="14" t="s">
        <v>81</v>
      </c>
      <c r="E29" s="14" t="str">
        <f>_xlfn.XLOOKUP($D29,'Chart of Accounts'!$A:$A,'Chart of Accounts'!B:B,"")</f>
        <v>Net Assets - Temporarily Restricted</v>
      </c>
      <c r="F29" s="14" t="str">
        <f>_xlfn.XLOOKUP($D29,'Chart of Accounts'!$A:$A,'Chart of Accounts'!C:C,"")</f>
        <v>Equity</v>
      </c>
      <c r="G29" s="14" t="s">
        <v>255</v>
      </c>
      <c r="H29" s="16"/>
      <c r="I29" s="16">
        <v>35364.269999999997</v>
      </c>
      <c r="J29" s="16">
        <v>-35364.269999999997</v>
      </c>
      <c r="K29" s="14" t="s">
        <v>225</v>
      </c>
    </row>
    <row r="30" spans="1:11" ht="15" customHeight="1">
      <c r="A30" s="13">
        <v>45931</v>
      </c>
      <c r="B30" s="14" t="s">
        <v>253</v>
      </c>
      <c r="C30" s="14" t="s">
        <v>16</v>
      </c>
      <c r="D30" s="14" t="s">
        <v>81</v>
      </c>
      <c r="E30" s="14" t="str">
        <f>_xlfn.XLOOKUP($D30,'Chart of Accounts'!$A:$A,'Chart of Accounts'!B:B,"")</f>
        <v>Net Assets - Temporarily Restricted</v>
      </c>
      <c r="F30" s="14" t="str">
        <f>_xlfn.XLOOKUP($D30,'Chart of Accounts'!$A:$A,'Chart of Accounts'!C:C,"")</f>
        <v>Equity</v>
      </c>
      <c r="G30" s="14" t="s">
        <v>256</v>
      </c>
      <c r="H30" s="16"/>
      <c r="I30" s="16">
        <v>26531.17</v>
      </c>
      <c r="J30" s="16">
        <v>-26531.17</v>
      </c>
      <c r="K30" s="14" t="s">
        <v>225</v>
      </c>
    </row>
    <row r="31" spans="1:11" ht="15" customHeight="1">
      <c r="A31" s="13">
        <v>45931</v>
      </c>
      <c r="B31" s="14" t="s">
        <v>253</v>
      </c>
      <c r="C31" s="14" t="s">
        <v>18</v>
      </c>
      <c r="D31" s="14" t="s">
        <v>81</v>
      </c>
      <c r="E31" s="14" t="str">
        <f>_xlfn.XLOOKUP($D31,'Chart of Accounts'!$A:$A,'Chart of Accounts'!B:B,"")</f>
        <v>Net Assets - Temporarily Restricted</v>
      </c>
      <c r="F31" s="14" t="str">
        <f>_xlfn.XLOOKUP($D31,'Chart of Accounts'!$A:$A,'Chart of Accounts'!C:C,"")</f>
        <v>Equity</v>
      </c>
      <c r="G31" s="14" t="s">
        <v>257</v>
      </c>
      <c r="H31" s="16"/>
      <c r="I31" s="16">
        <v>35364.28</v>
      </c>
      <c r="J31" s="16">
        <v>-35364.28</v>
      </c>
      <c r="K31" s="14" t="s">
        <v>225</v>
      </c>
    </row>
    <row r="32" spans="1:11" ht="15" customHeight="1">
      <c r="A32" s="13">
        <v>45931</v>
      </c>
      <c r="B32" s="14" t="s">
        <v>253</v>
      </c>
      <c r="C32" s="14" t="s">
        <v>20</v>
      </c>
      <c r="D32" s="14" t="s">
        <v>81</v>
      </c>
      <c r="E32" s="14" t="str">
        <f>_xlfn.XLOOKUP($D32,'Chart of Accounts'!$A:$A,'Chart of Accounts'!B:B,"")</f>
        <v>Net Assets - Temporarily Restricted</v>
      </c>
      <c r="F32" s="14" t="str">
        <f>_xlfn.XLOOKUP($D32,'Chart of Accounts'!$A:$A,'Chart of Accounts'!C:C,"")</f>
        <v>Equity</v>
      </c>
      <c r="G32" s="14" t="s">
        <v>258</v>
      </c>
      <c r="H32" s="16"/>
      <c r="I32" s="16">
        <v>35364.28</v>
      </c>
      <c r="J32" s="16">
        <v>-35364.28</v>
      </c>
      <c r="K32" s="14" t="s">
        <v>225</v>
      </c>
    </row>
    <row r="33" spans="1:11" ht="15" customHeight="1">
      <c r="A33" s="13">
        <v>45931</v>
      </c>
      <c r="B33" s="14" t="s">
        <v>253</v>
      </c>
      <c r="C33" s="14"/>
      <c r="D33" s="14" t="s">
        <v>77</v>
      </c>
      <c r="E33" s="14" t="str">
        <f>_xlfn.XLOOKUP($D33,'Chart of Accounts'!$A:$A,'Chart of Accounts'!B:B,"")</f>
        <v>Net Assets - Unrestricted</v>
      </c>
      <c r="F33" s="14" t="str">
        <f>_xlfn.XLOOKUP($D33,'Chart of Accounts'!$A:$A,'Chart of Accounts'!C:C,"")</f>
        <v>Equity</v>
      </c>
      <c r="G33" s="14" t="s">
        <v>259</v>
      </c>
      <c r="H33" s="16">
        <v>159155.17000000001</v>
      </c>
      <c r="I33" s="16"/>
      <c r="J33" s="16">
        <v>159155.17000000001</v>
      </c>
      <c r="K33" s="14" t="s">
        <v>225</v>
      </c>
    </row>
    <row r="34" spans="1:11" ht="15" customHeight="1">
      <c r="A34" s="13">
        <v>45931</v>
      </c>
      <c r="B34" s="14" t="s">
        <v>260</v>
      </c>
      <c r="C34" s="14"/>
      <c r="D34" s="14" t="s">
        <v>81</v>
      </c>
      <c r="E34" s="14" t="str">
        <f>_xlfn.XLOOKUP($D34,'Chart of Accounts'!$A:$A,'Chart of Accounts'!B:B,"")</f>
        <v>Net Assets - Temporarily Restricted</v>
      </c>
      <c r="F34" s="14" t="str">
        <f>_xlfn.XLOOKUP($D34,'Chart of Accounts'!$A:$A,'Chart of Accounts'!C:C,"")</f>
        <v>Equity</v>
      </c>
      <c r="G34" s="14" t="s">
        <v>261</v>
      </c>
      <c r="H34" s="16">
        <v>139342.87</v>
      </c>
      <c r="I34" s="16"/>
      <c r="J34" s="16">
        <v>139342.87</v>
      </c>
      <c r="K34" s="14" t="s">
        <v>225</v>
      </c>
    </row>
    <row r="35" spans="1:11" ht="15" customHeight="1">
      <c r="A35" s="13">
        <v>45931</v>
      </c>
      <c r="B35" s="14" t="s">
        <v>260</v>
      </c>
      <c r="C35" s="14"/>
      <c r="D35" s="14" t="s">
        <v>77</v>
      </c>
      <c r="E35" s="14" t="str">
        <f>_xlfn.XLOOKUP($D35,'Chart of Accounts'!$A:$A,'Chart of Accounts'!B:B,"")</f>
        <v>Net Assets - Unrestricted</v>
      </c>
      <c r="F35" s="14" t="str">
        <f>_xlfn.XLOOKUP($D35,'Chart of Accounts'!$A:$A,'Chart of Accounts'!C:C,"")</f>
        <v>Equity</v>
      </c>
      <c r="G35" s="14" t="s">
        <v>261</v>
      </c>
      <c r="H35" s="16"/>
      <c r="I35" s="16">
        <v>139342.87</v>
      </c>
      <c r="J35" s="16">
        <v>-139342.87</v>
      </c>
      <c r="K35" s="14" t="s">
        <v>225</v>
      </c>
    </row>
    <row r="36" spans="1:11" ht="15" customHeight="1">
      <c r="A36" s="13">
        <v>45962</v>
      </c>
      <c r="B36" s="14" t="s">
        <v>262</v>
      </c>
      <c r="C36" s="14" t="s">
        <v>12</v>
      </c>
      <c r="D36" s="14" t="s">
        <v>81</v>
      </c>
      <c r="E36" s="14" t="str">
        <f>_xlfn.XLOOKUP($D36,'Chart of Accounts'!$A:$A,'Chart of Accounts'!B:B,"")</f>
        <v>Net Assets - Temporarily Restricted</v>
      </c>
      <c r="F36" s="14" t="str">
        <f>_xlfn.XLOOKUP($D36,'Chart of Accounts'!$A:$A,'Chart of Accounts'!C:C,"")</f>
        <v>Equity</v>
      </c>
      <c r="G36" s="14" t="s">
        <v>263</v>
      </c>
      <c r="H36" s="16"/>
      <c r="I36" s="16">
        <v>10518.54</v>
      </c>
      <c r="J36" s="16">
        <v>-10518.54</v>
      </c>
      <c r="K36" s="14" t="s">
        <v>225</v>
      </c>
    </row>
    <row r="37" spans="1:11" ht="15" customHeight="1">
      <c r="A37" s="13">
        <v>45962</v>
      </c>
      <c r="B37" s="14" t="s">
        <v>262</v>
      </c>
      <c r="C37" s="14" t="s">
        <v>14</v>
      </c>
      <c r="D37" s="14" t="s">
        <v>81</v>
      </c>
      <c r="E37" s="14" t="str">
        <f>_xlfn.XLOOKUP($D37,'Chart of Accounts'!$A:$A,'Chart of Accounts'!B:B,"")</f>
        <v>Net Assets - Temporarily Restricted</v>
      </c>
      <c r="F37" s="14" t="str">
        <f>_xlfn.XLOOKUP($D37,'Chart of Accounts'!$A:$A,'Chart of Accounts'!C:C,"")</f>
        <v>Equity</v>
      </c>
      <c r="G37" s="14" t="s">
        <v>264</v>
      </c>
      <c r="H37" s="16"/>
      <c r="I37" s="16">
        <v>10513.54</v>
      </c>
      <c r="J37" s="16">
        <v>-10513.54</v>
      </c>
      <c r="K37" s="14" t="s">
        <v>225</v>
      </c>
    </row>
    <row r="38" spans="1:11" ht="15" customHeight="1">
      <c r="A38" s="13">
        <v>45962</v>
      </c>
      <c r="B38" s="14" t="s">
        <v>262</v>
      </c>
      <c r="C38" s="14" t="s">
        <v>16</v>
      </c>
      <c r="D38" s="14" t="s">
        <v>81</v>
      </c>
      <c r="E38" s="14" t="str">
        <f>_xlfn.XLOOKUP($D38,'Chart of Accounts'!$A:$A,'Chart of Accounts'!B:B,"")</f>
        <v>Net Assets - Temporarily Restricted</v>
      </c>
      <c r="F38" s="14" t="str">
        <f>_xlfn.XLOOKUP($D38,'Chart of Accounts'!$A:$A,'Chart of Accounts'!C:C,"")</f>
        <v>Equity</v>
      </c>
      <c r="G38" s="14" t="s">
        <v>265</v>
      </c>
      <c r="H38" s="16"/>
      <c r="I38" s="16">
        <v>7886.4</v>
      </c>
      <c r="J38" s="16">
        <v>-7886.4</v>
      </c>
      <c r="K38" s="14" t="s">
        <v>225</v>
      </c>
    </row>
    <row r="39" spans="1:11" ht="15" customHeight="1">
      <c r="A39" s="13">
        <v>45962</v>
      </c>
      <c r="B39" s="14" t="s">
        <v>262</v>
      </c>
      <c r="C39" s="14" t="s">
        <v>18</v>
      </c>
      <c r="D39" s="14" t="s">
        <v>81</v>
      </c>
      <c r="E39" s="14" t="str">
        <f>_xlfn.XLOOKUP($D39,'Chart of Accounts'!$A:$A,'Chart of Accounts'!B:B,"")</f>
        <v>Net Assets - Temporarily Restricted</v>
      </c>
      <c r="F39" s="14" t="str">
        <f>_xlfn.XLOOKUP($D39,'Chart of Accounts'!$A:$A,'Chart of Accounts'!C:C,"")</f>
        <v>Equity</v>
      </c>
      <c r="G39" s="14" t="s">
        <v>266</v>
      </c>
      <c r="H39" s="16"/>
      <c r="I39" s="16">
        <v>10513.54</v>
      </c>
      <c r="J39" s="16">
        <v>-10513.54</v>
      </c>
      <c r="K39" s="14" t="s">
        <v>225</v>
      </c>
    </row>
    <row r="40" spans="1:11" ht="15" customHeight="1">
      <c r="A40" s="13">
        <v>45962</v>
      </c>
      <c r="B40" s="14" t="s">
        <v>262</v>
      </c>
      <c r="C40" s="14" t="s">
        <v>20</v>
      </c>
      <c r="D40" s="14" t="s">
        <v>81</v>
      </c>
      <c r="E40" s="14" t="str">
        <f>_xlfn.XLOOKUP($D40,'Chart of Accounts'!$A:$A,'Chart of Accounts'!B:B,"")</f>
        <v>Net Assets - Temporarily Restricted</v>
      </c>
      <c r="F40" s="14" t="str">
        <f>_xlfn.XLOOKUP($D40,'Chart of Accounts'!$A:$A,'Chart of Accounts'!C:C,"")</f>
        <v>Equity</v>
      </c>
      <c r="G40" s="14" t="s">
        <v>267</v>
      </c>
      <c r="H40" s="16"/>
      <c r="I40" s="16">
        <v>10513.54</v>
      </c>
      <c r="J40" s="16">
        <v>-10513.54</v>
      </c>
      <c r="K40" s="14" t="s">
        <v>225</v>
      </c>
    </row>
    <row r="41" spans="1:11" ht="15" customHeight="1">
      <c r="A41" s="13">
        <v>45962</v>
      </c>
      <c r="B41" s="14" t="s">
        <v>262</v>
      </c>
      <c r="C41" s="14"/>
      <c r="D41" s="14" t="s">
        <v>77</v>
      </c>
      <c r="E41" s="14" t="str">
        <f>_xlfn.XLOOKUP($D41,'Chart of Accounts'!$A:$A,'Chart of Accounts'!B:B,"")</f>
        <v>Net Assets - Unrestricted</v>
      </c>
      <c r="F41" s="14" t="str">
        <f>_xlfn.XLOOKUP($D41,'Chart of Accounts'!$A:$A,'Chart of Accounts'!C:C,"")</f>
        <v>Equity</v>
      </c>
      <c r="G41" s="14" t="s">
        <v>268</v>
      </c>
      <c r="H41" s="16">
        <v>49945.56</v>
      </c>
      <c r="I41" s="16"/>
      <c r="J41" s="16">
        <v>49945.56</v>
      </c>
      <c r="K41" s="14" t="s">
        <v>225</v>
      </c>
    </row>
    <row r="42" spans="1:11" ht="15" customHeight="1">
      <c r="A42" s="13">
        <v>45962</v>
      </c>
      <c r="B42" s="14" t="s">
        <v>269</v>
      </c>
      <c r="C42" s="14"/>
      <c r="D42" s="14" t="s">
        <v>81</v>
      </c>
      <c r="E42" s="14" t="str">
        <f>_xlfn.XLOOKUP($D42,'Chart of Accounts'!$A:$A,'Chart of Accounts'!B:B,"")</f>
        <v>Net Assets - Temporarily Restricted</v>
      </c>
      <c r="F42" s="14" t="str">
        <f>_xlfn.XLOOKUP($D42,'Chart of Accounts'!$A:$A,'Chart of Accounts'!C:C,"")</f>
        <v>Equity</v>
      </c>
      <c r="G42" s="14" t="s">
        <v>270</v>
      </c>
      <c r="H42" s="16">
        <v>69757.86</v>
      </c>
      <c r="I42" s="16"/>
      <c r="J42" s="16">
        <v>69757.86</v>
      </c>
      <c r="K42" s="14" t="s">
        <v>225</v>
      </c>
    </row>
    <row r="43" spans="1:11" ht="15" customHeight="1">
      <c r="A43" s="13">
        <v>45962</v>
      </c>
      <c r="B43" s="14" t="s">
        <v>269</v>
      </c>
      <c r="C43" s="14"/>
      <c r="D43" s="14" t="s">
        <v>77</v>
      </c>
      <c r="E43" s="14" t="str">
        <f>_xlfn.XLOOKUP($D43,'Chart of Accounts'!$A:$A,'Chart of Accounts'!B:B,"")</f>
        <v>Net Assets - Unrestricted</v>
      </c>
      <c r="F43" s="14" t="str">
        <f>_xlfn.XLOOKUP($D43,'Chart of Accounts'!$A:$A,'Chart of Accounts'!C:C,"")</f>
        <v>Equity</v>
      </c>
      <c r="G43" s="14" t="s">
        <v>270</v>
      </c>
      <c r="H43" s="16"/>
      <c r="I43" s="16">
        <v>69757.86</v>
      </c>
      <c r="J43" s="16">
        <v>-69757.86</v>
      </c>
      <c r="K43" s="14" t="s">
        <v>225</v>
      </c>
    </row>
    <row r="44" spans="1:11" ht="15" customHeight="1">
      <c r="A44" s="13">
        <v>45992</v>
      </c>
      <c r="B44" s="14" t="s">
        <v>271</v>
      </c>
      <c r="C44" s="14" t="s">
        <v>12</v>
      </c>
      <c r="D44" s="14" t="s">
        <v>81</v>
      </c>
      <c r="E44" s="14" t="str">
        <f>_xlfn.XLOOKUP($D44,'Chart of Accounts'!$A:$A,'Chart of Accounts'!B:B,"")</f>
        <v>Net Assets - Temporarily Restricted</v>
      </c>
      <c r="F44" s="14" t="str">
        <f>_xlfn.XLOOKUP($D44,'Chart of Accounts'!$A:$A,'Chart of Accounts'!C:C,"")</f>
        <v>Equity</v>
      </c>
      <c r="G44" s="14" t="s">
        <v>272</v>
      </c>
      <c r="H44" s="16"/>
      <c r="I44" s="16">
        <v>14102.79</v>
      </c>
      <c r="J44" s="16">
        <v>-14102.79</v>
      </c>
      <c r="K44" s="14" t="s">
        <v>225</v>
      </c>
    </row>
    <row r="45" spans="1:11" ht="15" customHeight="1">
      <c r="A45" s="13">
        <v>45992</v>
      </c>
      <c r="B45" s="14" t="s">
        <v>271</v>
      </c>
      <c r="C45" s="14" t="s">
        <v>14</v>
      </c>
      <c r="D45" s="14" t="s">
        <v>81</v>
      </c>
      <c r="E45" s="14" t="str">
        <f>_xlfn.XLOOKUP($D45,'Chart of Accounts'!$A:$A,'Chart of Accounts'!B:B,"")</f>
        <v>Net Assets - Temporarily Restricted</v>
      </c>
      <c r="F45" s="14" t="str">
        <f>_xlfn.XLOOKUP($D45,'Chart of Accounts'!$A:$A,'Chart of Accounts'!C:C,"")</f>
        <v>Equity</v>
      </c>
      <c r="G45" s="14" t="s">
        <v>273</v>
      </c>
      <c r="H45" s="16"/>
      <c r="I45" s="16">
        <v>14096.09</v>
      </c>
      <c r="J45" s="16">
        <v>-14096.09</v>
      </c>
      <c r="K45" s="14" t="s">
        <v>225</v>
      </c>
    </row>
    <row r="46" spans="1:11" ht="15" customHeight="1">
      <c r="A46" s="13">
        <v>45992</v>
      </c>
      <c r="B46" s="14" t="s">
        <v>271</v>
      </c>
      <c r="C46" s="14" t="s">
        <v>16</v>
      </c>
      <c r="D46" s="14" t="s">
        <v>81</v>
      </c>
      <c r="E46" s="14" t="str">
        <f>_xlfn.XLOOKUP($D46,'Chart of Accounts'!$A:$A,'Chart of Accounts'!B:B,"")</f>
        <v>Net Assets - Temporarily Restricted</v>
      </c>
      <c r="F46" s="14" t="str">
        <f>_xlfn.XLOOKUP($D46,'Chart of Accounts'!$A:$A,'Chart of Accounts'!C:C,"")</f>
        <v>Equity</v>
      </c>
      <c r="G46" s="14" t="s">
        <v>274</v>
      </c>
      <c r="H46" s="16"/>
      <c r="I46" s="16">
        <v>10573.74</v>
      </c>
      <c r="J46" s="16">
        <v>-10573.74</v>
      </c>
      <c r="K46" s="14" t="s">
        <v>225</v>
      </c>
    </row>
    <row r="47" spans="1:11" ht="15" customHeight="1">
      <c r="A47" s="13">
        <v>45992</v>
      </c>
      <c r="B47" s="14" t="s">
        <v>271</v>
      </c>
      <c r="C47" s="14" t="s">
        <v>18</v>
      </c>
      <c r="D47" s="14" t="s">
        <v>81</v>
      </c>
      <c r="E47" s="14" t="str">
        <f>_xlfn.XLOOKUP($D47,'Chart of Accounts'!$A:$A,'Chart of Accounts'!B:B,"")</f>
        <v>Net Assets - Temporarily Restricted</v>
      </c>
      <c r="F47" s="14" t="str">
        <f>_xlfn.XLOOKUP($D47,'Chart of Accounts'!$A:$A,'Chart of Accounts'!C:C,"")</f>
        <v>Equity</v>
      </c>
      <c r="G47" s="14" t="s">
        <v>275</v>
      </c>
      <c r="H47" s="16"/>
      <c r="I47" s="16">
        <v>14096.09</v>
      </c>
      <c r="J47" s="16">
        <v>-14096.09</v>
      </c>
      <c r="K47" s="14" t="s">
        <v>225</v>
      </c>
    </row>
    <row r="48" spans="1:11" ht="15" customHeight="1">
      <c r="A48" s="13">
        <v>45992</v>
      </c>
      <c r="B48" s="14" t="s">
        <v>271</v>
      </c>
      <c r="C48" s="14" t="s">
        <v>20</v>
      </c>
      <c r="D48" s="14" t="s">
        <v>81</v>
      </c>
      <c r="E48" s="14" t="str">
        <f>_xlfn.XLOOKUP($D48,'Chart of Accounts'!$A:$A,'Chart of Accounts'!B:B,"")</f>
        <v>Net Assets - Temporarily Restricted</v>
      </c>
      <c r="F48" s="14" t="str">
        <f>_xlfn.XLOOKUP($D48,'Chart of Accounts'!$A:$A,'Chart of Accounts'!C:C,"")</f>
        <v>Equity</v>
      </c>
      <c r="G48" s="14" t="s">
        <v>276</v>
      </c>
      <c r="H48" s="16"/>
      <c r="I48" s="16">
        <v>14096.09</v>
      </c>
      <c r="J48" s="16">
        <v>-14096.09</v>
      </c>
      <c r="K48" s="14" t="s">
        <v>225</v>
      </c>
    </row>
    <row r="49" spans="1:11" ht="15" customHeight="1">
      <c r="A49" s="13">
        <v>45992</v>
      </c>
      <c r="B49" s="14" t="s">
        <v>271</v>
      </c>
      <c r="C49" s="14"/>
      <c r="D49" s="14" t="s">
        <v>77</v>
      </c>
      <c r="E49" s="14" t="str">
        <f>_xlfn.XLOOKUP($D49,'Chart of Accounts'!$A:$A,'Chart of Accounts'!B:B,"")</f>
        <v>Net Assets - Unrestricted</v>
      </c>
      <c r="F49" s="14" t="str">
        <f>_xlfn.XLOOKUP($D49,'Chart of Accounts'!$A:$A,'Chart of Accounts'!C:C,"")</f>
        <v>Equity</v>
      </c>
      <c r="G49" s="14" t="s">
        <v>277</v>
      </c>
      <c r="H49" s="16">
        <v>66964.800000000003</v>
      </c>
      <c r="I49" s="16"/>
      <c r="J49" s="16">
        <v>66964.800000000003</v>
      </c>
      <c r="K49" s="14" t="s">
        <v>225</v>
      </c>
    </row>
    <row r="50" spans="1:11" ht="15" customHeight="1">
      <c r="A50" s="13">
        <v>45992</v>
      </c>
      <c r="B50" s="14" t="s">
        <v>278</v>
      </c>
      <c r="C50" s="14"/>
      <c r="D50" s="14" t="s">
        <v>81</v>
      </c>
      <c r="E50" s="14" t="str">
        <f>_xlfn.XLOOKUP($D50,'Chart of Accounts'!$A:$A,'Chart of Accounts'!B:B,"")</f>
        <v>Net Assets - Temporarily Restricted</v>
      </c>
      <c r="F50" s="14" t="str">
        <f>_xlfn.XLOOKUP($D50,'Chart of Accounts'!$A:$A,'Chart of Accounts'!C:C,"")</f>
        <v>Equity</v>
      </c>
      <c r="G50" s="14" t="s">
        <v>279</v>
      </c>
      <c r="H50" s="16">
        <v>66964.800000000003</v>
      </c>
      <c r="I50" s="16"/>
      <c r="J50" s="16">
        <v>66964.800000000003</v>
      </c>
      <c r="K50" s="14" t="s">
        <v>225</v>
      </c>
    </row>
    <row r="51" spans="1:11" ht="15" customHeight="1">
      <c r="A51" s="13">
        <v>45992</v>
      </c>
      <c r="B51" s="14" t="s">
        <v>278</v>
      </c>
      <c r="C51" s="14"/>
      <c r="D51" s="14" t="s">
        <v>77</v>
      </c>
      <c r="E51" s="14" t="str">
        <f>_xlfn.XLOOKUP($D51,'Chart of Accounts'!$A:$A,'Chart of Accounts'!B:B,"")</f>
        <v>Net Assets - Unrestricted</v>
      </c>
      <c r="F51" s="14" t="str">
        <f>_xlfn.XLOOKUP($D51,'Chart of Accounts'!$A:$A,'Chart of Accounts'!C:C,"")</f>
        <v>Equity</v>
      </c>
      <c r="G51" s="14" t="s">
        <v>279</v>
      </c>
      <c r="H51" s="16"/>
      <c r="I51" s="16">
        <v>66964.800000000003</v>
      </c>
      <c r="J51" s="16">
        <v>-66964.800000000003</v>
      </c>
      <c r="K51" s="14" t="s">
        <v>225</v>
      </c>
    </row>
    <row r="52" spans="1:11" ht="15" customHeight="1">
      <c r="A52" s="13">
        <v>46023</v>
      </c>
      <c r="B52" s="14" t="s">
        <v>280</v>
      </c>
      <c r="C52" s="14" t="s">
        <v>12</v>
      </c>
      <c r="D52" s="14" t="s">
        <v>81</v>
      </c>
      <c r="E52" s="14" t="str">
        <f>_xlfn.XLOOKUP($D52,'Chart of Accounts'!$A:$A,'Chart of Accounts'!B:B,"")</f>
        <v>Net Assets - Temporarily Restricted</v>
      </c>
      <c r="F52" s="14" t="str">
        <f>_xlfn.XLOOKUP($D52,'Chart of Accounts'!$A:$A,'Chart of Accounts'!C:C,"")</f>
        <v>Equity</v>
      </c>
      <c r="G52" s="14" t="s">
        <v>281</v>
      </c>
      <c r="H52" s="16"/>
      <c r="I52" s="16">
        <v>19992</v>
      </c>
      <c r="J52" s="16">
        <v>-19992</v>
      </c>
      <c r="K52" s="14" t="s">
        <v>225</v>
      </c>
    </row>
    <row r="53" spans="1:11" ht="15" customHeight="1">
      <c r="A53" s="13">
        <v>46023</v>
      </c>
      <c r="B53" s="14" t="s">
        <v>280</v>
      </c>
      <c r="C53" s="14" t="s">
        <v>14</v>
      </c>
      <c r="D53" s="14" t="s">
        <v>81</v>
      </c>
      <c r="E53" s="14" t="str">
        <f>_xlfn.XLOOKUP($D53,'Chart of Accounts'!$A:$A,'Chart of Accounts'!B:B,"")</f>
        <v>Net Assets - Temporarily Restricted</v>
      </c>
      <c r="F53" s="14" t="str">
        <f>_xlfn.XLOOKUP($D53,'Chart of Accounts'!$A:$A,'Chart of Accounts'!C:C,"")</f>
        <v>Equity</v>
      </c>
      <c r="G53" s="14" t="s">
        <v>282</v>
      </c>
      <c r="H53" s="16"/>
      <c r="I53" s="16">
        <v>19992.009999999998</v>
      </c>
      <c r="J53" s="16">
        <v>-19992.009999999998</v>
      </c>
      <c r="K53" s="14" t="s">
        <v>225</v>
      </c>
    </row>
    <row r="54" spans="1:11" ht="15" customHeight="1">
      <c r="A54" s="13">
        <v>46023</v>
      </c>
      <c r="B54" s="14" t="s">
        <v>280</v>
      </c>
      <c r="C54" s="14" t="s">
        <v>16</v>
      </c>
      <c r="D54" s="14" t="s">
        <v>81</v>
      </c>
      <c r="E54" s="14" t="str">
        <f>_xlfn.XLOOKUP($D54,'Chart of Accounts'!$A:$A,'Chart of Accounts'!B:B,"")</f>
        <v>Net Assets - Temporarily Restricted</v>
      </c>
      <c r="F54" s="14" t="str">
        <f>_xlfn.XLOOKUP($D54,'Chart of Accounts'!$A:$A,'Chart of Accounts'!C:C,"")</f>
        <v>Equity</v>
      </c>
      <c r="G54" s="14" t="s">
        <v>283</v>
      </c>
      <c r="H54" s="16"/>
      <c r="I54" s="16">
        <v>14998.5</v>
      </c>
      <c r="J54" s="16">
        <v>-14998.5</v>
      </c>
      <c r="K54" s="14" t="s">
        <v>225</v>
      </c>
    </row>
    <row r="55" spans="1:11" ht="15" customHeight="1">
      <c r="A55" s="13">
        <v>46023</v>
      </c>
      <c r="B55" s="14" t="s">
        <v>280</v>
      </c>
      <c r="C55" s="14" t="s">
        <v>18</v>
      </c>
      <c r="D55" s="14" t="s">
        <v>81</v>
      </c>
      <c r="E55" s="14" t="str">
        <f>_xlfn.XLOOKUP($D55,'Chart of Accounts'!$A:$A,'Chart of Accounts'!B:B,"")</f>
        <v>Net Assets - Temporarily Restricted</v>
      </c>
      <c r="F55" s="14" t="str">
        <f>_xlfn.XLOOKUP($D55,'Chart of Accounts'!$A:$A,'Chart of Accounts'!C:C,"")</f>
        <v>Equity</v>
      </c>
      <c r="G55" s="14" t="s">
        <v>284</v>
      </c>
      <c r="H55" s="16"/>
      <c r="I55" s="16">
        <v>14998.5</v>
      </c>
      <c r="J55" s="16">
        <v>-14998.5</v>
      </c>
      <c r="K55" s="14" t="s">
        <v>225</v>
      </c>
    </row>
    <row r="56" spans="1:11" ht="15" customHeight="1">
      <c r="A56" s="13">
        <v>46023</v>
      </c>
      <c r="B56" s="14" t="s">
        <v>280</v>
      </c>
      <c r="C56" s="14" t="s">
        <v>20</v>
      </c>
      <c r="D56" s="14" t="s">
        <v>81</v>
      </c>
      <c r="E56" s="14" t="str">
        <f>_xlfn.XLOOKUP($D56,'Chart of Accounts'!$A:$A,'Chart of Accounts'!B:B,"")</f>
        <v>Net Assets - Temporarily Restricted</v>
      </c>
      <c r="F56" s="14" t="str">
        <f>_xlfn.XLOOKUP($D56,'Chart of Accounts'!$A:$A,'Chart of Accounts'!C:C,"")</f>
        <v>Equity</v>
      </c>
      <c r="G56" s="14" t="s">
        <v>285</v>
      </c>
      <c r="H56" s="16"/>
      <c r="I56" s="16">
        <v>19992.009999999998</v>
      </c>
      <c r="J56" s="16">
        <v>-19992.009999999998</v>
      </c>
      <c r="K56" s="14" t="s">
        <v>225</v>
      </c>
    </row>
    <row r="57" spans="1:11" ht="15" customHeight="1">
      <c r="A57" s="13">
        <v>46023</v>
      </c>
      <c r="B57" s="14" t="s">
        <v>280</v>
      </c>
      <c r="C57" s="14"/>
      <c r="D57" s="14" t="s">
        <v>77</v>
      </c>
      <c r="E57" s="14" t="str">
        <f>_xlfn.XLOOKUP($D57,'Chart of Accounts'!$A:$A,'Chart of Accounts'!B:B,"")</f>
        <v>Net Assets - Unrestricted</v>
      </c>
      <c r="F57" s="14" t="str">
        <f>_xlfn.XLOOKUP($D57,'Chart of Accounts'!$A:$A,'Chart of Accounts'!C:C,"")</f>
        <v>Equity</v>
      </c>
      <c r="G57" s="14" t="s">
        <v>286</v>
      </c>
      <c r="H57" s="16">
        <v>89973.02</v>
      </c>
      <c r="I57" s="16"/>
      <c r="J57" s="16">
        <v>89973.02</v>
      </c>
      <c r="K57" s="14" t="s">
        <v>225</v>
      </c>
    </row>
    <row r="58" spans="1:11" ht="15" customHeight="1">
      <c r="A58" s="13">
        <v>46023</v>
      </c>
      <c r="B58" s="14" t="s">
        <v>287</v>
      </c>
      <c r="C58" s="14"/>
      <c r="D58" s="14" t="s">
        <v>81</v>
      </c>
      <c r="E58" s="14" t="str">
        <f>_xlfn.XLOOKUP($D58,'Chart of Accounts'!$A:$A,'Chart of Accounts'!B:B,"")</f>
        <v>Net Assets - Temporarily Restricted</v>
      </c>
      <c r="F58" s="14" t="str">
        <f>_xlfn.XLOOKUP($D58,'Chart of Accounts'!$A:$A,'Chart of Accounts'!C:C,"")</f>
        <v>Equity</v>
      </c>
      <c r="G58" s="14" t="s">
        <v>288</v>
      </c>
      <c r="H58" s="16">
        <v>89973.02</v>
      </c>
      <c r="I58" s="16"/>
      <c r="J58" s="16">
        <v>89973.02</v>
      </c>
      <c r="K58" s="14" t="s">
        <v>225</v>
      </c>
    </row>
    <row r="59" spans="1:11" ht="15" customHeight="1">
      <c r="A59" s="13">
        <v>46023</v>
      </c>
      <c r="B59" s="14" t="s">
        <v>287</v>
      </c>
      <c r="C59" s="14"/>
      <c r="D59" s="14" t="s">
        <v>77</v>
      </c>
      <c r="E59" s="14" t="str">
        <f>_xlfn.XLOOKUP($D59,'Chart of Accounts'!$A:$A,'Chart of Accounts'!B:B,"")</f>
        <v>Net Assets - Unrestricted</v>
      </c>
      <c r="F59" s="14" t="str">
        <f>_xlfn.XLOOKUP($D59,'Chart of Accounts'!$A:$A,'Chart of Accounts'!C:C,"")</f>
        <v>Equity</v>
      </c>
      <c r="G59" s="14" t="s">
        <v>288</v>
      </c>
      <c r="H59" s="16"/>
      <c r="I59" s="16">
        <v>89973.02</v>
      </c>
      <c r="J59" s="16">
        <v>-89973.02</v>
      </c>
      <c r="K59" s="14" t="s">
        <v>225</v>
      </c>
    </row>
    <row r="60" spans="1:11" ht="15" customHeight="1">
      <c r="A60" s="13">
        <v>46054</v>
      </c>
      <c r="B60" s="14" t="s">
        <v>289</v>
      </c>
      <c r="C60" s="14" t="s">
        <v>12</v>
      </c>
      <c r="D60" s="14" t="s">
        <v>81</v>
      </c>
      <c r="E60" s="14" t="str">
        <f>_xlfn.XLOOKUP($D60,'Chart of Accounts'!$A:$A,'Chart of Accounts'!B:B,"")</f>
        <v>Net Assets - Temporarily Restricted</v>
      </c>
      <c r="F60" s="14" t="str">
        <f>_xlfn.XLOOKUP($D60,'Chart of Accounts'!$A:$A,'Chart of Accounts'!C:C,"")</f>
        <v>Equity</v>
      </c>
      <c r="G60" s="14" t="s">
        <v>290</v>
      </c>
      <c r="H60" s="16"/>
      <c r="I60" s="16">
        <v>14218.94</v>
      </c>
      <c r="J60" s="16">
        <v>-14218.94</v>
      </c>
      <c r="K60" s="14" t="s">
        <v>225</v>
      </c>
    </row>
    <row r="61" spans="1:11" ht="15" customHeight="1">
      <c r="A61" s="13">
        <v>46054</v>
      </c>
      <c r="B61" s="14" t="s">
        <v>289</v>
      </c>
      <c r="C61" s="14" t="s">
        <v>14</v>
      </c>
      <c r="D61" s="14" t="s">
        <v>81</v>
      </c>
      <c r="E61" s="14" t="str">
        <f>_xlfn.XLOOKUP($D61,'Chart of Accounts'!$A:$A,'Chart of Accounts'!B:B,"")</f>
        <v>Net Assets - Temporarily Restricted</v>
      </c>
      <c r="F61" s="14" t="str">
        <f>_xlfn.XLOOKUP($D61,'Chart of Accounts'!$A:$A,'Chart of Accounts'!C:C,"")</f>
        <v>Equity</v>
      </c>
      <c r="G61" s="14" t="s">
        <v>291</v>
      </c>
      <c r="H61" s="16"/>
      <c r="I61" s="16">
        <v>14212.17</v>
      </c>
      <c r="J61" s="16">
        <v>-14212.17</v>
      </c>
      <c r="K61" s="14" t="s">
        <v>225</v>
      </c>
    </row>
    <row r="62" spans="1:11" ht="15" customHeight="1">
      <c r="A62" s="13">
        <v>46054</v>
      </c>
      <c r="B62" s="14" t="s">
        <v>289</v>
      </c>
      <c r="C62" s="14" t="s">
        <v>16</v>
      </c>
      <c r="D62" s="14" t="s">
        <v>81</v>
      </c>
      <c r="E62" s="14" t="str">
        <f>_xlfn.XLOOKUP($D62,'Chart of Accounts'!$A:$A,'Chart of Accounts'!B:B,"")</f>
        <v>Net Assets - Temporarily Restricted</v>
      </c>
      <c r="F62" s="14" t="str">
        <f>_xlfn.XLOOKUP($D62,'Chart of Accounts'!$A:$A,'Chart of Accounts'!C:C,"")</f>
        <v>Equity</v>
      </c>
      <c r="G62" s="14" t="s">
        <v>292</v>
      </c>
      <c r="H62" s="16"/>
      <c r="I62" s="16">
        <v>10660.82</v>
      </c>
      <c r="J62" s="16">
        <v>-10660.82</v>
      </c>
      <c r="K62" s="14" t="s">
        <v>225</v>
      </c>
    </row>
    <row r="63" spans="1:11" ht="15" customHeight="1">
      <c r="A63" s="13">
        <v>46054</v>
      </c>
      <c r="B63" s="14" t="s">
        <v>289</v>
      </c>
      <c r="C63" s="14" t="s">
        <v>18</v>
      </c>
      <c r="D63" s="14" t="s">
        <v>81</v>
      </c>
      <c r="E63" s="14" t="str">
        <f>_xlfn.XLOOKUP($D63,'Chart of Accounts'!$A:$A,'Chart of Accounts'!B:B,"")</f>
        <v>Net Assets - Temporarily Restricted</v>
      </c>
      <c r="F63" s="14" t="str">
        <f>_xlfn.XLOOKUP($D63,'Chart of Accounts'!$A:$A,'Chart of Accounts'!C:C,"")</f>
        <v>Equity</v>
      </c>
      <c r="G63" s="14" t="s">
        <v>293</v>
      </c>
      <c r="H63" s="16"/>
      <c r="I63" s="16">
        <v>14212.17</v>
      </c>
      <c r="J63" s="16">
        <v>-14212.17</v>
      </c>
      <c r="K63" s="14" t="s">
        <v>225</v>
      </c>
    </row>
    <row r="64" spans="1:11" ht="15" customHeight="1">
      <c r="A64" s="13">
        <v>46054</v>
      </c>
      <c r="B64" s="14" t="s">
        <v>289</v>
      </c>
      <c r="C64" s="14" t="s">
        <v>20</v>
      </c>
      <c r="D64" s="14" t="s">
        <v>81</v>
      </c>
      <c r="E64" s="14" t="str">
        <f>_xlfn.XLOOKUP($D64,'Chart of Accounts'!$A:$A,'Chart of Accounts'!B:B,"")</f>
        <v>Net Assets - Temporarily Restricted</v>
      </c>
      <c r="F64" s="14" t="str">
        <f>_xlfn.XLOOKUP($D64,'Chart of Accounts'!$A:$A,'Chart of Accounts'!C:C,"")</f>
        <v>Equity</v>
      </c>
      <c r="G64" s="14" t="s">
        <v>294</v>
      </c>
      <c r="H64" s="16"/>
      <c r="I64" s="16">
        <v>14212.17</v>
      </c>
      <c r="J64" s="16">
        <v>-14212.17</v>
      </c>
      <c r="K64" s="14" t="s">
        <v>225</v>
      </c>
    </row>
    <row r="65" spans="1:11" ht="15" customHeight="1">
      <c r="A65" s="13">
        <v>46054</v>
      </c>
      <c r="B65" s="14" t="s">
        <v>289</v>
      </c>
      <c r="C65" s="14"/>
      <c r="D65" s="14" t="s">
        <v>77</v>
      </c>
      <c r="E65" s="14" t="str">
        <f>_xlfn.XLOOKUP($D65,'Chart of Accounts'!$A:$A,'Chart of Accounts'!B:B,"")</f>
        <v>Net Assets - Unrestricted</v>
      </c>
      <c r="F65" s="14" t="str">
        <f>_xlfn.XLOOKUP($D65,'Chart of Accounts'!$A:$A,'Chart of Accounts'!C:C,"")</f>
        <v>Equity</v>
      </c>
      <c r="G65" s="14" t="s">
        <v>295</v>
      </c>
      <c r="H65" s="16">
        <v>67516.27</v>
      </c>
      <c r="I65" s="16"/>
      <c r="J65" s="16">
        <v>67516.27</v>
      </c>
      <c r="K65" s="14" t="s">
        <v>225</v>
      </c>
    </row>
    <row r="66" spans="1:11" ht="15" customHeight="1">
      <c r="A66" s="13">
        <v>46054</v>
      </c>
      <c r="B66" s="14" t="s">
        <v>296</v>
      </c>
      <c r="C66" s="14"/>
      <c r="D66" s="14" t="s">
        <v>81</v>
      </c>
      <c r="E66" s="14" t="str">
        <f>_xlfn.XLOOKUP($D66,'Chart of Accounts'!$A:$A,'Chart of Accounts'!B:B,"")</f>
        <v>Net Assets - Temporarily Restricted</v>
      </c>
      <c r="F66" s="14" t="str">
        <f>_xlfn.XLOOKUP($D66,'Chart of Accounts'!$A:$A,'Chart of Accounts'!C:C,"")</f>
        <v>Equity</v>
      </c>
      <c r="G66" s="14" t="s">
        <v>297</v>
      </c>
      <c r="H66" s="16">
        <v>67516.27</v>
      </c>
      <c r="I66" s="16"/>
      <c r="J66" s="16">
        <v>67516.27</v>
      </c>
      <c r="K66" s="14" t="s">
        <v>225</v>
      </c>
    </row>
    <row r="67" spans="1:11" ht="15" customHeight="1">
      <c r="A67" s="13">
        <v>46054</v>
      </c>
      <c r="B67" s="14" t="s">
        <v>296</v>
      </c>
      <c r="C67" s="14"/>
      <c r="D67" s="14" t="s">
        <v>77</v>
      </c>
      <c r="E67" s="14" t="str">
        <f>_xlfn.XLOOKUP($D67,'Chart of Accounts'!$A:$A,'Chart of Accounts'!B:B,"")</f>
        <v>Net Assets - Unrestricted</v>
      </c>
      <c r="F67" s="14" t="str">
        <f>_xlfn.XLOOKUP($D67,'Chart of Accounts'!$A:$A,'Chart of Accounts'!C:C,"")</f>
        <v>Equity</v>
      </c>
      <c r="G67" s="14" t="s">
        <v>297</v>
      </c>
      <c r="H67" s="16"/>
      <c r="I67" s="16">
        <v>67516.27</v>
      </c>
      <c r="J67" s="16">
        <v>-67516.27</v>
      </c>
      <c r="K67" s="14" t="s">
        <v>225</v>
      </c>
    </row>
    <row r="68" spans="1:11" ht="15" customHeight="1">
      <c r="A68" s="13">
        <v>46082</v>
      </c>
      <c r="B68" s="14" t="s">
        <v>298</v>
      </c>
      <c r="C68" s="14" t="s">
        <v>12</v>
      </c>
      <c r="D68" s="14" t="s">
        <v>81</v>
      </c>
      <c r="E68" s="14" t="str">
        <f>_xlfn.XLOOKUP($D68,'Chart of Accounts'!$A:$A,'Chart of Accounts'!B:B,"")</f>
        <v>Net Assets - Temporarily Restricted</v>
      </c>
      <c r="F68" s="14" t="str">
        <f>_xlfn.XLOOKUP($D68,'Chart of Accounts'!$A:$A,'Chart of Accounts'!C:C,"")</f>
        <v>Equity</v>
      </c>
      <c r="G68" s="14" t="s">
        <v>299</v>
      </c>
      <c r="H68" s="16"/>
      <c r="I68" s="16">
        <v>13791.8</v>
      </c>
      <c r="J68" s="16">
        <v>-13791.8</v>
      </c>
      <c r="K68" s="14" t="s">
        <v>225</v>
      </c>
    </row>
    <row r="69" spans="1:11" ht="15" customHeight="1">
      <c r="A69" s="13">
        <v>46082</v>
      </c>
      <c r="B69" s="14" t="s">
        <v>298</v>
      </c>
      <c r="C69" s="14" t="s">
        <v>14</v>
      </c>
      <c r="D69" s="14" t="s">
        <v>81</v>
      </c>
      <c r="E69" s="14" t="str">
        <f>_xlfn.XLOOKUP($D69,'Chart of Accounts'!$A:$A,'Chart of Accounts'!B:B,"")</f>
        <v>Net Assets - Temporarily Restricted</v>
      </c>
      <c r="F69" s="14" t="str">
        <f>_xlfn.XLOOKUP($D69,'Chart of Accounts'!$A:$A,'Chart of Accounts'!C:C,"")</f>
        <v>Equity</v>
      </c>
      <c r="G69" s="14" t="s">
        <v>300</v>
      </c>
      <c r="H69" s="16"/>
      <c r="I69" s="16">
        <v>13791.8</v>
      </c>
      <c r="J69" s="16">
        <v>-13791.8</v>
      </c>
      <c r="K69" s="14" t="s">
        <v>225</v>
      </c>
    </row>
    <row r="70" spans="1:11" ht="15" customHeight="1">
      <c r="A70" s="13">
        <v>46082</v>
      </c>
      <c r="B70" s="14" t="s">
        <v>298</v>
      </c>
      <c r="C70" s="14" t="s">
        <v>16</v>
      </c>
      <c r="D70" s="14" t="s">
        <v>81</v>
      </c>
      <c r="E70" s="14" t="str">
        <f>_xlfn.XLOOKUP($D70,'Chart of Accounts'!$A:$A,'Chart of Accounts'!B:B,"")</f>
        <v>Net Assets - Temporarily Restricted</v>
      </c>
      <c r="F70" s="14" t="str">
        <f>_xlfn.XLOOKUP($D70,'Chart of Accounts'!$A:$A,'Chart of Accounts'!C:C,"")</f>
        <v>Equity</v>
      </c>
      <c r="G70" s="14" t="s">
        <v>301</v>
      </c>
      <c r="H70" s="16"/>
      <c r="I70" s="16">
        <v>10343.85</v>
      </c>
      <c r="J70" s="16">
        <v>-10343.85</v>
      </c>
      <c r="K70" s="14" t="s">
        <v>225</v>
      </c>
    </row>
    <row r="71" spans="1:11" ht="15" customHeight="1">
      <c r="A71" s="13">
        <v>46082</v>
      </c>
      <c r="B71" s="14" t="s">
        <v>298</v>
      </c>
      <c r="C71" s="14" t="s">
        <v>18</v>
      </c>
      <c r="D71" s="14" t="s">
        <v>81</v>
      </c>
      <c r="E71" s="14" t="str">
        <f>_xlfn.XLOOKUP($D71,'Chart of Accounts'!$A:$A,'Chart of Accounts'!B:B,"")</f>
        <v>Net Assets - Temporarily Restricted</v>
      </c>
      <c r="F71" s="14" t="str">
        <f>_xlfn.XLOOKUP($D71,'Chart of Accounts'!$A:$A,'Chart of Accounts'!C:C,"")</f>
        <v>Equity</v>
      </c>
      <c r="G71" s="14" t="s">
        <v>302</v>
      </c>
      <c r="H71" s="16"/>
      <c r="I71" s="16">
        <v>13791.8</v>
      </c>
      <c r="J71" s="16">
        <v>-13791.8</v>
      </c>
      <c r="K71" s="14" t="s">
        <v>225</v>
      </c>
    </row>
    <row r="72" spans="1:11" ht="15" customHeight="1">
      <c r="A72" s="13">
        <v>46082</v>
      </c>
      <c r="B72" s="14" t="s">
        <v>298</v>
      </c>
      <c r="C72" s="14" t="s">
        <v>20</v>
      </c>
      <c r="D72" s="14" t="s">
        <v>81</v>
      </c>
      <c r="E72" s="14" t="str">
        <f>_xlfn.XLOOKUP($D72,'Chart of Accounts'!$A:$A,'Chart of Accounts'!B:B,"")</f>
        <v>Net Assets - Temporarily Restricted</v>
      </c>
      <c r="F72" s="14" t="str">
        <f>_xlfn.XLOOKUP($D72,'Chart of Accounts'!$A:$A,'Chart of Accounts'!C:C,"")</f>
        <v>Equity</v>
      </c>
      <c r="G72" s="14" t="s">
        <v>303</v>
      </c>
      <c r="H72" s="16"/>
      <c r="I72" s="16">
        <v>17239.759999999998</v>
      </c>
      <c r="J72" s="16">
        <v>-17239.759999999998</v>
      </c>
      <c r="K72" s="14" t="s">
        <v>225</v>
      </c>
    </row>
    <row r="73" spans="1:11" ht="15" customHeight="1">
      <c r="A73" s="13">
        <v>46082</v>
      </c>
      <c r="B73" s="14" t="s">
        <v>298</v>
      </c>
      <c r="C73" s="14"/>
      <c r="D73" s="14" t="s">
        <v>77</v>
      </c>
      <c r="E73" s="14" t="str">
        <f>_xlfn.XLOOKUP($D73,'Chart of Accounts'!$A:$A,'Chart of Accounts'!B:B,"")</f>
        <v>Net Assets - Unrestricted</v>
      </c>
      <c r="F73" s="14" t="str">
        <f>_xlfn.XLOOKUP($D73,'Chart of Accounts'!$A:$A,'Chart of Accounts'!C:C,"")</f>
        <v>Equity</v>
      </c>
      <c r="G73" s="14" t="s">
        <v>304</v>
      </c>
      <c r="H73" s="16">
        <v>68959.009999999995</v>
      </c>
      <c r="I73" s="16"/>
      <c r="J73" s="16">
        <v>68959.009999999995</v>
      </c>
      <c r="K73" s="14" t="s">
        <v>225</v>
      </c>
    </row>
    <row r="74" spans="1:11" ht="15" customHeight="1">
      <c r="A74" s="13">
        <v>46082</v>
      </c>
      <c r="B74" s="14" t="s">
        <v>305</v>
      </c>
      <c r="C74" s="14"/>
      <c r="D74" s="14" t="s">
        <v>81</v>
      </c>
      <c r="E74" s="14" t="str">
        <f>_xlfn.XLOOKUP($D74,'Chart of Accounts'!$A:$A,'Chart of Accounts'!B:B,"")</f>
        <v>Net Assets - Temporarily Restricted</v>
      </c>
      <c r="F74" s="14" t="str">
        <f>_xlfn.XLOOKUP($D74,'Chart of Accounts'!$A:$A,'Chart of Accounts'!C:C,"")</f>
        <v>Equity</v>
      </c>
      <c r="G74" s="14" t="s">
        <v>306</v>
      </c>
      <c r="H74" s="16">
        <v>68959.009999999995</v>
      </c>
      <c r="I74" s="16"/>
      <c r="J74" s="16">
        <v>68959.009999999995</v>
      </c>
      <c r="K74" s="14" t="s">
        <v>225</v>
      </c>
    </row>
    <row r="75" spans="1:11" ht="15" customHeight="1">
      <c r="A75" s="13">
        <v>46082</v>
      </c>
      <c r="B75" s="14" t="s">
        <v>305</v>
      </c>
      <c r="C75" s="14"/>
      <c r="D75" s="14" t="s">
        <v>77</v>
      </c>
      <c r="E75" s="14" t="str">
        <f>_xlfn.XLOOKUP($D75,'Chart of Accounts'!$A:$A,'Chart of Accounts'!B:B,"")</f>
        <v>Net Assets - Unrestricted</v>
      </c>
      <c r="F75" s="14" t="str">
        <f>_xlfn.XLOOKUP($D75,'Chart of Accounts'!$A:$A,'Chart of Accounts'!C:C,"")</f>
        <v>Equity</v>
      </c>
      <c r="G75" s="14" t="s">
        <v>306</v>
      </c>
      <c r="H75" s="16"/>
      <c r="I75" s="16">
        <v>68959.009999999995</v>
      </c>
      <c r="J75" s="16">
        <v>-68959.009999999995</v>
      </c>
      <c r="K75" s="14" t="s">
        <v>225</v>
      </c>
    </row>
    <row r="76" spans="1:11" ht="15" customHeight="1">
      <c r="A76" s="13">
        <v>46113</v>
      </c>
      <c r="B76" s="14" t="s">
        <v>307</v>
      </c>
      <c r="C76" s="14" t="s">
        <v>12</v>
      </c>
      <c r="D76" s="14" t="s">
        <v>81</v>
      </c>
      <c r="E76" s="14" t="str">
        <f>_xlfn.XLOOKUP($D76,'Chart of Accounts'!$A:$A,'Chart of Accounts'!B:B,"")</f>
        <v>Net Assets - Temporarily Restricted</v>
      </c>
      <c r="F76" s="14" t="str">
        <f>_xlfn.XLOOKUP($D76,'Chart of Accounts'!$A:$A,'Chart of Accounts'!C:C,"")</f>
        <v>Equity</v>
      </c>
      <c r="G76" s="14" t="s">
        <v>308</v>
      </c>
      <c r="H76" s="16"/>
      <c r="I76" s="16">
        <v>31361.52</v>
      </c>
      <c r="J76" s="16">
        <v>-31361.52</v>
      </c>
      <c r="K76" s="14" t="s">
        <v>225</v>
      </c>
    </row>
    <row r="77" spans="1:11" ht="15" customHeight="1">
      <c r="A77" s="13">
        <v>46113</v>
      </c>
      <c r="B77" s="14" t="s">
        <v>307</v>
      </c>
      <c r="C77" s="14" t="s">
        <v>14</v>
      </c>
      <c r="D77" s="14" t="s">
        <v>81</v>
      </c>
      <c r="E77" s="14" t="str">
        <f>_xlfn.XLOOKUP($D77,'Chart of Accounts'!$A:$A,'Chart of Accounts'!B:B,"")</f>
        <v>Net Assets - Temporarily Restricted</v>
      </c>
      <c r="F77" s="14" t="str">
        <f>_xlfn.XLOOKUP($D77,'Chart of Accounts'!$A:$A,'Chart of Accounts'!C:C,"")</f>
        <v>Equity</v>
      </c>
      <c r="G77" s="14" t="s">
        <v>309</v>
      </c>
      <c r="H77" s="16"/>
      <c r="I77" s="16">
        <v>31361.52</v>
      </c>
      <c r="J77" s="16">
        <v>-31361.52</v>
      </c>
      <c r="K77" s="14" t="s">
        <v>225</v>
      </c>
    </row>
    <row r="78" spans="1:11" ht="15" customHeight="1">
      <c r="A78" s="13">
        <v>46113</v>
      </c>
      <c r="B78" s="14" t="s">
        <v>307</v>
      </c>
      <c r="C78" s="14" t="s">
        <v>16</v>
      </c>
      <c r="D78" s="14" t="s">
        <v>81</v>
      </c>
      <c r="E78" s="14" t="str">
        <f>_xlfn.XLOOKUP($D78,'Chart of Accounts'!$A:$A,'Chart of Accounts'!B:B,"")</f>
        <v>Net Assets - Temporarily Restricted</v>
      </c>
      <c r="F78" s="14" t="str">
        <f>_xlfn.XLOOKUP($D78,'Chart of Accounts'!$A:$A,'Chart of Accounts'!C:C,"")</f>
        <v>Equity</v>
      </c>
      <c r="G78" s="14" t="s">
        <v>310</v>
      </c>
      <c r="H78" s="16"/>
      <c r="I78" s="16">
        <v>23521.14</v>
      </c>
      <c r="J78" s="16">
        <v>-23521.14</v>
      </c>
      <c r="K78" s="14" t="s">
        <v>225</v>
      </c>
    </row>
    <row r="79" spans="1:11" ht="15" customHeight="1">
      <c r="A79" s="13">
        <v>46113</v>
      </c>
      <c r="B79" s="14" t="s">
        <v>307</v>
      </c>
      <c r="C79" s="14" t="s">
        <v>18</v>
      </c>
      <c r="D79" s="14" t="s">
        <v>81</v>
      </c>
      <c r="E79" s="14" t="str">
        <f>_xlfn.XLOOKUP($D79,'Chart of Accounts'!$A:$A,'Chart of Accounts'!B:B,"")</f>
        <v>Net Assets - Temporarily Restricted</v>
      </c>
      <c r="F79" s="14" t="str">
        <f>_xlfn.XLOOKUP($D79,'Chart of Accounts'!$A:$A,'Chart of Accounts'!C:C,"")</f>
        <v>Equity</v>
      </c>
      <c r="G79" s="14" t="s">
        <v>311</v>
      </c>
      <c r="H79" s="16"/>
      <c r="I79" s="16">
        <v>31361.52</v>
      </c>
      <c r="J79" s="16">
        <v>-31361.52</v>
      </c>
      <c r="K79" s="14" t="s">
        <v>225</v>
      </c>
    </row>
    <row r="80" spans="1:11" ht="15" customHeight="1">
      <c r="A80" s="13">
        <v>46113</v>
      </c>
      <c r="B80" s="14" t="s">
        <v>307</v>
      </c>
      <c r="C80" s="14" t="s">
        <v>20</v>
      </c>
      <c r="D80" s="14" t="s">
        <v>81</v>
      </c>
      <c r="E80" s="14" t="str">
        <f>_xlfn.XLOOKUP($D80,'Chart of Accounts'!$A:$A,'Chart of Accounts'!B:B,"")</f>
        <v>Net Assets - Temporarily Restricted</v>
      </c>
      <c r="F80" s="14" t="str">
        <f>_xlfn.XLOOKUP($D80,'Chart of Accounts'!$A:$A,'Chart of Accounts'!C:C,"")</f>
        <v>Equity</v>
      </c>
      <c r="G80" s="14" t="s">
        <v>312</v>
      </c>
      <c r="H80" s="16"/>
      <c r="I80" s="16">
        <v>39201.910000000003</v>
      </c>
      <c r="J80" s="16">
        <v>-39201.910000000003</v>
      </c>
      <c r="K80" s="14" t="s">
        <v>225</v>
      </c>
    </row>
    <row r="81" spans="1:11" ht="15" customHeight="1">
      <c r="A81" s="13">
        <v>46113</v>
      </c>
      <c r="B81" s="14" t="s">
        <v>307</v>
      </c>
      <c r="C81" s="14"/>
      <c r="D81" s="14" t="s">
        <v>77</v>
      </c>
      <c r="E81" s="14" t="str">
        <f>_xlfn.XLOOKUP($D81,'Chart of Accounts'!$A:$A,'Chart of Accounts'!B:B,"")</f>
        <v>Net Assets - Unrestricted</v>
      </c>
      <c r="F81" s="14" t="str">
        <f>_xlfn.XLOOKUP($D81,'Chart of Accounts'!$A:$A,'Chart of Accounts'!C:C,"")</f>
        <v>Equity</v>
      </c>
      <c r="G81" s="14" t="s">
        <v>313</v>
      </c>
      <c r="H81" s="16">
        <v>156807.60999999999</v>
      </c>
      <c r="I81" s="16"/>
      <c r="J81" s="16">
        <v>156807.60999999999</v>
      </c>
      <c r="K81" s="14" t="s">
        <v>225</v>
      </c>
    </row>
    <row r="82" spans="1:11" ht="15" customHeight="1">
      <c r="A82" s="13">
        <v>46113</v>
      </c>
      <c r="B82" s="14" t="s">
        <v>314</v>
      </c>
      <c r="C82" s="14"/>
      <c r="D82" s="14" t="s">
        <v>81</v>
      </c>
      <c r="E82" s="14" t="str">
        <f>_xlfn.XLOOKUP($D82,'Chart of Accounts'!$A:$A,'Chart of Accounts'!B:B,"")</f>
        <v>Net Assets - Temporarily Restricted</v>
      </c>
      <c r="F82" s="14" t="str">
        <f>_xlfn.XLOOKUP($D82,'Chart of Accounts'!$A:$A,'Chart of Accounts'!C:C,"")</f>
        <v>Equity</v>
      </c>
      <c r="G82" s="14" t="s">
        <v>315</v>
      </c>
      <c r="H82" s="16">
        <v>144169.75</v>
      </c>
      <c r="I82" s="16"/>
      <c r="J82" s="16">
        <v>144169.75</v>
      </c>
      <c r="K82" s="14" t="s">
        <v>225</v>
      </c>
    </row>
    <row r="83" spans="1:11" ht="15" customHeight="1">
      <c r="A83" s="13">
        <v>46113</v>
      </c>
      <c r="B83" s="14" t="s">
        <v>314</v>
      </c>
      <c r="C83" s="14"/>
      <c r="D83" s="14" t="s">
        <v>77</v>
      </c>
      <c r="E83" s="14" t="str">
        <f>_xlfn.XLOOKUP($D83,'Chart of Accounts'!$A:$A,'Chart of Accounts'!B:B,"")</f>
        <v>Net Assets - Unrestricted</v>
      </c>
      <c r="F83" s="14" t="str">
        <f>_xlfn.XLOOKUP($D83,'Chart of Accounts'!$A:$A,'Chart of Accounts'!C:C,"")</f>
        <v>Equity</v>
      </c>
      <c r="G83" s="14" t="s">
        <v>315</v>
      </c>
      <c r="H83" s="16"/>
      <c r="I83" s="16">
        <v>144169.75</v>
      </c>
      <c r="J83" s="16">
        <v>-144169.75</v>
      </c>
      <c r="K83" s="14" t="s">
        <v>225</v>
      </c>
    </row>
    <row r="84" spans="1:11" ht="15" customHeight="1">
      <c r="A84" s="13">
        <v>46143</v>
      </c>
      <c r="B84" s="14" t="s">
        <v>316</v>
      </c>
      <c r="C84" s="14" t="s">
        <v>12</v>
      </c>
      <c r="D84" s="14" t="s">
        <v>81</v>
      </c>
      <c r="E84" s="14" t="str">
        <f>_xlfn.XLOOKUP($D84,'Chart of Accounts'!$A:$A,'Chart of Accounts'!B:B,"")</f>
        <v>Net Assets - Temporarily Restricted</v>
      </c>
      <c r="F84" s="14" t="str">
        <f>_xlfn.XLOOKUP($D84,'Chart of Accounts'!$A:$A,'Chart of Accounts'!C:C,"")</f>
        <v>Equity</v>
      </c>
      <c r="G84" s="14" t="s">
        <v>317</v>
      </c>
      <c r="H84" s="16"/>
      <c r="I84" s="16">
        <v>15402.17</v>
      </c>
      <c r="J84" s="16">
        <v>-15402.17</v>
      </c>
      <c r="K84" s="14" t="s">
        <v>225</v>
      </c>
    </row>
    <row r="85" spans="1:11" ht="15" customHeight="1">
      <c r="A85" s="13">
        <v>46143</v>
      </c>
      <c r="B85" s="14" t="s">
        <v>316</v>
      </c>
      <c r="C85" s="14" t="s">
        <v>14</v>
      </c>
      <c r="D85" s="14" t="s">
        <v>81</v>
      </c>
      <c r="E85" s="14" t="str">
        <f>_xlfn.XLOOKUP($D85,'Chart of Accounts'!$A:$A,'Chart of Accounts'!B:B,"")</f>
        <v>Net Assets - Temporarily Restricted</v>
      </c>
      <c r="F85" s="14" t="str">
        <f>_xlfn.XLOOKUP($D85,'Chart of Accounts'!$A:$A,'Chart of Accounts'!C:C,"")</f>
        <v>Equity</v>
      </c>
      <c r="G85" s="14" t="s">
        <v>318</v>
      </c>
      <c r="H85" s="16"/>
      <c r="I85" s="16">
        <v>15402.17</v>
      </c>
      <c r="J85" s="16">
        <v>-15402.17</v>
      </c>
      <c r="K85" s="14" t="s">
        <v>225</v>
      </c>
    </row>
    <row r="86" spans="1:11" ht="15" customHeight="1">
      <c r="A86" s="13">
        <v>46143</v>
      </c>
      <c r="B86" s="14" t="s">
        <v>316</v>
      </c>
      <c r="C86" s="14" t="s">
        <v>16</v>
      </c>
      <c r="D86" s="14" t="s">
        <v>81</v>
      </c>
      <c r="E86" s="14" t="str">
        <f>_xlfn.XLOOKUP($D86,'Chart of Accounts'!$A:$A,'Chart of Accounts'!B:B,"")</f>
        <v>Net Assets - Temporarily Restricted</v>
      </c>
      <c r="F86" s="14" t="str">
        <f>_xlfn.XLOOKUP($D86,'Chart of Accounts'!$A:$A,'Chart of Accounts'!C:C,"")</f>
        <v>Equity</v>
      </c>
      <c r="G86" s="14" t="s">
        <v>319</v>
      </c>
      <c r="H86" s="16"/>
      <c r="I86" s="16">
        <v>7704.74</v>
      </c>
      <c r="J86" s="16">
        <v>-7704.74</v>
      </c>
      <c r="K86" s="14" t="s">
        <v>225</v>
      </c>
    </row>
    <row r="87" spans="1:11" ht="15" customHeight="1">
      <c r="A87" s="13">
        <v>46143</v>
      </c>
      <c r="B87" s="14" t="s">
        <v>316</v>
      </c>
      <c r="C87" s="14" t="s">
        <v>18</v>
      </c>
      <c r="D87" s="14" t="s">
        <v>81</v>
      </c>
      <c r="E87" s="14" t="str">
        <f>_xlfn.XLOOKUP($D87,'Chart of Accounts'!$A:$A,'Chart of Accounts'!B:B,"")</f>
        <v>Net Assets - Temporarily Restricted</v>
      </c>
      <c r="F87" s="14" t="str">
        <f>_xlfn.XLOOKUP($D87,'Chart of Accounts'!$A:$A,'Chart of Accounts'!C:C,"")</f>
        <v>Equity</v>
      </c>
      <c r="G87" s="14" t="s">
        <v>320</v>
      </c>
      <c r="H87" s="16"/>
      <c r="I87" s="16">
        <v>15402.17</v>
      </c>
      <c r="J87" s="16">
        <v>-15402.17</v>
      </c>
      <c r="K87" s="14" t="s">
        <v>225</v>
      </c>
    </row>
    <row r="88" spans="1:11" ht="15" customHeight="1">
      <c r="A88" s="13">
        <v>46143</v>
      </c>
      <c r="B88" s="14" t="s">
        <v>316</v>
      </c>
      <c r="C88" s="14" t="s">
        <v>20</v>
      </c>
      <c r="D88" s="14" t="s">
        <v>81</v>
      </c>
      <c r="E88" s="14" t="str">
        <f>_xlfn.XLOOKUP($D88,'Chart of Accounts'!$A:$A,'Chart of Accounts'!B:B,"")</f>
        <v>Net Assets - Temporarily Restricted</v>
      </c>
      <c r="F88" s="14" t="str">
        <f>_xlfn.XLOOKUP($D88,'Chart of Accounts'!$A:$A,'Chart of Accounts'!C:C,"")</f>
        <v>Equity</v>
      </c>
      <c r="G88" s="14" t="s">
        <v>321</v>
      </c>
      <c r="H88" s="16"/>
      <c r="I88" s="16">
        <v>19258.189999999999</v>
      </c>
      <c r="J88" s="16">
        <v>-19258.189999999999</v>
      </c>
      <c r="K88" s="14" t="s">
        <v>225</v>
      </c>
    </row>
    <row r="89" spans="1:11" ht="15" customHeight="1">
      <c r="A89" s="13">
        <v>46143</v>
      </c>
      <c r="B89" s="14" t="s">
        <v>316</v>
      </c>
      <c r="C89" s="14"/>
      <c r="D89" s="14" t="s">
        <v>77</v>
      </c>
      <c r="E89" s="14" t="str">
        <f>_xlfn.XLOOKUP($D89,'Chart of Accounts'!$A:$A,'Chart of Accounts'!B:B,"")</f>
        <v>Net Assets - Unrestricted</v>
      </c>
      <c r="F89" s="14" t="str">
        <f>_xlfn.XLOOKUP($D89,'Chart of Accounts'!$A:$A,'Chart of Accounts'!C:C,"")</f>
        <v>Equity</v>
      </c>
      <c r="G89" s="14" t="s">
        <v>322</v>
      </c>
      <c r="H89" s="16">
        <v>73169.440000000002</v>
      </c>
      <c r="I89" s="16"/>
      <c r="J89" s="16">
        <v>73169.440000000002</v>
      </c>
      <c r="K89" s="14" t="s">
        <v>225</v>
      </c>
    </row>
    <row r="90" spans="1:11" ht="15" customHeight="1">
      <c r="A90" s="13">
        <v>46143</v>
      </c>
      <c r="B90" s="14" t="s">
        <v>323</v>
      </c>
      <c r="C90" s="14"/>
      <c r="D90" s="14" t="s">
        <v>81</v>
      </c>
      <c r="E90" s="14" t="str">
        <f>_xlfn.XLOOKUP($D90,'Chart of Accounts'!$A:$A,'Chart of Accounts'!B:B,"")</f>
        <v>Net Assets - Temporarily Restricted</v>
      </c>
      <c r="F90" s="14" t="str">
        <f>_xlfn.XLOOKUP($D90,'Chart of Accounts'!$A:$A,'Chart of Accounts'!C:C,"")</f>
        <v>Equity</v>
      </c>
      <c r="G90" s="14" t="s">
        <v>324</v>
      </c>
      <c r="H90" s="16">
        <v>85807.3</v>
      </c>
      <c r="I90" s="16"/>
      <c r="J90" s="16">
        <v>85807.3</v>
      </c>
      <c r="K90" s="14" t="s">
        <v>225</v>
      </c>
    </row>
    <row r="91" spans="1:11" ht="15" customHeight="1">
      <c r="A91" s="13">
        <v>46143</v>
      </c>
      <c r="B91" s="14" t="s">
        <v>323</v>
      </c>
      <c r="C91" s="14"/>
      <c r="D91" s="14" t="s">
        <v>77</v>
      </c>
      <c r="E91" s="14" t="str">
        <f>_xlfn.XLOOKUP($D91,'Chart of Accounts'!$A:$A,'Chart of Accounts'!B:B,"")</f>
        <v>Net Assets - Unrestricted</v>
      </c>
      <c r="F91" s="14" t="str">
        <f>_xlfn.XLOOKUP($D91,'Chart of Accounts'!$A:$A,'Chart of Accounts'!C:C,"")</f>
        <v>Equity</v>
      </c>
      <c r="G91" s="14" t="s">
        <v>324</v>
      </c>
      <c r="H91" s="16"/>
      <c r="I91" s="16">
        <v>85807.3</v>
      </c>
      <c r="J91" s="16">
        <v>-85807.3</v>
      </c>
      <c r="K91" s="14" t="s">
        <v>225</v>
      </c>
    </row>
    <row r="92" spans="1:11" ht="15" customHeight="1">
      <c r="A92" s="13">
        <v>46174</v>
      </c>
      <c r="B92" s="14" t="s">
        <v>325</v>
      </c>
      <c r="C92" s="14" t="s">
        <v>12</v>
      </c>
      <c r="D92" s="14" t="s">
        <v>81</v>
      </c>
      <c r="E92" s="14" t="str">
        <f>_xlfn.XLOOKUP($D92,'Chart of Accounts'!$A:$A,'Chart of Accounts'!B:B,"")</f>
        <v>Net Assets - Temporarily Restricted</v>
      </c>
      <c r="F92" s="14" t="str">
        <f>_xlfn.XLOOKUP($D92,'Chart of Accounts'!$A:$A,'Chart of Accounts'!C:C,"")</f>
        <v>Equity</v>
      </c>
      <c r="G92" s="14" t="s">
        <v>326</v>
      </c>
      <c r="H92" s="16"/>
      <c r="I92" s="16">
        <v>9211.94</v>
      </c>
      <c r="J92" s="16">
        <v>-9211.94</v>
      </c>
      <c r="K92" s="14" t="s">
        <v>225</v>
      </c>
    </row>
    <row r="93" spans="1:11" ht="15" customHeight="1">
      <c r="A93" s="13">
        <v>46174</v>
      </c>
      <c r="B93" s="14" t="s">
        <v>325</v>
      </c>
      <c r="C93" s="14" t="s">
        <v>14</v>
      </c>
      <c r="D93" s="14" t="s">
        <v>81</v>
      </c>
      <c r="E93" s="14" t="str">
        <f>_xlfn.XLOOKUP($D93,'Chart of Accounts'!$A:$A,'Chart of Accounts'!B:B,"")</f>
        <v>Net Assets - Temporarily Restricted</v>
      </c>
      <c r="F93" s="14" t="str">
        <f>_xlfn.XLOOKUP($D93,'Chart of Accounts'!$A:$A,'Chart of Accounts'!C:C,"")</f>
        <v>Equity</v>
      </c>
      <c r="G93" s="14" t="s">
        <v>327</v>
      </c>
      <c r="H93" s="16"/>
      <c r="I93" s="16">
        <v>9211.94</v>
      </c>
      <c r="J93" s="16">
        <v>-9211.94</v>
      </c>
      <c r="K93" s="14" t="s">
        <v>225</v>
      </c>
    </row>
    <row r="94" spans="1:11" ht="15" customHeight="1">
      <c r="A94" s="13">
        <v>46174</v>
      </c>
      <c r="B94" s="14" t="s">
        <v>325</v>
      </c>
      <c r="C94" s="14" t="s">
        <v>16</v>
      </c>
      <c r="D94" s="14" t="s">
        <v>81</v>
      </c>
      <c r="E94" s="14" t="str">
        <f>_xlfn.XLOOKUP($D94,'Chart of Accounts'!$A:$A,'Chart of Accounts'!B:B,"")</f>
        <v>Net Assets - Temporarily Restricted</v>
      </c>
      <c r="F94" s="14" t="str">
        <f>_xlfn.XLOOKUP($D94,'Chart of Accounts'!$A:$A,'Chart of Accounts'!C:C,"")</f>
        <v>Equity</v>
      </c>
      <c r="G94" s="14" t="s">
        <v>328</v>
      </c>
      <c r="H94" s="16"/>
      <c r="I94" s="16">
        <v>4608.16</v>
      </c>
      <c r="J94" s="16">
        <v>-4608.16</v>
      </c>
      <c r="K94" s="14" t="s">
        <v>225</v>
      </c>
    </row>
    <row r="95" spans="1:11" ht="15" customHeight="1">
      <c r="A95" s="13">
        <v>46174</v>
      </c>
      <c r="B95" s="14" t="s">
        <v>325</v>
      </c>
      <c r="C95" s="14" t="s">
        <v>18</v>
      </c>
      <c r="D95" s="14" t="s">
        <v>81</v>
      </c>
      <c r="E95" s="14" t="str">
        <f>_xlfn.XLOOKUP($D95,'Chart of Accounts'!$A:$A,'Chart of Accounts'!B:B,"")</f>
        <v>Net Assets - Temporarily Restricted</v>
      </c>
      <c r="F95" s="14" t="str">
        <f>_xlfn.XLOOKUP($D95,'Chart of Accounts'!$A:$A,'Chart of Accounts'!C:C,"")</f>
        <v>Equity</v>
      </c>
      <c r="G95" s="14" t="s">
        <v>329</v>
      </c>
      <c r="H95" s="16"/>
      <c r="I95" s="16">
        <v>9211.94</v>
      </c>
      <c r="J95" s="16">
        <v>-9211.94</v>
      </c>
      <c r="K95" s="14" t="s">
        <v>225</v>
      </c>
    </row>
    <row r="96" spans="1:11" ht="15" customHeight="1">
      <c r="A96" s="13">
        <v>46174</v>
      </c>
      <c r="B96" s="14" t="s">
        <v>325</v>
      </c>
      <c r="C96" s="14" t="s">
        <v>20</v>
      </c>
      <c r="D96" s="14" t="s">
        <v>81</v>
      </c>
      <c r="E96" s="14" t="str">
        <f>_xlfn.XLOOKUP($D96,'Chart of Accounts'!$A:$A,'Chart of Accounts'!B:B,"")</f>
        <v>Net Assets - Temporarily Restricted</v>
      </c>
      <c r="F96" s="14" t="str">
        <f>_xlfn.XLOOKUP($D96,'Chart of Accounts'!$A:$A,'Chart of Accounts'!C:C,"")</f>
        <v>Equity</v>
      </c>
      <c r="G96" s="14" t="s">
        <v>330</v>
      </c>
      <c r="H96" s="16"/>
      <c r="I96" s="16">
        <v>11518.21</v>
      </c>
      <c r="J96" s="16">
        <v>-11518.21</v>
      </c>
      <c r="K96" s="14" t="s">
        <v>225</v>
      </c>
    </row>
    <row r="97" spans="1:11" ht="15" customHeight="1">
      <c r="A97" s="13">
        <v>46174</v>
      </c>
      <c r="B97" s="14" t="s">
        <v>325</v>
      </c>
      <c r="C97" s="14"/>
      <c r="D97" s="14" t="s">
        <v>77</v>
      </c>
      <c r="E97" s="14" t="str">
        <f>_xlfn.XLOOKUP($D97,'Chart of Accounts'!$A:$A,'Chart of Accounts'!B:B,"")</f>
        <v>Net Assets - Unrestricted</v>
      </c>
      <c r="F97" s="14" t="str">
        <f>_xlfn.XLOOKUP($D97,'Chart of Accounts'!$A:$A,'Chart of Accounts'!C:C,"")</f>
        <v>Equity</v>
      </c>
      <c r="G97" s="14" t="s">
        <v>331</v>
      </c>
      <c r="H97" s="16">
        <v>43762.19</v>
      </c>
      <c r="I97" s="16"/>
      <c r="J97" s="16">
        <v>43762.19</v>
      </c>
      <c r="K97" s="14" t="s">
        <v>225</v>
      </c>
    </row>
    <row r="98" spans="1:11" ht="15" customHeight="1">
      <c r="A98" s="13">
        <v>46174</v>
      </c>
      <c r="B98" s="14" t="s">
        <v>332</v>
      </c>
      <c r="C98" s="14"/>
      <c r="D98" s="14" t="s">
        <v>81</v>
      </c>
      <c r="E98" s="14" t="str">
        <f>_xlfn.XLOOKUP($D98,'Chart of Accounts'!$A:$A,'Chart of Accounts'!B:B,"")</f>
        <v>Net Assets - Temporarily Restricted</v>
      </c>
      <c r="F98" s="14" t="str">
        <f>_xlfn.XLOOKUP($D98,'Chart of Accounts'!$A:$A,'Chart of Accounts'!C:C,"")</f>
        <v>Equity</v>
      </c>
      <c r="G98" s="14" t="s">
        <v>333</v>
      </c>
      <c r="H98" s="16">
        <v>43762.19</v>
      </c>
      <c r="I98" s="16"/>
      <c r="J98" s="16">
        <v>43762.19</v>
      </c>
      <c r="K98" s="14" t="s">
        <v>225</v>
      </c>
    </row>
    <row r="99" spans="1:11" ht="15" customHeight="1">
      <c r="A99" s="13">
        <v>46174</v>
      </c>
      <c r="B99" s="14" t="s">
        <v>332</v>
      </c>
      <c r="C99" s="14"/>
      <c r="D99" s="14" t="s">
        <v>77</v>
      </c>
      <c r="E99" s="14" t="str">
        <f>_xlfn.XLOOKUP($D99,'Chart of Accounts'!$A:$A,'Chart of Accounts'!B:B,"")</f>
        <v>Net Assets - Unrestricted</v>
      </c>
      <c r="F99" s="14" t="str">
        <f>_xlfn.XLOOKUP($D99,'Chart of Accounts'!$A:$A,'Chart of Accounts'!C:C,"")</f>
        <v>Equity</v>
      </c>
      <c r="G99" s="14" t="s">
        <v>333</v>
      </c>
      <c r="H99" s="16"/>
      <c r="I99" s="16">
        <v>43762.19</v>
      </c>
      <c r="J99" s="16">
        <v>-43762.19</v>
      </c>
      <c r="K99" s="14" t="s">
        <v>225</v>
      </c>
    </row>
    <row r="100" spans="1:11" ht="15" customHeight="1">
      <c r="A100" s="13">
        <v>45839</v>
      </c>
      <c r="B100" s="14" t="s">
        <v>334</v>
      </c>
      <c r="C100" s="17" t="s">
        <v>4</v>
      </c>
      <c r="D100" s="18" t="s">
        <v>127</v>
      </c>
      <c r="E100" s="14" t="str">
        <f>_xlfn.XLOOKUP($D100,'Chart of Accounts'!$A:$A,'Chart of Accounts'!B:B,"")</f>
        <v>Indirect Cost Allocation</v>
      </c>
      <c r="F100" s="14" t="str">
        <f>_xlfn.XLOOKUP($D100,'Chart of Accounts'!$A:$A,'Chart of Accounts'!C:C,"")</f>
        <v>Indirect</v>
      </c>
      <c r="G100" s="14" t="s">
        <v>335</v>
      </c>
      <c r="H100" s="16" t="s">
        <v>785</v>
      </c>
      <c r="I100" s="16">
        <v>2298.3427394443993</v>
      </c>
      <c r="J100" s="16">
        <v>-2298.3427394443993</v>
      </c>
      <c r="K100" s="14" t="s">
        <v>225</v>
      </c>
    </row>
    <row r="101" spans="1:11" ht="15" customHeight="1">
      <c r="A101" s="13">
        <v>45839</v>
      </c>
      <c r="B101" s="14" t="s">
        <v>334</v>
      </c>
      <c r="C101" s="19" t="s">
        <v>4</v>
      </c>
      <c r="D101" s="18" t="s">
        <v>127</v>
      </c>
      <c r="E101" s="14" t="str">
        <f>_xlfn.XLOOKUP($D101,'Chart of Accounts'!$A:$A,'Chart of Accounts'!B:B,"")</f>
        <v>Indirect Cost Allocation</v>
      </c>
      <c r="F101" s="14" t="str">
        <f>_xlfn.XLOOKUP($D101,'Chart of Accounts'!$A:$A,'Chart of Accounts'!C:C,"")</f>
        <v>Indirect</v>
      </c>
      <c r="G101" s="14" t="s">
        <v>336</v>
      </c>
      <c r="H101" s="16" t="s">
        <v>785</v>
      </c>
      <c r="I101" s="16">
        <v>1937.5485173849561</v>
      </c>
      <c r="J101" s="16">
        <v>-1937.5485173849561</v>
      </c>
      <c r="K101" s="14" t="s">
        <v>225</v>
      </c>
    </row>
    <row r="102" spans="1:11" ht="15" customHeight="1">
      <c r="A102" s="13">
        <v>45839</v>
      </c>
      <c r="B102" s="14" t="s">
        <v>334</v>
      </c>
      <c r="C102" s="19" t="s">
        <v>4</v>
      </c>
      <c r="D102" s="18" t="s">
        <v>127</v>
      </c>
      <c r="E102" s="14" t="str">
        <f>_xlfn.XLOOKUP($D102,'Chart of Accounts'!$A:$A,'Chart of Accounts'!B:B,"")</f>
        <v>Indirect Cost Allocation</v>
      </c>
      <c r="F102" s="14" t="str">
        <f>_xlfn.XLOOKUP($D102,'Chart of Accounts'!$A:$A,'Chart of Accounts'!C:C,"")</f>
        <v>Indirect</v>
      </c>
      <c r="G102" s="14" t="s">
        <v>337</v>
      </c>
      <c r="H102" s="16" t="s">
        <v>785</v>
      </c>
      <c r="I102" s="16">
        <v>2048.3003749683444</v>
      </c>
      <c r="J102" s="16">
        <v>-2048.3003749683444</v>
      </c>
      <c r="K102" s="14" t="s">
        <v>225</v>
      </c>
    </row>
    <row r="103" spans="1:11" ht="15" customHeight="1">
      <c r="A103" s="13">
        <v>45839</v>
      </c>
      <c r="B103" s="14" t="s">
        <v>334</v>
      </c>
      <c r="C103" s="19" t="s">
        <v>4</v>
      </c>
      <c r="D103" s="18" t="s">
        <v>127</v>
      </c>
      <c r="E103" s="14" t="str">
        <f>_xlfn.XLOOKUP($D103,'Chart of Accounts'!$A:$A,'Chart of Accounts'!B:B,"")</f>
        <v>Indirect Cost Allocation</v>
      </c>
      <c r="F103" s="14" t="str">
        <f>_xlfn.XLOOKUP($D103,'Chart of Accounts'!$A:$A,'Chart of Accounts'!C:C,"")</f>
        <v>Indirect</v>
      </c>
      <c r="G103" s="14" t="s">
        <v>338</v>
      </c>
      <c r="H103" s="16" t="s">
        <v>785</v>
      </c>
      <c r="I103" s="16">
        <v>2800.7540048974943</v>
      </c>
      <c r="J103" s="16">
        <v>-2800.7540048974943</v>
      </c>
      <c r="K103" s="14" t="s">
        <v>225</v>
      </c>
    </row>
    <row r="104" spans="1:11" ht="15" customHeight="1">
      <c r="A104" s="13">
        <v>45839</v>
      </c>
      <c r="B104" s="14" t="s">
        <v>334</v>
      </c>
      <c r="C104" s="19" t="s">
        <v>4</v>
      </c>
      <c r="D104" s="18" t="s">
        <v>127</v>
      </c>
      <c r="E104" s="14" t="str">
        <f>_xlfn.XLOOKUP($D104,'Chart of Accounts'!$A:$A,'Chart of Accounts'!B:B,"")</f>
        <v>Indirect Cost Allocation</v>
      </c>
      <c r="F104" s="14" t="str">
        <f>_xlfn.XLOOKUP($D104,'Chart of Accounts'!$A:$A,'Chart of Accounts'!C:C,"")</f>
        <v>Indirect</v>
      </c>
      <c r="G104" s="14" t="s">
        <v>339</v>
      </c>
      <c r="H104" s="16" t="s">
        <v>785</v>
      </c>
      <c r="I104" s="16">
        <v>2609.1143439569805</v>
      </c>
      <c r="J104" s="16">
        <v>-2609.1143439569805</v>
      </c>
      <c r="K104" s="14" t="s">
        <v>225</v>
      </c>
    </row>
    <row r="105" spans="1:11" ht="15" customHeight="1">
      <c r="A105" s="13">
        <v>45839</v>
      </c>
      <c r="B105" s="14" t="s">
        <v>334</v>
      </c>
      <c r="C105" s="19" t="s">
        <v>6</v>
      </c>
      <c r="D105" s="18" t="s">
        <v>127</v>
      </c>
      <c r="E105" s="14" t="str">
        <f>_xlfn.XLOOKUP($D105,'Chart of Accounts'!$A:$A,'Chart of Accounts'!B:B,"")</f>
        <v>Indirect Cost Allocation</v>
      </c>
      <c r="F105" s="14" t="str">
        <f>_xlfn.XLOOKUP($D105,'Chart of Accounts'!$A:$A,'Chart of Accounts'!C:C,"")</f>
        <v>Indirect</v>
      </c>
      <c r="G105" s="14" t="s">
        <v>335</v>
      </c>
      <c r="H105" s="16" t="s">
        <v>785</v>
      </c>
      <c r="I105" s="16">
        <v>2940.6549269887919</v>
      </c>
      <c r="J105" s="16">
        <v>-2940.6549269887919</v>
      </c>
      <c r="K105" s="14" t="s">
        <v>225</v>
      </c>
    </row>
    <row r="106" spans="1:11" ht="15" customHeight="1">
      <c r="A106" s="13">
        <v>45839</v>
      </c>
      <c r="B106" s="14" t="s">
        <v>334</v>
      </c>
      <c r="C106" s="19" t="s">
        <v>6</v>
      </c>
      <c r="D106" s="18" t="s">
        <v>127</v>
      </c>
      <c r="E106" s="14" t="str">
        <f>_xlfn.XLOOKUP($D106,'Chart of Accounts'!$A:$A,'Chart of Accounts'!B:B,"")</f>
        <v>Indirect Cost Allocation</v>
      </c>
      <c r="F106" s="14" t="str">
        <f>_xlfn.XLOOKUP($D106,'Chart of Accounts'!$A:$A,'Chart of Accounts'!C:C,"")</f>
        <v>Indirect</v>
      </c>
      <c r="G106" s="14" t="s">
        <v>336</v>
      </c>
      <c r="H106" s="16" t="s">
        <v>785</v>
      </c>
      <c r="I106" s="16">
        <v>2479.0304318603285</v>
      </c>
      <c r="J106" s="16">
        <v>-2479.0304318603285</v>
      </c>
      <c r="K106" s="14" t="s">
        <v>225</v>
      </c>
    </row>
    <row r="107" spans="1:11" ht="15" customHeight="1">
      <c r="A107" s="13">
        <v>45839</v>
      </c>
      <c r="B107" s="14" t="s">
        <v>334</v>
      </c>
      <c r="C107" s="19" t="s">
        <v>6</v>
      </c>
      <c r="D107" s="18" t="s">
        <v>127</v>
      </c>
      <c r="E107" s="14" t="str">
        <f>_xlfn.XLOOKUP($D107,'Chart of Accounts'!$A:$A,'Chart of Accounts'!B:B,"")</f>
        <v>Indirect Cost Allocation</v>
      </c>
      <c r="F107" s="14" t="str">
        <f>_xlfn.XLOOKUP($D107,'Chart of Accounts'!$A:$A,'Chart of Accounts'!C:C,"")</f>
        <v>Indirect</v>
      </c>
      <c r="G107" s="14" t="s">
        <v>337</v>
      </c>
      <c r="H107" s="16" t="s">
        <v>785</v>
      </c>
      <c r="I107" s="16">
        <v>2620.7338384438399</v>
      </c>
      <c r="J107" s="16">
        <v>-2620.7338384438399</v>
      </c>
      <c r="K107" s="14" t="s">
        <v>225</v>
      </c>
    </row>
    <row r="108" spans="1:11" ht="15" customHeight="1">
      <c r="A108" s="13">
        <v>45839</v>
      </c>
      <c r="B108" s="14" t="s">
        <v>334</v>
      </c>
      <c r="C108" s="19" t="s">
        <v>6</v>
      </c>
      <c r="D108" s="18" t="s">
        <v>127</v>
      </c>
      <c r="E108" s="14" t="str">
        <f>_xlfn.XLOOKUP($D108,'Chart of Accounts'!$A:$A,'Chart of Accounts'!B:B,"")</f>
        <v>Indirect Cost Allocation</v>
      </c>
      <c r="F108" s="14" t="str">
        <f>_xlfn.XLOOKUP($D108,'Chart of Accounts'!$A:$A,'Chart of Accounts'!C:C,"")</f>
        <v>Indirect</v>
      </c>
      <c r="G108" s="14" t="s">
        <v>338</v>
      </c>
      <c r="H108" s="16" t="s">
        <v>785</v>
      </c>
      <c r="I108" s="16">
        <v>3583.473832008357</v>
      </c>
      <c r="J108" s="16">
        <v>-3583.473832008357</v>
      </c>
      <c r="K108" s="14" t="s">
        <v>225</v>
      </c>
    </row>
    <row r="109" spans="1:11" ht="15" customHeight="1">
      <c r="A109" s="13">
        <v>45839</v>
      </c>
      <c r="B109" s="14" t="s">
        <v>334</v>
      </c>
      <c r="C109" s="19" t="s">
        <v>6</v>
      </c>
      <c r="D109" s="18" t="s">
        <v>127</v>
      </c>
      <c r="E109" s="14" t="str">
        <f>_xlfn.XLOOKUP($D109,'Chart of Accounts'!$A:$A,'Chart of Accounts'!B:B,"")</f>
        <v>Indirect Cost Allocation</v>
      </c>
      <c r="F109" s="14" t="str">
        <f>_xlfn.XLOOKUP($D109,'Chart of Accounts'!$A:$A,'Chart of Accounts'!C:C,"")</f>
        <v>Indirect</v>
      </c>
      <c r="G109" s="14" t="s">
        <v>339</v>
      </c>
      <c r="H109" s="16" t="s">
        <v>785</v>
      </c>
      <c r="I109" s="16">
        <v>3338.277106785637</v>
      </c>
      <c r="J109" s="16">
        <v>-3338.277106785637</v>
      </c>
      <c r="K109" s="14" t="s">
        <v>225</v>
      </c>
    </row>
    <row r="110" spans="1:11" ht="15" customHeight="1">
      <c r="A110" s="13">
        <v>45839</v>
      </c>
      <c r="B110" s="14" t="s">
        <v>334</v>
      </c>
      <c r="C110" s="19" t="s">
        <v>8</v>
      </c>
      <c r="D110" s="18" t="s">
        <v>127</v>
      </c>
      <c r="E110" s="14" t="str">
        <f>_xlfn.XLOOKUP($D110,'Chart of Accounts'!$A:$A,'Chart of Accounts'!B:B,"")</f>
        <v>Indirect Cost Allocation</v>
      </c>
      <c r="F110" s="14" t="str">
        <f>_xlfn.XLOOKUP($D110,'Chart of Accounts'!$A:$A,'Chart of Accounts'!C:C,"")</f>
        <v>Indirect</v>
      </c>
      <c r="G110" s="14" t="s">
        <v>335</v>
      </c>
      <c r="H110" s="16" t="s">
        <v>785</v>
      </c>
      <c r="I110" s="16">
        <v>2764.5876798792829</v>
      </c>
      <c r="J110" s="16">
        <v>-2764.5876798792829</v>
      </c>
      <c r="K110" s="14" t="s">
        <v>225</v>
      </c>
    </row>
    <row r="111" spans="1:11" ht="15" customHeight="1">
      <c r="A111" s="13">
        <v>45839</v>
      </c>
      <c r="B111" s="14" t="s">
        <v>334</v>
      </c>
      <c r="C111" s="19" t="s">
        <v>8</v>
      </c>
      <c r="D111" s="18" t="s">
        <v>127</v>
      </c>
      <c r="E111" s="14" t="str">
        <f>_xlfn.XLOOKUP($D111,'Chart of Accounts'!$A:$A,'Chart of Accounts'!B:B,"")</f>
        <v>Indirect Cost Allocation</v>
      </c>
      <c r="F111" s="14" t="str">
        <f>_xlfn.XLOOKUP($D111,'Chart of Accounts'!$A:$A,'Chart of Accounts'!C:C,"")</f>
        <v>Indirect</v>
      </c>
      <c r="G111" s="14" t="s">
        <v>336</v>
      </c>
      <c r="H111" s="16" t="s">
        <v>785</v>
      </c>
      <c r="I111" s="16">
        <v>2330.602250222134</v>
      </c>
      <c r="J111" s="16">
        <v>-2330.602250222134</v>
      </c>
      <c r="K111" s="14" t="s">
        <v>225</v>
      </c>
    </row>
    <row r="112" spans="1:11" ht="15" customHeight="1">
      <c r="A112" s="13">
        <v>45839</v>
      </c>
      <c r="B112" s="14" t="s">
        <v>334</v>
      </c>
      <c r="C112" s="19" t="s">
        <v>8</v>
      </c>
      <c r="D112" s="18" t="s">
        <v>127</v>
      </c>
      <c r="E112" s="14" t="str">
        <f>_xlfn.XLOOKUP($D112,'Chart of Accounts'!$A:$A,'Chart of Accounts'!B:B,"")</f>
        <v>Indirect Cost Allocation</v>
      </c>
      <c r="F112" s="14" t="str">
        <f>_xlfn.XLOOKUP($D112,'Chart of Accounts'!$A:$A,'Chart of Accounts'!C:C,"")</f>
        <v>Indirect</v>
      </c>
      <c r="G112" s="14" t="s">
        <v>337</v>
      </c>
      <c r="H112" s="16" t="s">
        <v>785</v>
      </c>
      <c r="I112" s="16">
        <v>2463.8213805737696</v>
      </c>
      <c r="J112" s="16">
        <v>-2463.8213805737696</v>
      </c>
      <c r="K112" s="14" t="s">
        <v>225</v>
      </c>
    </row>
    <row r="113" spans="1:11" ht="15" customHeight="1">
      <c r="A113" s="13">
        <v>45839</v>
      </c>
      <c r="B113" s="14" t="s">
        <v>334</v>
      </c>
      <c r="C113" s="19" t="s">
        <v>8</v>
      </c>
      <c r="D113" s="18" t="s">
        <v>127</v>
      </c>
      <c r="E113" s="14" t="str">
        <f>_xlfn.XLOOKUP($D113,'Chart of Accounts'!$A:$A,'Chart of Accounts'!B:B,"")</f>
        <v>Indirect Cost Allocation</v>
      </c>
      <c r="F113" s="14" t="str">
        <f>_xlfn.XLOOKUP($D113,'Chart of Accounts'!$A:$A,'Chart of Accounts'!C:C,"")</f>
        <v>Indirect</v>
      </c>
      <c r="G113" s="14" t="s">
        <v>338</v>
      </c>
      <c r="H113" s="16" t="s">
        <v>785</v>
      </c>
      <c r="I113" s="16">
        <v>3368.9187793566189</v>
      </c>
      <c r="J113" s="16">
        <v>-3368.9187793566189</v>
      </c>
      <c r="K113" s="14" t="s">
        <v>225</v>
      </c>
    </row>
    <row r="114" spans="1:11" ht="15" customHeight="1">
      <c r="A114" s="13">
        <v>45839</v>
      </c>
      <c r="B114" s="14" t="s">
        <v>334</v>
      </c>
      <c r="C114" s="19" t="s">
        <v>8</v>
      </c>
      <c r="D114" s="18" t="s">
        <v>127</v>
      </c>
      <c r="E114" s="14" t="str">
        <f>_xlfn.XLOOKUP($D114,'Chart of Accounts'!$A:$A,'Chart of Accounts'!B:B,"")</f>
        <v>Indirect Cost Allocation</v>
      </c>
      <c r="F114" s="14" t="str">
        <f>_xlfn.XLOOKUP($D114,'Chart of Accounts'!$A:$A,'Chart of Accounts'!C:C,"")</f>
        <v>Indirect</v>
      </c>
      <c r="G114" s="14" t="s">
        <v>339</v>
      </c>
      <c r="H114" s="16" t="s">
        <v>785</v>
      </c>
      <c r="I114" s="16">
        <v>3138.4028356203676</v>
      </c>
      <c r="J114" s="16">
        <v>-3138.4028356203676</v>
      </c>
      <c r="K114" s="14" t="s">
        <v>225</v>
      </c>
    </row>
    <row r="115" spans="1:11" ht="15" customHeight="1">
      <c r="A115" s="13">
        <v>45839</v>
      </c>
      <c r="B115" s="14" t="s">
        <v>334</v>
      </c>
      <c r="C115" s="19" t="s">
        <v>10</v>
      </c>
      <c r="D115" s="18" t="s">
        <v>127</v>
      </c>
      <c r="E115" s="14" t="str">
        <f>_xlfn.XLOOKUP($D115,'Chart of Accounts'!$A:$A,'Chart of Accounts'!B:B,"")</f>
        <v>Indirect Cost Allocation</v>
      </c>
      <c r="F115" s="14" t="str">
        <f>_xlfn.XLOOKUP($D115,'Chart of Accounts'!$A:$A,'Chart of Accounts'!C:C,"")</f>
        <v>Indirect</v>
      </c>
      <c r="G115" s="14" t="s">
        <v>335</v>
      </c>
      <c r="H115" s="16" t="s">
        <v>785</v>
      </c>
      <c r="I115" s="16">
        <v>3101.5258938418256</v>
      </c>
      <c r="J115" s="16">
        <v>-3101.5258938418256</v>
      </c>
      <c r="K115" s="14" t="s">
        <v>225</v>
      </c>
    </row>
    <row r="116" spans="1:11" ht="15" customHeight="1">
      <c r="A116" s="13">
        <v>45839</v>
      </c>
      <c r="B116" s="14" t="s">
        <v>334</v>
      </c>
      <c r="C116" s="19" t="s">
        <v>10</v>
      </c>
      <c r="D116" s="18" t="s">
        <v>127</v>
      </c>
      <c r="E116" s="14" t="str">
        <f>_xlfn.XLOOKUP($D116,'Chart of Accounts'!$A:$A,'Chart of Accounts'!B:B,"")</f>
        <v>Indirect Cost Allocation</v>
      </c>
      <c r="F116" s="14" t="str">
        <f>_xlfn.XLOOKUP($D116,'Chart of Accounts'!$A:$A,'Chart of Accounts'!C:C,"")</f>
        <v>Indirect</v>
      </c>
      <c r="G116" s="14" t="s">
        <v>336</v>
      </c>
      <c r="H116" s="16" t="s">
        <v>785</v>
      </c>
      <c r="I116" s="16">
        <v>2614.6478478214176</v>
      </c>
      <c r="J116" s="16">
        <v>-2614.6478478214176</v>
      </c>
      <c r="K116" s="14" t="s">
        <v>225</v>
      </c>
    </row>
    <row r="117" spans="1:11" ht="15" customHeight="1">
      <c r="A117" s="13">
        <v>45839</v>
      </c>
      <c r="B117" s="14" t="s">
        <v>334</v>
      </c>
      <c r="C117" s="19" t="s">
        <v>10</v>
      </c>
      <c r="D117" s="18" t="s">
        <v>127</v>
      </c>
      <c r="E117" s="14" t="str">
        <f>_xlfn.XLOOKUP($D117,'Chart of Accounts'!$A:$A,'Chart of Accounts'!B:B,"")</f>
        <v>Indirect Cost Allocation</v>
      </c>
      <c r="F117" s="14" t="str">
        <f>_xlfn.XLOOKUP($D117,'Chart of Accounts'!$A:$A,'Chart of Accounts'!C:C,"")</f>
        <v>Indirect</v>
      </c>
      <c r="G117" s="14" t="s">
        <v>337</v>
      </c>
      <c r="H117" s="16" t="s">
        <v>785</v>
      </c>
      <c r="I117" s="16">
        <v>2764.103256795363</v>
      </c>
      <c r="J117" s="16">
        <v>-2764.103256795363</v>
      </c>
      <c r="K117" s="14" t="s">
        <v>225</v>
      </c>
    </row>
    <row r="118" spans="1:11" ht="15" customHeight="1">
      <c r="A118" s="13">
        <v>45839</v>
      </c>
      <c r="B118" s="14" t="s">
        <v>334</v>
      </c>
      <c r="C118" s="19" t="s">
        <v>10</v>
      </c>
      <c r="D118" s="18" t="s">
        <v>127</v>
      </c>
      <c r="E118" s="14" t="str">
        <f>_xlfn.XLOOKUP($D118,'Chart of Accounts'!$A:$A,'Chart of Accounts'!B:B,"")</f>
        <v>Indirect Cost Allocation</v>
      </c>
      <c r="F118" s="14" t="str">
        <f>_xlfn.XLOOKUP($D118,'Chart of Accounts'!$A:$A,'Chart of Accounts'!C:C,"")</f>
        <v>Indirect</v>
      </c>
      <c r="G118" s="14" t="s">
        <v>338</v>
      </c>
      <c r="H118" s="16" t="s">
        <v>785</v>
      </c>
      <c r="I118" s="16">
        <v>3779.5107402347971</v>
      </c>
      <c r="J118" s="16">
        <v>-3779.5107402347971</v>
      </c>
      <c r="K118" s="14" t="s">
        <v>225</v>
      </c>
    </row>
    <row r="119" spans="1:11" ht="15" customHeight="1">
      <c r="A119" s="13">
        <v>45839</v>
      </c>
      <c r="B119" s="14" t="s">
        <v>334</v>
      </c>
      <c r="C119" s="19" t="s">
        <v>10</v>
      </c>
      <c r="D119" s="18" t="s">
        <v>127</v>
      </c>
      <c r="E119" s="14" t="str">
        <f>_xlfn.XLOOKUP($D119,'Chart of Accounts'!$A:$A,'Chart of Accounts'!B:B,"")</f>
        <v>Indirect Cost Allocation</v>
      </c>
      <c r="F119" s="14" t="str">
        <f>_xlfn.XLOOKUP($D119,'Chart of Accounts'!$A:$A,'Chart of Accounts'!C:C,"")</f>
        <v>Indirect</v>
      </c>
      <c r="G119" s="14" t="s">
        <v>339</v>
      </c>
      <c r="H119" s="16" t="s">
        <v>785</v>
      </c>
      <c r="I119" s="16">
        <v>3520.9003247848568</v>
      </c>
      <c r="J119" s="16">
        <v>-3520.9003247848568</v>
      </c>
      <c r="K119" s="14" t="s">
        <v>225</v>
      </c>
    </row>
    <row r="120" spans="1:11" ht="15" customHeight="1">
      <c r="A120" s="13">
        <v>45870</v>
      </c>
      <c r="B120" s="14" t="s">
        <v>340</v>
      </c>
      <c r="C120" s="17" t="s">
        <v>4</v>
      </c>
      <c r="D120" s="18" t="s">
        <v>127</v>
      </c>
      <c r="E120" s="14" t="str">
        <f>_xlfn.XLOOKUP($D120,'Chart of Accounts'!$A:$A,'Chart of Accounts'!B:B,"")</f>
        <v>Indirect Cost Allocation</v>
      </c>
      <c r="F120" s="14" t="str">
        <f>_xlfn.XLOOKUP($D120,'Chart of Accounts'!$A:$A,'Chart of Accounts'!C:C,"")</f>
        <v>Indirect</v>
      </c>
      <c r="G120" s="14" t="s">
        <v>335</v>
      </c>
      <c r="H120" s="16" t="s">
        <v>785</v>
      </c>
      <c r="I120" s="16">
        <v>2564.4366961940545</v>
      </c>
      <c r="J120" s="16">
        <v>-2564.4366961940545</v>
      </c>
      <c r="K120" s="14" t="s">
        <v>225</v>
      </c>
    </row>
    <row r="121" spans="1:11" ht="15" customHeight="1">
      <c r="A121" s="13">
        <v>45870</v>
      </c>
      <c r="B121" s="14" t="s">
        <v>340</v>
      </c>
      <c r="C121" s="17" t="s">
        <v>4</v>
      </c>
      <c r="D121" s="18" t="s">
        <v>127</v>
      </c>
      <c r="E121" s="14" t="str">
        <f>_xlfn.XLOOKUP($D121,'Chart of Accounts'!$A:$A,'Chart of Accounts'!B:B,"")</f>
        <v>Indirect Cost Allocation</v>
      </c>
      <c r="F121" s="14" t="str">
        <f>_xlfn.XLOOKUP($D121,'Chart of Accounts'!$A:$A,'Chart of Accounts'!C:C,"")</f>
        <v>Indirect</v>
      </c>
      <c r="G121" s="14" t="s">
        <v>336</v>
      </c>
      <c r="H121" s="16" t="s">
        <v>785</v>
      </c>
      <c r="I121" s="16">
        <v>2156.5685185544621</v>
      </c>
      <c r="J121" s="16">
        <v>-2156.5685185544621</v>
      </c>
      <c r="K121" s="14" t="s">
        <v>225</v>
      </c>
    </row>
    <row r="122" spans="1:11" ht="15" customHeight="1">
      <c r="A122" s="13">
        <v>45870</v>
      </c>
      <c r="B122" s="14" t="s">
        <v>340</v>
      </c>
      <c r="C122" s="17" t="s">
        <v>4</v>
      </c>
      <c r="D122" s="18" t="s">
        <v>127</v>
      </c>
      <c r="E122" s="14" t="str">
        <f>_xlfn.XLOOKUP($D122,'Chart of Accounts'!$A:$A,'Chart of Accounts'!B:B,"")</f>
        <v>Indirect Cost Allocation</v>
      </c>
      <c r="F122" s="14" t="str">
        <f>_xlfn.XLOOKUP($D122,'Chart of Accounts'!$A:$A,'Chart of Accounts'!C:C,"")</f>
        <v>Indirect</v>
      </c>
      <c r="G122" s="14" t="s">
        <v>337</v>
      </c>
      <c r="H122" s="16" t="s">
        <v>785</v>
      </c>
      <c r="I122" s="16">
        <v>2239.9879662719909</v>
      </c>
      <c r="J122" s="16">
        <v>-2239.9879662719909</v>
      </c>
      <c r="K122" s="14" t="s">
        <v>225</v>
      </c>
    </row>
    <row r="123" spans="1:11" ht="15" customHeight="1">
      <c r="A123" s="13">
        <v>45870</v>
      </c>
      <c r="B123" s="14" t="s">
        <v>340</v>
      </c>
      <c r="C123" s="17" t="s">
        <v>4</v>
      </c>
      <c r="D123" s="18" t="s">
        <v>127</v>
      </c>
      <c r="E123" s="14" t="str">
        <f>_xlfn.XLOOKUP($D123,'Chart of Accounts'!$A:$A,'Chart of Accounts'!B:B,"")</f>
        <v>Indirect Cost Allocation</v>
      </c>
      <c r="F123" s="14" t="str">
        <f>_xlfn.XLOOKUP($D123,'Chart of Accounts'!$A:$A,'Chart of Accounts'!C:C,"")</f>
        <v>Indirect</v>
      </c>
      <c r="G123" s="14" t="s">
        <v>338</v>
      </c>
      <c r="H123" s="16" t="s">
        <v>785</v>
      </c>
      <c r="I123" s="16">
        <v>3115.4397347866811</v>
      </c>
      <c r="J123" s="16">
        <v>-3115.4397347866811</v>
      </c>
      <c r="K123" s="14" t="s">
        <v>225</v>
      </c>
    </row>
    <row r="124" spans="1:11" ht="15" customHeight="1">
      <c r="A124" s="13">
        <v>45870</v>
      </c>
      <c r="B124" s="14" t="s">
        <v>340</v>
      </c>
      <c r="C124" s="17" t="s">
        <v>4</v>
      </c>
      <c r="D124" s="18" t="s">
        <v>127</v>
      </c>
      <c r="E124" s="14" t="str">
        <f>_xlfn.XLOOKUP($D124,'Chart of Accounts'!$A:$A,'Chart of Accounts'!B:B,"")</f>
        <v>Indirect Cost Allocation</v>
      </c>
      <c r="F124" s="14" t="str">
        <f>_xlfn.XLOOKUP($D124,'Chart of Accounts'!$A:$A,'Chart of Accounts'!C:C,"")</f>
        <v>Indirect</v>
      </c>
      <c r="G124" s="14" t="s">
        <v>339</v>
      </c>
      <c r="H124" s="16" t="s">
        <v>785</v>
      </c>
      <c r="I124" s="16">
        <v>2898.8393099070986</v>
      </c>
      <c r="J124" s="16">
        <v>-2898.8393099070986</v>
      </c>
      <c r="K124" s="14" t="s">
        <v>225</v>
      </c>
    </row>
    <row r="125" spans="1:11" ht="15" customHeight="1">
      <c r="A125" s="13">
        <v>45870</v>
      </c>
      <c r="B125" s="14" t="s">
        <v>340</v>
      </c>
      <c r="C125" s="17" t="s">
        <v>6</v>
      </c>
      <c r="D125" s="18" t="s">
        <v>127</v>
      </c>
      <c r="E125" s="14" t="str">
        <f>_xlfn.XLOOKUP($D125,'Chart of Accounts'!$A:$A,'Chart of Accounts'!B:B,"")</f>
        <v>Indirect Cost Allocation</v>
      </c>
      <c r="F125" s="14" t="str">
        <f>_xlfn.XLOOKUP($D125,'Chart of Accounts'!$A:$A,'Chart of Accounts'!C:C,"")</f>
        <v>Indirect</v>
      </c>
      <c r="G125" s="14" t="s">
        <v>335</v>
      </c>
      <c r="H125" s="16" t="s">
        <v>785</v>
      </c>
      <c r="I125" s="16">
        <v>3144.1851235753547</v>
      </c>
      <c r="J125" s="16">
        <v>-3144.1851235753547</v>
      </c>
      <c r="K125" s="14" t="s">
        <v>225</v>
      </c>
    </row>
    <row r="126" spans="1:11" ht="15" customHeight="1">
      <c r="A126" s="13">
        <v>45870</v>
      </c>
      <c r="B126" s="14" t="s">
        <v>340</v>
      </c>
      <c r="C126" s="17" t="s">
        <v>6</v>
      </c>
      <c r="D126" s="18" t="s">
        <v>127</v>
      </c>
      <c r="E126" s="14" t="str">
        <f>_xlfn.XLOOKUP($D126,'Chart of Accounts'!$A:$A,'Chart of Accounts'!B:B,"")</f>
        <v>Indirect Cost Allocation</v>
      </c>
      <c r="F126" s="14" t="str">
        <f>_xlfn.XLOOKUP($D126,'Chart of Accounts'!$A:$A,'Chart of Accounts'!C:C,"")</f>
        <v>Indirect</v>
      </c>
      <c r="G126" s="14" t="s">
        <v>336</v>
      </c>
      <c r="H126" s="16" t="s">
        <v>785</v>
      </c>
      <c r="I126" s="16">
        <v>2644.1091971867413</v>
      </c>
      <c r="J126" s="16">
        <v>-2644.1091971867413</v>
      </c>
      <c r="K126" s="14" t="s">
        <v>225</v>
      </c>
    </row>
    <row r="127" spans="1:11" ht="15" customHeight="1">
      <c r="A127" s="13">
        <v>45870</v>
      </c>
      <c r="B127" s="14" t="s">
        <v>340</v>
      </c>
      <c r="C127" s="17" t="s">
        <v>6</v>
      </c>
      <c r="D127" s="18" t="s">
        <v>127</v>
      </c>
      <c r="E127" s="14" t="str">
        <f>_xlfn.XLOOKUP($D127,'Chart of Accounts'!$A:$A,'Chart of Accounts'!B:B,"")</f>
        <v>Indirect Cost Allocation</v>
      </c>
      <c r="F127" s="14" t="str">
        <f>_xlfn.XLOOKUP($D127,'Chart of Accounts'!$A:$A,'Chart of Accounts'!C:C,"")</f>
        <v>Indirect</v>
      </c>
      <c r="G127" s="14" t="s">
        <v>337</v>
      </c>
      <c r="H127" s="16" t="s">
        <v>785</v>
      </c>
      <c r="I127" s="16">
        <v>2746.3874818952672</v>
      </c>
      <c r="J127" s="16">
        <v>-2746.3874818952672</v>
      </c>
      <c r="K127" s="14" t="s">
        <v>225</v>
      </c>
    </row>
    <row r="128" spans="1:11" ht="15" customHeight="1">
      <c r="A128" s="13">
        <v>45870</v>
      </c>
      <c r="B128" s="14" t="s">
        <v>340</v>
      </c>
      <c r="C128" s="17" t="s">
        <v>6</v>
      </c>
      <c r="D128" s="18" t="s">
        <v>127</v>
      </c>
      <c r="E128" s="14" t="str">
        <f>_xlfn.XLOOKUP($D128,'Chart of Accounts'!$A:$A,'Chart of Accounts'!B:B,"")</f>
        <v>Indirect Cost Allocation</v>
      </c>
      <c r="F128" s="14" t="str">
        <f>_xlfn.XLOOKUP($D128,'Chart of Accounts'!$A:$A,'Chart of Accounts'!C:C,"")</f>
        <v>Indirect</v>
      </c>
      <c r="G128" s="14" t="s">
        <v>338</v>
      </c>
      <c r="H128" s="16" t="s">
        <v>785</v>
      </c>
      <c r="I128" s="16">
        <v>3819.7547562977898</v>
      </c>
      <c r="J128" s="16">
        <v>-3819.7547562977898</v>
      </c>
      <c r="K128" s="14" t="s">
        <v>225</v>
      </c>
    </row>
    <row r="129" spans="1:11" ht="15" customHeight="1">
      <c r="A129" s="13">
        <v>45870</v>
      </c>
      <c r="B129" s="14" t="s">
        <v>340</v>
      </c>
      <c r="C129" s="17" t="s">
        <v>6</v>
      </c>
      <c r="D129" s="18" t="s">
        <v>127</v>
      </c>
      <c r="E129" s="14" t="str">
        <f>_xlfn.XLOOKUP($D129,'Chart of Accounts'!$A:$A,'Chart of Accounts'!B:B,"")</f>
        <v>Indirect Cost Allocation</v>
      </c>
      <c r="F129" s="14" t="str">
        <f>_xlfn.XLOOKUP($D129,'Chart of Accounts'!$A:$A,'Chart of Accounts'!C:C,"")</f>
        <v>Indirect</v>
      </c>
      <c r="G129" s="14" t="s">
        <v>339</v>
      </c>
      <c r="H129" s="16" t="s">
        <v>785</v>
      </c>
      <c r="I129" s="16">
        <v>3554.1869477115147</v>
      </c>
      <c r="J129" s="16">
        <v>-3554.1869477115147</v>
      </c>
      <c r="K129" s="14" t="s">
        <v>225</v>
      </c>
    </row>
    <row r="130" spans="1:11" ht="15" customHeight="1">
      <c r="A130" s="13">
        <v>45870</v>
      </c>
      <c r="B130" s="14" t="s">
        <v>340</v>
      </c>
      <c r="C130" s="17" t="s">
        <v>8</v>
      </c>
      <c r="D130" s="18" t="s">
        <v>127</v>
      </c>
      <c r="E130" s="14" t="str">
        <f>_xlfn.XLOOKUP($D130,'Chart of Accounts'!$A:$A,'Chart of Accounts'!B:B,"")</f>
        <v>Indirect Cost Allocation</v>
      </c>
      <c r="F130" s="14" t="str">
        <f>_xlfn.XLOOKUP($D130,'Chart of Accounts'!$A:$A,'Chart of Accounts'!C:C,"")</f>
        <v>Indirect</v>
      </c>
      <c r="G130" s="14" t="s">
        <v>335</v>
      </c>
      <c r="H130" s="16" t="s">
        <v>785</v>
      </c>
      <c r="I130" s="16">
        <v>2985.4229827315426</v>
      </c>
      <c r="J130" s="16">
        <v>-2985.4229827315426</v>
      </c>
      <c r="K130" s="14" t="s">
        <v>225</v>
      </c>
    </row>
    <row r="131" spans="1:11" ht="15" customHeight="1">
      <c r="A131" s="13">
        <v>45870</v>
      </c>
      <c r="B131" s="14" t="s">
        <v>340</v>
      </c>
      <c r="C131" s="17" t="s">
        <v>8</v>
      </c>
      <c r="D131" s="18" t="s">
        <v>127</v>
      </c>
      <c r="E131" s="14" t="str">
        <f>_xlfn.XLOOKUP($D131,'Chart of Accounts'!$A:$A,'Chart of Accounts'!B:B,"")</f>
        <v>Indirect Cost Allocation</v>
      </c>
      <c r="F131" s="14" t="str">
        <f>_xlfn.XLOOKUP($D131,'Chart of Accounts'!$A:$A,'Chart of Accounts'!C:C,"")</f>
        <v>Indirect</v>
      </c>
      <c r="G131" s="14" t="s">
        <v>336</v>
      </c>
      <c r="H131" s="16" t="s">
        <v>785</v>
      </c>
      <c r="I131" s="16">
        <v>2510.5978356506148</v>
      </c>
      <c r="J131" s="16">
        <v>-2510.5978356506148</v>
      </c>
      <c r="K131" s="14" t="s">
        <v>225</v>
      </c>
    </row>
    <row r="132" spans="1:11" ht="15" customHeight="1">
      <c r="A132" s="13">
        <v>45870</v>
      </c>
      <c r="B132" s="14" t="s">
        <v>340</v>
      </c>
      <c r="C132" s="17" t="s">
        <v>8</v>
      </c>
      <c r="D132" s="18" t="s">
        <v>127</v>
      </c>
      <c r="E132" s="14" t="str">
        <f>_xlfn.XLOOKUP($D132,'Chart of Accounts'!$A:$A,'Chart of Accounts'!B:B,"")</f>
        <v>Indirect Cost Allocation</v>
      </c>
      <c r="F132" s="14" t="str">
        <f>_xlfn.XLOOKUP($D132,'Chart of Accounts'!$A:$A,'Chart of Accounts'!C:C,"")</f>
        <v>Indirect</v>
      </c>
      <c r="G132" s="14" t="s">
        <v>337</v>
      </c>
      <c r="H132" s="16" t="s">
        <v>785</v>
      </c>
      <c r="I132" s="16">
        <v>2607.7116918016727</v>
      </c>
      <c r="J132" s="16">
        <v>-2607.7116918016727</v>
      </c>
      <c r="K132" s="14" t="s">
        <v>225</v>
      </c>
    </row>
    <row r="133" spans="1:11" ht="15" customHeight="1">
      <c r="A133" s="13">
        <v>45870</v>
      </c>
      <c r="B133" s="14" t="s">
        <v>340</v>
      </c>
      <c r="C133" s="17" t="s">
        <v>8</v>
      </c>
      <c r="D133" s="18" t="s">
        <v>127</v>
      </c>
      <c r="E133" s="14" t="str">
        <f>_xlfn.XLOOKUP($D133,'Chart of Accounts'!$A:$A,'Chart of Accounts'!B:B,"")</f>
        <v>Indirect Cost Allocation</v>
      </c>
      <c r="F133" s="14" t="str">
        <f>_xlfn.XLOOKUP($D133,'Chart of Accounts'!$A:$A,'Chart of Accounts'!C:C,"")</f>
        <v>Indirect</v>
      </c>
      <c r="G133" s="14" t="s">
        <v>338</v>
      </c>
      <c r="H133" s="16" t="s">
        <v>785</v>
      </c>
      <c r="I133" s="16">
        <v>3626.8804760713838</v>
      </c>
      <c r="J133" s="16">
        <v>-3626.8804760713838</v>
      </c>
      <c r="K133" s="14" t="s">
        <v>225</v>
      </c>
    </row>
    <row r="134" spans="1:11" ht="15" customHeight="1">
      <c r="A134" s="13">
        <v>45870</v>
      </c>
      <c r="B134" s="14" t="s">
        <v>340</v>
      </c>
      <c r="C134" s="17" t="s">
        <v>8</v>
      </c>
      <c r="D134" s="18" t="s">
        <v>127</v>
      </c>
      <c r="E134" s="14" t="str">
        <f>_xlfn.XLOOKUP($D134,'Chart of Accounts'!$A:$A,'Chart of Accounts'!B:B,"")</f>
        <v>Indirect Cost Allocation</v>
      </c>
      <c r="F134" s="14" t="str">
        <f>_xlfn.XLOOKUP($D134,'Chart of Accounts'!$A:$A,'Chart of Accounts'!C:C,"")</f>
        <v>Indirect</v>
      </c>
      <c r="G134" s="14" t="s">
        <v>339</v>
      </c>
      <c r="H134" s="16" t="s">
        <v>785</v>
      </c>
      <c r="I134" s="16">
        <v>3374.7222194590749</v>
      </c>
      <c r="J134" s="16">
        <v>-3374.7222194590749</v>
      </c>
      <c r="K134" s="14" t="s">
        <v>225</v>
      </c>
    </row>
    <row r="135" spans="1:11" ht="15" customHeight="1">
      <c r="A135" s="13">
        <v>45870</v>
      </c>
      <c r="B135" s="14" t="s">
        <v>340</v>
      </c>
      <c r="C135" s="17" t="s">
        <v>10</v>
      </c>
      <c r="D135" s="18" t="s">
        <v>127</v>
      </c>
      <c r="E135" s="14" t="str">
        <f>_xlfn.XLOOKUP($D135,'Chart of Accounts'!$A:$A,'Chart of Accounts'!B:B,"")</f>
        <v>Indirect Cost Allocation</v>
      </c>
      <c r="F135" s="14" t="str">
        <f>_xlfn.XLOOKUP($D135,'Chart of Accounts'!$A:$A,'Chart of Accounts'!C:C,"")</f>
        <v>Indirect</v>
      </c>
      <c r="G135" s="14" t="s">
        <v>335</v>
      </c>
      <c r="H135" s="16" t="s">
        <v>785</v>
      </c>
      <c r="I135" s="16">
        <v>3210.5965563936379</v>
      </c>
      <c r="J135" s="16">
        <v>-3210.5965563936379</v>
      </c>
      <c r="K135" s="14" t="s">
        <v>225</v>
      </c>
    </row>
    <row r="136" spans="1:11" ht="15" customHeight="1">
      <c r="A136" s="13">
        <v>45870</v>
      </c>
      <c r="B136" s="14" t="s">
        <v>340</v>
      </c>
      <c r="C136" s="17" t="s">
        <v>10</v>
      </c>
      <c r="D136" s="18" t="s">
        <v>127</v>
      </c>
      <c r="E136" s="14" t="str">
        <f>_xlfn.XLOOKUP($D136,'Chart of Accounts'!$A:$A,'Chart of Accounts'!B:B,"")</f>
        <v>Indirect Cost Allocation</v>
      </c>
      <c r="F136" s="14" t="str">
        <f>_xlfn.XLOOKUP($D136,'Chart of Accounts'!$A:$A,'Chart of Accounts'!C:C,"")</f>
        <v>Indirect</v>
      </c>
      <c r="G136" s="14" t="s">
        <v>336</v>
      </c>
      <c r="H136" s="16" t="s">
        <v>785</v>
      </c>
      <c r="I136" s="16">
        <v>2699.9580335025539</v>
      </c>
      <c r="J136" s="16">
        <v>-2699.9580335025539</v>
      </c>
      <c r="K136" s="14" t="s">
        <v>225</v>
      </c>
    </row>
    <row r="137" spans="1:11" ht="15" customHeight="1">
      <c r="A137" s="13">
        <v>45870</v>
      </c>
      <c r="B137" s="14" t="s">
        <v>340</v>
      </c>
      <c r="C137" s="17" t="s">
        <v>10</v>
      </c>
      <c r="D137" s="18" t="s">
        <v>127</v>
      </c>
      <c r="E137" s="14" t="str">
        <f>_xlfn.XLOOKUP($D137,'Chart of Accounts'!$A:$A,'Chart of Accounts'!B:B,"")</f>
        <v>Indirect Cost Allocation</v>
      </c>
      <c r="F137" s="14" t="str">
        <f>_xlfn.XLOOKUP($D137,'Chart of Accounts'!$A:$A,'Chart of Accounts'!C:C,"")</f>
        <v>Indirect</v>
      </c>
      <c r="G137" s="14" t="s">
        <v>337</v>
      </c>
      <c r="H137" s="16" t="s">
        <v>785</v>
      </c>
      <c r="I137" s="16">
        <v>2804.3966386651009</v>
      </c>
      <c r="J137" s="16">
        <v>-2804.3966386651009</v>
      </c>
      <c r="K137" s="14" t="s">
        <v>225</v>
      </c>
    </row>
    <row r="138" spans="1:11" ht="15" customHeight="1">
      <c r="A138" s="13">
        <v>45870</v>
      </c>
      <c r="B138" s="14" t="s">
        <v>340</v>
      </c>
      <c r="C138" s="17" t="s">
        <v>10</v>
      </c>
      <c r="D138" s="18" t="s">
        <v>127</v>
      </c>
      <c r="E138" s="14" t="str">
        <f>_xlfn.XLOOKUP($D138,'Chart of Accounts'!$A:$A,'Chart of Accounts'!B:B,"")</f>
        <v>Indirect Cost Allocation</v>
      </c>
      <c r="F138" s="14" t="str">
        <f>_xlfn.XLOOKUP($D138,'Chart of Accounts'!$A:$A,'Chart of Accounts'!C:C,"")</f>
        <v>Indirect</v>
      </c>
      <c r="G138" s="14" t="s">
        <v>338</v>
      </c>
      <c r="H138" s="16" t="s">
        <v>785</v>
      </c>
      <c r="I138" s="16">
        <v>3900.4355611518395</v>
      </c>
      <c r="J138" s="16">
        <v>-3900.4355611518395</v>
      </c>
      <c r="K138" s="14" t="s">
        <v>225</v>
      </c>
    </row>
    <row r="139" spans="1:11" ht="15" customHeight="1">
      <c r="A139" s="13">
        <v>45870</v>
      </c>
      <c r="B139" s="14" t="s">
        <v>340</v>
      </c>
      <c r="C139" s="17" t="s">
        <v>10</v>
      </c>
      <c r="D139" s="18" t="s">
        <v>127</v>
      </c>
      <c r="E139" s="14" t="str">
        <f>_xlfn.XLOOKUP($D139,'Chart of Accounts'!$A:$A,'Chart of Accounts'!B:B,"")</f>
        <v>Indirect Cost Allocation</v>
      </c>
      <c r="F139" s="14" t="str">
        <f>_xlfn.XLOOKUP($D139,'Chart of Accounts'!$A:$A,'Chart of Accounts'!C:C,"")</f>
        <v>Indirect</v>
      </c>
      <c r="G139" s="14" t="s">
        <v>339</v>
      </c>
      <c r="H139" s="16" t="s">
        <v>785</v>
      </c>
      <c r="I139" s="16">
        <v>3629.2584331440121</v>
      </c>
      <c r="J139" s="16">
        <v>-3629.2584331440121</v>
      </c>
      <c r="K139" s="14" t="s">
        <v>225</v>
      </c>
    </row>
    <row r="140" spans="1:11" ht="15" customHeight="1">
      <c r="A140" s="13">
        <v>45901</v>
      </c>
      <c r="B140" s="14" t="s">
        <v>341</v>
      </c>
      <c r="C140" s="17" t="s">
        <v>4</v>
      </c>
      <c r="D140" s="18" t="s">
        <v>127</v>
      </c>
      <c r="E140" s="14" t="str">
        <f>_xlfn.XLOOKUP($D140,'Chart of Accounts'!$A:$A,'Chart of Accounts'!B:B,"")</f>
        <v>Indirect Cost Allocation</v>
      </c>
      <c r="F140" s="14" t="str">
        <f>_xlfn.XLOOKUP($D140,'Chart of Accounts'!$A:$A,'Chart of Accounts'!C:C,"")</f>
        <v>Indirect</v>
      </c>
      <c r="G140" s="14" t="s">
        <v>335</v>
      </c>
      <c r="H140" s="16" t="s">
        <v>785</v>
      </c>
      <c r="I140" s="16">
        <v>2202.5063545950898</v>
      </c>
      <c r="J140" s="16">
        <v>-2202.5063545950898</v>
      </c>
      <c r="K140" s="14" t="s">
        <v>225</v>
      </c>
    </row>
    <row r="141" spans="1:11" ht="15" customHeight="1">
      <c r="A141" s="13">
        <v>45901</v>
      </c>
      <c r="B141" s="14" t="s">
        <v>341</v>
      </c>
      <c r="C141" s="17" t="s">
        <v>4</v>
      </c>
      <c r="D141" s="18" t="s">
        <v>127</v>
      </c>
      <c r="E141" s="14" t="str">
        <f>_xlfn.XLOOKUP($D141,'Chart of Accounts'!$A:$A,'Chart of Accounts'!B:B,"")</f>
        <v>Indirect Cost Allocation</v>
      </c>
      <c r="F141" s="14" t="str">
        <f>_xlfn.XLOOKUP($D141,'Chart of Accounts'!$A:$A,'Chart of Accounts'!C:C,"")</f>
        <v>Indirect</v>
      </c>
      <c r="G141" s="14" t="s">
        <v>336</v>
      </c>
      <c r="H141" s="16" t="s">
        <v>785</v>
      </c>
      <c r="I141" s="16">
        <v>1828.4902764781611</v>
      </c>
      <c r="J141" s="16">
        <v>-1828.4902764781611</v>
      </c>
      <c r="K141" s="14" t="s">
        <v>225</v>
      </c>
    </row>
    <row r="142" spans="1:11" ht="15" customHeight="1">
      <c r="A142" s="13">
        <v>45901</v>
      </c>
      <c r="B142" s="14" t="s">
        <v>341</v>
      </c>
      <c r="C142" s="17" t="s">
        <v>4</v>
      </c>
      <c r="D142" s="18" t="s">
        <v>127</v>
      </c>
      <c r="E142" s="14" t="str">
        <f>_xlfn.XLOOKUP($D142,'Chart of Accounts'!$A:$A,'Chart of Accounts'!B:B,"")</f>
        <v>Indirect Cost Allocation</v>
      </c>
      <c r="F142" s="14" t="str">
        <f>_xlfn.XLOOKUP($D142,'Chart of Accounts'!$A:$A,'Chart of Accounts'!C:C,"")</f>
        <v>Indirect</v>
      </c>
      <c r="G142" s="14" t="s">
        <v>337</v>
      </c>
      <c r="H142" s="16" t="s">
        <v>785</v>
      </c>
      <c r="I142" s="16">
        <v>1955.5711947718344</v>
      </c>
      <c r="J142" s="16">
        <v>-1955.5711947718344</v>
      </c>
      <c r="K142" s="14" t="s">
        <v>225</v>
      </c>
    </row>
    <row r="143" spans="1:11" ht="15" customHeight="1">
      <c r="A143" s="13">
        <v>45901</v>
      </c>
      <c r="B143" s="14" t="s">
        <v>341</v>
      </c>
      <c r="C143" s="17" t="s">
        <v>4</v>
      </c>
      <c r="D143" s="18" t="s">
        <v>127</v>
      </c>
      <c r="E143" s="14" t="str">
        <f>_xlfn.XLOOKUP($D143,'Chart of Accounts'!$A:$A,'Chart of Accounts'!B:B,"")</f>
        <v>Indirect Cost Allocation</v>
      </c>
      <c r="F143" s="14" t="str">
        <f>_xlfn.XLOOKUP($D143,'Chart of Accounts'!$A:$A,'Chart of Accounts'!C:C,"")</f>
        <v>Indirect</v>
      </c>
      <c r="G143" s="14" t="s">
        <v>338</v>
      </c>
      <c r="H143" s="16" t="s">
        <v>785</v>
      </c>
      <c r="I143" s="16">
        <v>2668.7499697828816</v>
      </c>
      <c r="J143" s="16">
        <v>-2668.7499697828816</v>
      </c>
      <c r="K143" s="14" t="s">
        <v>225</v>
      </c>
    </row>
    <row r="144" spans="1:11" ht="15" customHeight="1">
      <c r="A144" s="13">
        <v>45901</v>
      </c>
      <c r="B144" s="14" t="s">
        <v>341</v>
      </c>
      <c r="C144" s="17" t="s">
        <v>4</v>
      </c>
      <c r="D144" s="18" t="s">
        <v>127</v>
      </c>
      <c r="E144" s="14" t="str">
        <f>_xlfn.XLOOKUP($D144,'Chart of Accounts'!$A:$A,'Chart of Accounts'!B:B,"")</f>
        <v>Indirect Cost Allocation</v>
      </c>
      <c r="F144" s="14" t="str">
        <f>_xlfn.XLOOKUP($D144,'Chart of Accounts'!$A:$A,'Chart of Accounts'!C:C,"")</f>
        <v>Indirect</v>
      </c>
      <c r="G144" s="14" t="s">
        <v>339</v>
      </c>
      <c r="H144" s="16" t="s">
        <v>785</v>
      </c>
      <c r="I144" s="16">
        <v>2419.4276790311228</v>
      </c>
      <c r="J144" s="16">
        <v>-2419.4276790311228</v>
      </c>
      <c r="K144" s="14" t="s">
        <v>225</v>
      </c>
    </row>
    <row r="145" spans="1:11" ht="15" customHeight="1">
      <c r="A145" s="13">
        <v>45901</v>
      </c>
      <c r="B145" s="14" t="s">
        <v>341</v>
      </c>
      <c r="C145" s="17" t="s">
        <v>6</v>
      </c>
      <c r="D145" s="18" t="s">
        <v>127</v>
      </c>
      <c r="E145" s="14" t="str">
        <f>_xlfn.XLOOKUP($D145,'Chart of Accounts'!$A:$A,'Chart of Accounts'!B:B,"")</f>
        <v>Indirect Cost Allocation</v>
      </c>
      <c r="F145" s="14" t="str">
        <f>_xlfn.XLOOKUP($D145,'Chart of Accounts'!$A:$A,'Chart of Accounts'!C:C,"")</f>
        <v>Indirect</v>
      </c>
      <c r="G145" s="14" t="s">
        <v>335</v>
      </c>
      <c r="H145" s="16" t="s">
        <v>785</v>
      </c>
      <c r="I145" s="16">
        <v>3288.3409839371502</v>
      </c>
      <c r="J145" s="16">
        <v>-3288.3409839371502</v>
      </c>
      <c r="K145" s="14" t="s">
        <v>225</v>
      </c>
    </row>
    <row r="146" spans="1:11" ht="15" customHeight="1">
      <c r="A146" s="13">
        <v>45901</v>
      </c>
      <c r="B146" s="14" t="s">
        <v>341</v>
      </c>
      <c r="C146" s="17" t="s">
        <v>6</v>
      </c>
      <c r="D146" s="18" t="s">
        <v>127</v>
      </c>
      <c r="E146" s="14" t="str">
        <f>_xlfn.XLOOKUP($D146,'Chart of Accounts'!$A:$A,'Chart of Accounts'!B:B,"")</f>
        <v>Indirect Cost Allocation</v>
      </c>
      <c r="F146" s="14" t="str">
        <f>_xlfn.XLOOKUP($D146,'Chart of Accounts'!$A:$A,'Chart of Accounts'!C:C,"")</f>
        <v>Indirect</v>
      </c>
      <c r="G146" s="14" t="s">
        <v>336</v>
      </c>
      <c r="H146" s="16" t="s">
        <v>785</v>
      </c>
      <c r="I146" s="16">
        <v>2729.9351497122411</v>
      </c>
      <c r="J146" s="16">
        <v>-2729.9351497122411</v>
      </c>
      <c r="K146" s="14" t="s">
        <v>225</v>
      </c>
    </row>
    <row r="147" spans="1:11" ht="15" customHeight="1">
      <c r="A147" s="13">
        <v>45901</v>
      </c>
      <c r="B147" s="14" t="s">
        <v>341</v>
      </c>
      <c r="C147" s="17" t="s">
        <v>6</v>
      </c>
      <c r="D147" s="18" t="s">
        <v>127</v>
      </c>
      <c r="E147" s="14" t="str">
        <f>_xlfn.XLOOKUP($D147,'Chart of Accounts'!$A:$A,'Chart of Accounts'!B:B,"")</f>
        <v>Indirect Cost Allocation</v>
      </c>
      <c r="F147" s="14" t="str">
        <f>_xlfn.XLOOKUP($D147,'Chart of Accounts'!$A:$A,'Chart of Accounts'!C:C,"")</f>
        <v>Indirect</v>
      </c>
      <c r="G147" s="14" t="s">
        <v>337</v>
      </c>
      <c r="H147" s="16" t="s">
        <v>785</v>
      </c>
      <c r="I147" s="16">
        <v>2919.6669028259698</v>
      </c>
      <c r="J147" s="16">
        <v>-2919.6669028259698</v>
      </c>
      <c r="K147" s="14" t="s">
        <v>225</v>
      </c>
    </row>
    <row r="148" spans="1:11" ht="15" customHeight="1">
      <c r="A148" s="13">
        <v>45901</v>
      </c>
      <c r="B148" s="14" t="s">
        <v>341</v>
      </c>
      <c r="C148" s="17" t="s">
        <v>6</v>
      </c>
      <c r="D148" s="18" t="s">
        <v>127</v>
      </c>
      <c r="E148" s="14" t="str">
        <f>_xlfn.XLOOKUP($D148,'Chart of Accounts'!$A:$A,'Chart of Accounts'!B:B,"")</f>
        <v>Indirect Cost Allocation</v>
      </c>
      <c r="F148" s="14" t="str">
        <f>_xlfn.XLOOKUP($D148,'Chart of Accounts'!$A:$A,'Chart of Accounts'!C:C,"")</f>
        <v>Indirect</v>
      </c>
      <c r="G148" s="14" t="s">
        <v>338</v>
      </c>
      <c r="H148" s="16" t="s">
        <v>785</v>
      </c>
      <c r="I148" s="16">
        <v>3984.4424889895145</v>
      </c>
      <c r="J148" s="16">
        <v>-3984.4424889895145</v>
      </c>
      <c r="K148" s="14" t="s">
        <v>225</v>
      </c>
    </row>
    <row r="149" spans="1:11" ht="15" customHeight="1">
      <c r="A149" s="13">
        <v>45901</v>
      </c>
      <c r="B149" s="14" t="s">
        <v>341</v>
      </c>
      <c r="C149" s="17" t="s">
        <v>6</v>
      </c>
      <c r="D149" s="18" t="s">
        <v>127</v>
      </c>
      <c r="E149" s="14" t="str">
        <f>_xlfn.XLOOKUP($D149,'Chart of Accounts'!$A:$A,'Chart of Accounts'!B:B,"")</f>
        <v>Indirect Cost Allocation</v>
      </c>
      <c r="F149" s="14" t="str">
        <f>_xlfn.XLOOKUP($D149,'Chart of Accounts'!$A:$A,'Chart of Accounts'!C:C,"")</f>
        <v>Indirect</v>
      </c>
      <c r="G149" s="14" t="s">
        <v>339</v>
      </c>
      <c r="H149" s="16" t="s">
        <v>785</v>
      </c>
      <c r="I149" s="16">
        <v>3612.2044224896672</v>
      </c>
      <c r="J149" s="16">
        <v>-3612.2044224896672</v>
      </c>
      <c r="K149" s="14" t="s">
        <v>225</v>
      </c>
    </row>
    <row r="150" spans="1:11" ht="15" customHeight="1">
      <c r="A150" s="13">
        <v>45901</v>
      </c>
      <c r="B150" s="14" t="s">
        <v>341</v>
      </c>
      <c r="C150" s="17" t="s">
        <v>8</v>
      </c>
      <c r="D150" s="18" t="s">
        <v>127</v>
      </c>
      <c r="E150" s="14" t="str">
        <f>_xlfn.XLOOKUP($D150,'Chart of Accounts'!$A:$A,'Chart of Accounts'!B:B,"")</f>
        <v>Indirect Cost Allocation</v>
      </c>
      <c r="F150" s="14" t="str">
        <f>_xlfn.XLOOKUP($D150,'Chart of Accounts'!$A:$A,'Chart of Accounts'!C:C,"")</f>
        <v>Indirect</v>
      </c>
      <c r="G150" s="14" t="s">
        <v>335</v>
      </c>
      <c r="H150" s="16" t="s">
        <v>785</v>
      </c>
      <c r="I150" s="16">
        <v>3047.5959775843285</v>
      </c>
      <c r="J150" s="16">
        <v>-3047.5959775843285</v>
      </c>
      <c r="K150" s="14" t="s">
        <v>225</v>
      </c>
    </row>
    <row r="151" spans="1:11" ht="15" customHeight="1">
      <c r="A151" s="13">
        <v>45901</v>
      </c>
      <c r="B151" s="14" t="s">
        <v>341</v>
      </c>
      <c r="C151" s="17" t="s">
        <v>8</v>
      </c>
      <c r="D151" s="18" t="s">
        <v>127</v>
      </c>
      <c r="E151" s="14" t="str">
        <f>_xlfn.XLOOKUP($D151,'Chart of Accounts'!$A:$A,'Chart of Accounts'!B:B,"")</f>
        <v>Indirect Cost Allocation</v>
      </c>
      <c r="F151" s="14" t="str">
        <f>_xlfn.XLOOKUP($D151,'Chart of Accounts'!$A:$A,'Chart of Accounts'!C:C,"")</f>
        <v>Indirect</v>
      </c>
      <c r="G151" s="14" t="s">
        <v>336</v>
      </c>
      <c r="H151" s="16" t="s">
        <v>785</v>
      </c>
      <c r="I151" s="16">
        <v>2530.0719791436668</v>
      </c>
      <c r="J151" s="16">
        <v>-2530.0719791436668</v>
      </c>
      <c r="K151" s="14" t="s">
        <v>225</v>
      </c>
    </row>
    <row r="152" spans="1:11" ht="15" customHeight="1">
      <c r="A152" s="13">
        <v>45901</v>
      </c>
      <c r="B152" s="14" t="s">
        <v>341</v>
      </c>
      <c r="C152" s="17" t="s">
        <v>8</v>
      </c>
      <c r="D152" s="18" t="s">
        <v>127</v>
      </c>
      <c r="E152" s="14" t="str">
        <f>_xlfn.XLOOKUP($D152,'Chart of Accounts'!$A:$A,'Chart of Accounts'!B:B,"")</f>
        <v>Indirect Cost Allocation</v>
      </c>
      <c r="F152" s="14" t="str">
        <f>_xlfn.XLOOKUP($D152,'Chart of Accounts'!$A:$A,'Chart of Accounts'!C:C,"")</f>
        <v>Indirect</v>
      </c>
      <c r="G152" s="14" t="s">
        <v>337</v>
      </c>
      <c r="H152" s="16" t="s">
        <v>785</v>
      </c>
      <c r="I152" s="16">
        <v>2705.9131496408663</v>
      </c>
      <c r="J152" s="16">
        <v>-2705.9131496408663</v>
      </c>
      <c r="K152" s="14" t="s">
        <v>225</v>
      </c>
    </row>
    <row r="153" spans="1:11" ht="15" customHeight="1">
      <c r="A153" s="13">
        <v>45901</v>
      </c>
      <c r="B153" s="14" t="s">
        <v>341</v>
      </c>
      <c r="C153" s="17" t="s">
        <v>8</v>
      </c>
      <c r="D153" s="18" t="s">
        <v>127</v>
      </c>
      <c r="E153" s="14" t="str">
        <f>_xlfn.XLOOKUP($D153,'Chart of Accounts'!$A:$A,'Chart of Accounts'!B:B,"")</f>
        <v>Indirect Cost Allocation</v>
      </c>
      <c r="F153" s="14" t="str">
        <f>_xlfn.XLOOKUP($D153,'Chart of Accounts'!$A:$A,'Chart of Accounts'!C:C,"")</f>
        <v>Indirect</v>
      </c>
      <c r="G153" s="14" t="s">
        <v>338</v>
      </c>
      <c r="H153" s="16" t="s">
        <v>785</v>
      </c>
      <c r="I153" s="16">
        <v>3692.7347138500472</v>
      </c>
      <c r="J153" s="16">
        <v>-3692.7347138500472</v>
      </c>
      <c r="K153" s="14" t="s">
        <v>225</v>
      </c>
    </row>
    <row r="154" spans="1:11" ht="15" customHeight="1">
      <c r="A154" s="13">
        <v>45901</v>
      </c>
      <c r="B154" s="14" t="s">
        <v>341</v>
      </c>
      <c r="C154" s="17" t="s">
        <v>8</v>
      </c>
      <c r="D154" s="18" t="s">
        <v>127</v>
      </c>
      <c r="E154" s="14" t="str">
        <f>_xlfn.XLOOKUP($D154,'Chart of Accounts'!$A:$A,'Chart of Accounts'!B:B,"")</f>
        <v>Indirect Cost Allocation</v>
      </c>
      <c r="F154" s="14" t="str">
        <f>_xlfn.XLOOKUP($D154,'Chart of Accounts'!$A:$A,'Chart of Accounts'!C:C,"")</f>
        <v>Indirect</v>
      </c>
      <c r="G154" s="14" t="s">
        <v>339</v>
      </c>
      <c r="H154" s="16" t="s">
        <v>785</v>
      </c>
      <c r="I154" s="16">
        <v>3347.7488259174515</v>
      </c>
      <c r="J154" s="16">
        <v>-3347.7488259174515</v>
      </c>
      <c r="K154" s="14" t="s">
        <v>225</v>
      </c>
    </row>
    <row r="155" spans="1:11" ht="15" customHeight="1">
      <c r="A155" s="13">
        <v>45901</v>
      </c>
      <c r="B155" s="14" t="s">
        <v>341</v>
      </c>
      <c r="C155" s="17" t="s">
        <v>10</v>
      </c>
      <c r="D155" s="18" t="s">
        <v>127</v>
      </c>
      <c r="E155" s="14" t="str">
        <f>_xlfn.XLOOKUP($D155,'Chart of Accounts'!$A:$A,'Chart of Accounts'!B:B,"")</f>
        <v>Indirect Cost Allocation</v>
      </c>
      <c r="F155" s="14" t="str">
        <f>_xlfn.XLOOKUP($D155,'Chart of Accounts'!$A:$A,'Chart of Accounts'!C:C,"")</f>
        <v>Indirect</v>
      </c>
      <c r="G155" s="14" t="s">
        <v>335</v>
      </c>
      <c r="H155" s="16" t="s">
        <v>785</v>
      </c>
      <c r="I155" s="16">
        <v>3095.629236063377</v>
      </c>
      <c r="J155" s="16">
        <v>-3095.629236063377</v>
      </c>
      <c r="K155" s="14" t="s">
        <v>225</v>
      </c>
    </row>
    <row r="156" spans="1:11" ht="15" customHeight="1">
      <c r="A156" s="13">
        <v>45901</v>
      </c>
      <c r="B156" s="14" t="s">
        <v>341</v>
      </c>
      <c r="C156" s="17" t="s">
        <v>10</v>
      </c>
      <c r="D156" s="18" t="s">
        <v>127</v>
      </c>
      <c r="E156" s="14" t="str">
        <f>_xlfn.XLOOKUP($D156,'Chart of Accounts'!$A:$A,'Chart of Accounts'!B:B,"")</f>
        <v>Indirect Cost Allocation</v>
      </c>
      <c r="F156" s="14" t="str">
        <f>_xlfn.XLOOKUP($D156,'Chart of Accounts'!$A:$A,'Chart of Accounts'!C:C,"")</f>
        <v>Indirect</v>
      </c>
      <c r="G156" s="14" t="s">
        <v>336</v>
      </c>
      <c r="H156" s="16" t="s">
        <v>785</v>
      </c>
      <c r="I156" s="16">
        <v>2569.9485251946085</v>
      </c>
      <c r="J156" s="16">
        <v>-2569.9485251946085</v>
      </c>
      <c r="K156" s="14" t="s">
        <v>225</v>
      </c>
    </row>
    <row r="157" spans="1:11" ht="15" customHeight="1">
      <c r="A157" s="13">
        <v>45901</v>
      </c>
      <c r="B157" s="14" t="s">
        <v>341</v>
      </c>
      <c r="C157" s="17" t="s">
        <v>10</v>
      </c>
      <c r="D157" s="18" t="s">
        <v>127</v>
      </c>
      <c r="E157" s="14" t="str">
        <f>_xlfn.XLOOKUP($D157,'Chart of Accounts'!$A:$A,'Chart of Accounts'!B:B,"")</f>
        <v>Indirect Cost Allocation</v>
      </c>
      <c r="F157" s="14" t="str">
        <f>_xlfn.XLOOKUP($D157,'Chart of Accounts'!$A:$A,'Chart of Accounts'!C:C,"")</f>
        <v>Indirect</v>
      </c>
      <c r="G157" s="14" t="s">
        <v>337</v>
      </c>
      <c r="H157" s="16" t="s">
        <v>785</v>
      </c>
      <c r="I157" s="16">
        <v>2748.5611340503942</v>
      </c>
      <c r="J157" s="16">
        <v>-2748.5611340503942</v>
      </c>
      <c r="K157" s="14" t="s">
        <v>225</v>
      </c>
    </row>
    <row r="158" spans="1:11" ht="15" customHeight="1">
      <c r="A158" s="13">
        <v>45901</v>
      </c>
      <c r="B158" s="14" t="s">
        <v>341</v>
      </c>
      <c r="C158" s="17" t="s">
        <v>10</v>
      </c>
      <c r="D158" s="18" t="s">
        <v>127</v>
      </c>
      <c r="E158" s="14" t="str">
        <f>_xlfn.XLOOKUP($D158,'Chart of Accounts'!$A:$A,'Chart of Accounts'!B:B,"")</f>
        <v>Indirect Cost Allocation</v>
      </c>
      <c r="F158" s="14" t="str">
        <f>_xlfn.XLOOKUP($D158,'Chart of Accounts'!$A:$A,'Chart of Accounts'!C:C,"")</f>
        <v>Indirect</v>
      </c>
      <c r="G158" s="14" t="s">
        <v>338</v>
      </c>
      <c r="H158" s="16" t="s">
        <v>785</v>
      </c>
      <c r="I158" s="16">
        <v>3750.9360247552772</v>
      </c>
      <c r="J158" s="16">
        <v>-3750.9360247552772</v>
      </c>
      <c r="K158" s="14" t="s">
        <v>225</v>
      </c>
    </row>
    <row r="159" spans="1:11" ht="15" customHeight="1">
      <c r="A159" s="13">
        <v>45901</v>
      </c>
      <c r="B159" s="14" t="s">
        <v>341</v>
      </c>
      <c r="C159" s="17" t="s">
        <v>10</v>
      </c>
      <c r="D159" s="18" t="s">
        <v>127</v>
      </c>
      <c r="E159" s="14" t="str">
        <f>_xlfn.XLOOKUP($D159,'Chart of Accounts'!$A:$A,'Chart of Accounts'!B:B,"")</f>
        <v>Indirect Cost Allocation</v>
      </c>
      <c r="F159" s="14" t="str">
        <f>_xlfn.XLOOKUP($D159,'Chart of Accounts'!$A:$A,'Chart of Accounts'!C:C,"")</f>
        <v>Indirect</v>
      </c>
      <c r="G159" s="14" t="s">
        <v>339</v>
      </c>
      <c r="H159" s="16" t="s">
        <v>785</v>
      </c>
      <c r="I159" s="16">
        <v>3400.512803118158</v>
      </c>
      <c r="J159" s="16">
        <v>-3400.512803118158</v>
      </c>
      <c r="K159" s="14" t="s">
        <v>225</v>
      </c>
    </row>
    <row r="160" spans="1:11" ht="15" customHeight="1">
      <c r="A160" s="13">
        <v>45931</v>
      </c>
      <c r="B160" s="14" t="s">
        <v>342</v>
      </c>
      <c r="C160" s="17" t="s">
        <v>4</v>
      </c>
      <c r="D160" s="18" t="s">
        <v>127</v>
      </c>
      <c r="E160" s="14" t="str">
        <f>_xlfn.XLOOKUP($D160,'Chart of Accounts'!$A:$A,'Chart of Accounts'!B:B,"")</f>
        <v>Indirect Cost Allocation</v>
      </c>
      <c r="F160" s="14" t="str">
        <f>_xlfn.XLOOKUP($D160,'Chart of Accounts'!$A:$A,'Chart of Accounts'!C:C,"")</f>
        <v>Indirect</v>
      </c>
      <c r="G160" s="14" t="s">
        <v>335</v>
      </c>
      <c r="H160" s="16" t="s">
        <v>785</v>
      </c>
      <c r="I160" s="16">
        <v>1688.520564684547</v>
      </c>
      <c r="J160" s="16">
        <v>-1688.520564684547</v>
      </c>
      <c r="K160" s="14" t="s">
        <v>225</v>
      </c>
    </row>
    <row r="161" spans="1:11" ht="15" customHeight="1">
      <c r="A161" s="13">
        <v>45931</v>
      </c>
      <c r="B161" s="14" t="s">
        <v>342</v>
      </c>
      <c r="C161" s="17" t="s">
        <v>4</v>
      </c>
      <c r="D161" s="18" t="s">
        <v>127</v>
      </c>
      <c r="E161" s="14" t="str">
        <f>_xlfn.XLOOKUP($D161,'Chart of Accounts'!$A:$A,'Chart of Accounts'!B:B,"")</f>
        <v>Indirect Cost Allocation</v>
      </c>
      <c r="F161" s="14" t="str">
        <f>_xlfn.XLOOKUP($D161,'Chart of Accounts'!$A:$A,'Chart of Accounts'!C:C,"")</f>
        <v>Indirect</v>
      </c>
      <c r="G161" s="14" t="s">
        <v>336</v>
      </c>
      <c r="H161" s="16" t="s">
        <v>785</v>
      </c>
      <c r="I161" s="16">
        <v>2471.856097244849</v>
      </c>
      <c r="J161" s="16">
        <v>-2471.856097244849</v>
      </c>
      <c r="K161" s="14" t="s">
        <v>225</v>
      </c>
    </row>
    <row r="162" spans="1:11" ht="15" customHeight="1">
      <c r="A162" s="13">
        <v>45931</v>
      </c>
      <c r="B162" s="14" t="s">
        <v>342</v>
      </c>
      <c r="C162" s="17" t="s">
        <v>4</v>
      </c>
      <c r="D162" s="18" t="s">
        <v>127</v>
      </c>
      <c r="E162" s="14" t="str">
        <f>_xlfn.XLOOKUP($D162,'Chart of Accounts'!$A:$A,'Chart of Accounts'!B:B,"")</f>
        <v>Indirect Cost Allocation</v>
      </c>
      <c r="F162" s="14" t="str">
        <f>_xlfn.XLOOKUP($D162,'Chart of Accounts'!$A:$A,'Chart of Accounts'!C:C,"")</f>
        <v>Indirect</v>
      </c>
      <c r="G162" s="14" t="s">
        <v>337</v>
      </c>
      <c r="H162" s="16" t="s">
        <v>785</v>
      </c>
      <c r="I162" s="16">
        <v>1896.7422992182885</v>
      </c>
      <c r="J162" s="16">
        <v>-1896.7422992182885</v>
      </c>
      <c r="K162" s="14" t="s">
        <v>225</v>
      </c>
    </row>
    <row r="163" spans="1:11" ht="15" customHeight="1">
      <c r="A163" s="13">
        <v>45931</v>
      </c>
      <c r="B163" s="14" t="s">
        <v>342</v>
      </c>
      <c r="C163" s="17" t="s">
        <v>4</v>
      </c>
      <c r="D163" s="18" t="s">
        <v>127</v>
      </c>
      <c r="E163" s="14" t="str">
        <f>_xlfn.XLOOKUP($D163,'Chart of Accounts'!$A:$A,'Chart of Accounts'!B:B,"")</f>
        <v>Indirect Cost Allocation</v>
      </c>
      <c r="F163" s="14" t="str">
        <f>_xlfn.XLOOKUP($D163,'Chart of Accounts'!$A:$A,'Chart of Accounts'!C:C,"")</f>
        <v>Indirect</v>
      </c>
      <c r="G163" s="14" t="s">
        <v>338</v>
      </c>
      <c r="H163" s="16" t="s">
        <v>785</v>
      </c>
      <c r="I163" s="16">
        <v>2714.4594665747177</v>
      </c>
      <c r="J163" s="16">
        <v>-2714.4594665747177</v>
      </c>
      <c r="K163" s="14" t="s">
        <v>225</v>
      </c>
    </row>
    <row r="164" spans="1:11" ht="15" customHeight="1">
      <c r="A164" s="13">
        <v>45931</v>
      </c>
      <c r="B164" s="14" t="s">
        <v>342</v>
      </c>
      <c r="C164" s="17" t="s">
        <v>4</v>
      </c>
      <c r="D164" s="18" t="s">
        <v>127</v>
      </c>
      <c r="E164" s="14" t="str">
        <f>_xlfn.XLOOKUP($D164,'Chart of Accounts'!$A:$A,'Chart of Accounts'!B:B,"")</f>
        <v>Indirect Cost Allocation</v>
      </c>
      <c r="F164" s="14" t="str">
        <f>_xlfn.XLOOKUP($D164,'Chart of Accounts'!$A:$A,'Chart of Accounts'!C:C,"")</f>
        <v>Indirect</v>
      </c>
      <c r="G164" s="14" t="s">
        <v>339</v>
      </c>
      <c r="H164" s="16" t="s">
        <v>785</v>
      </c>
      <c r="I164" s="16">
        <v>2506.9845353210771</v>
      </c>
      <c r="J164" s="16">
        <v>-2506.9845353210771</v>
      </c>
      <c r="K164" s="14" t="s">
        <v>225</v>
      </c>
    </row>
    <row r="165" spans="1:11" ht="15" customHeight="1">
      <c r="A165" s="13">
        <v>45931</v>
      </c>
      <c r="B165" s="14" t="s">
        <v>342</v>
      </c>
      <c r="C165" s="17" t="s">
        <v>6</v>
      </c>
      <c r="D165" s="18" t="s">
        <v>127</v>
      </c>
      <c r="E165" s="14" t="str">
        <f>_xlfn.XLOOKUP($D165,'Chart of Accounts'!$A:$A,'Chart of Accounts'!B:B,"")</f>
        <v>Indirect Cost Allocation</v>
      </c>
      <c r="F165" s="14" t="str">
        <f>_xlfn.XLOOKUP($D165,'Chart of Accounts'!$A:$A,'Chart of Accounts'!C:C,"")</f>
        <v>Indirect</v>
      </c>
      <c r="G165" s="14" t="s">
        <v>335</v>
      </c>
      <c r="H165" s="16" t="s">
        <v>785</v>
      </c>
      <c r="I165" s="16">
        <v>2903.2441234724397</v>
      </c>
      <c r="J165" s="16">
        <v>-2903.2441234724397</v>
      </c>
      <c r="K165" s="14" t="s">
        <v>225</v>
      </c>
    </row>
    <row r="166" spans="1:11" ht="15" customHeight="1">
      <c r="A166" s="13">
        <v>45931</v>
      </c>
      <c r="B166" s="14" t="s">
        <v>342</v>
      </c>
      <c r="C166" s="17" t="s">
        <v>6</v>
      </c>
      <c r="D166" s="18" t="s">
        <v>127</v>
      </c>
      <c r="E166" s="14" t="str">
        <f>_xlfn.XLOOKUP($D166,'Chart of Accounts'!$A:$A,'Chart of Accounts'!B:B,"")</f>
        <v>Indirect Cost Allocation</v>
      </c>
      <c r="F166" s="14" t="str">
        <f>_xlfn.XLOOKUP($D166,'Chart of Accounts'!$A:$A,'Chart of Accounts'!C:C,"")</f>
        <v>Indirect</v>
      </c>
      <c r="G166" s="14" t="s">
        <v>336</v>
      </c>
      <c r="H166" s="16" t="s">
        <v>785</v>
      </c>
      <c r="I166" s="16">
        <v>4250.112103157202</v>
      </c>
      <c r="J166" s="16">
        <v>-4250.112103157202</v>
      </c>
      <c r="K166" s="14" t="s">
        <v>225</v>
      </c>
    </row>
    <row r="167" spans="1:11" ht="15" customHeight="1">
      <c r="A167" s="13">
        <v>45931</v>
      </c>
      <c r="B167" s="14" t="s">
        <v>342</v>
      </c>
      <c r="C167" s="17" t="s">
        <v>6</v>
      </c>
      <c r="D167" s="18" t="s">
        <v>127</v>
      </c>
      <c r="E167" s="14" t="str">
        <f>_xlfn.XLOOKUP($D167,'Chart of Accounts'!$A:$A,'Chart of Accounts'!B:B,"")</f>
        <v>Indirect Cost Allocation</v>
      </c>
      <c r="F167" s="14" t="str">
        <f>_xlfn.XLOOKUP($D167,'Chart of Accounts'!$A:$A,'Chart of Accounts'!C:C,"")</f>
        <v>Indirect</v>
      </c>
      <c r="G167" s="14" t="s">
        <v>337</v>
      </c>
      <c r="H167" s="16" t="s">
        <v>785</v>
      </c>
      <c r="I167" s="16">
        <v>3261.2608037592208</v>
      </c>
      <c r="J167" s="16">
        <v>-3261.2608037592208</v>
      </c>
      <c r="K167" s="14" t="s">
        <v>225</v>
      </c>
    </row>
    <row r="168" spans="1:11" ht="15" customHeight="1">
      <c r="A168" s="13">
        <v>45931</v>
      </c>
      <c r="B168" s="14" t="s">
        <v>342</v>
      </c>
      <c r="C168" s="17" t="s">
        <v>6</v>
      </c>
      <c r="D168" s="18" t="s">
        <v>127</v>
      </c>
      <c r="E168" s="14" t="str">
        <f>_xlfn.XLOOKUP($D168,'Chart of Accounts'!$A:$A,'Chart of Accounts'!B:B,"")</f>
        <v>Indirect Cost Allocation</v>
      </c>
      <c r="F168" s="14" t="str">
        <f>_xlfn.XLOOKUP($D168,'Chart of Accounts'!$A:$A,'Chart of Accounts'!C:C,"")</f>
        <v>Indirect</v>
      </c>
      <c r="G168" s="14" t="s">
        <v>338</v>
      </c>
      <c r="H168" s="16" t="s">
        <v>785</v>
      </c>
      <c r="I168" s="16">
        <v>4667.2446042784668</v>
      </c>
      <c r="J168" s="16">
        <v>-4667.2446042784668</v>
      </c>
      <c r="K168" s="14" t="s">
        <v>225</v>
      </c>
    </row>
    <row r="169" spans="1:11" ht="15" customHeight="1">
      <c r="A169" s="13">
        <v>45931</v>
      </c>
      <c r="B169" s="14" t="s">
        <v>342</v>
      </c>
      <c r="C169" s="17" t="s">
        <v>6</v>
      </c>
      <c r="D169" s="18" t="s">
        <v>127</v>
      </c>
      <c r="E169" s="14" t="str">
        <f>_xlfn.XLOOKUP($D169,'Chart of Accounts'!$A:$A,'Chart of Accounts'!B:B,"")</f>
        <v>Indirect Cost Allocation</v>
      </c>
      <c r="F169" s="14" t="str">
        <f>_xlfn.XLOOKUP($D169,'Chart of Accounts'!$A:$A,'Chart of Accounts'!C:C,"")</f>
        <v>Indirect</v>
      </c>
      <c r="G169" s="14" t="s">
        <v>339</v>
      </c>
      <c r="H169" s="16" t="s">
        <v>785</v>
      </c>
      <c r="I169" s="16">
        <v>4310.5119783761511</v>
      </c>
      <c r="J169" s="16">
        <v>-4310.5119783761511</v>
      </c>
      <c r="K169" s="14" t="s">
        <v>225</v>
      </c>
    </row>
    <row r="170" spans="1:11" ht="15" customHeight="1">
      <c r="A170" s="13">
        <v>45931</v>
      </c>
      <c r="B170" s="14" t="s">
        <v>342</v>
      </c>
      <c r="C170" s="17" t="s">
        <v>8</v>
      </c>
      <c r="D170" s="18" t="s">
        <v>127</v>
      </c>
      <c r="E170" s="14" t="str">
        <f>_xlfn.XLOOKUP($D170,'Chart of Accounts'!$A:$A,'Chart of Accounts'!B:B,"")</f>
        <v>Indirect Cost Allocation</v>
      </c>
      <c r="F170" s="14" t="str">
        <f>_xlfn.XLOOKUP($D170,'Chart of Accounts'!$A:$A,'Chart of Accounts'!C:C,"")</f>
        <v>Indirect</v>
      </c>
      <c r="G170" s="14" t="s">
        <v>335</v>
      </c>
      <c r="H170" s="16" t="s">
        <v>785</v>
      </c>
      <c r="I170" s="16">
        <v>2351.5022323276353</v>
      </c>
      <c r="J170" s="16">
        <v>-2351.5022323276353</v>
      </c>
      <c r="K170" s="14" t="s">
        <v>225</v>
      </c>
    </row>
    <row r="171" spans="1:11" ht="15" customHeight="1">
      <c r="A171" s="13">
        <v>45931</v>
      </c>
      <c r="B171" s="14" t="s">
        <v>342</v>
      </c>
      <c r="C171" s="17" t="s">
        <v>8</v>
      </c>
      <c r="D171" s="18" t="s">
        <v>127</v>
      </c>
      <c r="E171" s="14" t="str">
        <f>_xlfn.XLOOKUP($D171,'Chart of Accounts'!$A:$A,'Chart of Accounts'!B:B,"")</f>
        <v>Indirect Cost Allocation</v>
      </c>
      <c r="F171" s="14" t="str">
        <f>_xlfn.XLOOKUP($D171,'Chart of Accounts'!$A:$A,'Chart of Accounts'!C:C,"")</f>
        <v>Indirect</v>
      </c>
      <c r="G171" s="14" t="s">
        <v>336</v>
      </c>
      <c r="H171" s="16" t="s">
        <v>785</v>
      </c>
      <c r="I171" s="16">
        <v>3442.4070705646723</v>
      </c>
      <c r="J171" s="16">
        <v>-3442.4070705646723</v>
      </c>
      <c r="K171" s="14" t="s">
        <v>225</v>
      </c>
    </row>
    <row r="172" spans="1:11" ht="15" customHeight="1">
      <c r="A172" s="13">
        <v>45931</v>
      </c>
      <c r="B172" s="14" t="s">
        <v>342</v>
      </c>
      <c r="C172" s="17" t="s">
        <v>8</v>
      </c>
      <c r="D172" s="18" t="s">
        <v>127</v>
      </c>
      <c r="E172" s="14" t="str">
        <f>_xlfn.XLOOKUP($D172,'Chart of Accounts'!$A:$A,'Chart of Accounts'!B:B,"")</f>
        <v>Indirect Cost Allocation</v>
      </c>
      <c r="F172" s="14" t="str">
        <f>_xlfn.XLOOKUP($D172,'Chart of Accounts'!$A:$A,'Chart of Accounts'!C:C,"")</f>
        <v>Indirect</v>
      </c>
      <c r="G172" s="14" t="s">
        <v>337</v>
      </c>
      <c r="H172" s="16" t="s">
        <v>785</v>
      </c>
      <c r="I172" s="16">
        <v>2641.4802662443849</v>
      </c>
      <c r="J172" s="16">
        <v>-2641.4802662443849</v>
      </c>
      <c r="K172" s="14" t="s">
        <v>225</v>
      </c>
    </row>
    <row r="173" spans="1:11" ht="15" customHeight="1">
      <c r="A173" s="13">
        <v>45931</v>
      </c>
      <c r="B173" s="14" t="s">
        <v>342</v>
      </c>
      <c r="C173" s="17" t="s">
        <v>8</v>
      </c>
      <c r="D173" s="18" t="s">
        <v>127</v>
      </c>
      <c r="E173" s="14" t="str">
        <f>_xlfn.XLOOKUP($D173,'Chart of Accounts'!$A:$A,'Chart of Accounts'!B:B,"")</f>
        <v>Indirect Cost Allocation</v>
      </c>
      <c r="F173" s="14" t="str">
        <f>_xlfn.XLOOKUP($D173,'Chart of Accounts'!$A:$A,'Chart of Accounts'!C:C,"")</f>
        <v>Indirect</v>
      </c>
      <c r="G173" s="14" t="s">
        <v>338</v>
      </c>
      <c r="H173" s="16" t="s">
        <v>785</v>
      </c>
      <c r="I173" s="16">
        <v>3780.2663637714277</v>
      </c>
      <c r="J173" s="16">
        <v>-3780.2663637714277</v>
      </c>
      <c r="K173" s="14" t="s">
        <v>225</v>
      </c>
    </row>
    <row r="174" spans="1:11" ht="15" customHeight="1">
      <c r="A174" s="13">
        <v>45931</v>
      </c>
      <c r="B174" s="14" t="s">
        <v>342</v>
      </c>
      <c r="C174" s="17" t="s">
        <v>8</v>
      </c>
      <c r="D174" s="18" t="s">
        <v>127</v>
      </c>
      <c r="E174" s="14" t="str">
        <f>_xlfn.XLOOKUP($D174,'Chart of Accounts'!$A:$A,'Chart of Accounts'!B:B,"")</f>
        <v>Indirect Cost Allocation</v>
      </c>
      <c r="F174" s="14" t="str">
        <f>_xlfn.XLOOKUP($D174,'Chart of Accounts'!$A:$A,'Chart of Accounts'!C:C,"")</f>
        <v>Indirect</v>
      </c>
      <c r="G174" s="14" t="s">
        <v>339</v>
      </c>
      <c r="H174" s="16" t="s">
        <v>785</v>
      </c>
      <c r="I174" s="16">
        <v>3491.3283583962279</v>
      </c>
      <c r="J174" s="16">
        <v>-3491.3283583962279</v>
      </c>
      <c r="K174" s="14" t="s">
        <v>225</v>
      </c>
    </row>
    <row r="175" spans="1:11" ht="15" customHeight="1">
      <c r="A175" s="13">
        <v>45931</v>
      </c>
      <c r="B175" s="14" t="s">
        <v>342</v>
      </c>
      <c r="C175" s="17" t="s">
        <v>10</v>
      </c>
      <c r="D175" s="18" t="s">
        <v>127</v>
      </c>
      <c r="E175" s="14" t="str">
        <f>_xlfn.XLOOKUP($D175,'Chart of Accounts'!$A:$A,'Chart of Accounts'!B:B,"")</f>
        <v>Indirect Cost Allocation</v>
      </c>
      <c r="F175" s="14" t="str">
        <f>_xlfn.XLOOKUP($D175,'Chart of Accounts'!$A:$A,'Chart of Accounts'!C:C,"")</f>
        <v>Indirect</v>
      </c>
      <c r="G175" s="14" t="s">
        <v>335</v>
      </c>
      <c r="H175" s="16" t="s">
        <v>785</v>
      </c>
      <c r="I175" s="16">
        <v>2386.3765038164511</v>
      </c>
      <c r="J175" s="16">
        <v>-2386.3765038164511</v>
      </c>
      <c r="K175" s="14" t="s">
        <v>225</v>
      </c>
    </row>
    <row r="176" spans="1:11" ht="15" customHeight="1">
      <c r="A176" s="13">
        <v>45931</v>
      </c>
      <c r="B176" s="14" t="s">
        <v>342</v>
      </c>
      <c r="C176" s="17" t="s">
        <v>10</v>
      </c>
      <c r="D176" s="18" t="s">
        <v>127</v>
      </c>
      <c r="E176" s="14" t="str">
        <f>_xlfn.XLOOKUP($D176,'Chart of Accounts'!$A:$A,'Chart of Accounts'!B:B,"")</f>
        <v>Indirect Cost Allocation</v>
      </c>
      <c r="F176" s="14" t="str">
        <f>_xlfn.XLOOKUP($D176,'Chart of Accounts'!$A:$A,'Chart of Accounts'!C:C,"")</f>
        <v>Indirect</v>
      </c>
      <c r="G176" s="14" t="s">
        <v>336</v>
      </c>
      <c r="H176" s="16" t="s">
        <v>785</v>
      </c>
      <c r="I176" s="16">
        <v>3493.4601536123796</v>
      </c>
      <c r="J176" s="16">
        <v>-3493.4601536123796</v>
      </c>
      <c r="K176" s="14" t="s">
        <v>225</v>
      </c>
    </row>
    <row r="177" spans="1:11" ht="15" customHeight="1">
      <c r="A177" s="13">
        <v>45931</v>
      </c>
      <c r="B177" s="14" t="s">
        <v>342</v>
      </c>
      <c r="C177" s="17" t="s">
        <v>10</v>
      </c>
      <c r="D177" s="18" t="s">
        <v>127</v>
      </c>
      <c r="E177" s="14" t="str">
        <f>_xlfn.XLOOKUP($D177,'Chart of Accounts'!$A:$A,'Chart of Accounts'!B:B,"")</f>
        <v>Indirect Cost Allocation</v>
      </c>
      <c r="F177" s="14" t="str">
        <f>_xlfn.XLOOKUP($D177,'Chart of Accounts'!$A:$A,'Chart of Accounts'!C:C,"")</f>
        <v>Indirect</v>
      </c>
      <c r="G177" s="14" t="s">
        <v>337</v>
      </c>
      <c r="H177" s="16" t="s">
        <v>785</v>
      </c>
      <c r="I177" s="16">
        <v>2680.6550961343705</v>
      </c>
      <c r="J177" s="16">
        <v>-2680.6550961343705</v>
      </c>
      <c r="K177" s="14" t="s">
        <v>225</v>
      </c>
    </row>
    <row r="178" spans="1:11" ht="15" customHeight="1">
      <c r="A178" s="13">
        <v>45931</v>
      </c>
      <c r="B178" s="14" t="s">
        <v>342</v>
      </c>
      <c r="C178" s="17" t="s">
        <v>10</v>
      </c>
      <c r="D178" s="18" t="s">
        <v>127</v>
      </c>
      <c r="E178" s="14" t="str">
        <f>_xlfn.XLOOKUP($D178,'Chart of Accounts'!$A:$A,'Chart of Accounts'!B:B,"")</f>
        <v>Indirect Cost Allocation</v>
      </c>
      <c r="F178" s="14" t="str">
        <f>_xlfn.XLOOKUP($D178,'Chart of Accounts'!$A:$A,'Chart of Accounts'!C:C,"")</f>
        <v>Indirect</v>
      </c>
      <c r="G178" s="14" t="s">
        <v>338</v>
      </c>
      <c r="H178" s="16" t="s">
        <v>785</v>
      </c>
      <c r="I178" s="16">
        <v>3836.3301147038296</v>
      </c>
      <c r="J178" s="16">
        <v>-3836.3301147038296</v>
      </c>
      <c r="K178" s="14" t="s">
        <v>225</v>
      </c>
    </row>
    <row r="179" spans="1:11" ht="15" customHeight="1">
      <c r="A179" s="13">
        <v>45931</v>
      </c>
      <c r="B179" s="14" t="s">
        <v>342</v>
      </c>
      <c r="C179" s="17" t="s">
        <v>10</v>
      </c>
      <c r="D179" s="18" t="s">
        <v>127</v>
      </c>
      <c r="E179" s="14" t="str">
        <f>_xlfn.XLOOKUP($D179,'Chart of Accounts'!$A:$A,'Chart of Accounts'!B:B,"")</f>
        <v>Indirect Cost Allocation</v>
      </c>
      <c r="F179" s="14" t="str">
        <f>_xlfn.XLOOKUP($D179,'Chart of Accounts'!$A:$A,'Chart of Accounts'!C:C,"")</f>
        <v>Indirect</v>
      </c>
      <c r="G179" s="14" t="s">
        <v>339</v>
      </c>
      <c r="H179" s="16" t="s">
        <v>785</v>
      </c>
      <c r="I179" s="16">
        <v>3543.1069752112294</v>
      </c>
      <c r="J179" s="16">
        <v>-3543.1069752112294</v>
      </c>
      <c r="K179" s="14" t="s">
        <v>225</v>
      </c>
    </row>
    <row r="180" spans="1:11" ht="15" customHeight="1">
      <c r="A180" s="13">
        <v>45962</v>
      </c>
      <c r="B180" s="14" t="s">
        <v>343</v>
      </c>
      <c r="C180" s="17" t="s">
        <v>4</v>
      </c>
      <c r="D180" s="18" t="s">
        <v>127</v>
      </c>
      <c r="E180" s="14" t="str">
        <f>_xlfn.XLOOKUP($D180,'Chart of Accounts'!$A:$A,'Chart of Accounts'!B:B,"")</f>
        <v>Indirect Cost Allocation</v>
      </c>
      <c r="F180" s="14" t="str">
        <f>_xlfn.XLOOKUP($D180,'Chart of Accounts'!$A:$A,'Chart of Accounts'!C:C,"")</f>
        <v>Indirect</v>
      </c>
      <c r="G180" s="14" t="s">
        <v>335</v>
      </c>
      <c r="H180" s="16" t="s">
        <v>785</v>
      </c>
      <c r="I180" s="16">
        <v>2224.8391804109506</v>
      </c>
      <c r="J180" s="16">
        <v>-2224.8391804109506</v>
      </c>
      <c r="K180" s="14" t="s">
        <v>225</v>
      </c>
    </row>
    <row r="181" spans="1:11" ht="15" customHeight="1">
      <c r="A181" s="13">
        <v>45962</v>
      </c>
      <c r="B181" s="14" t="s">
        <v>343</v>
      </c>
      <c r="C181" s="17" t="s">
        <v>4</v>
      </c>
      <c r="D181" s="18" t="s">
        <v>127</v>
      </c>
      <c r="E181" s="14" t="str">
        <f>_xlfn.XLOOKUP($D181,'Chart of Accounts'!$A:$A,'Chart of Accounts'!B:B,"")</f>
        <v>Indirect Cost Allocation</v>
      </c>
      <c r="F181" s="14" t="str">
        <f>_xlfn.XLOOKUP($D181,'Chart of Accounts'!$A:$A,'Chart of Accounts'!C:C,"")</f>
        <v>Indirect</v>
      </c>
      <c r="G181" s="14" t="s">
        <v>336</v>
      </c>
      <c r="H181" s="16" t="s">
        <v>785</v>
      </c>
      <c r="I181" s="16">
        <v>2389.563330396762</v>
      </c>
      <c r="J181" s="16">
        <v>-2389.563330396762</v>
      </c>
      <c r="K181" s="14" t="s">
        <v>225</v>
      </c>
    </row>
    <row r="182" spans="1:11" ht="15" customHeight="1">
      <c r="A182" s="13">
        <v>45962</v>
      </c>
      <c r="B182" s="14" t="s">
        <v>343</v>
      </c>
      <c r="C182" s="17" t="s">
        <v>4</v>
      </c>
      <c r="D182" s="18" t="s">
        <v>127</v>
      </c>
      <c r="E182" s="14" t="str">
        <f>_xlfn.XLOOKUP($D182,'Chart of Accounts'!$A:$A,'Chart of Accounts'!B:B,"")</f>
        <v>Indirect Cost Allocation</v>
      </c>
      <c r="F182" s="14" t="str">
        <f>_xlfn.XLOOKUP($D182,'Chart of Accounts'!$A:$A,'Chart of Accounts'!C:C,"")</f>
        <v>Indirect</v>
      </c>
      <c r="G182" s="14" t="s">
        <v>337</v>
      </c>
      <c r="H182" s="16" t="s">
        <v>785</v>
      </c>
      <c r="I182" s="16">
        <v>1847.975710229872</v>
      </c>
      <c r="J182" s="16">
        <v>-1847.975710229872</v>
      </c>
      <c r="K182" s="14" t="s">
        <v>225</v>
      </c>
    </row>
    <row r="183" spans="1:11" ht="15" customHeight="1">
      <c r="A183" s="13">
        <v>45962</v>
      </c>
      <c r="B183" s="14" t="s">
        <v>343</v>
      </c>
      <c r="C183" s="17" t="s">
        <v>4</v>
      </c>
      <c r="D183" s="18" t="s">
        <v>127</v>
      </c>
      <c r="E183" s="14" t="str">
        <f>_xlfn.XLOOKUP($D183,'Chart of Accounts'!$A:$A,'Chart of Accounts'!B:B,"")</f>
        <v>Indirect Cost Allocation</v>
      </c>
      <c r="F183" s="14" t="str">
        <f>_xlfn.XLOOKUP($D183,'Chart of Accounts'!$A:$A,'Chart of Accounts'!C:C,"")</f>
        <v>Indirect</v>
      </c>
      <c r="G183" s="14" t="s">
        <v>338</v>
      </c>
      <c r="H183" s="16" t="s">
        <v>785</v>
      </c>
      <c r="I183" s="16">
        <v>2588.1159580068256</v>
      </c>
      <c r="J183" s="16">
        <v>-2588.1159580068256</v>
      </c>
      <c r="K183" s="14" t="s">
        <v>225</v>
      </c>
    </row>
    <row r="184" spans="1:11" ht="15" customHeight="1">
      <c r="A184" s="13">
        <v>45962</v>
      </c>
      <c r="B184" s="14" t="s">
        <v>343</v>
      </c>
      <c r="C184" s="17" t="s">
        <v>4</v>
      </c>
      <c r="D184" s="18" t="s">
        <v>127</v>
      </c>
      <c r="E184" s="14" t="str">
        <f>_xlfn.XLOOKUP($D184,'Chart of Accounts'!$A:$A,'Chart of Accounts'!B:B,"")</f>
        <v>Indirect Cost Allocation</v>
      </c>
      <c r="F184" s="14" t="str">
        <f>_xlfn.XLOOKUP($D184,'Chart of Accounts'!$A:$A,'Chart of Accounts'!C:C,"")</f>
        <v>Indirect</v>
      </c>
      <c r="G184" s="14" t="s">
        <v>339</v>
      </c>
      <c r="H184" s="16" t="s">
        <v>785</v>
      </c>
      <c r="I184" s="16">
        <v>2384.2777979988559</v>
      </c>
      <c r="J184" s="16">
        <v>-2384.2777979988559</v>
      </c>
      <c r="K184" s="14" t="s">
        <v>225</v>
      </c>
    </row>
    <row r="185" spans="1:11" ht="15" customHeight="1">
      <c r="A185" s="13">
        <v>45962</v>
      </c>
      <c r="B185" s="14" t="s">
        <v>343</v>
      </c>
      <c r="C185" s="17" t="s">
        <v>6</v>
      </c>
      <c r="D185" s="18" t="s">
        <v>127</v>
      </c>
      <c r="E185" s="14" t="str">
        <f>_xlfn.XLOOKUP($D185,'Chart of Accounts'!$A:$A,'Chart of Accounts'!B:B,"")</f>
        <v>Indirect Cost Allocation</v>
      </c>
      <c r="F185" s="14" t="str">
        <f>_xlfn.XLOOKUP($D185,'Chart of Accounts'!$A:$A,'Chart of Accounts'!C:C,"")</f>
        <v>Indirect</v>
      </c>
      <c r="G185" s="14" t="s">
        <v>335</v>
      </c>
      <c r="H185" s="16" t="s">
        <v>785</v>
      </c>
      <c r="I185" s="16">
        <v>3259.7272509717045</v>
      </c>
      <c r="J185" s="16">
        <v>-3259.7272509717045</v>
      </c>
      <c r="K185" s="14" t="s">
        <v>225</v>
      </c>
    </row>
    <row r="186" spans="1:11" ht="15" customHeight="1">
      <c r="A186" s="13">
        <v>45962</v>
      </c>
      <c r="B186" s="14" t="s">
        <v>343</v>
      </c>
      <c r="C186" s="17" t="s">
        <v>6</v>
      </c>
      <c r="D186" s="18" t="s">
        <v>127</v>
      </c>
      <c r="E186" s="14" t="str">
        <f>_xlfn.XLOOKUP($D186,'Chart of Accounts'!$A:$A,'Chart of Accounts'!B:B,"")</f>
        <v>Indirect Cost Allocation</v>
      </c>
      <c r="F186" s="14" t="str">
        <f>_xlfn.XLOOKUP($D186,'Chart of Accounts'!$A:$A,'Chart of Accounts'!C:C,"")</f>
        <v>Indirect</v>
      </c>
      <c r="G186" s="14" t="s">
        <v>336</v>
      </c>
      <c r="H186" s="16" t="s">
        <v>785</v>
      </c>
      <c r="I186" s="16">
        <v>3501.0731447916437</v>
      </c>
      <c r="J186" s="16">
        <v>-3501.0731447916437</v>
      </c>
      <c r="K186" s="14" t="s">
        <v>225</v>
      </c>
    </row>
    <row r="187" spans="1:11" ht="15" customHeight="1">
      <c r="A187" s="13">
        <v>45962</v>
      </c>
      <c r="B187" s="14" t="s">
        <v>343</v>
      </c>
      <c r="C187" s="17" t="s">
        <v>6</v>
      </c>
      <c r="D187" s="18" t="s">
        <v>127</v>
      </c>
      <c r="E187" s="14" t="str">
        <f>_xlfn.XLOOKUP($D187,'Chart of Accounts'!$A:$A,'Chart of Accounts'!B:B,"")</f>
        <v>Indirect Cost Allocation</v>
      </c>
      <c r="F187" s="14" t="str">
        <f>_xlfn.XLOOKUP($D187,'Chart of Accounts'!$A:$A,'Chart of Accounts'!C:C,"")</f>
        <v>Indirect</v>
      </c>
      <c r="G187" s="14" t="s">
        <v>337</v>
      </c>
      <c r="H187" s="16" t="s">
        <v>785</v>
      </c>
      <c r="I187" s="16">
        <v>2707.5650387716696</v>
      </c>
      <c r="J187" s="16">
        <v>-2707.5650387716696</v>
      </c>
      <c r="K187" s="14" t="s">
        <v>225</v>
      </c>
    </row>
    <row r="188" spans="1:11" ht="15" customHeight="1">
      <c r="A188" s="13">
        <v>45962</v>
      </c>
      <c r="B188" s="14" t="s">
        <v>343</v>
      </c>
      <c r="C188" s="17" t="s">
        <v>6</v>
      </c>
      <c r="D188" s="18" t="s">
        <v>127</v>
      </c>
      <c r="E188" s="14" t="str">
        <f>_xlfn.XLOOKUP($D188,'Chart of Accounts'!$A:$A,'Chart of Accounts'!B:B,"")</f>
        <v>Indirect Cost Allocation</v>
      </c>
      <c r="F188" s="14" t="str">
        <f>_xlfn.XLOOKUP($D188,'Chart of Accounts'!$A:$A,'Chart of Accounts'!C:C,"")</f>
        <v>Indirect</v>
      </c>
      <c r="G188" s="14" t="s">
        <v>338</v>
      </c>
      <c r="H188" s="16" t="s">
        <v>785</v>
      </c>
      <c r="I188" s="16">
        <v>3791.9828953350561</v>
      </c>
      <c r="J188" s="16">
        <v>-3791.9828953350561</v>
      </c>
      <c r="K188" s="14" t="s">
        <v>225</v>
      </c>
    </row>
    <row r="189" spans="1:11" ht="15" customHeight="1">
      <c r="A189" s="13">
        <v>45962</v>
      </c>
      <c r="B189" s="14" t="s">
        <v>343</v>
      </c>
      <c r="C189" s="17" t="s">
        <v>6</v>
      </c>
      <c r="D189" s="18" t="s">
        <v>127</v>
      </c>
      <c r="E189" s="14" t="str">
        <f>_xlfn.XLOOKUP($D189,'Chart of Accounts'!$A:$A,'Chart of Accounts'!B:B,"")</f>
        <v>Indirect Cost Allocation</v>
      </c>
      <c r="F189" s="14" t="str">
        <f>_xlfn.XLOOKUP($D189,'Chart of Accounts'!$A:$A,'Chart of Accounts'!C:C,"")</f>
        <v>Indirect</v>
      </c>
      <c r="G189" s="14" t="s">
        <v>339</v>
      </c>
      <c r="H189" s="16" t="s">
        <v>785</v>
      </c>
      <c r="I189" s="16">
        <v>3493.3290371972394</v>
      </c>
      <c r="J189" s="16">
        <v>-3493.3290371972394</v>
      </c>
      <c r="K189" s="14" t="s">
        <v>225</v>
      </c>
    </row>
    <row r="190" spans="1:11" ht="15" customHeight="1">
      <c r="A190" s="13">
        <v>45962</v>
      </c>
      <c r="B190" s="14" t="s">
        <v>343</v>
      </c>
      <c r="C190" s="17" t="s">
        <v>8</v>
      </c>
      <c r="D190" s="18" t="s">
        <v>127</v>
      </c>
      <c r="E190" s="14" t="str">
        <f>_xlfn.XLOOKUP($D190,'Chart of Accounts'!$A:$A,'Chart of Accounts'!B:B,"")</f>
        <v>Indirect Cost Allocation</v>
      </c>
      <c r="F190" s="14" t="str">
        <f>_xlfn.XLOOKUP($D190,'Chart of Accounts'!$A:$A,'Chart of Accounts'!C:C,"")</f>
        <v>Indirect</v>
      </c>
      <c r="G190" s="14" t="s">
        <v>335</v>
      </c>
      <c r="H190" s="16" t="s">
        <v>785</v>
      </c>
      <c r="I190" s="16">
        <v>3464.2706854220437</v>
      </c>
      <c r="J190" s="16">
        <v>-3464.2706854220437</v>
      </c>
      <c r="K190" s="14" t="s">
        <v>225</v>
      </c>
    </row>
    <row r="191" spans="1:11" ht="15" customHeight="1">
      <c r="A191" s="13">
        <v>45962</v>
      </c>
      <c r="B191" s="14" t="s">
        <v>343</v>
      </c>
      <c r="C191" s="17" t="s">
        <v>8</v>
      </c>
      <c r="D191" s="18" t="s">
        <v>127</v>
      </c>
      <c r="E191" s="14" t="str">
        <f>_xlfn.XLOOKUP($D191,'Chart of Accounts'!$A:$A,'Chart of Accounts'!B:B,"")</f>
        <v>Indirect Cost Allocation</v>
      </c>
      <c r="F191" s="14" t="str">
        <f>_xlfn.XLOOKUP($D191,'Chart of Accounts'!$A:$A,'Chart of Accounts'!C:C,"")</f>
        <v>Indirect</v>
      </c>
      <c r="G191" s="14" t="s">
        <v>336</v>
      </c>
      <c r="H191" s="16" t="s">
        <v>785</v>
      </c>
      <c r="I191" s="16">
        <v>3720.7607045664868</v>
      </c>
      <c r="J191" s="16">
        <v>-3720.7607045664868</v>
      </c>
      <c r="K191" s="14" t="s">
        <v>225</v>
      </c>
    </row>
    <row r="192" spans="1:11" ht="15" customHeight="1">
      <c r="A192" s="13">
        <v>45962</v>
      </c>
      <c r="B192" s="14" t="s">
        <v>343</v>
      </c>
      <c r="C192" s="17" t="s">
        <v>8</v>
      </c>
      <c r="D192" s="18" t="s">
        <v>127</v>
      </c>
      <c r="E192" s="14" t="str">
        <f>_xlfn.XLOOKUP($D192,'Chart of Accounts'!$A:$A,'Chart of Accounts'!B:B,"")</f>
        <v>Indirect Cost Allocation</v>
      </c>
      <c r="F192" s="14" t="str">
        <f>_xlfn.XLOOKUP($D192,'Chart of Accounts'!$A:$A,'Chart of Accounts'!C:C,"")</f>
        <v>Indirect</v>
      </c>
      <c r="G192" s="14" t="s">
        <v>337</v>
      </c>
      <c r="H192" s="16" t="s">
        <v>785</v>
      </c>
      <c r="I192" s="16">
        <v>2877.461048280727</v>
      </c>
      <c r="J192" s="16">
        <v>-2877.461048280727</v>
      </c>
      <c r="K192" s="14" t="s">
        <v>225</v>
      </c>
    </row>
    <row r="193" spans="1:11" ht="15" customHeight="1">
      <c r="A193" s="13">
        <v>45962</v>
      </c>
      <c r="B193" s="14" t="s">
        <v>343</v>
      </c>
      <c r="C193" s="17" t="s">
        <v>8</v>
      </c>
      <c r="D193" s="18" t="s">
        <v>127</v>
      </c>
      <c r="E193" s="14" t="str">
        <f>_xlfn.XLOOKUP($D193,'Chart of Accounts'!$A:$A,'Chart of Accounts'!B:B,"")</f>
        <v>Indirect Cost Allocation</v>
      </c>
      <c r="F193" s="14" t="str">
        <f>_xlfn.XLOOKUP($D193,'Chart of Accounts'!$A:$A,'Chart of Accounts'!C:C,"")</f>
        <v>Indirect</v>
      </c>
      <c r="G193" s="14" t="s">
        <v>338</v>
      </c>
      <c r="H193" s="16" t="s">
        <v>785</v>
      </c>
      <c r="I193" s="16">
        <v>4029.9246447736218</v>
      </c>
      <c r="J193" s="16">
        <v>-4029.9246447736218</v>
      </c>
      <c r="K193" s="14" t="s">
        <v>225</v>
      </c>
    </row>
    <row r="194" spans="1:11" ht="15" customHeight="1">
      <c r="A194" s="13">
        <v>45962</v>
      </c>
      <c r="B194" s="14" t="s">
        <v>343</v>
      </c>
      <c r="C194" s="17" t="s">
        <v>8</v>
      </c>
      <c r="D194" s="18" t="s">
        <v>127</v>
      </c>
      <c r="E194" s="14" t="str">
        <f>_xlfn.XLOOKUP($D194,'Chart of Accounts'!$A:$A,'Chart of Accounts'!B:B,"")</f>
        <v>Indirect Cost Allocation</v>
      </c>
      <c r="F194" s="14" t="str">
        <f>_xlfn.XLOOKUP($D194,'Chart of Accounts'!$A:$A,'Chart of Accounts'!C:C,"")</f>
        <v>Indirect</v>
      </c>
      <c r="G194" s="14" t="s">
        <v>339</v>
      </c>
      <c r="H194" s="16" t="s">
        <v>785</v>
      </c>
      <c r="I194" s="16">
        <v>3712.530664793665</v>
      </c>
      <c r="J194" s="16">
        <v>-3712.530664793665</v>
      </c>
      <c r="K194" s="14" t="s">
        <v>225</v>
      </c>
    </row>
    <row r="195" spans="1:11" ht="15" customHeight="1">
      <c r="A195" s="13">
        <v>45962</v>
      </c>
      <c r="B195" s="14" t="s">
        <v>343</v>
      </c>
      <c r="C195" s="17" t="s">
        <v>10</v>
      </c>
      <c r="D195" s="18" t="s">
        <v>127</v>
      </c>
      <c r="E195" s="14" t="str">
        <f>_xlfn.XLOOKUP($D195,'Chart of Accounts'!$A:$A,'Chart of Accounts'!B:B,"")</f>
        <v>Indirect Cost Allocation</v>
      </c>
      <c r="F195" s="14" t="str">
        <f>_xlfn.XLOOKUP($D195,'Chart of Accounts'!$A:$A,'Chart of Accounts'!C:C,"")</f>
        <v>Indirect</v>
      </c>
      <c r="G195" s="14" t="s">
        <v>335</v>
      </c>
      <c r="H195" s="16" t="s">
        <v>785</v>
      </c>
      <c r="I195" s="16">
        <v>3018.8071553312279</v>
      </c>
      <c r="J195" s="16">
        <v>-3018.8071553312279</v>
      </c>
      <c r="K195" s="14" t="s">
        <v>225</v>
      </c>
    </row>
    <row r="196" spans="1:11" ht="15" customHeight="1">
      <c r="A196" s="13">
        <v>45962</v>
      </c>
      <c r="B196" s="14" t="s">
        <v>343</v>
      </c>
      <c r="C196" s="17" t="s">
        <v>10</v>
      </c>
      <c r="D196" s="18" t="s">
        <v>127</v>
      </c>
      <c r="E196" s="14" t="str">
        <f>_xlfn.XLOOKUP($D196,'Chart of Accounts'!$A:$A,'Chart of Accounts'!B:B,"")</f>
        <v>Indirect Cost Allocation</v>
      </c>
      <c r="F196" s="14" t="str">
        <f>_xlfn.XLOOKUP($D196,'Chart of Accounts'!$A:$A,'Chart of Accounts'!C:C,"")</f>
        <v>Indirect</v>
      </c>
      <c r="G196" s="14" t="s">
        <v>336</v>
      </c>
      <c r="H196" s="16" t="s">
        <v>785</v>
      </c>
      <c r="I196" s="16">
        <v>3242.3156439497948</v>
      </c>
      <c r="J196" s="16">
        <v>-3242.3156439497948</v>
      </c>
      <c r="K196" s="14" t="s">
        <v>225</v>
      </c>
    </row>
    <row r="197" spans="1:11" ht="15" customHeight="1">
      <c r="A197" s="13">
        <v>45962</v>
      </c>
      <c r="B197" s="14" t="s">
        <v>343</v>
      </c>
      <c r="C197" s="17" t="s">
        <v>10</v>
      </c>
      <c r="D197" s="18" t="s">
        <v>127</v>
      </c>
      <c r="E197" s="14" t="str">
        <f>_xlfn.XLOOKUP($D197,'Chart of Accounts'!$A:$A,'Chart of Accounts'!B:B,"")</f>
        <v>Indirect Cost Allocation</v>
      </c>
      <c r="F197" s="14" t="str">
        <f>_xlfn.XLOOKUP($D197,'Chart of Accounts'!$A:$A,'Chart of Accounts'!C:C,"")</f>
        <v>Indirect</v>
      </c>
      <c r="G197" s="14" t="s">
        <v>337</v>
      </c>
      <c r="H197" s="16" t="s">
        <v>785</v>
      </c>
      <c r="I197" s="16">
        <v>2507.4541773800506</v>
      </c>
      <c r="J197" s="16">
        <v>-2507.4541773800506</v>
      </c>
      <c r="K197" s="14" t="s">
        <v>225</v>
      </c>
    </row>
    <row r="198" spans="1:11" ht="15" customHeight="1">
      <c r="A198" s="13">
        <v>45962</v>
      </c>
      <c r="B198" s="14" t="s">
        <v>343</v>
      </c>
      <c r="C198" s="17" t="s">
        <v>10</v>
      </c>
      <c r="D198" s="18" t="s">
        <v>127</v>
      </c>
      <c r="E198" s="14" t="str">
        <f>_xlfn.XLOOKUP($D198,'Chart of Accounts'!$A:$A,'Chart of Accounts'!B:B,"")</f>
        <v>Indirect Cost Allocation</v>
      </c>
      <c r="F198" s="14" t="str">
        <f>_xlfn.XLOOKUP($D198,'Chart of Accounts'!$A:$A,'Chart of Accounts'!C:C,"")</f>
        <v>Indirect</v>
      </c>
      <c r="G198" s="14" t="s">
        <v>338</v>
      </c>
      <c r="H198" s="16" t="s">
        <v>785</v>
      </c>
      <c r="I198" s="16">
        <v>3511.7248211238334</v>
      </c>
      <c r="J198" s="16">
        <v>-3511.7248211238334</v>
      </c>
      <c r="K198" s="14" t="s">
        <v>225</v>
      </c>
    </row>
    <row r="199" spans="1:11" ht="15" customHeight="1">
      <c r="A199" s="13">
        <v>45962</v>
      </c>
      <c r="B199" s="14" t="s">
        <v>343</v>
      </c>
      <c r="C199" s="17" t="s">
        <v>10</v>
      </c>
      <c r="D199" s="18" t="s">
        <v>127</v>
      </c>
      <c r="E199" s="14" t="str">
        <f>_xlfn.XLOOKUP($D199,'Chart of Accounts'!$A:$A,'Chart of Accounts'!B:B,"")</f>
        <v>Indirect Cost Allocation</v>
      </c>
      <c r="F199" s="14" t="str">
        <f>_xlfn.XLOOKUP($D199,'Chart of Accounts'!$A:$A,'Chart of Accounts'!C:C,"")</f>
        <v>Indirect</v>
      </c>
      <c r="G199" s="14" t="s">
        <v>339</v>
      </c>
      <c r="H199" s="16" t="s">
        <v>785</v>
      </c>
      <c r="I199" s="16">
        <v>3235.1438882727903</v>
      </c>
      <c r="J199" s="16">
        <v>-3235.1438882727903</v>
      </c>
      <c r="K199" s="14" t="s">
        <v>225</v>
      </c>
    </row>
    <row r="200" spans="1:11" ht="15" customHeight="1">
      <c r="A200" s="13">
        <v>45992</v>
      </c>
      <c r="B200" s="14" t="s">
        <v>344</v>
      </c>
      <c r="C200" s="17" t="s">
        <v>4</v>
      </c>
      <c r="D200" s="18" t="s">
        <v>127</v>
      </c>
      <c r="E200" s="14" t="str">
        <f>_xlfn.XLOOKUP($D200,'Chart of Accounts'!$A:$A,'Chart of Accounts'!B:B,"")</f>
        <v>Indirect Cost Allocation</v>
      </c>
      <c r="F200" s="14" t="str">
        <f>_xlfn.XLOOKUP($D200,'Chart of Accounts'!$A:$A,'Chart of Accounts'!C:C,"")</f>
        <v>Indirect</v>
      </c>
      <c r="G200" s="14" t="s">
        <v>335</v>
      </c>
      <c r="H200" s="16" t="s">
        <v>785</v>
      </c>
      <c r="I200" s="16">
        <v>2286.8104084856582</v>
      </c>
      <c r="J200" s="16">
        <v>-2286.8104084856582</v>
      </c>
      <c r="K200" s="14" t="s">
        <v>225</v>
      </c>
    </row>
    <row r="201" spans="1:11" ht="15" customHeight="1">
      <c r="A201" s="13">
        <v>45992</v>
      </c>
      <c r="B201" s="14" t="s">
        <v>344</v>
      </c>
      <c r="C201" s="17" t="s">
        <v>4</v>
      </c>
      <c r="D201" s="18" t="s">
        <v>127</v>
      </c>
      <c r="E201" s="14" t="str">
        <f>_xlfn.XLOOKUP($D201,'Chart of Accounts'!$A:$A,'Chart of Accounts'!B:B,"")</f>
        <v>Indirect Cost Allocation</v>
      </c>
      <c r="F201" s="14" t="str">
        <f>_xlfn.XLOOKUP($D201,'Chart of Accounts'!$A:$A,'Chart of Accounts'!C:C,"")</f>
        <v>Indirect</v>
      </c>
      <c r="G201" s="14" t="s">
        <v>336</v>
      </c>
      <c r="H201" s="16" t="s">
        <v>785</v>
      </c>
      <c r="I201" s="16">
        <v>2479.8259417386921</v>
      </c>
      <c r="J201" s="16">
        <v>-2479.8259417386921</v>
      </c>
      <c r="K201" s="14" t="s">
        <v>225</v>
      </c>
    </row>
    <row r="202" spans="1:11" ht="15" customHeight="1">
      <c r="A202" s="13">
        <v>45992</v>
      </c>
      <c r="B202" s="14" t="s">
        <v>344</v>
      </c>
      <c r="C202" s="17" t="s">
        <v>4</v>
      </c>
      <c r="D202" s="18" t="s">
        <v>127</v>
      </c>
      <c r="E202" s="14" t="str">
        <f>_xlfn.XLOOKUP($D202,'Chart of Accounts'!$A:$A,'Chart of Accounts'!B:B,"")</f>
        <v>Indirect Cost Allocation</v>
      </c>
      <c r="F202" s="14" t="str">
        <f>_xlfn.XLOOKUP($D202,'Chart of Accounts'!$A:$A,'Chart of Accounts'!C:C,"")</f>
        <v>Indirect</v>
      </c>
      <c r="G202" s="14" t="s">
        <v>337</v>
      </c>
      <c r="H202" s="16" t="s">
        <v>785</v>
      </c>
      <c r="I202" s="16">
        <v>1833.3915270824102</v>
      </c>
      <c r="J202" s="16">
        <v>-1833.3915270824102</v>
      </c>
      <c r="K202" s="14" t="s">
        <v>225</v>
      </c>
    </row>
    <row r="203" spans="1:11" ht="15" customHeight="1">
      <c r="A203" s="13">
        <v>45992</v>
      </c>
      <c r="B203" s="14" t="s">
        <v>344</v>
      </c>
      <c r="C203" s="17" t="s">
        <v>4</v>
      </c>
      <c r="D203" s="18" t="s">
        <v>127</v>
      </c>
      <c r="E203" s="14" t="str">
        <f>_xlfn.XLOOKUP($D203,'Chart of Accounts'!$A:$A,'Chart of Accounts'!B:B,"")</f>
        <v>Indirect Cost Allocation</v>
      </c>
      <c r="F203" s="14" t="str">
        <f>_xlfn.XLOOKUP($D203,'Chart of Accounts'!$A:$A,'Chart of Accounts'!C:C,"")</f>
        <v>Indirect</v>
      </c>
      <c r="G203" s="14" t="s">
        <v>338</v>
      </c>
      <c r="H203" s="16" t="s">
        <v>785</v>
      </c>
      <c r="I203" s="16">
        <v>2575.8822643892322</v>
      </c>
      <c r="J203" s="16">
        <v>-2575.8822643892322</v>
      </c>
      <c r="K203" s="14" t="s">
        <v>225</v>
      </c>
    </row>
    <row r="204" spans="1:11" ht="15" customHeight="1">
      <c r="A204" s="13">
        <v>45992</v>
      </c>
      <c r="B204" s="14" t="s">
        <v>344</v>
      </c>
      <c r="C204" s="17" t="s">
        <v>4</v>
      </c>
      <c r="D204" s="18" t="s">
        <v>127</v>
      </c>
      <c r="E204" s="14" t="str">
        <f>_xlfn.XLOOKUP($D204,'Chart of Accounts'!$A:$A,'Chart of Accounts'!B:B,"")</f>
        <v>Indirect Cost Allocation</v>
      </c>
      <c r="F204" s="14" t="str">
        <f>_xlfn.XLOOKUP($D204,'Chart of Accounts'!$A:$A,'Chart of Accounts'!C:C,"")</f>
        <v>Indirect</v>
      </c>
      <c r="G204" s="14" t="s">
        <v>339</v>
      </c>
      <c r="H204" s="16" t="s">
        <v>785</v>
      </c>
      <c r="I204" s="16">
        <v>2463.9275243784205</v>
      </c>
      <c r="J204" s="16">
        <v>-2463.9275243784205</v>
      </c>
      <c r="K204" s="14" t="s">
        <v>225</v>
      </c>
    </row>
    <row r="205" spans="1:11" ht="15" customHeight="1">
      <c r="A205" s="13">
        <v>45992</v>
      </c>
      <c r="B205" s="14" t="s">
        <v>344</v>
      </c>
      <c r="C205" s="17" t="s">
        <v>6</v>
      </c>
      <c r="D205" s="18" t="s">
        <v>127</v>
      </c>
      <c r="E205" s="14" t="str">
        <f>_xlfn.XLOOKUP($D205,'Chart of Accounts'!$A:$A,'Chart of Accounts'!B:B,"")</f>
        <v>Indirect Cost Allocation</v>
      </c>
      <c r="F205" s="14" t="str">
        <f>_xlfn.XLOOKUP($D205,'Chart of Accounts'!$A:$A,'Chart of Accounts'!C:C,"")</f>
        <v>Indirect</v>
      </c>
      <c r="G205" s="14" t="s">
        <v>335</v>
      </c>
      <c r="H205" s="16" t="s">
        <v>785</v>
      </c>
      <c r="I205" s="16">
        <v>3426.8657888987518</v>
      </c>
      <c r="J205" s="16">
        <v>-3426.8657888987518</v>
      </c>
      <c r="K205" s="14" t="s">
        <v>225</v>
      </c>
    </row>
    <row r="206" spans="1:11" ht="15" customHeight="1">
      <c r="A206" s="13">
        <v>45992</v>
      </c>
      <c r="B206" s="14" t="s">
        <v>344</v>
      </c>
      <c r="C206" s="17" t="s">
        <v>6</v>
      </c>
      <c r="D206" s="18" t="s">
        <v>127</v>
      </c>
      <c r="E206" s="14" t="str">
        <f>_xlfn.XLOOKUP($D206,'Chart of Accounts'!$A:$A,'Chart of Accounts'!B:B,"")</f>
        <v>Indirect Cost Allocation</v>
      </c>
      <c r="F206" s="14" t="str">
        <f>_xlfn.XLOOKUP($D206,'Chart of Accounts'!$A:$A,'Chart of Accounts'!C:C,"")</f>
        <v>Indirect</v>
      </c>
      <c r="G206" s="14" t="s">
        <v>336</v>
      </c>
      <c r="H206" s="16" t="s">
        <v>785</v>
      </c>
      <c r="I206" s="16">
        <v>3716.1063508519746</v>
      </c>
      <c r="J206" s="16">
        <v>-3716.1063508519746</v>
      </c>
      <c r="K206" s="14" t="s">
        <v>225</v>
      </c>
    </row>
    <row r="207" spans="1:11" ht="15" customHeight="1">
      <c r="A207" s="13">
        <v>45992</v>
      </c>
      <c r="B207" s="14" t="s">
        <v>344</v>
      </c>
      <c r="C207" s="17" t="s">
        <v>6</v>
      </c>
      <c r="D207" s="18" t="s">
        <v>127</v>
      </c>
      <c r="E207" s="14" t="str">
        <f>_xlfn.XLOOKUP($D207,'Chart of Accounts'!$A:$A,'Chart of Accounts'!B:B,"")</f>
        <v>Indirect Cost Allocation</v>
      </c>
      <c r="F207" s="14" t="str">
        <f>_xlfn.XLOOKUP($D207,'Chart of Accounts'!$A:$A,'Chart of Accounts'!C:C,"")</f>
        <v>Indirect</v>
      </c>
      <c r="G207" s="14" t="s">
        <v>337</v>
      </c>
      <c r="H207" s="16" t="s">
        <v>785</v>
      </c>
      <c r="I207" s="16">
        <v>2747.4016553808046</v>
      </c>
      <c r="J207" s="16">
        <v>-2747.4016553808046</v>
      </c>
      <c r="K207" s="14" t="s">
        <v>225</v>
      </c>
    </row>
    <row r="208" spans="1:11" ht="15" customHeight="1">
      <c r="A208" s="13">
        <v>45992</v>
      </c>
      <c r="B208" s="14" t="s">
        <v>344</v>
      </c>
      <c r="C208" s="17" t="s">
        <v>6</v>
      </c>
      <c r="D208" s="18" t="s">
        <v>127</v>
      </c>
      <c r="E208" s="14" t="str">
        <f>_xlfn.XLOOKUP($D208,'Chart of Accounts'!$A:$A,'Chart of Accounts'!B:B,"")</f>
        <v>Indirect Cost Allocation</v>
      </c>
      <c r="F208" s="14" t="str">
        <f>_xlfn.XLOOKUP($D208,'Chart of Accounts'!$A:$A,'Chart of Accounts'!C:C,"")</f>
        <v>Indirect</v>
      </c>
      <c r="G208" s="14" t="s">
        <v>338</v>
      </c>
      <c r="H208" s="16" t="s">
        <v>785</v>
      </c>
      <c r="I208" s="16">
        <v>3860.050127160277</v>
      </c>
      <c r="J208" s="16">
        <v>-3860.050127160277</v>
      </c>
      <c r="K208" s="14" t="s">
        <v>225</v>
      </c>
    </row>
    <row r="209" spans="1:11" ht="15" customHeight="1">
      <c r="A209" s="13">
        <v>45992</v>
      </c>
      <c r="B209" s="14" t="s">
        <v>344</v>
      </c>
      <c r="C209" s="17" t="s">
        <v>6</v>
      </c>
      <c r="D209" s="18" t="s">
        <v>127</v>
      </c>
      <c r="E209" s="14" t="str">
        <f>_xlfn.XLOOKUP($D209,'Chart of Accounts'!$A:$A,'Chart of Accounts'!B:B,"")</f>
        <v>Indirect Cost Allocation</v>
      </c>
      <c r="F209" s="14" t="str">
        <f>_xlfn.XLOOKUP($D209,'Chart of Accounts'!$A:$A,'Chart of Accounts'!C:C,"")</f>
        <v>Indirect</v>
      </c>
      <c r="G209" s="14" t="s">
        <v>339</v>
      </c>
      <c r="H209" s="16" t="s">
        <v>785</v>
      </c>
      <c r="I209" s="16">
        <v>3692.2820135359543</v>
      </c>
      <c r="J209" s="16">
        <v>-3692.2820135359543</v>
      </c>
      <c r="K209" s="14" t="s">
        <v>225</v>
      </c>
    </row>
    <row r="210" spans="1:11" ht="15" customHeight="1">
      <c r="A210" s="13">
        <v>45992</v>
      </c>
      <c r="B210" s="14" t="s">
        <v>344</v>
      </c>
      <c r="C210" s="17" t="s">
        <v>8</v>
      </c>
      <c r="D210" s="18" t="s">
        <v>127</v>
      </c>
      <c r="E210" s="14" t="str">
        <f>_xlfn.XLOOKUP($D210,'Chart of Accounts'!$A:$A,'Chart of Accounts'!B:B,"")</f>
        <v>Indirect Cost Allocation</v>
      </c>
      <c r="F210" s="14" t="str">
        <f>_xlfn.XLOOKUP($D210,'Chart of Accounts'!$A:$A,'Chart of Accounts'!C:C,"")</f>
        <v>Indirect</v>
      </c>
      <c r="G210" s="14" t="s">
        <v>335</v>
      </c>
      <c r="H210" s="16" t="s">
        <v>785</v>
      </c>
      <c r="I210" s="16">
        <v>3139.9808479238663</v>
      </c>
      <c r="J210" s="16">
        <v>-3139.9808479238663</v>
      </c>
      <c r="K210" s="14" t="s">
        <v>225</v>
      </c>
    </row>
    <row r="211" spans="1:11" ht="15" customHeight="1">
      <c r="A211" s="13">
        <v>45992</v>
      </c>
      <c r="B211" s="14" t="s">
        <v>344</v>
      </c>
      <c r="C211" s="17" t="s">
        <v>8</v>
      </c>
      <c r="D211" s="18" t="s">
        <v>127</v>
      </c>
      <c r="E211" s="14" t="str">
        <f>_xlfn.XLOOKUP($D211,'Chart of Accounts'!$A:$A,'Chart of Accounts'!B:B,"")</f>
        <v>Indirect Cost Allocation</v>
      </c>
      <c r="F211" s="14" t="str">
        <f>_xlfn.XLOOKUP($D211,'Chart of Accounts'!$A:$A,'Chart of Accounts'!C:C,"")</f>
        <v>Indirect</v>
      </c>
      <c r="G211" s="14" t="s">
        <v>336</v>
      </c>
      <c r="H211" s="16" t="s">
        <v>785</v>
      </c>
      <c r="I211" s="16">
        <v>3405.0072250635781</v>
      </c>
      <c r="J211" s="16">
        <v>-3405.0072250635781</v>
      </c>
      <c r="K211" s="14" t="s">
        <v>225</v>
      </c>
    </row>
    <row r="212" spans="1:11" ht="15" customHeight="1">
      <c r="A212" s="13">
        <v>45992</v>
      </c>
      <c r="B212" s="14" t="s">
        <v>344</v>
      </c>
      <c r="C212" s="17" t="s">
        <v>8</v>
      </c>
      <c r="D212" s="18" t="s">
        <v>127</v>
      </c>
      <c r="E212" s="14" t="str">
        <f>_xlfn.XLOOKUP($D212,'Chart of Accounts'!$A:$A,'Chart of Accounts'!B:B,"")</f>
        <v>Indirect Cost Allocation</v>
      </c>
      <c r="F212" s="14" t="str">
        <f>_xlfn.XLOOKUP($D212,'Chart of Accounts'!$A:$A,'Chart of Accounts'!C:C,"")</f>
        <v>Indirect</v>
      </c>
      <c r="G212" s="14" t="s">
        <v>337</v>
      </c>
      <c r="H212" s="16" t="s">
        <v>785</v>
      </c>
      <c r="I212" s="16">
        <v>2517.3990202348527</v>
      </c>
      <c r="J212" s="16">
        <v>-2517.3990202348527</v>
      </c>
      <c r="K212" s="14" t="s">
        <v>225</v>
      </c>
    </row>
    <row r="213" spans="1:11" ht="15" customHeight="1">
      <c r="A213" s="13">
        <v>45992</v>
      </c>
      <c r="B213" s="14" t="s">
        <v>344</v>
      </c>
      <c r="C213" s="17" t="s">
        <v>8</v>
      </c>
      <c r="D213" s="18" t="s">
        <v>127</v>
      </c>
      <c r="E213" s="14" t="str">
        <f>_xlfn.XLOOKUP($D213,'Chart of Accounts'!$A:$A,'Chart of Accounts'!B:B,"")</f>
        <v>Indirect Cost Allocation</v>
      </c>
      <c r="F213" s="14" t="str">
        <f>_xlfn.XLOOKUP($D213,'Chart of Accounts'!$A:$A,'Chart of Accounts'!C:C,"")</f>
        <v>Indirect</v>
      </c>
      <c r="G213" s="14" t="s">
        <v>338</v>
      </c>
      <c r="H213" s="16" t="s">
        <v>785</v>
      </c>
      <c r="I213" s="16">
        <v>3536.9005435151166</v>
      </c>
      <c r="J213" s="16">
        <v>-3536.9005435151166</v>
      </c>
      <c r="K213" s="14" t="s">
        <v>225</v>
      </c>
    </row>
    <row r="214" spans="1:11" ht="15" customHeight="1">
      <c r="A214" s="13">
        <v>45992</v>
      </c>
      <c r="B214" s="14" t="s">
        <v>344</v>
      </c>
      <c r="C214" s="17" t="s">
        <v>8</v>
      </c>
      <c r="D214" s="18" t="s">
        <v>127</v>
      </c>
      <c r="E214" s="14" t="str">
        <f>_xlfn.XLOOKUP($D214,'Chart of Accounts'!$A:$A,'Chart of Accounts'!B:B,"")</f>
        <v>Indirect Cost Allocation</v>
      </c>
      <c r="F214" s="14" t="str">
        <f>_xlfn.XLOOKUP($D214,'Chart of Accounts'!$A:$A,'Chart of Accounts'!C:C,"")</f>
        <v>Indirect</v>
      </c>
      <c r="G214" s="14" t="s">
        <v>339</v>
      </c>
      <c r="H214" s="16" t="s">
        <v>785</v>
      </c>
      <c r="I214" s="16">
        <v>3383.1773760134283</v>
      </c>
      <c r="J214" s="16">
        <v>-3383.1773760134283</v>
      </c>
      <c r="K214" s="14" t="s">
        <v>225</v>
      </c>
    </row>
    <row r="215" spans="1:11" ht="15" customHeight="1">
      <c r="A215" s="13">
        <v>45992</v>
      </c>
      <c r="B215" s="14" t="s">
        <v>344</v>
      </c>
      <c r="C215" s="17" t="s">
        <v>10</v>
      </c>
      <c r="D215" s="18" t="s">
        <v>127</v>
      </c>
      <c r="E215" s="14" t="str">
        <f>_xlfn.XLOOKUP($D215,'Chart of Accounts'!$A:$A,'Chart of Accounts'!B:B,"")</f>
        <v>Indirect Cost Allocation</v>
      </c>
      <c r="F215" s="14" t="str">
        <f>_xlfn.XLOOKUP($D215,'Chart of Accounts'!$A:$A,'Chart of Accounts'!C:C,"")</f>
        <v>Indirect</v>
      </c>
      <c r="G215" s="14" t="s">
        <v>335</v>
      </c>
      <c r="H215" s="16" t="s">
        <v>785</v>
      </c>
      <c r="I215" s="16">
        <v>3685.2148658315209</v>
      </c>
      <c r="J215" s="16">
        <v>-3685.2148658315209</v>
      </c>
      <c r="K215" s="14" t="s">
        <v>225</v>
      </c>
    </row>
    <row r="216" spans="1:11" ht="15" customHeight="1">
      <c r="A216" s="13">
        <v>45992</v>
      </c>
      <c r="B216" s="14" t="s">
        <v>344</v>
      </c>
      <c r="C216" s="17" t="s">
        <v>10</v>
      </c>
      <c r="D216" s="18" t="s">
        <v>127</v>
      </c>
      <c r="E216" s="14" t="str">
        <f>_xlfn.XLOOKUP($D216,'Chart of Accounts'!$A:$A,'Chart of Accounts'!B:B,"")</f>
        <v>Indirect Cost Allocation</v>
      </c>
      <c r="F216" s="14" t="str">
        <f>_xlfn.XLOOKUP($D216,'Chart of Accounts'!$A:$A,'Chart of Accounts'!C:C,"")</f>
        <v>Indirect</v>
      </c>
      <c r="G216" s="14" t="s">
        <v>336</v>
      </c>
      <c r="H216" s="16" t="s">
        <v>785</v>
      </c>
      <c r="I216" s="16">
        <v>3996.2610766765683</v>
      </c>
      <c r="J216" s="16">
        <v>-3996.2610766765683</v>
      </c>
      <c r="K216" s="14" t="s">
        <v>225</v>
      </c>
    </row>
    <row r="217" spans="1:11" ht="15" customHeight="1">
      <c r="A217" s="13">
        <v>45992</v>
      </c>
      <c r="B217" s="14" t="s">
        <v>344</v>
      </c>
      <c r="C217" s="17" t="s">
        <v>10</v>
      </c>
      <c r="D217" s="18" t="s">
        <v>127</v>
      </c>
      <c r="E217" s="14" t="str">
        <f>_xlfn.XLOOKUP($D217,'Chart of Accounts'!$A:$A,'Chart of Accounts'!B:B,"")</f>
        <v>Indirect Cost Allocation</v>
      </c>
      <c r="F217" s="14" t="str">
        <f>_xlfn.XLOOKUP($D217,'Chart of Accounts'!$A:$A,'Chart of Accounts'!C:C,"")</f>
        <v>Indirect</v>
      </c>
      <c r="G217" s="14" t="s">
        <v>337</v>
      </c>
      <c r="H217" s="16" t="s">
        <v>785</v>
      </c>
      <c r="I217" s="16">
        <v>2954.5263942400084</v>
      </c>
      <c r="J217" s="16">
        <v>-2954.5263942400084</v>
      </c>
      <c r="K217" s="14" t="s">
        <v>225</v>
      </c>
    </row>
    <row r="218" spans="1:11" ht="15" customHeight="1">
      <c r="A218" s="13">
        <v>45992</v>
      </c>
      <c r="B218" s="14" t="s">
        <v>344</v>
      </c>
      <c r="C218" s="17" t="s">
        <v>10</v>
      </c>
      <c r="D218" s="18" t="s">
        <v>127</v>
      </c>
      <c r="E218" s="14" t="str">
        <f>_xlfn.XLOOKUP($D218,'Chart of Accounts'!$A:$A,'Chart of Accounts'!B:B,"")</f>
        <v>Indirect Cost Allocation</v>
      </c>
      <c r="F218" s="14" t="str">
        <f>_xlfn.XLOOKUP($D218,'Chart of Accounts'!$A:$A,'Chart of Accounts'!C:C,"")</f>
        <v>Indirect</v>
      </c>
      <c r="G218" s="14" t="s">
        <v>338</v>
      </c>
      <c r="H218" s="16" t="s">
        <v>785</v>
      </c>
      <c r="I218" s="16">
        <v>4151.0566762047747</v>
      </c>
      <c r="J218" s="16">
        <v>-4151.0566762047747</v>
      </c>
      <c r="K218" s="14" t="s">
        <v>225</v>
      </c>
    </row>
    <row r="219" spans="1:11" ht="15" customHeight="1">
      <c r="A219" s="13">
        <v>45992</v>
      </c>
      <c r="B219" s="14" t="s">
        <v>344</v>
      </c>
      <c r="C219" s="17" t="s">
        <v>10</v>
      </c>
      <c r="D219" s="18" t="s">
        <v>127</v>
      </c>
      <c r="E219" s="14" t="str">
        <f>_xlfn.XLOOKUP($D219,'Chart of Accounts'!$A:$A,'Chart of Accounts'!B:B,"")</f>
        <v>Indirect Cost Allocation</v>
      </c>
      <c r="F219" s="14" t="str">
        <f>_xlfn.XLOOKUP($D219,'Chart of Accounts'!$A:$A,'Chart of Accounts'!C:C,"")</f>
        <v>Indirect</v>
      </c>
      <c r="G219" s="14" t="s">
        <v>339</v>
      </c>
      <c r="H219" s="16" t="s">
        <v>785</v>
      </c>
      <c r="I219" s="16">
        <v>3970.6406388029868</v>
      </c>
      <c r="J219" s="16">
        <v>-3970.6406388029868</v>
      </c>
      <c r="K219" s="14" t="s">
        <v>225</v>
      </c>
    </row>
    <row r="220" spans="1:11" ht="15" customHeight="1">
      <c r="A220" s="13">
        <v>46023</v>
      </c>
      <c r="B220" s="14" t="s">
        <v>345</v>
      </c>
      <c r="C220" s="17" t="s">
        <v>4</v>
      </c>
      <c r="D220" s="18" t="s">
        <v>127</v>
      </c>
      <c r="E220" s="14" t="str">
        <f>_xlfn.XLOOKUP($D220,'Chart of Accounts'!$A:$A,'Chart of Accounts'!B:B,"")</f>
        <v>Indirect Cost Allocation</v>
      </c>
      <c r="F220" s="14" t="str">
        <f>_xlfn.XLOOKUP($D220,'Chart of Accounts'!$A:$A,'Chart of Accounts'!C:C,"")</f>
        <v>Indirect</v>
      </c>
      <c r="G220" s="14" t="s">
        <v>335</v>
      </c>
      <c r="H220" s="16" t="s">
        <v>785</v>
      </c>
      <c r="I220" s="16">
        <v>2568.925222800221</v>
      </c>
      <c r="J220" s="16">
        <v>-2568.925222800221</v>
      </c>
      <c r="K220" s="14" t="s">
        <v>225</v>
      </c>
    </row>
    <row r="221" spans="1:11" ht="15" customHeight="1">
      <c r="A221" s="13">
        <v>46023</v>
      </c>
      <c r="B221" s="14" t="s">
        <v>345</v>
      </c>
      <c r="C221" s="17" t="s">
        <v>4</v>
      </c>
      <c r="D221" s="18" t="s">
        <v>127</v>
      </c>
      <c r="E221" s="14" t="str">
        <f>_xlfn.XLOOKUP($D221,'Chart of Accounts'!$A:$A,'Chart of Accounts'!B:B,"")</f>
        <v>Indirect Cost Allocation</v>
      </c>
      <c r="F221" s="14" t="str">
        <f>_xlfn.XLOOKUP($D221,'Chart of Accounts'!$A:$A,'Chart of Accounts'!C:C,"")</f>
        <v>Indirect</v>
      </c>
      <c r="G221" s="14" t="s">
        <v>336</v>
      </c>
      <c r="H221" s="16" t="s">
        <v>785</v>
      </c>
      <c r="I221" s="16">
        <v>2855.0029612134276</v>
      </c>
      <c r="J221" s="16">
        <v>-2855.0029612134276</v>
      </c>
      <c r="K221" s="14" t="s">
        <v>225</v>
      </c>
    </row>
    <row r="222" spans="1:11" ht="15" customHeight="1">
      <c r="A222" s="13">
        <v>46023</v>
      </c>
      <c r="B222" s="14" t="s">
        <v>345</v>
      </c>
      <c r="C222" s="17" t="s">
        <v>4</v>
      </c>
      <c r="D222" s="18" t="s">
        <v>127</v>
      </c>
      <c r="E222" s="14" t="str">
        <f>_xlfn.XLOOKUP($D222,'Chart of Accounts'!$A:$A,'Chart of Accounts'!B:B,"")</f>
        <v>Indirect Cost Allocation</v>
      </c>
      <c r="F222" s="14" t="str">
        <f>_xlfn.XLOOKUP($D222,'Chart of Accounts'!$A:$A,'Chart of Accounts'!C:C,"")</f>
        <v>Indirect</v>
      </c>
      <c r="G222" s="14" t="s">
        <v>337</v>
      </c>
      <c r="H222" s="16" t="s">
        <v>785</v>
      </c>
      <c r="I222" s="16">
        <v>2105.3160409214656</v>
      </c>
      <c r="J222" s="16">
        <v>-2105.3160409214656</v>
      </c>
      <c r="K222" s="14" t="s">
        <v>225</v>
      </c>
    </row>
    <row r="223" spans="1:11" ht="15" customHeight="1">
      <c r="A223" s="13">
        <v>46023</v>
      </c>
      <c r="B223" s="14" t="s">
        <v>345</v>
      </c>
      <c r="C223" s="17" t="s">
        <v>4</v>
      </c>
      <c r="D223" s="18" t="s">
        <v>127</v>
      </c>
      <c r="E223" s="14" t="str">
        <f>_xlfn.XLOOKUP($D223,'Chart of Accounts'!$A:$A,'Chart of Accounts'!B:B,"")</f>
        <v>Indirect Cost Allocation</v>
      </c>
      <c r="F223" s="14" t="str">
        <f>_xlfn.XLOOKUP($D223,'Chart of Accounts'!$A:$A,'Chart of Accounts'!C:C,"")</f>
        <v>Indirect</v>
      </c>
      <c r="G223" s="14" t="s">
        <v>338</v>
      </c>
      <c r="H223" s="16" t="s">
        <v>785</v>
      </c>
      <c r="I223" s="16">
        <v>2178.357188078231</v>
      </c>
      <c r="J223" s="16">
        <v>-2178.357188078231</v>
      </c>
      <c r="K223" s="14" t="s">
        <v>225</v>
      </c>
    </row>
    <row r="224" spans="1:11" ht="15" customHeight="1">
      <c r="A224" s="13">
        <v>46023</v>
      </c>
      <c r="B224" s="14" t="s">
        <v>345</v>
      </c>
      <c r="C224" s="17" t="s">
        <v>4</v>
      </c>
      <c r="D224" s="18" t="s">
        <v>127</v>
      </c>
      <c r="E224" s="14" t="str">
        <f>_xlfn.XLOOKUP($D224,'Chart of Accounts'!$A:$A,'Chart of Accounts'!B:B,"")</f>
        <v>Indirect Cost Allocation</v>
      </c>
      <c r="F224" s="14" t="str">
        <f>_xlfn.XLOOKUP($D224,'Chart of Accounts'!$A:$A,'Chart of Accounts'!C:C,"")</f>
        <v>Indirect</v>
      </c>
      <c r="G224" s="14" t="s">
        <v>339</v>
      </c>
      <c r="H224" s="16" t="s">
        <v>785</v>
      </c>
      <c r="I224" s="16">
        <v>2844.3448010775633</v>
      </c>
      <c r="J224" s="16">
        <v>-2844.3448010775633</v>
      </c>
      <c r="K224" s="14" t="s">
        <v>225</v>
      </c>
    </row>
    <row r="225" spans="1:11" ht="15" customHeight="1">
      <c r="A225" s="13">
        <v>46023</v>
      </c>
      <c r="B225" s="14" t="s">
        <v>345</v>
      </c>
      <c r="C225" s="17" t="s">
        <v>6</v>
      </c>
      <c r="D225" s="18" t="s">
        <v>127</v>
      </c>
      <c r="E225" s="14" t="str">
        <f>_xlfn.XLOOKUP($D225,'Chart of Accounts'!$A:$A,'Chart of Accounts'!B:B,"")</f>
        <v>Indirect Cost Allocation</v>
      </c>
      <c r="F225" s="14" t="str">
        <f>_xlfn.XLOOKUP($D225,'Chart of Accounts'!$A:$A,'Chart of Accounts'!C:C,"")</f>
        <v>Indirect</v>
      </c>
      <c r="G225" s="14" t="s">
        <v>335</v>
      </c>
      <c r="H225" s="16" t="s">
        <v>785</v>
      </c>
      <c r="I225" s="16">
        <v>3748.9761382394681</v>
      </c>
      <c r="J225" s="16">
        <v>-3748.9761382394681</v>
      </c>
      <c r="K225" s="14" t="s">
        <v>225</v>
      </c>
    </row>
    <row r="226" spans="1:11" ht="15" customHeight="1">
      <c r="A226" s="13">
        <v>46023</v>
      </c>
      <c r="B226" s="14" t="s">
        <v>345</v>
      </c>
      <c r="C226" s="17" t="s">
        <v>6</v>
      </c>
      <c r="D226" s="18" t="s">
        <v>127</v>
      </c>
      <c r="E226" s="14" t="str">
        <f>_xlfn.XLOOKUP($D226,'Chart of Accounts'!$A:$A,'Chart of Accounts'!B:B,"")</f>
        <v>Indirect Cost Allocation</v>
      </c>
      <c r="F226" s="14" t="str">
        <f>_xlfn.XLOOKUP($D226,'Chart of Accounts'!$A:$A,'Chart of Accounts'!C:C,"")</f>
        <v>Indirect</v>
      </c>
      <c r="G226" s="14" t="s">
        <v>336</v>
      </c>
      <c r="H226" s="16" t="s">
        <v>785</v>
      </c>
      <c r="I226" s="16">
        <v>4166.4653689394418</v>
      </c>
      <c r="J226" s="16">
        <v>-4166.4653689394418</v>
      </c>
      <c r="K226" s="14" t="s">
        <v>225</v>
      </c>
    </row>
    <row r="227" spans="1:11" ht="15" customHeight="1">
      <c r="A227" s="13">
        <v>46023</v>
      </c>
      <c r="B227" s="14" t="s">
        <v>345</v>
      </c>
      <c r="C227" s="17" t="s">
        <v>6</v>
      </c>
      <c r="D227" s="18" t="s">
        <v>127</v>
      </c>
      <c r="E227" s="14" t="str">
        <f>_xlfn.XLOOKUP($D227,'Chart of Accounts'!$A:$A,'Chart of Accounts'!B:B,"")</f>
        <v>Indirect Cost Allocation</v>
      </c>
      <c r="F227" s="14" t="str">
        <f>_xlfn.XLOOKUP($D227,'Chart of Accounts'!$A:$A,'Chart of Accounts'!C:C,"")</f>
        <v>Indirect</v>
      </c>
      <c r="G227" s="14" t="s">
        <v>337</v>
      </c>
      <c r="H227" s="16" t="s">
        <v>785</v>
      </c>
      <c r="I227" s="16">
        <v>3072.4053510066547</v>
      </c>
      <c r="J227" s="16">
        <v>-3072.4053510066547</v>
      </c>
      <c r="K227" s="14" t="s">
        <v>225</v>
      </c>
    </row>
    <row r="228" spans="1:11" ht="15" customHeight="1">
      <c r="A228" s="13">
        <v>46023</v>
      </c>
      <c r="B228" s="14" t="s">
        <v>345</v>
      </c>
      <c r="C228" s="17" t="s">
        <v>6</v>
      </c>
      <c r="D228" s="18" t="s">
        <v>127</v>
      </c>
      <c r="E228" s="14" t="str">
        <f>_xlfn.XLOOKUP($D228,'Chart of Accounts'!$A:$A,'Chart of Accounts'!B:B,"")</f>
        <v>Indirect Cost Allocation</v>
      </c>
      <c r="F228" s="14" t="str">
        <f>_xlfn.XLOOKUP($D228,'Chart of Accounts'!$A:$A,'Chart of Accounts'!C:C,"")</f>
        <v>Indirect</v>
      </c>
      <c r="G228" s="14" t="s">
        <v>338</v>
      </c>
      <c r="H228" s="16" t="s">
        <v>785</v>
      </c>
      <c r="I228" s="16">
        <v>3178.9983788495856</v>
      </c>
      <c r="J228" s="16">
        <v>-3178.9983788495856</v>
      </c>
      <c r="K228" s="14" t="s">
        <v>225</v>
      </c>
    </row>
    <row r="229" spans="1:11" ht="15" customHeight="1">
      <c r="A229" s="13">
        <v>46023</v>
      </c>
      <c r="B229" s="14" t="s">
        <v>345</v>
      </c>
      <c r="C229" s="17" t="s">
        <v>6</v>
      </c>
      <c r="D229" s="18" t="s">
        <v>127</v>
      </c>
      <c r="E229" s="14" t="str">
        <f>_xlfn.XLOOKUP($D229,'Chart of Accounts'!$A:$A,'Chart of Accounts'!B:B,"")</f>
        <v>Indirect Cost Allocation</v>
      </c>
      <c r="F229" s="14" t="str">
        <f>_xlfn.XLOOKUP($D229,'Chart of Accounts'!$A:$A,'Chart of Accounts'!C:C,"")</f>
        <v>Indirect</v>
      </c>
      <c r="G229" s="14" t="s">
        <v>339</v>
      </c>
      <c r="H229" s="16" t="s">
        <v>785</v>
      </c>
      <c r="I229" s="16">
        <v>4150.9113202375747</v>
      </c>
      <c r="J229" s="16">
        <v>-4150.9113202375747</v>
      </c>
      <c r="K229" s="14" t="s">
        <v>225</v>
      </c>
    </row>
    <row r="230" spans="1:11" ht="15" customHeight="1">
      <c r="A230" s="13">
        <v>46023</v>
      </c>
      <c r="B230" s="14" t="s">
        <v>345</v>
      </c>
      <c r="C230" s="17" t="s">
        <v>8</v>
      </c>
      <c r="D230" s="18" t="s">
        <v>127</v>
      </c>
      <c r="E230" s="14" t="str">
        <f>_xlfn.XLOOKUP($D230,'Chart of Accounts'!$A:$A,'Chart of Accounts'!B:B,"")</f>
        <v>Indirect Cost Allocation</v>
      </c>
      <c r="F230" s="14" t="str">
        <f>_xlfn.XLOOKUP($D230,'Chart of Accounts'!$A:$A,'Chart of Accounts'!C:C,"")</f>
        <v>Indirect</v>
      </c>
      <c r="G230" s="14" t="s">
        <v>335</v>
      </c>
      <c r="H230" s="16" t="s">
        <v>785</v>
      </c>
      <c r="I230" s="16">
        <v>3225.6941013863393</v>
      </c>
      <c r="J230" s="16">
        <v>-3225.6941013863393</v>
      </c>
      <c r="K230" s="14" t="s">
        <v>225</v>
      </c>
    </row>
    <row r="231" spans="1:11" ht="15" customHeight="1">
      <c r="A231" s="13">
        <v>46023</v>
      </c>
      <c r="B231" s="14" t="s">
        <v>345</v>
      </c>
      <c r="C231" s="17" t="s">
        <v>8</v>
      </c>
      <c r="D231" s="18" t="s">
        <v>127</v>
      </c>
      <c r="E231" s="14" t="str">
        <f>_xlfn.XLOOKUP($D231,'Chart of Accounts'!$A:$A,'Chart of Accounts'!B:B,"")</f>
        <v>Indirect Cost Allocation</v>
      </c>
      <c r="F231" s="14" t="str">
        <f>_xlfn.XLOOKUP($D231,'Chart of Accounts'!$A:$A,'Chart of Accounts'!C:C,"")</f>
        <v>Indirect</v>
      </c>
      <c r="G231" s="14" t="s">
        <v>336</v>
      </c>
      <c r="H231" s="16" t="s">
        <v>785</v>
      </c>
      <c r="I231" s="16">
        <v>3584.9101911141438</v>
      </c>
      <c r="J231" s="16">
        <v>-3584.9101911141438</v>
      </c>
      <c r="K231" s="14" t="s">
        <v>225</v>
      </c>
    </row>
    <row r="232" spans="1:11" ht="15" customHeight="1">
      <c r="A232" s="13">
        <v>46023</v>
      </c>
      <c r="B232" s="14" t="s">
        <v>345</v>
      </c>
      <c r="C232" s="17" t="s">
        <v>8</v>
      </c>
      <c r="D232" s="18" t="s">
        <v>127</v>
      </c>
      <c r="E232" s="14" t="str">
        <f>_xlfn.XLOOKUP($D232,'Chart of Accounts'!$A:$A,'Chart of Accounts'!B:B,"")</f>
        <v>Indirect Cost Allocation</v>
      </c>
      <c r="F232" s="14" t="str">
        <f>_xlfn.XLOOKUP($D232,'Chart of Accounts'!$A:$A,'Chart of Accounts'!C:C,"")</f>
        <v>Indirect</v>
      </c>
      <c r="G232" s="14" t="s">
        <v>337</v>
      </c>
      <c r="H232" s="16" t="s">
        <v>785</v>
      </c>
      <c r="I232" s="16">
        <v>2643.5590551568735</v>
      </c>
      <c r="J232" s="16">
        <v>-2643.5590551568735</v>
      </c>
      <c r="K232" s="14" t="s">
        <v>225</v>
      </c>
    </row>
    <row r="233" spans="1:11" ht="15" customHeight="1">
      <c r="A233" s="13">
        <v>46023</v>
      </c>
      <c r="B233" s="14" t="s">
        <v>345</v>
      </c>
      <c r="C233" s="17" t="s">
        <v>8</v>
      </c>
      <c r="D233" s="18" t="s">
        <v>127</v>
      </c>
      <c r="E233" s="14" t="str">
        <f>_xlfn.XLOOKUP($D233,'Chart of Accounts'!$A:$A,'Chart of Accounts'!B:B,"")</f>
        <v>Indirect Cost Allocation</v>
      </c>
      <c r="F233" s="14" t="str">
        <f>_xlfn.XLOOKUP($D233,'Chart of Accounts'!$A:$A,'Chart of Accounts'!C:C,"")</f>
        <v>Indirect</v>
      </c>
      <c r="G233" s="14" t="s">
        <v>338</v>
      </c>
      <c r="H233" s="16" t="s">
        <v>785</v>
      </c>
      <c r="I233" s="16">
        <v>2735.2738296668326</v>
      </c>
      <c r="J233" s="16">
        <v>-2735.2738296668326</v>
      </c>
      <c r="K233" s="14" t="s">
        <v>225</v>
      </c>
    </row>
    <row r="234" spans="1:11" ht="15" customHeight="1">
      <c r="A234" s="13">
        <v>46023</v>
      </c>
      <c r="B234" s="14" t="s">
        <v>345</v>
      </c>
      <c r="C234" s="17" t="s">
        <v>8</v>
      </c>
      <c r="D234" s="18" t="s">
        <v>127</v>
      </c>
      <c r="E234" s="14" t="str">
        <f>_xlfn.XLOOKUP($D234,'Chart of Accounts'!$A:$A,'Chart of Accounts'!B:B,"")</f>
        <v>Indirect Cost Allocation</v>
      </c>
      <c r="F234" s="14" t="str">
        <f>_xlfn.XLOOKUP($D234,'Chart of Accounts'!$A:$A,'Chart of Accounts'!C:C,"")</f>
        <v>Indirect</v>
      </c>
      <c r="G234" s="14" t="s">
        <v>339</v>
      </c>
      <c r="H234" s="16" t="s">
        <v>785</v>
      </c>
      <c r="I234" s="16">
        <v>3571.5271763121741</v>
      </c>
      <c r="J234" s="16">
        <v>-3571.5271763121741</v>
      </c>
      <c r="K234" s="14" t="s">
        <v>225</v>
      </c>
    </row>
    <row r="235" spans="1:11" ht="15" customHeight="1">
      <c r="A235" s="13">
        <v>46023</v>
      </c>
      <c r="B235" s="14" t="s">
        <v>345</v>
      </c>
      <c r="C235" s="17" t="s">
        <v>10</v>
      </c>
      <c r="D235" s="18" t="s">
        <v>127</v>
      </c>
      <c r="E235" s="14" t="str">
        <f>_xlfn.XLOOKUP($D235,'Chart of Accounts'!$A:$A,'Chart of Accounts'!B:B,"")</f>
        <v>Indirect Cost Allocation</v>
      </c>
      <c r="F235" s="14" t="str">
        <f>_xlfn.XLOOKUP($D235,'Chart of Accounts'!$A:$A,'Chart of Accounts'!C:C,"")</f>
        <v>Indirect</v>
      </c>
      <c r="G235" s="14" t="s">
        <v>335</v>
      </c>
      <c r="H235" s="16" t="s">
        <v>785</v>
      </c>
      <c r="I235" s="16">
        <v>3309.2089800358899</v>
      </c>
      <c r="J235" s="16">
        <v>-3309.2089800358899</v>
      </c>
      <c r="K235" s="14" t="s">
        <v>225</v>
      </c>
    </row>
    <row r="236" spans="1:11" ht="15" customHeight="1">
      <c r="A236" s="13">
        <v>46023</v>
      </c>
      <c r="B236" s="14" t="s">
        <v>345</v>
      </c>
      <c r="C236" s="17" t="s">
        <v>10</v>
      </c>
      <c r="D236" s="18" t="s">
        <v>127</v>
      </c>
      <c r="E236" s="14" t="str">
        <f>_xlfn.XLOOKUP($D236,'Chart of Accounts'!$A:$A,'Chart of Accounts'!B:B,"")</f>
        <v>Indirect Cost Allocation</v>
      </c>
      <c r="F236" s="14" t="str">
        <f>_xlfn.XLOOKUP($D236,'Chart of Accounts'!$A:$A,'Chart of Accounts'!C:C,"")</f>
        <v>Indirect</v>
      </c>
      <c r="G236" s="14" t="s">
        <v>336</v>
      </c>
      <c r="H236" s="16" t="s">
        <v>785</v>
      </c>
      <c r="I236" s="16">
        <v>3677.7253590036726</v>
      </c>
      <c r="J236" s="16">
        <v>-3677.7253590036726</v>
      </c>
      <c r="K236" s="14" t="s">
        <v>225</v>
      </c>
    </row>
    <row r="237" spans="1:11" ht="15" customHeight="1">
      <c r="A237" s="13">
        <v>46023</v>
      </c>
      <c r="B237" s="14" t="s">
        <v>345</v>
      </c>
      <c r="C237" s="17" t="s">
        <v>10</v>
      </c>
      <c r="D237" s="18" t="s">
        <v>127</v>
      </c>
      <c r="E237" s="14" t="str">
        <f>_xlfn.XLOOKUP($D237,'Chart of Accounts'!$A:$A,'Chart of Accounts'!B:B,"")</f>
        <v>Indirect Cost Allocation</v>
      </c>
      <c r="F237" s="14" t="str">
        <f>_xlfn.XLOOKUP($D237,'Chart of Accounts'!$A:$A,'Chart of Accounts'!C:C,"")</f>
        <v>Indirect</v>
      </c>
      <c r="G237" s="14" t="s">
        <v>337</v>
      </c>
      <c r="H237" s="16" t="s">
        <v>785</v>
      </c>
      <c r="I237" s="16">
        <v>2712.0021581775418</v>
      </c>
      <c r="J237" s="16">
        <v>-2712.0021581775418</v>
      </c>
      <c r="K237" s="14" t="s">
        <v>225</v>
      </c>
    </row>
    <row r="238" spans="1:11" ht="15" customHeight="1">
      <c r="A238" s="13">
        <v>46023</v>
      </c>
      <c r="B238" s="14" t="s">
        <v>345</v>
      </c>
      <c r="C238" s="17" t="s">
        <v>10</v>
      </c>
      <c r="D238" s="18" t="s">
        <v>127</v>
      </c>
      <c r="E238" s="14" t="str">
        <f>_xlfn.XLOOKUP($D238,'Chart of Accounts'!$A:$A,'Chart of Accounts'!B:B,"")</f>
        <v>Indirect Cost Allocation</v>
      </c>
      <c r="F238" s="14" t="str">
        <f>_xlfn.XLOOKUP($D238,'Chart of Accounts'!$A:$A,'Chart of Accounts'!C:C,"")</f>
        <v>Indirect</v>
      </c>
      <c r="G238" s="14" t="s">
        <v>338</v>
      </c>
      <c r="H238" s="16" t="s">
        <v>785</v>
      </c>
      <c r="I238" s="16">
        <v>2806.0914753511338</v>
      </c>
      <c r="J238" s="16">
        <v>-2806.0914753511338</v>
      </c>
      <c r="K238" s="14" t="s">
        <v>225</v>
      </c>
    </row>
    <row r="239" spans="1:11" ht="15" customHeight="1">
      <c r="A239" s="13">
        <v>46023</v>
      </c>
      <c r="B239" s="14" t="s">
        <v>345</v>
      </c>
      <c r="C239" s="17" t="s">
        <v>10</v>
      </c>
      <c r="D239" s="18" t="s">
        <v>127</v>
      </c>
      <c r="E239" s="14" t="str">
        <f>_xlfn.XLOOKUP($D239,'Chart of Accounts'!$A:$A,'Chart of Accounts'!B:B,"")</f>
        <v>Indirect Cost Allocation</v>
      </c>
      <c r="F239" s="14" t="str">
        <f>_xlfn.XLOOKUP($D239,'Chart of Accounts'!$A:$A,'Chart of Accounts'!C:C,"")</f>
        <v>Indirect</v>
      </c>
      <c r="G239" s="14" t="s">
        <v>339</v>
      </c>
      <c r="H239" s="16" t="s">
        <v>785</v>
      </c>
      <c r="I239" s="16">
        <v>3663.9958510681254</v>
      </c>
      <c r="J239" s="16">
        <v>-3663.9958510681254</v>
      </c>
      <c r="K239" s="14" t="s">
        <v>225</v>
      </c>
    </row>
    <row r="240" spans="1:11" ht="15" customHeight="1">
      <c r="A240" s="13">
        <v>46054</v>
      </c>
      <c r="B240" s="14" t="s">
        <v>346</v>
      </c>
      <c r="C240" s="17" t="s">
        <v>4</v>
      </c>
      <c r="D240" s="18" t="s">
        <v>127</v>
      </c>
      <c r="E240" s="14" t="str">
        <f>_xlfn.XLOOKUP($D240,'Chart of Accounts'!$A:$A,'Chart of Accounts'!B:B,"")</f>
        <v>Indirect Cost Allocation</v>
      </c>
      <c r="F240" s="14" t="str">
        <f>_xlfn.XLOOKUP($D240,'Chart of Accounts'!$A:$A,'Chart of Accounts'!C:C,"")</f>
        <v>Indirect</v>
      </c>
      <c r="G240" s="14" t="s">
        <v>335</v>
      </c>
      <c r="H240" s="16" t="s">
        <v>785</v>
      </c>
      <c r="I240" s="16">
        <v>2496.0672231077228</v>
      </c>
      <c r="J240" s="16">
        <v>-2496.0672231077228</v>
      </c>
      <c r="K240" s="14" t="s">
        <v>225</v>
      </c>
    </row>
    <row r="241" spans="1:11" ht="15" customHeight="1">
      <c r="A241" s="13">
        <v>46054</v>
      </c>
      <c r="B241" s="14" t="s">
        <v>346</v>
      </c>
      <c r="C241" s="17" t="s">
        <v>4</v>
      </c>
      <c r="D241" s="18" t="s">
        <v>127</v>
      </c>
      <c r="E241" s="14" t="str">
        <f>_xlfn.XLOOKUP($D241,'Chart of Accounts'!$A:$A,'Chart of Accounts'!B:B,"")</f>
        <v>Indirect Cost Allocation</v>
      </c>
      <c r="F241" s="14" t="str">
        <f>_xlfn.XLOOKUP($D241,'Chart of Accounts'!$A:$A,'Chart of Accounts'!C:C,"")</f>
        <v>Indirect</v>
      </c>
      <c r="G241" s="14" t="s">
        <v>336</v>
      </c>
      <c r="H241" s="16" t="s">
        <v>785</v>
      </c>
      <c r="I241" s="16">
        <v>2821.0553027487708</v>
      </c>
      <c r="J241" s="16">
        <v>-2821.0553027487708</v>
      </c>
      <c r="K241" s="14" t="s">
        <v>225</v>
      </c>
    </row>
    <row r="242" spans="1:11" ht="15" customHeight="1">
      <c r="A242" s="13">
        <v>46054</v>
      </c>
      <c r="B242" s="14" t="s">
        <v>346</v>
      </c>
      <c r="C242" s="17" t="s">
        <v>4</v>
      </c>
      <c r="D242" s="18" t="s">
        <v>127</v>
      </c>
      <c r="E242" s="14" t="str">
        <f>_xlfn.XLOOKUP($D242,'Chart of Accounts'!$A:$A,'Chart of Accounts'!B:B,"")</f>
        <v>Indirect Cost Allocation</v>
      </c>
      <c r="F242" s="14" t="str">
        <f>_xlfn.XLOOKUP($D242,'Chart of Accounts'!$A:$A,'Chart of Accounts'!C:C,"")</f>
        <v>Indirect</v>
      </c>
      <c r="G242" s="14" t="s">
        <v>337</v>
      </c>
      <c r="H242" s="16" t="s">
        <v>785</v>
      </c>
      <c r="I242" s="16">
        <v>1986.641574329203</v>
      </c>
      <c r="J242" s="16">
        <v>-1986.641574329203</v>
      </c>
      <c r="K242" s="14" t="s">
        <v>225</v>
      </c>
    </row>
    <row r="243" spans="1:11" ht="15" customHeight="1">
      <c r="A243" s="13">
        <v>46054</v>
      </c>
      <c r="B243" s="14" t="s">
        <v>346</v>
      </c>
      <c r="C243" s="17" t="s">
        <v>4</v>
      </c>
      <c r="D243" s="18" t="s">
        <v>127</v>
      </c>
      <c r="E243" s="14" t="str">
        <f>_xlfn.XLOOKUP($D243,'Chart of Accounts'!$A:$A,'Chart of Accounts'!B:B,"")</f>
        <v>Indirect Cost Allocation</v>
      </c>
      <c r="F243" s="14" t="str">
        <f>_xlfn.XLOOKUP($D243,'Chart of Accounts'!$A:$A,'Chart of Accounts'!C:C,"")</f>
        <v>Indirect</v>
      </c>
      <c r="G243" s="14" t="s">
        <v>338</v>
      </c>
      <c r="H243" s="16" t="s">
        <v>785</v>
      </c>
      <c r="I243" s="16">
        <v>2590.4355947217355</v>
      </c>
      <c r="J243" s="16">
        <v>-2590.4355947217355</v>
      </c>
      <c r="K243" s="14" t="s">
        <v>225</v>
      </c>
    </row>
    <row r="244" spans="1:11" ht="15" customHeight="1">
      <c r="A244" s="13">
        <v>46054</v>
      </c>
      <c r="B244" s="14" t="s">
        <v>346</v>
      </c>
      <c r="C244" s="17" t="s">
        <v>4</v>
      </c>
      <c r="D244" s="18" t="s">
        <v>127</v>
      </c>
      <c r="E244" s="14" t="str">
        <f>_xlfn.XLOOKUP($D244,'Chart of Accounts'!$A:$A,'Chart of Accounts'!B:B,"")</f>
        <v>Indirect Cost Allocation</v>
      </c>
      <c r="F244" s="14" t="str">
        <f>_xlfn.XLOOKUP($D244,'Chart of Accounts'!$A:$A,'Chart of Accounts'!C:C,"")</f>
        <v>Indirect</v>
      </c>
      <c r="G244" s="14" t="s">
        <v>339</v>
      </c>
      <c r="H244" s="16" t="s">
        <v>785</v>
      </c>
      <c r="I244" s="16">
        <v>2742.4711970396856</v>
      </c>
      <c r="J244" s="16">
        <v>-2742.4711970396856</v>
      </c>
      <c r="K244" s="14" t="s">
        <v>225</v>
      </c>
    </row>
    <row r="245" spans="1:11" ht="15" customHeight="1">
      <c r="A245" s="13">
        <v>46054</v>
      </c>
      <c r="B245" s="14" t="s">
        <v>346</v>
      </c>
      <c r="C245" s="17" t="s">
        <v>6</v>
      </c>
      <c r="D245" s="18" t="s">
        <v>127</v>
      </c>
      <c r="E245" s="14" t="str">
        <f>_xlfn.XLOOKUP($D245,'Chart of Accounts'!$A:$A,'Chart of Accounts'!B:B,"")</f>
        <v>Indirect Cost Allocation</v>
      </c>
      <c r="F245" s="14" t="str">
        <f>_xlfn.XLOOKUP($D245,'Chart of Accounts'!$A:$A,'Chart of Accounts'!C:C,"")</f>
        <v>Indirect</v>
      </c>
      <c r="G245" s="14" t="s">
        <v>335</v>
      </c>
      <c r="H245" s="16" t="s">
        <v>785</v>
      </c>
      <c r="I245" s="16">
        <v>3777.0100206136276</v>
      </c>
      <c r="J245" s="16">
        <v>-3777.0100206136276</v>
      </c>
      <c r="K245" s="14" t="s">
        <v>225</v>
      </c>
    </row>
    <row r="246" spans="1:11" ht="15" customHeight="1">
      <c r="A246" s="13">
        <v>46054</v>
      </c>
      <c r="B246" s="14" t="s">
        <v>346</v>
      </c>
      <c r="C246" s="17" t="s">
        <v>6</v>
      </c>
      <c r="D246" s="18" t="s">
        <v>127</v>
      </c>
      <c r="E246" s="14" t="str">
        <f>_xlfn.XLOOKUP($D246,'Chart of Accounts'!$A:$A,'Chart of Accounts'!B:B,"")</f>
        <v>Indirect Cost Allocation</v>
      </c>
      <c r="F246" s="14" t="str">
        <f>_xlfn.XLOOKUP($D246,'Chart of Accounts'!$A:$A,'Chart of Accounts'!C:C,"")</f>
        <v>Indirect</v>
      </c>
      <c r="G246" s="14" t="s">
        <v>336</v>
      </c>
      <c r="H246" s="16" t="s">
        <v>785</v>
      </c>
      <c r="I246" s="16">
        <v>4268.7769177631135</v>
      </c>
      <c r="J246" s="16">
        <v>-4268.7769177631135</v>
      </c>
      <c r="K246" s="14" t="s">
        <v>225</v>
      </c>
    </row>
    <row r="247" spans="1:11" ht="15" customHeight="1">
      <c r="A247" s="13">
        <v>46054</v>
      </c>
      <c r="B247" s="14" t="s">
        <v>346</v>
      </c>
      <c r="C247" s="17" t="s">
        <v>6</v>
      </c>
      <c r="D247" s="18" t="s">
        <v>127</v>
      </c>
      <c r="E247" s="14" t="str">
        <f>_xlfn.XLOOKUP($D247,'Chart of Accounts'!$A:$A,'Chart of Accounts'!B:B,"")</f>
        <v>Indirect Cost Allocation</v>
      </c>
      <c r="F247" s="14" t="str">
        <f>_xlfn.XLOOKUP($D247,'Chart of Accounts'!$A:$A,'Chart of Accounts'!C:C,"")</f>
        <v>Indirect</v>
      </c>
      <c r="G247" s="14" t="s">
        <v>337</v>
      </c>
      <c r="H247" s="16" t="s">
        <v>785</v>
      </c>
      <c r="I247" s="16">
        <v>3006.1550683185274</v>
      </c>
      <c r="J247" s="16">
        <v>-3006.1550683185274</v>
      </c>
      <c r="K247" s="14" t="s">
        <v>225</v>
      </c>
    </row>
    <row r="248" spans="1:11" ht="15" customHeight="1">
      <c r="A248" s="13">
        <v>46054</v>
      </c>
      <c r="B248" s="14" t="s">
        <v>346</v>
      </c>
      <c r="C248" s="17" t="s">
        <v>6</v>
      </c>
      <c r="D248" s="18" t="s">
        <v>127</v>
      </c>
      <c r="E248" s="14" t="str">
        <f>_xlfn.XLOOKUP($D248,'Chart of Accounts'!$A:$A,'Chart of Accounts'!B:B,"")</f>
        <v>Indirect Cost Allocation</v>
      </c>
      <c r="F248" s="14" t="str">
        <f>_xlfn.XLOOKUP($D248,'Chart of Accounts'!$A:$A,'Chart of Accounts'!C:C,"")</f>
        <v>Indirect</v>
      </c>
      <c r="G248" s="14" t="s">
        <v>338</v>
      </c>
      <c r="H248" s="16" t="s">
        <v>785</v>
      </c>
      <c r="I248" s="16">
        <v>3919.806769801874</v>
      </c>
      <c r="J248" s="16">
        <v>-3919.806769801874</v>
      </c>
      <c r="K248" s="14" t="s">
        <v>225</v>
      </c>
    </row>
    <row r="249" spans="1:11" ht="15" customHeight="1">
      <c r="A249" s="13">
        <v>46054</v>
      </c>
      <c r="B249" s="14" t="s">
        <v>346</v>
      </c>
      <c r="C249" s="17" t="s">
        <v>6</v>
      </c>
      <c r="D249" s="18" t="s">
        <v>127</v>
      </c>
      <c r="E249" s="14" t="str">
        <f>_xlfn.XLOOKUP($D249,'Chart of Accounts'!$A:$A,'Chart of Accounts'!B:B,"")</f>
        <v>Indirect Cost Allocation</v>
      </c>
      <c r="F249" s="14" t="str">
        <f>_xlfn.XLOOKUP($D249,'Chart of Accounts'!$A:$A,'Chart of Accounts'!C:C,"")</f>
        <v>Indirect</v>
      </c>
      <c r="G249" s="14" t="s">
        <v>339</v>
      </c>
      <c r="H249" s="16" t="s">
        <v>785</v>
      </c>
      <c r="I249" s="16">
        <v>4149.8646737432473</v>
      </c>
      <c r="J249" s="16">
        <v>-4149.8646737432473</v>
      </c>
      <c r="K249" s="14" t="s">
        <v>225</v>
      </c>
    </row>
    <row r="250" spans="1:11" ht="15" customHeight="1">
      <c r="A250" s="13">
        <v>46054</v>
      </c>
      <c r="B250" s="14" t="s">
        <v>346</v>
      </c>
      <c r="C250" s="17" t="s">
        <v>8</v>
      </c>
      <c r="D250" s="18" t="s">
        <v>127</v>
      </c>
      <c r="E250" s="14" t="str">
        <f>_xlfn.XLOOKUP($D250,'Chart of Accounts'!$A:$A,'Chart of Accounts'!B:B,"")</f>
        <v>Indirect Cost Allocation</v>
      </c>
      <c r="F250" s="14" t="str">
        <f>_xlfn.XLOOKUP($D250,'Chart of Accounts'!$A:$A,'Chart of Accounts'!C:C,"")</f>
        <v>Indirect</v>
      </c>
      <c r="G250" s="14" t="s">
        <v>335</v>
      </c>
      <c r="H250" s="16" t="s">
        <v>785</v>
      </c>
      <c r="I250" s="16">
        <v>3229.2586642990059</v>
      </c>
      <c r="J250" s="16">
        <v>-3229.2586642990059</v>
      </c>
      <c r="K250" s="14" t="s">
        <v>225</v>
      </c>
    </row>
    <row r="251" spans="1:11" ht="15" customHeight="1">
      <c r="A251" s="13">
        <v>46054</v>
      </c>
      <c r="B251" s="14" t="s">
        <v>346</v>
      </c>
      <c r="C251" s="17" t="s">
        <v>8</v>
      </c>
      <c r="D251" s="18" t="s">
        <v>127</v>
      </c>
      <c r="E251" s="14" t="str">
        <f>_xlfn.XLOOKUP($D251,'Chart of Accounts'!$A:$A,'Chart of Accounts'!B:B,"")</f>
        <v>Indirect Cost Allocation</v>
      </c>
      <c r="F251" s="14" t="str">
        <f>_xlfn.XLOOKUP($D251,'Chart of Accounts'!$A:$A,'Chart of Accounts'!C:C,"")</f>
        <v>Indirect</v>
      </c>
      <c r="G251" s="14" t="s">
        <v>336</v>
      </c>
      <c r="H251" s="16" t="s">
        <v>785</v>
      </c>
      <c r="I251" s="16">
        <v>3649.7083069444911</v>
      </c>
      <c r="J251" s="16">
        <v>-3649.7083069444911</v>
      </c>
      <c r="K251" s="14" t="s">
        <v>225</v>
      </c>
    </row>
    <row r="252" spans="1:11" ht="15" customHeight="1">
      <c r="A252" s="13">
        <v>46054</v>
      </c>
      <c r="B252" s="14" t="s">
        <v>346</v>
      </c>
      <c r="C252" s="17" t="s">
        <v>8</v>
      </c>
      <c r="D252" s="18" t="s">
        <v>127</v>
      </c>
      <c r="E252" s="14" t="str">
        <f>_xlfn.XLOOKUP($D252,'Chart of Accounts'!$A:$A,'Chart of Accounts'!B:B,"")</f>
        <v>Indirect Cost Allocation</v>
      </c>
      <c r="F252" s="14" t="str">
        <f>_xlfn.XLOOKUP($D252,'Chart of Accounts'!$A:$A,'Chart of Accounts'!C:C,"")</f>
        <v>Indirect</v>
      </c>
      <c r="G252" s="14" t="s">
        <v>337</v>
      </c>
      <c r="H252" s="16" t="s">
        <v>785</v>
      </c>
      <c r="I252" s="16">
        <v>2570.1950081183081</v>
      </c>
      <c r="J252" s="16">
        <v>-2570.1950081183081</v>
      </c>
      <c r="K252" s="14" t="s">
        <v>225</v>
      </c>
    </row>
    <row r="253" spans="1:11" ht="15" customHeight="1">
      <c r="A253" s="13">
        <v>46054</v>
      </c>
      <c r="B253" s="14" t="s">
        <v>346</v>
      </c>
      <c r="C253" s="17" t="s">
        <v>8</v>
      </c>
      <c r="D253" s="18" t="s">
        <v>127</v>
      </c>
      <c r="E253" s="14" t="str">
        <f>_xlfn.XLOOKUP($D253,'Chart of Accounts'!$A:$A,'Chart of Accounts'!B:B,"")</f>
        <v>Indirect Cost Allocation</v>
      </c>
      <c r="F253" s="14" t="str">
        <f>_xlfn.XLOOKUP($D253,'Chart of Accounts'!$A:$A,'Chart of Accounts'!C:C,"")</f>
        <v>Indirect</v>
      </c>
      <c r="G253" s="14" t="s">
        <v>338</v>
      </c>
      <c r="H253" s="16" t="s">
        <v>785</v>
      </c>
      <c r="I253" s="16">
        <v>3351.346674929955</v>
      </c>
      <c r="J253" s="16">
        <v>-3351.346674929955</v>
      </c>
      <c r="K253" s="14" t="s">
        <v>225</v>
      </c>
    </row>
    <row r="254" spans="1:11" ht="15" customHeight="1">
      <c r="A254" s="13">
        <v>46054</v>
      </c>
      <c r="B254" s="14" t="s">
        <v>346</v>
      </c>
      <c r="C254" s="17" t="s">
        <v>8</v>
      </c>
      <c r="D254" s="18" t="s">
        <v>127</v>
      </c>
      <c r="E254" s="14" t="str">
        <f>_xlfn.XLOOKUP($D254,'Chart of Accounts'!$A:$A,'Chart of Accounts'!B:B,"")</f>
        <v>Indirect Cost Allocation</v>
      </c>
      <c r="F254" s="14" t="str">
        <f>_xlfn.XLOOKUP($D254,'Chart of Accounts'!$A:$A,'Chart of Accounts'!C:C,"")</f>
        <v>Indirect</v>
      </c>
      <c r="G254" s="14" t="s">
        <v>339</v>
      </c>
      <c r="H254" s="16" t="s">
        <v>785</v>
      </c>
      <c r="I254" s="16">
        <v>3548.0410113332382</v>
      </c>
      <c r="J254" s="16">
        <v>-3548.0410113332382</v>
      </c>
      <c r="K254" s="14" t="s">
        <v>225</v>
      </c>
    </row>
    <row r="255" spans="1:11" ht="15" customHeight="1">
      <c r="A255" s="13">
        <v>46054</v>
      </c>
      <c r="B255" s="14" t="s">
        <v>346</v>
      </c>
      <c r="C255" s="17" t="s">
        <v>10</v>
      </c>
      <c r="D255" s="18" t="s">
        <v>127</v>
      </c>
      <c r="E255" s="14" t="str">
        <f>_xlfn.XLOOKUP($D255,'Chart of Accounts'!$A:$A,'Chart of Accounts'!B:B,"")</f>
        <v>Indirect Cost Allocation</v>
      </c>
      <c r="F255" s="14" t="str">
        <f>_xlfn.XLOOKUP($D255,'Chart of Accounts'!$A:$A,'Chart of Accounts'!C:C,"")</f>
        <v>Indirect</v>
      </c>
      <c r="G255" s="14" t="s">
        <v>335</v>
      </c>
      <c r="H255" s="16" t="s">
        <v>785</v>
      </c>
      <c r="I255" s="16">
        <v>3168.1257004246067</v>
      </c>
      <c r="J255" s="16">
        <v>-3168.1257004246067</v>
      </c>
      <c r="K255" s="14" t="s">
        <v>225</v>
      </c>
    </row>
    <row r="256" spans="1:11" ht="15" customHeight="1">
      <c r="A256" s="13">
        <v>46054</v>
      </c>
      <c r="B256" s="14" t="s">
        <v>346</v>
      </c>
      <c r="C256" s="17" t="s">
        <v>10</v>
      </c>
      <c r="D256" s="18" t="s">
        <v>127</v>
      </c>
      <c r="E256" s="14" t="str">
        <f>_xlfn.XLOOKUP($D256,'Chart of Accounts'!$A:$A,'Chart of Accounts'!B:B,"")</f>
        <v>Indirect Cost Allocation</v>
      </c>
      <c r="F256" s="14" t="str">
        <f>_xlfn.XLOOKUP($D256,'Chart of Accounts'!$A:$A,'Chart of Accounts'!C:C,"")</f>
        <v>Indirect</v>
      </c>
      <c r="G256" s="14" t="s">
        <v>336</v>
      </c>
      <c r="H256" s="16" t="s">
        <v>785</v>
      </c>
      <c r="I256" s="16">
        <v>3580.6158280584846</v>
      </c>
      <c r="J256" s="16">
        <v>-3580.6158280584846</v>
      </c>
      <c r="K256" s="14" t="s">
        <v>225</v>
      </c>
    </row>
    <row r="257" spans="1:11" ht="15" customHeight="1">
      <c r="A257" s="13">
        <v>46054</v>
      </c>
      <c r="B257" s="14" t="s">
        <v>346</v>
      </c>
      <c r="C257" s="17" t="s">
        <v>10</v>
      </c>
      <c r="D257" s="18" t="s">
        <v>127</v>
      </c>
      <c r="E257" s="14" t="str">
        <f>_xlfn.XLOOKUP($D257,'Chart of Accounts'!$A:$A,'Chart of Accounts'!B:B,"")</f>
        <v>Indirect Cost Allocation</v>
      </c>
      <c r="F257" s="14" t="str">
        <f>_xlfn.XLOOKUP($D257,'Chart of Accounts'!$A:$A,'Chart of Accounts'!C:C,"")</f>
        <v>Indirect</v>
      </c>
      <c r="G257" s="14" t="s">
        <v>337</v>
      </c>
      <c r="H257" s="16" t="s">
        <v>785</v>
      </c>
      <c r="I257" s="16">
        <v>2521.5387513995342</v>
      </c>
      <c r="J257" s="16">
        <v>-2521.5387513995342</v>
      </c>
      <c r="K257" s="14" t="s">
        <v>225</v>
      </c>
    </row>
    <row r="258" spans="1:11" ht="15" customHeight="1">
      <c r="A258" s="13">
        <v>46054</v>
      </c>
      <c r="B258" s="14" t="s">
        <v>346</v>
      </c>
      <c r="C258" s="17" t="s">
        <v>10</v>
      </c>
      <c r="D258" s="18" t="s">
        <v>127</v>
      </c>
      <c r="E258" s="14" t="str">
        <f>_xlfn.XLOOKUP($D258,'Chart of Accounts'!$A:$A,'Chart of Accounts'!B:B,"")</f>
        <v>Indirect Cost Allocation</v>
      </c>
      <c r="F258" s="14" t="str">
        <f>_xlfn.XLOOKUP($D258,'Chart of Accounts'!$A:$A,'Chart of Accounts'!C:C,"")</f>
        <v>Indirect</v>
      </c>
      <c r="G258" s="14" t="s">
        <v>338</v>
      </c>
      <c r="H258" s="16" t="s">
        <v>785</v>
      </c>
      <c r="I258" s="16">
        <v>3287.9024679130002</v>
      </c>
      <c r="J258" s="16">
        <v>-3287.9024679130002</v>
      </c>
      <c r="K258" s="14" t="s">
        <v>225</v>
      </c>
    </row>
    <row r="259" spans="1:11" ht="15" customHeight="1">
      <c r="A259" s="13">
        <v>46054</v>
      </c>
      <c r="B259" s="14" t="s">
        <v>346</v>
      </c>
      <c r="C259" s="17" t="s">
        <v>10</v>
      </c>
      <c r="D259" s="18" t="s">
        <v>127</v>
      </c>
      <c r="E259" s="14" t="str">
        <f>_xlfn.XLOOKUP($D259,'Chart of Accounts'!$A:$A,'Chart of Accounts'!B:B,"")</f>
        <v>Indirect Cost Allocation</v>
      </c>
      <c r="F259" s="14" t="str">
        <f>_xlfn.XLOOKUP($D259,'Chart of Accounts'!$A:$A,'Chart of Accounts'!C:C,"")</f>
        <v>Indirect</v>
      </c>
      <c r="G259" s="14" t="s">
        <v>339</v>
      </c>
      <c r="H259" s="16" t="s">
        <v>785</v>
      </c>
      <c r="I259" s="16">
        <v>3480.8731918678354</v>
      </c>
      <c r="J259" s="16">
        <v>-3480.8731918678354</v>
      </c>
      <c r="K259" s="14" t="s">
        <v>225</v>
      </c>
    </row>
    <row r="260" spans="1:11" ht="15" customHeight="1">
      <c r="A260" s="13">
        <v>46082</v>
      </c>
      <c r="B260" s="14" t="s">
        <v>347</v>
      </c>
      <c r="C260" s="17" t="s">
        <v>4</v>
      </c>
      <c r="D260" s="18" t="s">
        <v>127</v>
      </c>
      <c r="E260" s="14" t="str">
        <f>_xlfn.XLOOKUP($D260,'Chart of Accounts'!$A:$A,'Chart of Accounts'!B:B,"")</f>
        <v>Indirect Cost Allocation</v>
      </c>
      <c r="F260" s="14" t="str">
        <f>_xlfn.XLOOKUP($D260,'Chart of Accounts'!$A:$A,'Chart of Accounts'!C:C,"")</f>
        <v>Indirect</v>
      </c>
      <c r="G260" s="14" t="s">
        <v>335</v>
      </c>
      <c r="H260" s="16" t="s">
        <v>785</v>
      </c>
      <c r="I260" s="16">
        <v>2557.3128160062529</v>
      </c>
      <c r="J260" s="16">
        <v>-2557.3128160062529</v>
      </c>
      <c r="K260" s="14" t="s">
        <v>225</v>
      </c>
    </row>
    <row r="261" spans="1:11" ht="15" customHeight="1">
      <c r="A261" s="13">
        <v>46082</v>
      </c>
      <c r="B261" s="14" t="s">
        <v>347</v>
      </c>
      <c r="C261" s="17" t="s">
        <v>4</v>
      </c>
      <c r="D261" s="18" t="s">
        <v>127</v>
      </c>
      <c r="E261" s="14" t="str">
        <f>_xlfn.XLOOKUP($D261,'Chart of Accounts'!$A:$A,'Chart of Accounts'!B:B,"")</f>
        <v>Indirect Cost Allocation</v>
      </c>
      <c r="F261" s="14" t="str">
        <f>_xlfn.XLOOKUP($D261,'Chart of Accounts'!$A:$A,'Chart of Accounts'!C:C,"")</f>
        <v>Indirect</v>
      </c>
      <c r="G261" s="14" t="s">
        <v>336</v>
      </c>
      <c r="H261" s="16" t="s">
        <v>785</v>
      </c>
      <c r="I261" s="16">
        <v>2919.0856268304924</v>
      </c>
      <c r="J261" s="16">
        <v>-2919.0856268304924</v>
      </c>
      <c r="K261" s="14" t="s">
        <v>225</v>
      </c>
    </row>
    <row r="262" spans="1:11" ht="15" customHeight="1">
      <c r="A262" s="13">
        <v>46082</v>
      </c>
      <c r="B262" s="14" t="s">
        <v>347</v>
      </c>
      <c r="C262" s="17" t="s">
        <v>4</v>
      </c>
      <c r="D262" s="18" t="s">
        <v>127</v>
      </c>
      <c r="E262" s="14" t="str">
        <f>_xlfn.XLOOKUP($D262,'Chart of Accounts'!$A:$A,'Chart of Accounts'!B:B,"")</f>
        <v>Indirect Cost Allocation</v>
      </c>
      <c r="F262" s="14" t="str">
        <f>_xlfn.XLOOKUP($D262,'Chart of Accounts'!$A:$A,'Chart of Accounts'!C:C,"")</f>
        <v>Indirect</v>
      </c>
      <c r="G262" s="14" t="s">
        <v>337</v>
      </c>
      <c r="H262" s="16" t="s">
        <v>785</v>
      </c>
      <c r="I262" s="16">
        <v>2043.7821321981114</v>
      </c>
      <c r="J262" s="16">
        <v>-2043.7821321981114</v>
      </c>
      <c r="K262" s="14" t="s">
        <v>225</v>
      </c>
    </row>
    <row r="263" spans="1:11" ht="15" customHeight="1">
      <c r="A263" s="13">
        <v>46082</v>
      </c>
      <c r="B263" s="14" t="s">
        <v>347</v>
      </c>
      <c r="C263" s="17" t="s">
        <v>4</v>
      </c>
      <c r="D263" s="18" t="s">
        <v>127</v>
      </c>
      <c r="E263" s="14" t="str">
        <f>_xlfn.XLOOKUP($D263,'Chart of Accounts'!$A:$A,'Chart of Accounts'!B:B,"")</f>
        <v>Indirect Cost Allocation</v>
      </c>
      <c r="F263" s="14" t="str">
        <f>_xlfn.XLOOKUP($D263,'Chart of Accounts'!$A:$A,'Chart of Accounts'!C:C,"")</f>
        <v>Indirect</v>
      </c>
      <c r="G263" s="14" t="s">
        <v>338</v>
      </c>
      <c r="H263" s="16" t="s">
        <v>785</v>
      </c>
      <c r="I263" s="16">
        <v>2749.455108011527</v>
      </c>
      <c r="J263" s="16">
        <v>-2749.455108011527</v>
      </c>
      <c r="K263" s="14" t="s">
        <v>225</v>
      </c>
    </row>
    <row r="264" spans="1:11" ht="15" customHeight="1">
      <c r="A264" s="13">
        <v>46082</v>
      </c>
      <c r="B264" s="14" t="s">
        <v>347</v>
      </c>
      <c r="C264" s="17" t="s">
        <v>4</v>
      </c>
      <c r="D264" s="18" t="s">
        <v>127</v>
      </c>
      <c r="E264" s="14" t="str">
        <f>_xlfn.XLOOKUP($D264,'Chart of Accounts'!$A:$A,'Chart of Accounts'!B:B,"")</f>
        <v>Indirect Cost Allocation</v>
      </c>
      <c r="F264" s="14" t="str">
        <f>_xlfn.XLOOKUP($D264,'Chart of Accounts'!$A:$A,'Chart of Accounts'!C:C,"")</f>
        <v>Indirect</v>
      </c>
      <c r="G264" s="14" t="s">
        <v>339</v>
      </c>
      <c r="H264" s="16" t="s">
        <v>785</v>
      </c>
      <c r="I264" s="16">
        <v>3312.1761310926126</v>
      </c>
      <c r="J264" s="16">
        <v>-3312.1761310926126</v>
      </c>
      <c r="K264" s="14" t="s">
        <v>225</v>
      </c>
    </row>
    <row r="265" spans="1:11" ht="15" customHeight="1">
      <c r="A265" s="13">
        <v>46082</v>
      </c>
      <c r="B265" s="14" t="s">
        <v>347</v>
      </c>
      <c r="C265" s="17" t="s">
        <v>6</v>
      </c>
      <c r="D265" s="18" t="s">
        <v>127</v>
      </c>
      <c r="E265" s="14" t="str">
        <f>_xlfn.XLOOKUP($D265,'Chart of Accounts'!$A:$A,'Chart of Accounts'!B:B,"")</f>
        <v>Indirect Cost Allocation</v>
      </c>
      <c r="F265" s="14" t="str">
        <f>_xlfn.XLOOKUP($D265,'Chart of Accounts'!$A:$A,'Chart of Accounts'!C:C,"")</f>
        <v>Indirect</v>
      </c>
      <c r="G265" s="14" t="s">
        <v>335</v>
      </c>
      <c r="H265" s="16" t="s">
        <v>785</v>
      </c>
      <c r="I265" s="16">
        <v>3489.8161465109652</v>
      </c>
      <c r="J265" s="16">
        <v>-3489.8161465109652</v>
      </c>
      <c r="K265" s="14" t="s">
        <v>225</v>
      </c>
    </row>
    <row r="266" spans="1:11" ht="15" customHeight="1">
      <c r="A266" s="13">
        <v>46082</v>
      </c>
      <c r="B266" s="14" t="s">
        <v>347</v>
      </c>
      <c r="C266" s="17" t="s">
        <v>6</v>
      </c>
      <c r="D266" s="18" t="s">
        <v>127</v>
      </c>
      <c r="E266" s="14" t="str">
        <f>_xlfn.XLOOKUP($D266,'Chart of Accounts'!$A:$A,'Chart of Accounts'!B:B,"")</f>
        <v>Indirect Cost Allocation</v>
      </c>
      <c r="F266" s="14" t="str">
        <f>_xlfn.XLOOKUP($D266,'Chart of Accounts'!$A:$A,'Chart of Accounts'!C:C,"")</f>
        <v>Indirect</v>
      </c>
      <c r="G266" s="14" t="s">
        <v>336</v>
      </c>
      <c r="H266" s="16" t="s">
        <v>785</v>
      </c>
      <c r="I266" s="16">
        <v>3983.5064720280297</v>
      </c>
      <c r="J266" s="16">
        <v>-3983.5064720280297</v>
      </c>
      <c r="K266" s="14" t="s">
        <v>225</v>
      </c>
    </row>
    <row r="267" spans="1:11" ht="15" customHeight="1">
      <c r="A267" s="13">
        <v>46082</v>
      </c>
      <c r="B267" s="14" t="s">
        <v>347</v>
      </c>
      <c r="C267" s="17" t="s">
        <v>6</v>
      </c>
      <c r="D267" s="18" t="s">
        <v>127</v>
      </c>
      <c r="E267" s="14" t="str">
        <f>_xlfn.XLOOKUP($D267,'Chart of Accounts'!$A:$A,'Chart of Accounts'!B:B,"")</f>
        <v>Indirect Cost Allocation</v>
      </c>
      <c r="F267" s="14" t="str">
        <f>_xlfn.XLOOKUP($D267,'Chart of Accounts'!$A:$A,'Chart of Accounts'!C:C,"")</f>
        <v>Indirect</v>
      </c>
      <c r="G267" s="14" t="s">
        <v>337</v>
      </c>
      <c r="H267" s="16" t="s">
        <v>785</v>
      </c>
      <c r="I267" s="16">
        <v>2789.0306732338909</v>
      </c>
      <c r="J267" s="16">
        <v>-2789.0306732338909</v>
      </c>
      <c r="K267" s="14" t="s">
        <v>225</v>
      </c>
    </row>
    <row r="268" spans="1:11" ht="15" customHeight="1">
      <c r="A268" s="13">
        <v>46082</v>
      </c>
      <c r="B268" s="14" t="s">
        <v>347</v>
      </c>
      <c r="C268" s="17" t="s">
        <v>6</v>
      </c>
      <c r="D268" s="18" t="s">
        <v>127</v>
      </c>
      <c r="E268" s="14" t="str">
        <f>_xlfn.XLOOKUP($D268,'Chart of Accounts'!$A:$A,'Chart of Accounts'!B:B,"")</f>
        <v>Indirect Cost Allocation</v>
      </c>
      <c r="F268" s="14" t="str">
        <f>_xlfn.XLOOKUP($D268,'Chart of Accounts'!$A:$A,'Chart of Accounts'!C:C,"")</f>
        <v>Indirect</v>
      </c>
      <c r="G268" s="14" t="s">
        <v>338</v>
      </c>
      <c r="H268" s="16" t="s">
        <v>785</v>
      </c>
      <c r="I268" s="16">
        <v>3752.0215634121369</v>
      </c>
      <c r="J268" s="16">
        <v>-3752.0215634121369</v>
      </c>
      <c r="K268" s="14" t="s">
        <v>225</v>
      </c>
    </row>
    <row r="269" spans="1:11" ht="15" customHeight="1">
      <c r="A269" s="13">
        <v>46082</v>
      </c>
      <c r="B269" s="14" t="s">
        <v>347</v>
      </c>
      <c r="C269" s="17" t="s">
        <v>6</v>
      </c>
      <c r="D269" s="18" t="s">
        <v>127</v>
      </c>
      <c r="E269" s="14" t="str">
        <f>_xlfn.XLOOKUP($D269,'Chart of Accounts'!$A:$A,'Chart of Accounts'!B:B,"")</f>
        <v>Indirect Cost Allocation</v>
      </c>
      <c r="F269" s="14" t="str">
        <f>_xlfn.XLOOKUP($D269,'Chart of Accounts'!$A:$A,'Chart of Accounts'!C:C,"")</f>
        <v>Indirect</v>
      </c>
      <c r="G269" s="14" t="s">
        <v>339</v>
      </c>
      <c r="H269" s="16" t="s">
        <v>785</v>
      </c>
      <c r="I269" s="16">
        <v>4519.9342333202285</v>
      </c>
      <c r="J269" s="16">
        <v>-4519.9342333202285</v>
      </c>
      <c r="K269" s="14" t="s">
        <v>225</v>
      </c>
    </row>
    <row r="270" spans="1:11" ht="15" customHeight="1">
      <c r="A270" s="13">
        <v>46082</v>
      </c>
      <c r="B270" s="14" t="s">
        <v>347</v>
      </c>
      <c r="C270" s="17" t="s">
        <v>8</v>
      </c>
      <c r="D270" s="18" t="s">
        <v>127</v>
      </c>
      <c r="E270" s="14" t="str">
        <f>_xlfn.XLOOKUP($D270,'Chart of Accounts'!$A:$A,'Chart of Accounts'!B:B,"")</f>
        <v>Indirect Cost Allocation</v>
      </c>
      <c r="F270" s="14" t="str">
        <f>_xlfn.XLOOKUP($D270,'Chart of Accounts'!$A:$A,'Chart of Accounts'!C:C,"")</f>
        <v>Indirect</v>
      </c>
      <c r="G270" s="14" t="s">
        <v>335</v>
      </c>
      <c r="H270" s="16" t="s">
        <v>785</v>
      </c>
      <c r="I270" s="16">
        <v>3047.3627512281523</v>
      </c>
      <c r="J270" s="16">
        <v>-3047.3627512281523</v>
      </c>
      <c r="K270" s="14" t="s">
        <v>225</v>
      </c>
    </row>
    <row r="271" spans="1:11" ht="15" customHeight="1">
      <c r="A271" s="13">
        <v>46082</v>
      </c>
      <c r="B271" s="14" t="s">
        <v>347</v>
      </c>
      <c r="C271" s="17" t="s">
        <v>8</v>
      </c>
      <c r="D271" s="18" t="s">
        <v>127</v>
      </c>
      <c r="E271" s="14" t="str">
        <f>_xlfn.XLOOKUP($D271,'Chart of Accounts'!$A:$A,'Chart of Accounts'!B:B,"")</f>
        <v>Indirect Cost Allocation</v>
      </c>
      <c r="F271" s="14" t="str">
        <f>_xlfn.XLOOKUP($D271,'Chart of Accounts'!$A:$A,'Chart of Accounts'!C:C,"")</f>
        <v>Indirect</v>
      </c>
      <c r="G271" s="14" t="s">
        <v>336</v>
      </c>
      <c r="H271" s="16" t="s">
        <v>785</v>
      </c>
      <c r="I271" s="16">
        <v>3478.4609654210462</v>
      </c>
      <c r="J271" s="16">
        <v>-3478.4609654210462</v>
      </c>
      <c r="K271" s="14" t="s">
        <v>225</v>
      </c>
    </row>
    <row r="272" spans="1:11" ht="15" customHeight="1">
      <c r="A272" s="13">
        <v>46082</v>
      </c>
      <c r="B272" s="14" t="s">
        <v>347</v>
      </c>
      <c r="C272" s="17" t="s">
        <v>8</v>
      </c>
      <c r="D272" s="18" t="s">
        <v>127</v>
      </c>
      <c r="E272" s="14" t="str">
        <f>_xlfn.XLOOKUP($D272,'Chart of Accounts'!$A:$A,'Chart of Accounts'!B:B,"")</f>
        <v>Indirect Cost Allocation</v>
      </c>
      <c r="F272" s="14" t="str">
        <f>_xlfn.XLOOKUP($D272,'Chart of Accounts'!$A:$A,'Chart of Accounts'!C:C,"")</f>
        <v>Indirect</v>
      </c>
      <c r="G272" s="14" t="s">
        <v>337</v>
      </c>
      <c r="H272" s="16" t="s">
        <v>785</v>
      </c>
      <c r="I272" s="16">
        <v>2435.4257728284688</v>
      </c>
      <c r="J272" s="16">
        <v>-2435.4257728284688</v>
      </c>
      <c r="K272" s="14" t="s">
        <v>225</v>
      </c>
    </row>
    <row r="273" spans="1:11" ht="15" customHeight="1">
      <c r="A273" s="13">
        <v>46082</v>
      </c>
      <c r="B273" s="14" t="s">
        <v>347</v>
      </c>
      <c r="C273" s="17" t="s">
        <v>8</v>
      </c>
      <c r="D273" s="18" t="s">
        <v>127</v>
      </c>
      <c r="E273" s="14" t="str">
        <f>_xlfn.XLOOKUP($D273,'Chart of Accounts'!$A:$A,'Chart of Accounts'!B:B,"")</f>
        <v>Indirect Cost Allocation</v>
      </c>
      <c r="F273" s="14" t="str">
        <f>_xlfn.XLOOKUP($D273,'Chart of Accounts'!$A:$A,'Chart of Accounts'!C:C,"")</f>
        <v>Indirect</v>
      </c>
      <c r="G273" s="14" t="s">
        <v>338</v>
      </c>
      <c r="H273" s="16" t="s">
        <v>785</v>
      </c>
      <c r="I273" s="16">
        <v>3276.3246756073881</v>
      </c>
      <c r="J273" s="16">
        <v>-3276.3246756073881</v>
      </c>
      <c r="K273" s="14" t="s">
        <v>225</v>
      </c>
    </row>
    <row r="274" spans="1:11" ht="15" customHeight="1">
      <c r="A274" s="13">
        <v>46082</v>
      </c>
      <c r="B274" s="14" t="s">
        <v>347</v>
      </c>
      <c r="C274" s="17" t="s">
        <v>8</v>
      </c>
      <c r="D274" s="18" t="s">
        <v>127</v>
      </c>
      <c r="E274" s="14" t="str">
        <f>_xlfn.XLOOKUP($D274,'Chart of Accounts'!$A:$A,'Chart of Accounts'!B:B,"")</f>
        <v>Indirect Cost Allocation</v>
      </c>
      <c r="F274" s="14" t="str">
        <f>_xlfn.XLOOKUP($D274,'Chart of Accounts'!$A:$A,'Chart of Accounts'!C:C,"")</f>
        <v>Indirect</v>
      </c>
      <c r="G274" s="14" t="s">
        <v>339</v>
      </c>
      <c r="H274" s="16" t="s">
        <v>785</v>
      </c>
      <c r="I274" s="16">
        <v>3946.8781856579571</v>
      </c>
      <c r="J274" s="16">
        <v>-3946.8781856579571</v>
      </c>
      <c r="K274" s="14" t="s">
        <v>225</v>
      </c>
    </row>
    <row r="275" spans="1:11" ht="15" customHeight="1">
      <c r="A275" s="13">
        <v>46082</v>
      </c>
      <c r="B275" s="14" t="s">
        <v>347</v>
      </c>
      <c r="C275" s="17" t="s">
        <v>10</v>
      </c>
      <c r="D275" s="18" t="s">
        <v>127</v>
      </c>
      <c r="E275" s="14" t="str">
        <f>_xlfn.XLOOKUP($D275,'Chart of Accounts'!$A:$A,'Chart of Accounts'!B:B,"")</f>
        <v>Indirect Cost Allocation</v>
      </c>
      <c r="F275" s="14" t="str">
        <f>_xlfn.XLOOKUP($D275,'Chart of Accounts'!$A:$A,'Chart of Accounts'!C:C,"")</f>
        <v>Indirect</v>
      </c>
      <c r="G275" s="14" t="s">
        <v>335</v>
      </c>
      <c r="H275" s="16" t="s">
        <v>785</v>
      </c>
      <c r="I275" s="16">
        <v>1692.6402623384349</v>
      </c>
      <c r="J275" s="16">
        <v>-1692.6402623384349</v>
      </c>
      <c r="K275" s="14" t="s">
        <v>225</v>
      </c>
    </row>
    <row r="276" spans="1:11" ht="15" customHeight="1">
      <c r="A276" s="13">
        <v>46082</v>
      </c>
      <c r="B276" s="14" t="s">
        <v>347</v>
      </c>
      <c r="C276" s="17" t="s">
        <v>10</v>
      </c>
      <c r="D276" s="18" t="s">
        <v>127</v>
      </c>
      <c r="E276" s="14" t="str">
        <f>_xlfn.XLOOKUP($D276,'Chart of Accounts'!$A:$A,'Chart of Accounts'!B:B,"")</f>
        <v>Indirect Cost Allocation</v>
      </c>
      <c r="F276" s="14" t="str">
        <f>_xlfn.XLOOKUP($D276,'Chart of Accounts'!$A:$A,'Chart of Accounts'!C:C,"")</f>
        <v>Indirect</v>
      </c>
      <c r="G276" s="14" t="s">
        <v>336</v>
      </c>
      <c r="H276" s="16" t="s">
        <v>785</v>
      </c>
      <c r="I276" s="16">
        <v>1932.0913070396305</v>
      </c>
      <c r="J276" s="16">
        <v>-1932.0913070396305</v>
      </c>
      <c r="K276" s="14" t="s">
        <v>225</v>
      </c>
    </row>
    <row r="277" spans="1:11" ht="15" customHeight="1">
      <c r="A277" s="13">
        <v>46082</v>
      </c>
      <c r="B277" s="14" t="s">
        <v>347</v>
      </c>
      <c r="C277" s="17" t="s">
        <v>10</v>
      </c>
      <c r="D277" s="18" t="s">
        <v>127</v>
      </c>
      <c r="E277" s="14" t="str">
        <f>_xlfn.XLOOKUP($D277,'Chart of Accounts'!$A:$A,'Chart of Accounts'!B:B,"")</f>
        <v>Indirect Cost Allocation</v>
      </c>
      <c r="F277" s="14" t="str">
        <f>_xlfn.XLOOKUP($D277,'Chart of Accounts'!$A:$A,'Chart of Accounts'!C:C,"")</f>
        <v>Indirect</v>
      </c>
      <c r="G277" s="14" t="s">
        <v>337</v>
      </c>
      <c r="H277" s="16" t="s">
        <v>785</v>
      </c>
      <c r="I277" s="16">
        <v>1352.743357306179</v>
      </c>
      <c r="J277" s="16">
        <v>-1352.743357306179</v>
      </c>
      <c r="K277" s="14" t="s">
        <v>225</v>
      </c>
    </row>
    <row r="278" spans="1:11" ht="15" customHeight="1">
      <c r="A278" s="13">
        <v>46082</v>
      </c>
      <c r="B278" s="14" t="s">
        <v>347</v>
      </c>
      <c r="C278" s="17" t="s">
        <v>10</v>
      </c>
      <c r="D278" s="18" t="s">
        <v>127</v>
      </c>
      <c r="E278" s="14" t="str">
        <f>_xlfn.XLOOKUP($D278,'Chart of Accounts'!$A:$A,'Chart of Accounts'!B:B,"")</f>
        <v>Indirect Cost Allocation</v>
      </c>
      <c r="F278" s="14" t="str">
        <f>_xlfn.XLOOKUP($D278,'Chart of Accounts'!$A:$A,'Chart of Accounts'!C:C,"")</f>
        <v>Indirect</v>
      </c>
      <c r="G278" s="14" t="s">
        <v>338</v>
      </c>
      <c r="H278" s="16" t="s">
        <v>785</v>
      </c>
      <c r="I278" s="16">
        <v>1819.8158575610883</v>
      </c>
      <c r="J278" s="16">
        <v>-1819.8158575610883</v>
      </c>
      <c r="K278" s="14" t="s">
        <v>225</v>
      </c>
    </row>
    <row r="279" spans="1:11" ht="15" customHeight="1">
      <c r="A279" s="13">
        <v>46082</v>
      </c>
      <c r="B279" s="14" t="s">
        <v>347</v>
      </c>
      <c r="C279" s="17" t="s">
        <v>10</v>
      </c>
      <c r="D279" s="18" t="s">
        <v>127</v>
      </c>
      <c r="E279" s="14" t="str">
        <f>_xlfn.XLOOKUP($D279,'Chart of Accounts'!$A:$A,'Chart of Accounts'!B:B,"")</f>
        <v>Indirect Cost Allocation</v>
      </c>
      <c r="F279" s="14" t="str">
        <f>_xlfn.XLOOKUP($D279,'Chart of Accounts'!$A:$A,'Chart of Accounts'!C:C,"")</f>
        <v>Indirect</v>
      </c>
      <c r="G279" s="14" t="s">
        <v>339</v>
      </c>
      <c r="H279" s="16" t="s">
        <v>785</v>
      </c>
      <c r="I279" s="16">
        <v>2192.2709808333411</v>
      </c>
      <c r="J279" s="16">
        <v>-2192.2709808333411</v>
      </c>
      <c r="K279" s="14" t="s">
        <v>225</v>
      </c>
    </row>
    <row r="280" spans="1:11" ht="15" customHeight="1">
      <c r="A280" s="13">
        <v>46113</v>
      </c>
      <c r="B280" s="14" t="s">
        <v>348</v>
      </c>
      <c r="C280" s="17" t="s">
        <v>4</v>
      </c>
      <c r="D280" s="18" t="s">
        <v>127</v>
      </c>
      <c r="E280" s="14" t="str">
        <f>_xlfn.XLOOKUP($D280,'Chart of Accounts'!$A:$A,'Chart of Accounts'!B:B,"")</f>
        <v>Indirect Cost Allocation</v>
      </c>
      <c r="F280" s="14" t="str">
        <f>_xlfn.XLOOKUP($D280,'Chart of Accounts'!$A:$A,'Chart of Accounts'!C:C,"")</f>
        <v>Indirect</v>
      </c>
      <c r="G280" s="14" t="s">
        <v>335</v>
      </c>
      <c r="H280" s="16" t="s">
        <v>785</v>
      </c>
      <c r="I280" s="16">
        <v>2568.0616616448601</v>
      </c>
      <c r="J280" s="16">
        <v>-2568.0616616448601</v>
      </c>
      <c r="K280" s="14" t="s">
        <v>225</v>
      </c>
    </row>
    <row r="281" spans="1:11" ht="15" customHeight="1">
      <c r="A281" s="13">
        <v>46113</v>
      </c>
      <c r="B281" s="14" t="s">
        <v>348</v>
      </c>
      <c r="C281" s="17" t="s">
        <v>4</v>
      </c>
      <c r="D281" s="18" t="s">
        <v>127</v>
      </c>
      <c r="E281" s="14" t="str">
        <f>_xlfn.XLOOKUP($D281,'Chart of Accounts'!$A:$A,'Chart of Accounts'!B:B,"")</f>
        <v>Indirect Cost Allocation</v>
      </c>
      <c r="F281" s="14" t="str">
        <f>_xlfn.XLOOKUP($D281,'Chart of Accounts'!$A:$A,'Chart of Accounts'!C:C,"")</f>
        <v>Indirect</v>
      </c>
      <c r="G281" s="14" t="s">
        <v>336</v>
      </c>
      <c r="H281" s="16" t="s">
        <v>785</v>
      </c>
      <c r="I281" s="16">
        <v>2914.5395267790263</v>
      </c>
      <c r="J281" s="16">
        <v>-2914.5395267790263</v>
      </c>
      <c r="K281" s="14" t="s">
        <v>225</v>
      </c>
    </row>
    <row r="282" spans="1:11" ht="15" customHeight="1">
      <c r="A282" s="13">
        <v>46113</v>
      </c>
      <c r="B282" s="14" t="s">
        <v>348</v>
      </c>
      <c r="C282" s="17" t="s">
        <v>4</v>
      </c>
      <c r="D282" s="18" t="s">
        <v>127</v>
      </c>
      <c r="E282" s="14" t="str">
        <f>_xlfn.XLOOKUP($D282,'Chart of Accounts'!$A:$A,'Chart of Accounts'!B:B,"")</f>
        <v>Indirect Cost Allocation</v>
      </c>
      <c r="F282" s="14" t="str">
        <f>_xlfn.XLOOKUP($D282,'Chart of Accounts'!$A:$A,'Chart of Accounts'!C:C,"")</f>
        <v>Indirect</v>
      </c>
      <c r="G282" s="14" t="s">
        <v>337</v>
      </c>
      <c r="H282" s="16" t="s">
        <v>785</v>
      </c>
      <c r="I282" s="16">
        <v>1794.8784460095633</v>
      </c>
      <c r="J282" s="16">
        <v>-1794.8784460095633</v>
      </c>
      <c r="K282" s="14" t="s">
        <v>225</v>
      </c>
    </row>
    <row r="283" spans="1:11" ht="15" customHeight="1">
      <c r="A283" s="13">
        <v>46113</v>
      </c>
      <c r="B283" s="14" t="s">
        <v>348</v>
      </c>
      <c r="C283" s="17" t="s">
        <v>4</v>
      </c>
      <c r="D283" s="18" t="s">
        <v>127</v>
      </c>
      <c r="E283" s="14" t="str">
        <f>_xlfn.XLOOKUP($D283,'Chart of Accounts'!$A:$A,'Chart of Accounts'!B:B,"")</f>
        <v>Indirect Cost Allocation</v>
      </c>
      <c r="F283" s="14" t="str">
        <f>_xlfn.XLOOKUP($D283,'Chart of Accounts'!$A:$A,'Chart of Accounts'!C:C,"")</f>
        <v>Indirect</v>
      </c>
      <c r="G283" s="14" t="s">
        <v>338</v>
      </c>
      <c r="H283" s="16" t="s">
        <v>785</v>
      </c>
      <c r="I283" s="16">
        <v>2733.6006385072892</v>
      </c>
      <c r="J283" s="16">
        <v>-2733.6006385072892</v>
      </c>
      <c r="K283" s="14" t="s">
        <v>225</v>
      </c>
    </row>
    <row r="284" spans="1:11" ht="15" customHeight="1">
      <c r="A284" s="13">
        <v>46113</v>
      </c>
      <c r="B284" s="14" t="s">
        <v>348</v>
      </c>
      <c r="C284" s="17" t="s">
        <v>4</v>
      </c>
      <c r="D284" s="18" t="s">
        <v>127</v>
      </c>
      <c r="E284" s="14" t="str">
        <f>_xlfn.XLOOKUP($D284,'Chart of Accounts'!$A:$A,'Chart of Accounts'!B:B,"")</f>
        <v>Indirect Cost Allocation</v>
      </c>
      <c r="F284" s="14" t="str">
        <f>_xlfn.XLOOKUP($D284,'Chart of Accounts'!$A:$A,'Chart of Accounts'!C:C,"")</f>
        <v>Indirect</v>
      </c>
      <c r="G284" s="14" t="s">
        <v>339</v>
      </c>
      <c r="H284" s="16" t="s">
        <v>785</v>
      </c>
      <c r="I284" s="16">
        <v>3266.5681304683512</v>
      </c>
      <c r="J284" s="16">
        <v>-3266.5681304683512</v>
      </c>
      <c r="K284" s="14" t="s">
        <v>225</v>
      </c>
    </row>
    <row r="285" spans="1:11" ht="15" customHeight="1">
      <c r="A285" s="13">
        <v>46113</v>
      </c>
      <c r="B285" s="14" t="s">
        <v>348</v>
      </c>
      <c r="C285" s="17" t="s">
        <v>6</v>
      </c>
      <c r="D285" s="18" t="s">
        <v>127</v>
      </c>
      <c r="E285" s="14" t="str">
        <f>_xlfn.XLOOKUP($D285,'Chart of Accounts'!$A:$A,'Chart of Accounts'!B:B,"")</f>
        <v>Indirect Cost Allocation</v>
      </c>
      <c r="F285" s="14" t="str">
        <f>_xlfn.XLOOKUP($D285,'Chart of Accounts'!$A:$A,'Chart of Accounts'!C:C,"")</f>
        <v>Indirect</v>
      </c>
      <c r="G285" s="14" t="s">
        <v>335</v>
      </c>
      <c r="H285" s="16" t="s">
        <v>785</v>
      </c>
      <c r="I285" s="16">
        <v>3438.9526850847046</v>
      </c>
      <c r="J285" s="16">
        <v>-3438.9526850847046</v>
      </c>
      <c r="K285" s="14" t="s">
        <v>225</v>
      </c>
    </row>
    <row r="286" spans="1:11" ht="15" customHeight="1">
      <c r="A286" s="13">
        <v>46113</v>
      </c>
      <c r="B286" s="14" t="s">
        <v>348</v>
      </c>
      <c r="C286" s="17" t="s">
        <v>6</v>
      </c>
      <c r="D286" s="18" t="s">
        <v>127</v>
      </c>
      <c r="E286" s="14" t="str">
        <f>_xlfn.XLOOKUP($D286,'Chart of Accounts'!$A:$A,'Chart of Accounts'!B:B,"")</f>
        <v>Indirect Cost Allocation</v>
      </c>
      <c r="F286" s="14" t="str">
        <f>_xlfn.XLOOKUP($D286,'Chart of Accounts'!$A:$A,'Chart of Accounts'!C:C,"")</f>
        <v>Indirect</v>
      </c>
      <c r="G286" s="14" t="s">
        <v>336</v>
      </c>
      <c r="H286" s="16" t="s">
        <v>785</v>
      </c>
      <c r="I286" s="16">
        <v>3902.9294666478004</v>
      </c>
      <c r="J286" s="16">
        <v>-3902.9294666478004</v>
      </c>
      <c r="K286" s="14" t="s">
        <v>225</v>
      </c>
    </row>
    <row r="287" spans="1:11" ht="15" customHeight="1">
      <c r="A287" s="13">
        <v>46113</v>
      </c>
      <c r="B287" s="14" t="s">
        <v>348</v>
      </c>
      <c r="C287" s="17" t="s">
        <v>6</v>
      </c>
      <c r="D287" s="18" t="s">
        <v>127</v>
      </c>
      <c r="E287" s="14" t="str">
        <f>_xlfn.XLOOKUP($D287,'Chart of Accounts'!$A:$A,'Chart of Accounts'!B:B,"")</f>
        <v>Indirect Cost Allocation</v>
      </c>
      <c r="F287" s="14" t="str">
        <f>_xlfn.XLOOKUP($D287,'Chart of Accounts'!$A:$A,'Chart of Accounts'!C:C,"")</f>
        <v>Indirect</v>
      </c>
      <c r="G287" s="14" t="s">
        <v>337</v>
      </c>
      <c r="H287" s="16" t="s">
        <v>785</v>
      </c>
      <c r="I287" s="16">
        <v>2403.5645808254162</v>
      </c>
      <c r="J287" s="16">
        <v>-2403.5645808254162</v>
      </c>
      <c r="K287" s="14" t="s">
        <v>225</v>
      </c>
    </row>
    <row r="288" spans="1:11" ht="15" customHeight="1">
      <c r="A288" s="13">
        <v>46113</v>
      </c>
      <c r="B288" s="14" t="s">
        <v>348</v>
      </c>
      <c r="C288" s="17" t="s">
        <v>6</v>
      </c>
      <c r="D288" s="18" t="s">
        <v>127</v>
      </c>
      <c r="E288" s="14" t="str">
        <f>_xlfn.XLOOKUP($D288,'Chart of Accounts'!$A:$A,'Chart of Accounts'!B:B,"")</f>
        <v>Indirect Cost Allocation</v>
      </c>
      <c r="F288" s="14" t="str">
        <f>_xlfn.XLOOKUP($D288,'Chart of Accounts'!$A:$A,'Chart of Accounts'!C:C,"")</f>
        <v>Indirect</v>
      </c>
      <c r="G288" s="14" t="s">
        <v>338</v>
      </c>
      <c r="H288" s="16" t="s">
        <v>785</v>
      </c>
      <c r="I288" s="16">
        <v>3660.6298813411991</v>
      </c>
      <c r="J288" s="16">
        <v>-3660.6298813411991</v>
      </c>
      <c r="K288" s="14" t="s">
        <v>225</v>
      </c>
    </row>
    <row r="289" spans="1:11" ht="15" customHeight="1">
      <c r="A289" s="13">
        <v>46113</v>
      </c>
      <c r="B289" s="14" t="s">
        <v>348</v>
      </c>
      <c r="C289" s="17" t="s">
        <v>6</v>
      </c>
      <c r="D289" s="18" t="s">
        <v>127</v>
      </c>
      <c r="E289" s="14" t="str">
        <f>_xlfn.XLOOKUP($D289,'Chart of Accounts'!$A:$A,'Chart of Accounts'!B:B,"")</f>
        <v>Indirect Cost Allocation</v>
      </c>
      <c r="F289" s="14" t="str">
        <f>_xlfn.XLOOKUP($D289,'Chart of Accounts'!$A:$A,'Chart of Accounts'!C:C,"")</f>
        <v>Indirect</v>
      </c>
      <c r="G289" s="14" t="s">
        <v>339</v>
      </c>
      <c r="H289" s="16" t="s">
        <v>785</v>
      </c>
      <c r="I289" s="16">
        <v>4374.3393747372429</v>
      </c>
      <c r="J289" s="16">
        <v>-4374.3393747372429</v>
      </c>
      <c r="K289" s="14" t="s">
        <v>225</v>
      </c>
    </row>
    <row r="290" spans="1:11" ht="15" customHeight="1">
      <c r="A290" s="13">
        <v>46113</v>
      </c>
      <c r="B290" s="14" t="s">
        <v>348</v>
      </c>
      <c r="C290" s="17" t="s">
        <v>8</v>
      </c>
      <c r="D290" s="18" t="s">
        <v>127</v>
      </c>
      <c r="E290" s="14" t="str">
        <f>_xlfn.XLOOKUP($D290,'Chart of Accounts'!$A:$A,'Chart of Accounts'!B:B,"")</f>
        <v>Indirect Cost Allocation</v>
      </c>
      <c r="F290" s="14" t="str">
        <f>_xlfn.XLOOKUP($D290,'Chart of Accounts'!$A:$A,'Chart of Accounts'!C:C,"")</f>
        <v>Indirect</v>
      </c>
      <c r="G290" s="14" t="s">
        <v>335</v>
      </c>
      <c r="H290" s="16" t="s">
        <v>785</v>
      </c>
      <c r="I290" s="16">
        <v>3264.6912548271403</v>
      </c>
      <c r="J290" s="16">
        <v>-3264.6912548271403</v>
      </c>
      <c r="K290" s="14" t="s">
        <v>225</v>
      </c>
    </row>
    <row r="291" spans="1:11" ht="15" customHeight="1">
      <c r="A291" s="13">
        <v>46113</v>
      </c>
      <c r="B291" s="14" t="s">
        <v>348</v>
      </c>
      <c r="C291" s="17" t="s">
        <v>8</v>
      </c>
      <c r="D291" s="18" t="s">
        <v>127</v>
      </c>
      <c r="E291" s="14" t="str">
        <f>_xlfn.XLOOKUP($D291,'Chart of Accounts'!$A:$A,'Chart of Accounts'!B:B,"")</f>
        <v>Indirect Cost Allocation</v>
      </c>
      <c r="F291" s="14" t="str">
        <f>_xlfn.XLOOKUP($D291,'Chart of Accounts'!$A:$A,'Chart of Accounts'!C:C,"")</f>
        <v>Indirect</v>
      </c>
      <c r="G291" s="14" t="s">
        <v>336</v>
      </c>
      <c r="H291" s="16" t="s">
        <v>785</v>
      </c>
      <c r="I291" s="16">
        <v>3705.157024473102</v>
      </c>
      <c r="J291" s="16">
        <v>-3705.157024473102</v>
      </c>
      <c r="K291" s="14" t="s">
        <v>225</v>
      </c>
    </row>
    <row r="292" spans="1:11" ht="15" customHeight="1">
      <c r="A292" s="13">
        <v>46113</v>
      </c>
      <c r="B292" s="14" t="s">
        <v>348</v>
      </c>
      <c r="C292" s="17" t="s">
        <v>8</v>
      </c>
      <c r="D292" s="18" t="s">
        <v>127</v>
      </c>
      <c r="E292" s="14" t="str">
        <f>_xlfn.XLOOKUP($D292,'Chart of Accounts'!$A:$A,'Chart of Accounts'!B:B,"")</f>
        <v>Indirect Cost Allocation</v>
      </c>
      <c r="F292" s="14" t="str">
        <f>_xlfn.XLOOKUP($D292,'Chart of Accounts'!$A:$A,'Chart of Accounts'!C:C,"")</f>
        <v>Indirect</v>
      </c>
      <c r="G292" s="14" t="s">
        <v>337</v>
      </c>
      <c r="H292" s="16" t="s">
        <v>785</v>
      </c>
      <c r="I292" s="16">
        <v>2281.7691855622961</v>
      </c>
      <c r="J292" s="16">
        <v>-2281.7691855622961</v>
      </c>
      <c r="K292" s="14" t="s">
        <v>225</v>
      </c>
    </row>
    <row r="293" spans="1:11" ht="15" customHeight="1">
      <c r="A293" s="13">
        <v>46113</v>
      </c>
      <c r="B293" s="14" t="s">
        <v>348</v>
      </c>
      <c r="C293" s="17" t="s">
        <v>8</v>
      </c>
      <c r="D293" s="18" t="s">
        <v>127</v>
      </c>
      <c r="E293" s="14" t="str">
        <f>_xlfn.XLOOKUP($D293,'Chart of Accounts'!$A:$A,'Chart of Accounts'!B:B,"")</f>
        <v>Indirect Cost Allocation</v>
      </c>
      <c r="F293" s="14" t="str">
        <f>_xlfn.XLOOKUP($D293,'Chart of Accounts'!$A:$A,'Chart of Accounts'!C:C,"")</f>
        <v>Indirect</v>
      </c>
      <c r="G293" s="14" t="s">
        <v>338</v>
      </c>
      <c r="H293" s="16" t="s">
        <v>785</v>
      </c>
      <c r="I293" s="16">
        <v>3475.1354424287938</v>
      </c>
      <c r="J293" s="16">
        <v>-3475.1354424287938</v>
      </c>
      <c r="K293" s="14" t="s">
        <v>225</v>
      </c>
    </row>
    <row r="294" spans="1:11" ht="15" customHeight="1">
      <c r="A294" s="13">
        <v>46113</v>
      </c>
      <c r="B294" s="14" t="s">
        <v>348</v>
      </c>
      <c r="C294" s="17" t="s">
        <v>8</v>
      </c>
      <c r="D294" s="18" t="s">
        <v>127</v>
      </c>
      <c r="E294" s="14" t="str">
        <f>_xlfn.XLOOKUP($D294,'Chart of Accounts'!$A:$A,'Chart of Accounts'!B:B,"")</f>
        <v>Indirect Cost Allocation</v>
      </c>
      <c r="F294" s="14" t="str">
        <f>_xlfn.XLOOKUP($D294,'Chart of Accounts'!$A:$A,'Chart of Accounts'!C:C,"")</f>
        <v>Indirect</v>
      </c>
      <c r="G294" s="14" t="s">
        <v>339</v>
      </c>
      <c r="H294" s="16" t="s">
        <v>785</v>
      </c>
      <c r="I294" s="16">
        <v>4152.6792631632106</v>
      </c>
      <c r="J294" s="16">
        <v>-4152.6792631632106</v>
      </c>
      <c r="K294" s="14" t="s">
        <v>225</v>
      </c>
    </row>
    <row r="295" spans="1:11" ht="15" customHeight="1">
      <c r="A295" s="13">
        <v>46113</v>
      </c>
      <c r="B295" s="14" t="s">
        <v>348</v>
      </c>
      <c r="C295" s="17" t="s">
        <v>10</v>
      </c>
      <c r="D295" s="18" t="s">
        <v>127</v>
      </c>
      <c r="E295" s="14" t="str">
        <f>_xlfn.XLOOKUP($D295,'Chart of Accounts'!$A:$A,'Chart of Accounts'!B:B,"")</f>
        <v>Indirect Cost Allocation</v>
      </c>
      <c r="F295" s="14" t="str">
        <f>_xlfn.XLOOKUP($D295,'Chart of Accounts'!$A:$A,'Chart of Accounts'!C:C,"")</f>
        <v>Indirect</v>
      </c>
      <c r="G295" s="14" t="s">
        <v>335</v>
      </c>
      <c r="H295" s="16" t="s">
        <v>785</v>
      </c>
      <c r="I295" s="16">
        <v>2021.0196762030348</v>
      </c>
      <c r="J295" s="16">
        <v>-2021.0196762030348</v>
      </c>
      <c r="K295" s="14" t="s">
        <v>225</v>
      </c>
    </row>
    <row r="296" spans="1:11" ht="15" customHeight="1">
      <c r="A296" s="13">
        <v>46113</v>
      </c>
      <c r="B296" s="14" t="s">
        <v>348</v>
      </c>
      <c r="C296" s="17" t="s">
        <v>10</v>
      </c>
      <c r="D296" s="18" t="s">
        <v>127</v>
      </c>
      <c r="E296" s="14" t="str">
        <f>_xlfn.XLOOKUP($D296,'Chart of Accounts'!$A:$A,'Chart of Accounts'!B:B,"")</f>
        <v>Indirect Cost Allocation</v>
      </c>
      <c r="F296" s="14" t="str">
        <f>_xlfn.XLOOKUP($D296,'Chart of Accounts'!$A:$A,'Chart of Accounts'!C:C,"")</f>
        <v>Indirect</v>
      </c>
      <c r="G296" s="14" t="s">
        <v>336</v>
      </c>
      <c r="H296" s="16" t="s">
        <v>785</v>
      </c>
      <c r="I296" s="16">
        <v>2293.6917047852708</v>
      </c>
      <c r="J296" s="16">
        <v>-2293.6917047852708</v>
      </c>
      <c r="K296" s="14" t="s">
        <v>225</v>
      </c>
    </row>
    <row r="297" spans="1:11" ht="15" customHeight="1">
      <c r="A297" s="13">
        <v>46113</v>
      </c>
      <c r="B297" s="14" t="s">
        <v>348</v>
      </c>
      <c r="C297" s="17" t="s">
        <v>10</v>
      </c>
      <c r="D297" s="18" t="s">
        <v>127</v>
      </c>
      <c r="E297" s="14" t="str">
        <f>_xlfn.XLOOKUP($D297,'Chart of Accounts'!$A:$A,'Chart of Accounts'!B:B,"")</f>
        <v>Indirect Cost Allocation</v>
      </c>
      <c r="F297" s="14" t="str">
        <f>_xlfn.XLOOKUP($D297,'Chart of Accounts'!$A:$A,'Chart of Accounts'!C:C,"")</f>
        <v>Indirect</v>
      </c>
      <c r="G297" s="14" t="s">
        <v>337</v>
      </c>
      <c r="H297" s="16" t="s">
        <v>785</v>
      </c>
      <c r="I297" s="16">
        <v>1412.5379892376209</v>
      </c>
      <c r="J297" s="16">
        <v>-1412.5379892376209</v>
      </c>
      <c r="K297" s="14" t="s">
        <v>225</v>
      </c>
    </row>
    <row r="298" spans="1:11" ht="15" customHeight="1">
      <c r="A298" s="13">
        <v>46113</v>
      </c>
      <c r="B298" s="14" t="s">
        <v>348</v>
      </c>
      <c r="C298" s="17" t="s">
        <v>10</v>
      </c>
      <c r="D298" s="18" t="s">
        <v>127</v>
      </c>
      <c r="E298" s="14" t="str">
        <f>_xlfn.XLOOKUP($D298,'Chart of Accounts'!$A:$A,'Chart of Accounts'!B:B,"")</f>
        <v>Indirect Cost Allocation</v>
      </c>
      <c r="F298" s="14" t="str">
        <f>_xlfn.XLOOKUP($D298,'Chart of Accounts'!$A:$A,'Chart of Accounts'!C:C,"")</f>
        <v>Indirect</v>
      </c>
      <c r="G298" s="14" t="s">
        <v>338</v>
      </c>
      <c r="H298" s="16" t="s">
        <v>785</v>
      </c>
      <c r="I298" s="16">
        <v>2151.2959598352595</v>
      </c>
      <c r="J298" s="16">
        <v>-2151.2959598352595</v>
      </c>
      <c r="K298" s="14" t="s">
        <v>225</v>
      </c>
    </row>
    <row r="299" spans="1:11" ht="15" customHeight="1">
      <c r="A299" s="13">
        <v>46113</v>
      </c>
      <c r="B299" s="14" t="s">
        <v>348</v>
      </c>
      <c r="C299" s="17" t="s">
        <v>10</v>
      </c>
      <c r="D299" s="18" t="s">
        <v>127</v>
      </c>
      <c r="E299" s="14" t="str">
        <f>_xlfn.XLOOKUP($D299,'Chart of Accounts'!$A:$A,'Chart of Accounts'!B:B,"")</f>
        <v>Indirect Cost Allocation</v>
      </c>
      <c r="F299" s="14" t="str">
        <f>_xlfn.XLOOKUP($D299,'Chart of Accounts'!$A:$A,'Chart of Accounts'!C:C,"")</f>
        <v>Indirect</v>
      </c>
      <c r="G299" s="14" t="s">
        <v>339</v>
      </c>
      <c r="H299" s="16" t="s">
        <v>785</v>
      </c>
      <c r="I299" s="16">
        <v>2570.7320676660879</v>
      </c>
      <c r="J299" s="16">
        <v>-2570.7320676660879</v>
      </c>
      <c r="K299" s="14" t="s">
        <v>225</v>
      </c>
    </row>
    <row r="300" spans="1:11" ht="15" customHeight="1">
      <c r="A300" s="13">
        <v>46143</v>
      </c>
      <c r="B300" s="14" t="s">
        <v>349</v>
      </c>
      <c r="C300" s="17" t="s">
        <v>4</v>
      </c>
      <c r="D300" s="18" t="s">
        <v>127</v>
      </c>
      <c r="E300" s="14" t="str">
        <f>_xlfn.XLOOKUP($D300,'Chart of Accounts'!$A:$A,'Chart of Accounts'!B:B,"")</f>
        <v>Indirect Cost Allocation</v>
      </c>
      <c r="F300" s="14" t="str">
        <f>_xlfn.XLOOKUP($D300,'Chart of Accounts'!$A:$A,'Chart of Accounts'!C:C,"")</f>
        <v>Indirect</v>
      </c>
      <c r="G300" s="14" t="s">
        <v>335</v>
      </c>
      <c r="H300" s="16" t="s">
        <v>785</v>
      </c>
      <c r="I300" s="16">
        <v>2421.9362294860498</v>
      </c>
      <c r="J300" s="16">
        <v>-2421.9362294860498</v>
      </c>
      <c r="K300" s="14" t="s">
        <v>225</v>
      </c>
    </row>
    <row r="301" spans="1:11" ht="15" customHeight="1">
      <c r="A301" s="13">
        <v>46143</v>
      </c>
      <c r="B301" s="14" t="s">
        <v>349</v>
      </c>
      <c r="C301" s="17" t="s">
        <v>4</v>
      </c>
      <c r="D301" s="18" t="s">
        <v>127</v>
      </c>
      <c r="E301" s="14" t="str">
        <f>_xlfn.XLOOKUP($D301,'Chart of Accounts'!$A:$A,'Chart of Accounts'!B:B,"")</f>
        <v>Indirect Cost Allocation</v>
      </c>
      <c r="F301" s="14" t="str">
        <f>_xlfn.XLOOKUP($D301,'Chart of Accounts'!$A:$A,'Chart of Accounts'!C:C,"")</f>
        <v>Indirect</v>
      </c>
      <c r="G301" s="14" t="s">
        <v>336</v>
      </c>
      <c r="H301" s="16" t="s">
        <v>785</v>
      </c>
      <c r="I301" s="16">
        <v>2803.3789612720443</v>
      </c>
      <c r="J301" s="16">
        <v>-2803.3789612720443</v>
      </c>
      <c r="K301" s="14" t="s">
        <v>225</v>
      </c>
    </row>
    <row r="302" spans="1:11" ht="15" customHeight="1">
      <c r="A302" s="13">
        <v>46143</v>
      </c>
      <c r="B302" s="14" t="s">
        <v>349</v>
      </c>
      <c r="C302" s="17" t="s">
        <v>4</v>
      </c>
      <c r="D302" s="18" t="s">
        <v>127</v>
      </c>
      <c r="E302" s="14" t="str">
        <f>_xlfn.XLOOKUP($D302,'Chart of Accounts'!$A:$A,'Chart of Accounts'!B:B,"")</f>
        <v>Indirect Cost Allocation</v>
      </c>
      <c r="F302" s="14" t="str">
        <f>_xlfn.XLOOKUP($D302,'Chart of Accounts'!$A:$A,'Chart of Accounts'!C:C,"")</f>
        <v>Indirect</v>
      </c>
      <c r="G302" s="14" t="s">
        <v>337</v>
      </c>
      <c r="H302" s="16" t="s">
        <v>785</v>
      </c>
      <c r="I302" s="16">
        <v>1175.7814571953702</v>
      </c>
      <c r="J302" s="16">
        <v>-1175.7814571953702</v>
      </c>
      <c r="K302" s="14" t="s">
        <v>225</v>
      </c>
    </row>
    <row r="303" spans="1:11" ht="15" customHeight="1">
      <c r="A303" s="13">
        <v>46143</v>
      </c>
      <c r="B303" s="14" t="s">
        <v>349</v>
      </c>
      <c r="C303" s="17" t="s">
        <v>4</v>
      </c>
      <c r="D303" s="18" t="s">
        <v>127</v>
      </c>
      <c r="E303" s="14" t="str">
        <f>_xlfn.XLOOKUP($D303,'Chart of Accounts'!$A:$A,'Chart of Accounts'!B:B,"")</f>
        <v>Indirect Cost Allocation</v>
      </c>
      <c r="F303" s="14" t="str">
        <f>_xlfn.XLOOKUP($D303,'Chart of Accounts'!$A:$A,'Chart of Accounts'!C:C,"")</f>
        <v>Indirect</v>
      </c>
      <c r="G303" s="14" t="s">
        <v>338</v>
      </c>
      <c r="H303" s="16" t="s">
        <v>785</v>
      </c>
      <c r="I303" s="16">
        <v>2610.402687789609</v>
      </c>
      <c r="J303" s="16">
        <v>-2610.402687789609</v>
      </c>
      <c r="K303" s="14" t="s">
        <v>225</v>
      </c>
    </row>
    <row r="304" spans="1:11" ht="15" customHeight="1">
      <c r="A304" s="13">
        <v>46143</v>
      </c>
      <c r="B304" s="14" t="s">
        <v>349</v>
      </c>
      <c r="C304" s="17" t="s">
        <v>4</v>
      </c>
      <c r="D304" s="18" t="s">
        <v>127</v>
      </c>
      <c r="E304" s="14" t="str">
        <f>_xlfn.XLOOKUP($D304,'Chart of Accounts'!$A:$A,'Chart of Accounts'!B:B,"")</f>
        <v>Indirect Cost Allocation</v>
      </c>
      <c r="F304" s="14" t="str">
        <f>_xlfn.XLOOKUP($D304,'Chart of Accounts'!$A:$A,'Chart of Accounts'!C:C,"")</f>
        <v>Indirect</v>
      </c>
      <c r="G304" s="14" t="s">
        <v>339</v>
      </c>
      <c r="H304" s="16" t="s">
        <v>785</v>
      </c>
      <c r="I304" s="16">
        <v>3159.6497319080304</v>
      </c>
      <c r="J304" s="16">
        <v>-3159.6497319080304</v>
      </c>
      <c r="K304" s="14" t="s">
        <v>225</v>
      </c>
    </row>
    <row r="305" spans="1:11" ht="15" customHeight="1">
      <c r="A305" s="13">
        <v>46143</v>
      </c>
      <c r="B305" s="14" t="s">
        <v>349</v>
      </c>
      <c r="C305" s="17" t="s">
        <v>6</v>
      </c>
      <c r="D305" s="18" t="s">
        <v>127</v>
      </c>
      <c r="E305" s="14" t="str">
        <f>_xlfn.XLOOKUP($D305,'Chart of Accounts'!$A:$A,'Chart of Accounts'!B:B,"")</f>
        <v>Indirect Cost Allocation</v>
      </c>
      <c r="F305" s="14" t="str">
        <f>_xlfn.XLOOKUP($D305,'Chart of Accounts'!$A:$A,'Chart of Accounts'!C:C,"")</f>
        <v>Indirect</v>
      </c>
      <c r="G305" s="14" t="s">
        <v>335</v>
      </c>
      <c r="H305" s="16" t="s">
        <v>785</v>
      </c>
      <c r="I305" s="16">
        <v>3283.9405852251662</v>
      </c>
      <c r="J305" s="16">
        <v>-3283.9405852251662</v>
      </c>
      <c r="K305" s="14" t="s">
        <v>225</v>
      </c>
    </row>
    <row r="306" spans="1:11" ht="15" customHeight="1">
      <c r="A306" s="13">
        <v>46143</v>
      </c>
      <c r="B306" s="14" t="s">
        <v>349</v>
      </c>
      <c r="C306" s="17" t="s">
        <v>6</v>
      </c>
      <c r="D306" s="18" t="s">
        <v>127</v>
      </c>
      <c r="E306" s="14" t="str">
        <f>_xlfn.XLOOKUP($D306,'Chart of Accounts'!$A:$A,'Chart of Accounts'!B:B,"")</f>
        <v>Indirect Cost Allocation</v>
      </c>
      <c r="F306" s="14" t="str">
        <f>_xlfn.XLOOKUP($D306,'Chart of Accounts'!$A:$A,'Chart of Accounts'!C:C,"")</f>
        <v>Indirect</v>
      </c>
      <c r="G306" s="14" t="s">
        <v>336</v>
      </c>
      <c r="H306" s="16" t="s">
        <v>785</v>
      </c>
      <c r="I306" s="16">
        <v>3801.1446522030164</v>
      </c>
      <c r="J306" s="16">
        <v>-3801.1446522030164</v>
      </c>
      <c r="K306" s="14" t="s">
        <v>225</v>
      </c>
    </row>
    <row r="307" spans="1:11" ht="15" customHeight="1">
      <c r="A307" s="13">
        <v>46143</v>
      </c>
      <c r="B307" s="14" t="s">
        <v>349</v>
      </c>
      <c r="C307" s="17" t="s">
        <v>6</v>
      </c>
      <c r="D307" s="18" t="s">
        <v>127</v>
      </c>
      <c r="E307" s="14" t="str">
        <f>_xlfn.XLOOKUP($D307,'Chart of Accounts'!$A:$A,'Chart of Accounts'!B:B,"")</f>
        <v>Indirect Cost Allocation</v>
      </c>
      <c r="F307" s="14" t="str">
        <f>_xlfn.XLOOKUP($D307,'Chart of Accounts'!$A:$A,'Chart of Accounts'!C:C,"")</f>
        <v>Indirect</v>
      </c>
      <c r="G307" s="14" t="s">
        <v>337</v>
      </c>
      <c r="H307" s="16" t="s">
        <v>785</v>
      </c>
      <c r="I307" s="16">
        <v>1594.2601624397157</v>
      </c>
      <c r="J307" s="16">
        <v>-1594.2601624397157</v>
      </c>
      <c r="K307" s="14" t="s">
        <v>225</v>
      </c>
    </row>
    <row r="308" spans="1:11" ht="15" customHeight="1">
      <c r="A308" s="13">
        <v>46143</v>
      </c>
      <c r="B308" s="14" t="s">
        <v>349</v>
      </c>
      <c r="C308" s="17" t="s">
        <v>6</v>
      </c>
      <c r="D308" s="18" t="s">
        <v>127</v>
      </c>
      <c r="E308" s="14" t="str">
        <f>_xlfn.XLOOKUP($D308,'Chart of Accounts'!$A:$A,'Chart of Accounts'!B:B,"")</f>
        <v>Indirect Cost Allocation</v>
      </c>
      <c r="F308" s="14" t="str">
        <f>_xlfn.XLOOKUP($D308,'Chart of Accounts'!$A:$A,'Chart of Accounts'!C:C,"")</f>
        <v>Indirect</v>
      </c>
      <c r="G308" s="14" t="s">
        <v>338</v>
      </c>
      <c r="H308" s="16" t="s">
        <v>785</v>
      </c>
      <c r="I308" s="16">
        <v>3539.4851548309653</v>
      </c>
      <c r="J308" s="16">
        <v>-3539.4851548309653</v>
      </c>
      <c r="K308" s="14" t="s">
        <v>225</v>
      </c>
    </row>
    <row r="309" spans="1:11" ht="15" customHeight="1">
      <c r="A309" s="13">
        <v>46143</v>
      </c>
      <c r="B309" s="14" t="s">
        <v>349</v>
      </c>
      <c r="C309" s="17" t="s">
        <v>6</v>
      </c>
      <c r="D309" s="18" t="s">
        <v>127</v>
      </c>
      <c r="E309" s="14" t="str">
        <f>_xlfn.XLOOKUP($D309,'Chart of Accounts'!$A:$A,'Chart of Accounts'!B:B,"")</f>
        <v>Indirect Cost Allocation</v>
      </c>
      <c r="F309" s="14" t="str">
        <f>_xlfn.XLOOKUP($D309,'Chart of Accounts'!$A:$A,'Chart of Accounts'!C:C,"")</f>
        <v>Indirect</v>
      </c>
      <c r="G309" s="14" t="s">
        <v>339</v>
      </c>
      <c r="H309" s="16" t="s">
        <v>785</v>
      </c>
      <c r="I309" s="16">
        <v>4284.2176698890498</v>
      </c>
      <c r="J309" s="16">
        <v>-4284.2176698890498</v>
      </c>
      <c r="K309" s="14" t="s">
        <v>225</v>
      </c>
    </row>
    <row r="310" spans="1:11" ht="15" customHeight="1">
      <c r="A310" s="13">
        <v>46143</v>
      </c>
      <c r="B310" s="14" t="s">
        <v>349</v>
      </c>
      <c r="C310" s="17" t="s">
        <v>8</v>
      </c>
      <c r="D310" s="18" t="s">
        <v>127</v>
      </c>
      <c r="E310" s="14" t="str">
        <f>_xlfn.XLOOKUP($D310,'Chart of Accounts'!$A:$A,'Chart of Accounts'!B:B,"")</f>
        <v>Indirect Cost Allocation</v>
      </c>
      <c r="F310" s="14" t="str">
        <f>_xlfn.XLOOKUP($D310,'Chart of Accounts'!$A:$A,'Chart of Accounts'!C:C,"")</f>
        <v>Indirect</v>
      </c>
      <c r="G310" s="14" t="s">
        <v>335</v>
      </c>
      <c r="H310" s="16" t="s">
        <v>785</v>
      </c>
      <c r="I310" s="16">
        <v>4390.0944969815682</v>
      </c>
      <c r="J310" s="16">
        <v>-4390.0944969815682</v>
      </c>
      <c r="K310" s="14" t="s">
        <v>225</v>
      </c>
    </row>
    <row r="311" spans="1:11" ht="15" customHeight="1">
      <c r="A311" s="13">
        <v>46143</v>
      </c>
      <c r="B311" s="14" t="s">
        <v>349</v>
      </c>
      <c r="C311" s="17" t="s">
        <v>8</v>
      </c>
      <c r="D311" s="18" t="s">
        <v>127</v>
      </c>
      <c r="E311" s="14" t="str">
        <f>_xlfn.XLOOKUP($D311,'Chart of Accounts'!$A:$A,'Chart of Accounts'!B:B,"")</f>
        <v>Indirect Cost Allocation</v>
      </c>
      <c r="F311" s="14" t="str">
        <f>_xlfn.XLOOKUP($D311,'Chart of Accounts'!$A:$A,'Chart of Accounts'!C:C,"")</f>
        <v>Indirect</v>
      </c>
      <c r="G311" s="14" t="s">
        <v>336</v>
      </c>
      <c r="H311" s="16" t="s">
        <v>785</v>
      </c>
      <c r="I311" s="16">
        <v>5081.5122219159139</v>
      </c>
      <c r="J311" s="16">
        <v>-5081.5122219159139</v>
      </c>
      <c r="K311" s="14" t="s">
        <v>225</v>
      </c>
    </row>
    <row r="312" spans="1:11" ht="15" customHeight="1">
      <c r="A312" s="13">
        <v>46143</v>
      </c>
      <c r="B312" s="14" t="s">
        <v>349</v>
      </c>
      <c r="C312" s="17" t="s">
        <v>8</v>
      </c>
      <c r="D312" s="18" t="s">
        <v>127</v>
      </c>
      <c r="E312" s="14" t="str">
        <f>_xlfn.XLOOKUP($D312,'Chart of Accounts'!$A:$A,'Chart of Accounts'!B:B,"")</f>
        <v>Indirect Cost Allocation</v>
      </c>
      <c r="F312" s="14" t="str">
        <f>_xlfn.XLOOKUP($D312,'Chart of Accounts'!$A:$A,'Chart of Accounts'!C:C,"")</f>
        <v>Indirect</v>
      </c>
      <c r="G312" s="14" t="s">
        <v>337</v>
      </c>
      <c r="H312" s="16" t="s">
        <v>785</v>
      </c>
      <c r="I312" s="16">
        <v>2131.2665635220828</v>
      </c>
      <c r="J312" s="16">
        <v>-2131.2665635220828</v>
      </c>
      <c r="K312" s="14" t="s">
        <v>225</v>
      </c>
    </row>
    <row r="313" spans="1:11" ht="15" customHeight="1">
      <c r="A313" s="13">
        <v>46143</v>
      </c>
      <c r="B313" s="14" t="s">
        <v>349</v>
      </c>
      <c r="C313" s="17" t="s">
        <v>8</v>
      </c>
      <c r="D313" s="18" t="s">
        <v>127</v>
      </c>
      <c r="E313" s="14" t="str">
        <f>_xlfn.XLOOKUP($D313,'Chart of Accounts'!$A:$A,'Chart of Accounts'!B:B,"")</f>
        <v>Indirect Cost Allocation</v>
      </c>
      <c r="F313" s="14" t="str">
        <f>_xlfn.XLOOKUP($D313,'Chart of Accounts'!$A:$A,'Chart of Accounts'!C:C,"")</f>
        <v>Indirect</v>
      </c>
      <c r="G313" s="14" t="s">
        <v>338</v>
      </c>
      <c r="H313" s="16" t="s">
        <v>785</v>
      </c>
      <c r="I313" s="16">
        <v>4731.716027470683</v>
      </c>
      <c r="J313" s="16">
        <v>-4731.716027470683</v>
      </c>
      <c r="K313" s="14" t="s">
        <v>225</v>
      </c>
    </row>
    <row r="314" spans="1:11" ht="15" customHeight="1">
      <c r="A314" s="13">
        <v>46143</v>
      </c>
      <c r="B314" s="14" t="s">
        <v>349</v>
      </c>
      <c r="C314" s="17" t="s">
        <v>8</v>
      </c>
      <c r="D314" s="18" t="s">
        <v>127</v>
      </c>
      <c r="E314" s="14" t="str">
        <f>_xlfn.XLOOKUP($D314,'Chart of Accounts'!$A:$A,'Chart of Accounts'!B:B,"")</f>
        <v>Indirect Cost Allocation</v>
      </c>
      <c r="F314" s="14" t="str">
        <f>_xlfn.XLOOKUP($D314,'Chart of Accounts'!$A:$A,'Chart of Accounts'!C:C,"")</f>
        <v>Indirect</v>
      </c>
      <c r="G314" s="14" t="s">
        <v>339</v>
      </c>
      <c r="H314" s="16" t="s">
        <v>785</v>
      </c>
      <c r="I314" s="16">
        <v>5727.302284661012</v>
      </c>
      <c r="J314" s="16">
        <v>-5727.302284661012</v>
      </c>
      <c r="K314" s="14" t="s">
        <v>225</v>
      </c>
    </row>
    <row r="315" spans="1:11" ht="15" customHeight="1">
      <c r="A315" s="13">
        <v>46143</v>
      </c>
      <c r="B315" s="14" t="s">
        <v>349</v>
      </c>
      <c r="C315" s="17" t="s">
        <v>10</v>
      </c>
      <c r="D315" s="18" t="s">
        <v>127</v>
      </c>
      <c r="E315" s="14" t="str">
        <f>_xlfn.XLOOKUP($D315,'Chart of Accounts'!$A:$A,'Chart of Accounts'!B:B,"")</f>
        <v>Indirect Cost Allocation</v>
      </c>
      <c r="F315" s="14" t="str">
        <f>_xlfn.XLOOKUP($D315,'Chart of Accounts'!$A:$A,'Chart of Accounts'!C:C,"")</f>
        <v>Indirect</v>
      </c>
      <c r="G315" s="14" t="s">
        <v>335</v>
      </c>
      <c r="H315" s="16" t="s">
        <v>785</v>
      </c>
      <c r="I315" s="16">
        <v>1727.2557284665895</v>
      </c>
      <c r="J315" s="16">
        <v>-1727.2557284665895</v>
      </c>
      <c r="K315" s="14" t="s">
        <v>225</v>
      </c>
    </row>
    <row r="316" spans="1:11" ht="15" customHeight="1">
      <c r="A316" s="13">
        <v>46143</v>
      </c>
      <c r="B316" s="14" t="s">
        <v>349</v>
      </c>
      <c r="C316" s="17" t="s">
        <v>10</v>
      </c>
      <c r="D316" s="18" t="s">
        <v>127</v>
      </c>
      <c r="E316" s="14" t="str">
        <f>_xlfn.XLOOKUP($D316,'Chart of Accounts'!$A:$A,'Chart of Accounts'!B:B,"")</f>
        <v>Indirect Cost Allocation</v>
      </c>
      <c r="F316" s="14" t="str">
        <f>_xlfn.XLOOKUP($D316,'Chart of Accounts'!$A:$A,'Chart of Accounts'!C:C,"")</f>
        <v>Indirect</v>
      </c>
      <c r="G316" s="14" t="s">
        <v>336</v>
      </c>
      <c r="H316" s="16" t="s">
        <v>785</v>
      </c>
      <c r="I316" s="16">
        <v>1999.2897876371383</v>
      </c>
      <c r="J316" s="16">
        <v>-1999.2897876371383</v>
      </c>
      <c r="K316" s="14" t="s">
        <v>225</v>
      </c>
    </row>
    <row r="317" spans="1:11" ht="15" customHeight="1">
      <c r="A317" s="13">
        <v>46143</v>
      </c>
      <c r="B317" s="14" t="s">
        <v>349</v>
      </c>
      <c r="C317" s="17" t="s">
        <v>10</v>
      </c>
      <c r="D317" s="18" t="s">
        <v>127</v>
      </c>
      <c r="E317" s="14" t="str">
        <f>_xlfn.XLOOKUP($D317,'Chart of Accounts'!$A:$A,'Chart of Accounts'!B:B,"")</f>
        <v>Indirect Cost Allocation</v>
      </c>
      <c r="F317" s="14" t="str">
        <f>_xlfn.XLOOKUP($D317,'Chart of Accounts'!$A:$A,'Chart of Accounts'!C:C,"")</f>
        <v>Indirect</v>
      </c>
      <c r="G317" s="14" t="s">
        <v>337</v>
      </c>
      <c r="H317" s="16" t="s">
        <v>785</v>
      </c>
      <c r="I317" s="16">
        <v>838.53374529042071</v>
      </c>
      <c r="J317" s="16">
        <v>-838.53374529042071</v>
      </c>
      <c r="K317" s="14" t="s">
        <v>225</v>
      </c>
    </row>
    <row r="318" spans="1:11" ht="15" customHeight="1">
      <c r="A318" s="13">
        <v>46143</v>
      </c>
      <c r="B318" s="14" t="s">
        <v>349</v>
      </c>
      <c r="C318" s="17" t="s">
        <v>10</v>
      </c>
      <c r="D318" s="18" t="s">
        <v>127</v>
      </c>
      <c r="E318" s="14" t="str">
        <f>_xlfn.XLOOKUP($D318,'Chart of Accounts'!$A:$A,'Chart of Accounts'!B:B,"")</f>
        <v>Indirect Cost Allocation</v>
      </c>
      <c r="F318" s="14" t="str">
        <f>_xlfn.XLOOKUP($D318,'Chart of Accounts'!$A:$A,'Chart of Accounts'!C:C,"")</f>
        <v>Indirect</v>
      </c>
      <c r="G318" s="14" t="s">
        <v>338</v>
      </c>
      <c r="H318" s="16" t="s">
        <v>785</v>
      </c>
      <c r="I318" s="16">
        <v>1861.6646223777689</v>
      </c>
      <c r="J318" s="16">
        <v>-1861.6646223777689</v>
      </c>
      <c r="K318" s="14" t="s">
        <v>225</v>
      </c>
    </row>
    <row r="319" spans="1:11" ht="15" customHeight="1">
      <c r="A319" s="13">
        <v>46143</v>
      </c>
      <c r="B319" s="14" t="s">
        <v>349</v>
      </c>
      <c r="C319" s="17" t="s">
        <v>10</v>
      </c>
      <c r="D319" s="18" t="s">
        <v>127</v>
      </c>
      <c r="E319" s="14" t="str">
        <f>_xlfn.XLOOKUP($D319,'Chart of Accounts'!$A:$A,'Chart of Accounts'!B:B,"")</f>
        <v>Indirect Cost Allocation</v>
      </c>
      <c r="F319" s="14" t="str">
        <f>_xlfn.XLOOKUP($D319,'Chart of Accounts'!$A:$A,'Chart of Accounts'!C:C,"")</f>
        <v>Indirect</v>
      </c>
      <c r="G319" s="14" t="s">
        <v>339</v>
      </c>
      <c r="H319" s="16" t="s">
        <v>785</v>
      </c>
      <c r="I319" s="16">
        <v>2253.3719232335816</v>
      </c>
      <c r="J319" s="16">
        <v>-2253.3719232335816</v>
      </c>
      <c r="K319" s="14" t="s">
        <v>225</v>
      </c>
    </row>
    <row r="320" spans="1:11" ht="15" customHeight="1">
      <c r="A320" s="13">
        <v>46174</v>
      </c>
      <c r="B320" s="14" t="s">
        <v>350</v>
      </c>
      <c r="C320" s="17" t="s">
        <v>4</v>
      </c>
      <c r="D320" s="18" t="s">
        <v>127</v>
      </c>
      <c r="E320" s="14" t="str">
        <f>_xlfn.XLOOKUP($D320,'Chart of Accounts'!$A:$A,'Chart of Accounts'!B:B,"")</f>
        <v>Indirect Cost Allocation</v>
      </c>
      <c r="F320" s="14" t="str">
        <f>_xlfn.XLOOKUP($D320,'Chart of Accounts'!$A:$A,'Chart of Accounts'!C:C,"")</f>
        <v>Indirect</v>
      </c>
      <c r="G320" s="14" t="s">
        <v>335</v>
      </c>
      <c r="H320" s="16" t="s">
        <v>785</v>
      </c>
      <c r="I320" s="16">
        <v>2479.0123575634434</v>
      </c>
      <c r="J320" s="16">
        <v>-2479.0123575634434</v>
      </c>
      <c r="K320" s="14" t="s">
        <v>225</v>
      </c>
    </row>
    <row r="321" spans="1:11" ht="15" customHeight="1">
      <c r="A321" s="13">
        <v>46174</v>
      </c>
      <c r="B321" s="14" t="s">
        <v>350</v>
      </c>
      <c r="C321" s="17" t="s">
        <v>4</v>
      </c>
      <c r="D321" s="18" t="s">
        <v>127</v>
      </c>
      <c r="E321" s="14" t="str">
        <f>_xlfn.XLOOKUP($D321,'Chart of Accounts'!$A:$A,'Chart of Accounts'!B:B,"")</f>
        <v>Indirect Cost Allocation</v>
      </c>
      <c r="F321" s="14" t="str">
        <f>_xlfn.XLOOKUP($D321,'Chart of Accounts'!$A:$A,'Chart of Accounts'!C:C,"")</f>
        <v>Indirect</v>
      </c>
      <c r="G321" s="14" t="s">
        <v>336</v>
      </c>
      <c r="H321" s="16" t="s">
        <v>785</v>
      </c>
      <c r="I321" s="16">
        <v>2774.0374639847364</v>
      </c>
      <c r="J321" s="16">
        <v>-2774.0374639847364</v>
      </c>
      <c r="K321" s="14" t="s">
        <v>225</v>
      </c>
    </row>
    <row r="322" spans="1:11" ht="15" customHeight="1">
      <c r="A322" s="13">
        <v>46174</v>
      </c>
      <c r="B322" s="14" t="s">
        <v>350</v>
      </c>
      <c r="C322" s="17" t="s">
        <v>4</v>
      </c>
      <c r="D322" s="18" t="s">
        <v>127</v>
      </c>
      <c r="E322" s="14" t="str">
        <f>_xlfn.XLOOKUP($D322,'Chart of Accounts'!$A:$A,'Chart of Accounts'!B:B,"")</f>
        <v>Indirect Cost Allocation</v>
      </c>
      <c r="F322" s="14" t="str">
        <f>_xlfn.XLOOKUP($D322,'Chart of Accounts'!$A:$A,'Chart of Accounts'!C:C,"")</f>
        <v>Indirect</v>
      </c>
      <c r="G322" s="14" t="s">
        <v>337</v>
      </c>
      <c r="H322" s="16" t="s">
        <v>785</v>
      </c>
      <c r="I322" s="16">
        <v>1217.3130360480341</v>
      </c>
      <c r="J322" s="16">
        <v>-1217.3130360480341</v>
      </c>
      <c r="K322" s="14" t="s">
        <v>225</v>
      </c>
    </row>
    <row r="323" spans="1:11" ht="15" customHeight="1">
      <c r="A323" s="13">
        <v>46174</v>
      </c>
      <c r="B323" s="14" t="s">
        <v>350</v>
      </c>
      <c r="C323" s="17" t="s">
        <v>4</v>
      </c>
      <c r="D323" s="18" t="s">
        <v>127</v>
      </c>
      <c r="E323" s="14" t="str">
        <f>_xlfn.XLOOKUP($D323,'Chart of Accounts'!$A:$A,'Chart of Accounts'!B:B,"")</f>
        <v>Indirect Cost Allocation</v>
      </c>
      <c r="F323" s="14" t="str">
        <f>_xlfn.XLOOKUP($D323,'Chart of Accounts'!$A:$A,'Chart of Accounts'!C:C,"")</f>
        <v>Indirect</v>
      </c>
      <c r="G323" s="14" t="s">
        <v>338</v>
      </c>
      <c r="H323" s="16" t="s">
        <v>785</v>
      </c>
      <c r="I323" s="16">
        <v>2705.6427098300169</v>
      </c>
      <c r="J323" s="16">
        <v>-2705.6427098300169</v>
      </c>
      <c r="K323" s="14" t="s">
        <v>225</v>
      </c>
    </row>
    <row r="324" spans="1:11" ht="15" customHeight="1">
      <c r="A324" s="13">
        <v>46174</v>
      </c>
      <c r="B324" s="14" t="s">
        <v>350</v>
      </c>
      <c r="C324" s="17" t="s">
        <v>4</v>
      </c>
      <c r="D324" s="18" t="s">
        <v>127</v>
      </c>
      <c r="E324" s="14" t="str">
        <f>_xlfn.XLOOKUP($D324,'Chart of Accounts'!$A:$A,'Chart of Accounts'!B:B,"")</f>
        <v>Indirect Cost Allocation</v>
      </c>
      <c r="F324" s="14" t="str">
        <f>_xlfn.XLOOKUP($D324,'Chart of Accounts'!$A:$A,'Chart of Accounts'!C:C,"")</f>
        <v>Indirect</v>
      </c>
      <c r="G324" s="14" t="s">
        <v>339</v>
      </c>
      <c r="H324" s="16" t="s">
        <v>785</v>
      </c>
      <c r="I324" s="16">
        <v>3202.1704558473716</v>
      </c>
      <c r="J324" s="16">
        <v>-3202.1704558473716</v>
      </c>
      <c r="K324" s="14" t="s">
        <v>225</v>
      </c>
    </row>
    <row r="325" spans="1:11" ht="15" customHeight="1">
      <c r="A325" s="13">
        <v>46174</v>
      </c>
      <c r="B325" s="14" t="s">
        <v>350</v>
      </c>
      <c r="C325" s="17" t="s">
        <v>6</v>
      </c>
      <c r="D325" s="18" t="s">
        <v>127</v>
      </c>
      <c r="E325" s="14" t="str">
        <f>_xlfn.XLOOKUP($D325,'Chart of Accounts'!$A:$A,'Chart of Accounts'!B:B,"")</f>
        <v>Indirect Cost Allocation</v>
      </c>
      <c r="F325" s="14" t="str">
        <f>_xlfn.XLOOKUP($D325,'Chart of Accounts'!$A:$A,'Chart of Accounts'!C:C,"")</f>
        <v>Indirect</v>
      </c>
      <c r="G325" s="14" t="s">
        <v>335</v>
      </c>
      <c r="H325" s="16" t="s">
        <v>785</v>
      </c>
      <c r="I325" s="16">
        <v>3516.3780839972355</v>
      </c>
      <c r="J325" s="16">
        <v>-3516.3780839972355</v>
      </c>
      <c r="K325" s="14" t="s">
        <v>225</v>
      </c>
    </row>
    <row r="326" spans="1:11" ht="15" customHeight="1">
      <c r="A326" s="13">
        <v>46174</v>
      </c>
      <c r="B326" s="14" t="s">
        <v>350</v>
      </c>
      <c r="C326" s="17" t="s">
        <v>6</v>
      </c>
      <c r="D326" s="18" t="s">
        <v>127</v>
      </c>
      <c r="E326" s="14" t="str">
        <f>_xlfn.XLOOKUP($D326,'Chart of Accounts'!$A:$A,'Chart of Accounts'!B:B,"")</f>
        <v>Indirect Cost Allocation</v>
      </c>
      <c r="F326" s="14" t="str">
        <f>_xlfn.XLOOKUP($D326,'Chart of Accounts'!$A:$A,'Chart of Accounts'!C:C,"")</f>
        <v>Indirect</v>
      </c>
      <c r="G326" s="14" t="s">
        <v>336</v>
      </c>
      <c r="H326" s="16" t="s">
        <v>785</v>
      </c>
      <c r="I326" s="16">
        <v>3934.8591840545341</v>
      </c>
      <c r="J326" s="16">
        <v>-3934.8591840545341</v>
      </c>
      <c r="K326" s="14" t="s">
        <v>225</v>
      </c>
    </row>
    <row r="327" spans="1:11" ht="15" customHeight="1">
      <c r="A327" s="13">
        <v>46174</v>
      </c>
      <c r="B327" s="14" t="s">
        <v>350</v>
      </c>
      <c r="C327" s="17" t="s">
        <v>6</v>
      </c>
      <c r="D327" s="18" t="s">
        <v>127</v>
      </c>
      <c r="E327" s="14" t="str">
        <f>_xlfn.XLOOKUP($D327,'Chart of Accounts'!$A:$A,'Chart of Accounts'!B:B,"")</f>
        <v>Indirect Cost Allocation</v>
      </c>
      <c r="F327" s="14" t="str">
        <f>_xlfn.XLOOKUP($D327,'Chart of Accounts'!$A:$A,'Chart of Accounts'!C:C,"")</f>
        <v>Indirect</v>
      </c>
      <c r="G327" s="14" t="s">
        <v>337</v>
      </c>
      <c r="H327" s="16" t="s">
        <v>785</v>
      </c>
      <c r="I327" s="16">
        <v>1726.7089727340722</v>
      </c>
      <c r="J327" s="16">
        <v>-1726.7089727340722</v>
      </c>
      <c r="K327" s="14" t="s">
        <v>225</v>
      </c>
    </row>
    <row r="328" spans="1:11" ht="15" customHeight="1">
      <c r="A328" s="13">
        <v>46174</v>
      </c>
      <c r="B328" s="14" t="s">
        <v>350</v>
      </c>
      <c r="C328" s="17" t="s">
        <v>6</v>
      </c>
      <c r="D328" s="18" t="s">
        <v>127</v>
      </c>
      <c r="E328" s="14" t="str">
        <f>_xlfn.XLOOKUP($D328,'Chart of Accounts'!$A:$A,'Chart of Accounts'!B:B,"")</f>
        <v>Indirect Cost Allocation</v>
      </c>
      <c r="F328" s="14" t="str">
        <f>_xlfn.XLOOKUP($D328,'Chart of Accounts'!$A:$A,'Chart of Accounts'!C:C,"")</f>
        <v>Indirect</v>
      </c>
      <c r="G328" s="14" t="s">
        <v>338</v>
      </c>
      <c r="H328" s="16" t="s">
        <v>785</v>
      </c>
      <c r="I328" s="16">
        <v>3837.844010315579</v>
      </c>
      <c r="J328" s="16">
        <v>-3837.844010315579</v>
      </c>
      <c r="K328" s="14" t="s">
        <v>225</v>
      </c>
    </row>
    <row r="329" spans="1:11" ht="15" customHeight="1">
      <c r="A329" s="13">
        <v>46174</v>
      </c>
      <c r="B329" s="14" t="s">
        <v>350</v>
      </c>
      <c r="C329" s="17" t="s">
        <v>6</v>
      </c>
      <c r="D329" s="18" t="s">
        <v>127</v>
      </c>
      <c r="E329" s="14" t="str">
        <f>_xlfn.XLOOKUP($D329,'Chart of Accounts'!$A:$A,'Chart of Accounts'!B:B,"")</f>
        <v>Indirect Cost Allocation</v>
      </c>
      <c r="F329" s="14" t="str">
        <f>_xlfn.XLOOKUP($D329,'Chart of Accounts'!$A:$A,'Chart of Accounts'!C:C,"")</f>
        <v>Indirect</v>
      </c>
      <c r="G329" s="14" t="s">
        <v>339</v>
      </c>
      <c r="H329" s="16" t="s">
        <v>785</v>
      </c>
      <c r="I329" s="16">
        <v>4542.1483994667688</v>
      </c>
      <c r="J329" s="16">
        <v>-4542.1483994667688</v>
      </c>
      <c r="K329" s="14" t="s">
        <v>225</v>
      </c>
    </row>
    <row r="330" spans="1:11" ht="15" customHeight="1">
      <c r="A330" s="13">
        <v>46174</v>
      </c>
      <c r="B330" s="14" t="s">
        <v>350</v>
      </c>
      <c r="C330" s="17" t="s">
        <v>8</v>
      </c>
      <c r="D330" s="18" t="s">
        <v>127</v>
      </c>
      <c r="E330" s="14" t="str">
        <f>_xlfn.XLOOKUP($D330,'Chart of Accounts'!$A:$A,'Chart of Accounts'!B:B,"")</f>
        <v>Indirect Cost Allocation</v>
      </c>
      <c r="F330" s="14" t="str">
        <f>_xlfn.XLOOKUP($D330,'Chart of Accounts'!$A:$A,'Chart of Accounts'!C:C,"")</f>
        <v>Indirect</v>
      </c>
      <c r="G330" s="14" t="s">
        <v>335</v>
      </c>
      <c r="H330" s="16" t="s">
        <v>785</v>
      </c>
      <c r="I330" s="16">
        <v>4463.7519725123311</v>
      </c>
      <c r="J330" s="16">
        <v>-4463.7519725123311</v>
      </c>
      <c r="K330" s="14" t="s">
        <v>225</v>
      </c>
    </row>
    <row r="331" spans="1:11" ht="15" customHeight="1">
      <c r="A331" s="13">
        <v>46174</v>
      </c>
      <c r="B331" s="14" t="s">
        <v>350</v>
      </c>
      <c r="C331" s="17" t="s">
        <v>8</v>
      </c>
      <c r="D331" s="18" t="s">
        <v>127</v>
      </c>
      <c r="E331" s="14" t="str">
        <f>_xlfn.XLOOKUP($D331,'Chart of Accounts'!$A:$A,'Chart of Accounts'!B:B,"")</f>
        <v>Indirect Cost Allocation</v>
      </c>
      <c r="F331" s="14" t="str">
        <f>_xlfn.XLOOKUP($D331,'Chart of Accounts'!$A:$A,'Chart of Accounts'!C:C,"")</f>
        <v>Indirect</v>
      </c>
      <c r="G331" s="14" t="s">
        <v>336</v>
      </c>
      <c r="H331" s="16" t="s">
        <v>785</v>
      </c>
      <c r="I331" s="16">
        <v>4994.9792157774964</v>
      </c>
      <c r="J331" s="16">
        <v>-4994.9792157774964</v>
      </c>
      <c r="K331" s="14" t="s">
        <v>225</v>
      </c>
    </row>
    <row r="332" spans="1:11" ht="15" customHeight="1">
      <c r="A332" s="13">
        <v>46174</v>
      </c>
      <c r="B332" s="14" t="s">
        <v>350</v>
      </c>
      <c r="C332" s="17" t="s">
        <v>8</v>
      </c>
      <c r="D332" s="18" t="s">
        <v>127</v>
      </c>
      <c r="E332" s="14" t="str">
        <f>_xlfn.XLOOKUP($D332,'Chart of Accounts'!$A:$A,'Chart of Accounts'!B:B,"")</f>
        <v>Indirect Cost Allocation</v>
      </c>
      <c r="F332" s="14" t="str">
        <f>_xlfn.XLOOKUP($D332,'Chart of Accounts'!$A:$A,'Chart of Accounts'!C:C,"")</f>
        <v>Indirect</v>
      </c>
      <c r="G332" s="14" t="s">
        <v>337</v>
      </c>
      <c r="H332" s="16" t="s">
        <v>785</v>
      </c>
      <c r="I332" s="16">
        <v>2191.914634570483</v>
      </c>
      <c r="J332" s="16">
        <v>-2191.914634570483</v>
      </c>
      <c r="K332" s="14" t="s">
        <v>225</v>
      </c>
    </row>
    <row r="333" spans="1:11" ht="15" customHeight="1">
      <c r="A333" s="13">
        <v>46174</v>
      </c>
      <c r="B333" s="14" t="s">
        <v>350</v>
      </c>
      <c r="C333" s="17" t="s">
        <v>8</v>
      </c>
      <c r="D333" s="18" t="s">
        <v>127</v>
      </c>
      <c r="E333" s="14" t="str">
        <f>_xlfn.XLOOKUP($D333,'Chart of Accounts'!$A:$A,'Chart of Accounts'!B:B,"")</f>
        <v>Indirect Cost Allocation</v>
      </c>
      <c r="F333" s="14" t="str">
        <f>_xlfn.XLOOKUP($D333,'Chart of Accounts'!$A:$A,'Chart of Accounts'!C:C,"")</f>
        <v>Indirect</v>
      </c>
      <c r="G333" s="14" t="s">
        <v>338</v>
      </c>
      <c r="H333" s="16" t="s">
        <v>785</v>
      </c>
      <c r="I333" s="16">
        <v>4871.8264538172079</v>
      </c>
      <c r="J333" s="16">
        <v>-4871.8264538172079</v>
      </c>
      <c r="K333" s="14" t="s">
        <v>225</v>
      </c>
    </row>
    <row r="334" spans="1:11" ht="15" customHeight="1">
      <c r="A334" s="13">
        <v>46174</v>
      </c>
      <c r="B334" s="14" t="s">
        <v>350</v>
      </c>
      <c r="C334" s="17" t="s">
        <v>8</v>
      </c>
      <c r="D334" s="18" t="s">
        <v>127</v>
      </c>
      <c r="E334" s="14" t="str">
        <f>_xlfn.XLOOKUP($D334,'Chart of Accounts'!$A:$A,'Chart of Accounts'!B:B,"")</f>
        <v>Indirect Cost Allocation</v>
      </c>
      <c r="F334" s="14" t="str">
        <f>_xlfn.XLOOKUP($D334,'Chart of Accounts'!$A:$A,'Chart of Accounts'!C:C,"")</f>
        <v>Indirect</v>
      </c>
      <c r="G334" s="14" t="s">
        <v>339</v>
      </c>
      <c r="H334" s="16" t="s">
        <v>785</v>
      </c>
      <c r="I334" s="16">
        <v>5765.8827899745993</v>
      </c>
      <c r="J334" s="16">
        <v>-5765.8827899745993</v>
      </c>
      <c r="K334" s="14" t="s">
        <v>225</v>
      </c>
    </row>
    <row r="335" spans="1:11" ht="15" customHeight="1">
      <c r="A335" s="13">
        <v>46174</v>
      </c>
      <c r="B335" s="14" t="s">
        <v>350</v>
      </c>
      <c r="C335" s="17" t="s">
        <v>10</v>
      </c>
      <c r="D335" s="18" t="s">
        <v>127</v>
      </c>
      <c r="E335" s="14" t="str">
        <f>_xlfn.XLOOKUP($D335,'Chart of Accounts'!$A:$A,'Chart of Accounts'!B:B,"")</f>
        <v>Indirect Cost Allocation</v>
      </c>
      <c r="F335" s="14" t="str">
        <f>_xlfn.XLOOKUP($D335,'Chart of Accounts'!$A:$A,'Chart of Accounts'!C:C,"")</f>
        <v>Indirect</v>
      </c>
      <c r="G335" s="14" t="s">
        <v>335</v>
      </c>
      <c r="H335" s="16" t="s">
        <v>785</v>
      </c>
      <c r="I335" s="16">
        <v>1843.9236760549384</v>
      </c>
      <c r="J335" s="16">
        <v>-1843.9236760549384</v>
      </c>
      <c r="K335" s="14" t="s">
        <v>225</v>
      </c>
    </row>
    <row r="336" spans="1:11" ht="15" customHeight="1">
      <c r="A336" s="13">
        <v>46174</v>
      </c>
      <c r="B336" s="14" t="s">
        <v>350</v>
      </c>
      <c r="C336" s="17" t="s">
        <v>10</v>
      </c>
      <c r="D336" s="18" t="s">
        <v>127</v>
      </c>
      <c r="E336" s="14" t="str">
        <f>_xlfn.XLOOKUP($D336,'Chart of Accounts'!$A:$A,'Chart of Accounts'!B:B,"")</f>
        <v>Indirect Cost Allocation</v>
      </c>
      <c r="F336" s="14" t="str">
        <f>_xlfn.XLOOKUP($D336,'Chart of Accounts'!$A:$A,'Chart of Accounts'!C:C,"")</f>
        <v>Indirect</v>
      </c>
      <c r="G336" s="14" t="s">
        <v>336</v>
      </c>
      <c r="H336" s="16" t="s">
        <v>785</v>
      </c>
      <c r="I336" s="16">
        <v>2063.3674303795583</v>
      </c>
      <c r="J336" s="16">
        <v>-2063.3674303795583</v>
      </c>
      <c r="K336" s="14" t="s">
        <v>225</v>
      </c>
    </row>
    <row r="337" spans="1:11" ht="15" customHeight="1">
      <c r="A337" s="13">
        <v>46174</v>
      </c>
      <c r="B337" s="14" t="s">
        <v>350</v>
      </c>
      <c r="C337" s="17" t="s">
        <v>10</v>
      </c>
      <c r="D337" s="18" t="s">
        <v>127</v>
      </c>
      <c r="E337" s="14" t="str">
        <f>_xlfn.XLOOKUP($D337,'Chart of Accounts'!$A:$A,'Chart of Accounts'!B:B,"")</f>
        <v>Indirect Cost Allocation</v>
      </c>
      <c r="F337" s="14" t="str">
        <f>_xlfn.XLOOKUP($D337,'Chart of Accounts'!$A:$A,'Chart of Accounts'!C:C,"")</f>
        <v>Indirect</v>
      </c>
      <c r="G337" s="14" t="s">
        <v>337</v>
      </c>
      <c r="H337" s="16" t="s">
        <v>785</v>
      </c>
      <c r="I337" s="16">
        <v>905.45427153315165</v>
      </c>
      <c r="J337" s="16">
        <v>-905.45427153315165</v>
      </c>
      <c r="K337" s="14" t="s">
        <v>225</v>
      </c>
    </row>
    <row r="338" spans="1:11" ht="15" customHeight="1">
      <c r="A338" s="13">
        <v>46174</v>
      </c>
      <c r="B338" s="14" t="s">
        <v>350</v>
      </c>
      <c r="C338" s="17" t="s">
        <v>10</v>
      </c>
      <c r="D338" s="18" t="s">
        <v>127</v>
      </c>
      <c r="E338" s="14" t="str">
        <f>_xlfn.XLOOKUP($D338,'Chart of Accounts'!$A:$A,'Chart of Accounts'!B:B,"")</f>
        <v>Indirect Cost Allocation</v>
      </c>
      <c r="F338" s="14" t="str">
        <f>_xlfn.XLOOKUP($D338,'Chart of Accounts'!$A:$A,'Chart of Accounts'!C:C,"")</f>
        <v>Indirect</v>
      </c>
      <c r="G338" s="14" t="s">
        <v>338</v>
      </c>
      <c r="H338" s="16" t="s">
        <v>785</v>
      </c>
      <c r="I338" s="16">
        <v>2012.4944663464953</v>
      </c>
      <c r="J338" s="16">
        <v>-2012.4944663464953</v>
      </c>
      <c r="K338" s="14" t="s">
        <v>225</v>
      </c>
    </row>
    <row r="339" spans="1:11" ht="15" customHeight="1">
      <c r="A339" s="13">
        <v>46174</v>
      </c>
      <c r="B339" s="14" t="s">
        <v>350</v>
      </c>
      <c r="C339" s="17" t="s">
        <v>10</v>
      </c>
      <c r="D339" s="18" t="s">
        <v>127</v>
      </c>
      <c r="E339" s="14" t="str">
        <f>_xlfn.XLOOKUP($D339,'Chart of Accounts'!$A:$A,'Chart of Accounts'!B:B,"")</f>
        <v>Indirect Cost Allocation</v>
      </c>
      <c r="F339" s="14" t="str">
        <f>_xlfn.XLOOKUP($D339,'Chart of Accounts'!$A:$A,'Chart of Accounts'!C:C,"")</f>
        <v>Indirect</v>
      </c>
      <c r="G339" s="14" t="s">
        <v>339</v>
      </c>
      <c r="H339" s="16" t="s">
        <v>785</v>
      </c>
      <c r="I339" s="16">
        <v>2381.8186707645291</v>
      </c>
      <c r="J339" s="16">
        <v>-2381.8186707645291</v>
      </c>
      <c r="K339" s="14" t="s">
        <v>225</v>
      </c>
    </row>
    <row r="340" spans="1:11" ht="15" customHeight="1">
      <c r="A340" s="13">
        <v>45839</v>
      </c>
      <c r="B340" s="14" t="s">
        <v>334</v>
      </c>
      <c r="C340" s="19" t="s">
        <v>12</v>
      </c>
      <c r="D340" s="18" t="s">
        <v>127</v>
      </c>
      <c r="E340" s="14" t="str">
        <f>_xlfn.XLOOKUP($D340,'Chart of Accounts'!$A:$A,'Chart of Accounts'!B:B,"")</f>
        <v>Indirect Cost Allocation</v>
      </c>
      <c r="F340" s="14" t="str">
        <f>_xlfn.XLOOKUP($D340,'Chart of Accounts'!$A:$A,'Chart of Accounts'!C:C,"")</f>
        <v>Indirect</v>
      </c>
      <c r="G340" s="14" t="s">
        <v>335</v>
      </c>
      <c r="H340" s="16">
        <v>11105.1112401543</v>
      </c>
      <c r="I340" s="16" t="s">
        <v>785</v>
      </c>
      <c r="J340" s="16">
        <v>11105.1112401543</v>
      </c>
      <c r="K340" s="14" t="s">
        <v>225</v>
      </c>
    </row>
    <row r="341" spans="1:11" ht="15" customHeight="1">
      <c r="A341" s="13">
        <v>45839</v>
      </c>
      <c r="B341" s="14" t="s">
        <v>334</v>
      </c>
      <c r="C341" s="19" t="s">
        <v>14</v>
      </c>
      <c r="D341" s="18" t="s">
        <v>127</v>
      </c>
      <c r="E341" s="14" t="str">
        <f>_xlfn.XLOOKUP($D341,'Chart of Accounts'!$A:$A,'Chart of Accounts'!B:B,"")</f>
        <v>Indirect Cost Allocation</v>
      </c>
      <c r="F341" s="14" t="str">
        <f>_xlfn.XLOOKUP($D341,'Chart of Accounts'!$A:$A,'Chart of Accounts'!C:C,"")</f>
        <v>Indirect</v>
      </c>
      <c r="G341" s="14" t="s">
        <v>336</v>
      </c>
      <c r="H341" s="16">
        <v>9361.8290472888366</v>
      </c>
      <c r="I341" s="16" t="s">
        <v>785</v>
      </c>
      <c r="J341" s="16">
        <v>9361.8290472888366</v>
      </c>
      <c r="K341" s="14" t="s">
        <v>225</v>
      </c>
    </row>
    <row r="342" spans="1:11" ht="15" customHeight="1">
      <c r="A342" s="13">
        <v>45839</v>
      </c>
      <c r="B342" s="14" t="s">
        <v>334</v>
      </c>
      <c r="C342" s="19" t="s">
        <v>16</v>
      </c>
      <c r="D342" s="18" t="s">
        <v>127</v>
      </c>
      <c r="E342" s="14" t="str">
        <f>_xlfn.XLOOKUP($D342,'Chart of Accounts'!$A:$A,'Chart of Accounts'!B:B,"")</f>
        <v>Indirect Cost Allocation</v>
      </c>
      <c r="F342" s="14" t="str">
        <f>_xlfn.XLOOKUP($D342,'Chart of Accounts'!$A:$A,'Chart of Accounts'!C:C,"")</f>
        <v>Indirect</v>
      </c>
      <c r="G342" s="14" t="s">
        <v>337</v>
      </c>
      <c r="H342" s="16">
        <v>9896.9588507813169</v>
      </c>
      <c r="I342" s="16" t="s">
        <v>785</v>
      </c>
      <c r="J342" s="16">
        <v>9896.9588507813169</v>
      </c>
      <c r="K342" s="14" t="s">
        <v>225</v>
      </c>
    </row>
    <row r="343" spans="1:11" ht="15" customHeight="1">
      <c r="A343" s="13">
        <v>45839</v>
      </c>
      <c r="B343" s="14" t="s">
        <v>334</v>
      </c>
      <c r="C343" s="19" t="s">
        <v>18</v>
      </c>
      <c r="D343" s="18" t="s">
        <v>127</v>
      </c>
      <c r="E343" s="14" t="str">
        <f>_xlfn.XLOOKUP($D343,'Chart of Accounts'!$A:$A,'Chart of Accounts'!B:B,"")</f>
        <v>Indirect Cost Allocation</v>
      </c>
      <c r="F343" s="14" t="str">
        <f>_xlfn.XLOOKUP($D343,'Chart of Accounts'!$A:$A,'Chart of Accounts'!C:C,"")</f>
        <v>Indirect</v>
      </c>
      <c r="G343" s="14" t="s">
        <v>338</v>
      </c>
      <c r="H343" s="16">
        <v>13532.657356497268</v>
      </c>
      <c r="I343" s="16" t="s">
        <v>785</v>
      </c>
      <c r="J343" s="16">
        <v>13532.657356497268</v>
      </c>
      <c r="K343" s="14" t="s">
        <v>225</v>
      </c>
    </row>
    <row r="344" spans="1:11" ht="15" customHeight="1">
      <c r="A344" s="13">
        <v>45839</v>
      </c>
      <c r="B344" s="14" t="s">
        <v>334</v>
      </c>
      <c r="C344" s="19" t="s">
        <v>20</v>
      </c>
      <c r="D344" s="18" t="s">
        <v>127</v>
      </c>
      <c r="E344" s="14" t="str">
        <f>_xlfn.XLOOKUP($D344,'Chart of Accounts'!$A:$A,'Chart of Accounts'!B:B,"")</f>
        <v>Indirect Cost Allocation</v>
      </c>
      <c r="F344" s="14" t="str">
        <f>_xlfn.XLOOKUP($D344,'Chart of Accounts'!$A:$A,'Chart of Accounts'!C:C,"")</f>
        <v>Indirect</v>
      </c>
      <c r="G344" s="14" t="s">
        <v>339</v>
      </c>
      <c r="H344" s="16">
        <v>12606.694611147843</v>
      </c>
      <c r="I344" s="16" t="s">
        <v>785</v>
      </c>
      <c r="J344" s="16">
        <v>12606.694611147843</v>
      </c>
      <c r="K344" s="14" t="s">
        <v>225</v>
      </c>
    </row>
    <row r="345" spans="1:11" ht="15" customHeight="1">
      <c r="A345" s="13">
        <v>45870</v>
      </c>
      <c r="B345" s="14" t="s">
        <v>340</v>
      </c>
      <c r="C345" s="19" t="s">
        <v>12</v>
      </c>
      <c r="D345" s="18" t="s">
        <v>127</v>
      </c>
      <c r="E345" s="14" t="str">
        <f>_xlfn.XLOOKUP($D345,'Chart of Accounts'!$A:$A,'Chart of Accounts'!B:B,"")</f>
        <v>Indirect Cost Allocation</v>
      </c>
      <c r="F345" s="14" t="str">
        <f>_xlfn.XLOOKUP($D345,'Chart of Accounts'!$A:$A,'Chart of Accounts'!C:C,"")</f>
        <v>Indirect</v>
      </c>
      <c r="G345" s="14" t="s">
        <v>335</v>
      </c>
      <c r="H345" s="16">
        <v>11904.641358894591</v>
      </c>
      <c r="I345" s="16" t="s">
        <v>785</v>
      </c>
      <c r="J345" s="16">
        <v>11904.641358894591</v>
      </c>
      <c r="K345" s="14" t="s">
        <v>225</v>
      </c>
    </row>
    <row r="346" spans="1:11" ht="15" customHeight="1">
      <c r="A346" s="13">
        <v>45870</v>
      </c>
      <c r="B346" s="14" t="s">
        <v>340</v>
      </c>
      <c r="C346" s="19" t="s">
        <v>14</v>
      </c>
      <c r="D346" s="18" t="s">
        <v>127</v>
      </c>
      <c r="E346" s="14" t="str">
        <f>_xlfn.XLOOKUP($D346,'Chart of Accounts'!$A:$A,'Chart of Accounts'!B:B,"")</f>
        <v>Indirect Cost Allocation</v>
      </c>
      <c r="F346" s="14" t="str">
        <f>_xlfn.XLOOKUP($D346,'Chart of Accounts'!$A:$A,'Chart of Accounts'!C:C,"")</f>
        <v>Indirect</v>
      </c>
      <c r="G346" s="14" t="s">
        <v>336</v>
      </c>
      <c r="H346" s="16">
        <v>10011.233584894373</v>
      </c>
      <c r="I346" s="16" t="s">
        <v>785</v>
      </c>
      <c r="J346" s="16">
        <v>10011.233584894373</v>
      </c>
      <c r="K346" s="14" t="s">
        <v>225</v>
      </c>
    </row>
    <row r="347" spans="1:11" ht="15" customHeight="1">
      <c r="A347" s="13">
        <v>45870</v>
      </c>
      <c r="B347" s="14" t="s">
        <v>340</v>
      </c>
      <c r="C347" s="19" t="s">
        <v>16</v>
      </c>
      <c r="D347" s="18" t="s">
        <v>127</v>
      </c>
      <c r="E347" s="14" t="str">
        <f>_xlfn.XLOOKUP($D347,'Chart of Accounts'!$A:$A,'Chart of Accounts'!B:B,"")</f>
        <v>Indirect Cost Allocation</v>
      </c>
      <c r="F347" s="14" t="str">
        <f>_xlfn.XLOOKUP($D347,'Chart of Accounts'!$A:$A,'Chart of Accounts'!C:C,"")</f>
        <v>Indirect</v>
      </c>
      <c r="G347" s="14" t="s">
        <v>337</v>
      </c>
      <c r="H347" s="16">
        <v>10398.483778634032</v>
      </c>
      <c r="I347" s="16" t="s">
        <v>785</v>
      </c>
      <c r="J347" s="16">
        <v>10398.483778634032</v>
      </c>
      <c r="K347" s="14" t="s">
        <v>225</v>
      </c>
    </row>
    <row r="348" spans="1:11" ht="15" customHeight="1">
      <c r="A348" s="13">
        <v>45870</v>
      </c>
      <c r="B348" s="14" t="s">
        <v>340</v>
      </c>
      <c r="C348" s="19" t="s">
        <v>18</v>
      </c>
      <c r="D348" s="18" t="s">
        <v>127</v>
      </c>
      <c r="E348" s="14" t="str">
        <f>_xlfn.XLOOKUP($D348,'Chart of Accounts'!$A:$A,'Chart of Accounts'!B:B,"")</f>
        <v>Indirect Cost Allocation</v>
      </c>
      <c r="F348" s="14" t="str">
        <f>_xlfn.XLOOKUP($D348,'Chart of Accounts'!$A:$A,'Chart of Accounts'!C:C,"")</f>
        <v>Indirect</v>
      </c>
      <c r="G348" s="14" t="s">
        <v>338</v>
      </c>
      <c r="H348" s="16">
        <v>14462.510528307695</v>
      </c>
      <c r="I348" s="16" t="s">
        <v>785</v>
      </c>
      <c r="J348" s="16">
        <v>14462.510528307695</v>
      </c>
      <c r="K348" s="14" t="s">
        <v>225</v>
      </c>
    </row>
    <row r="349" spans="1:11" ht="15" customHeight="1">
      <c r="A349" s="13">
        <v>45870</v>
      </c>
      <c r="B349" s="14" t="s">
        <v>340</v>
      </c>
      <c r="C349" s="19" t="s">
        <v>20</v>
      </c>
      <c r="D349" s="18" t="s">
        <v>127</v>
      </c>
      <c r="E349" s="14" t="str">
        <f>_xlfn.XLOOKUP($D349,'Chart of Accounts'!$A:$A,'Chart of Accounts'!B:B,"")</f>
        <v>Indirect Cost Allocation</v>
      </c>
      <c r="F349" s="14" t="str">
        <f>_xlfn.XLOOKUP($D349,'Chart of Accounts'!$A:$A,'Chart of Accounts'!C:C,"")</f>
        <v>Indirect</v>
      </c>
      <c r="G349" s="14" t="s">
        <v>339</v>
      </c>
      <c r="H349" s="16">
        <v>13457.0069102217</v>
      </c>
      <c r="I349" s="16" t="s">
        <v>785</v>
      </c>
      <c r="J349" s="16">
        <v>13457.0069102217</v>
      </c>
      <c r="K349" s="14" t="s">
        <v>225</v>
      </c>
    </row>
    <row r="350" spans="1:11" ht="15" customHeight="1">
      <c r="A350" s="13">
        <v>45901</v>
      </c>
      <c r="B350" s="14" t="s">
        <v>341</v>
      </c>
      <c r="C350" s="19" t="s">
        <v>12</v>
      </c>
      <c r="D350" s="18" t="s">
        <v>127</v>
      </c>
      <c r="E350" s="14" t="str">
        <f>_xlfn.XLOOKUP($D350,'Chart of Accounts'!$A:$A,'Chart of Accounts'!B:B,"")</f>
        <v>Indirect Cost Allocation</v>
      </c>
      <c r="F350" s="14" t="str">
        <f>_xlfn.XLOOKUP($D350,'Chart of Accounts'!$A:$A,'Chart of Accounts'!C:C,"")</f>
        <v>Indirect</v>
      </c>
      <c r="G350" s="14" t="s">
        <v>335</v>
      </c>
      <c r="H350" s="16">
        <v>11634.072552179947</v>
      </c>
      <c r="I350" s="16" t="s">
        <v>785</v>
      </c>
      <c r="J350" s="16">
        <v>11634.072552179947</v>
      </c>
      <c r="K350" s="14" t="s">
        <v>225</v>
      </c>
    </row>
    <row r="351" spans="1:11" ht="15" customHeight="1">
      <c r="A351" s="13">
        <v>45901</v>
      </c>
      <c r="B351" s="14" t="s">
        <v>341</v>
      </c>
      <c r="C351" s="19" t="s">
        <v>14</v>
      </c>
      <c r="D351" s="18" t="s">
        <v>127</v>
      </c>
      <c r="E351" s="14" t="str">
        <f>_xlfn.XLOOKUP($D351,'Chart of Accounts'!$A:$A,'Chart of Accounts'!B:B,"")</f>
        <v>Indirect Cost Allocation</v>
      </c>
      <c r="F351" s="14" t="str">
        <f>_xlfn.XLOOKUP($D351,'Chart of Accounts'!$A:$A,'Chart of Accounts'!C:C,"")</f>
        <v>Indirect</v>
      </c>
      <c r="G351" s="14" t="s">
        <v>336</v>
      </c>
      <c r="H351" s="16">
        <v>9658.4459305286782</v>
      </c>
      <c r="I351" s="16" t="s">
        <v>785</v>
      </c>
      <c r="J351" s="16">
        <v>9658.4459305286782</v>
      </c>
      <c r="K351" s="14" t="s">
        <v>225</v>
      </c>
    </row>
    <row r="352" spans="1:11" ht="15" customHeight="1">
      <c r="A352" s="13">
        <v>45901</v>
      </c>
      <c r="B352" s="14" t="s">
        <v>341</v>
      </c>
      <c r="C352" s="19" t="s">
        <v>16</v>
      </c>
      <c r="D352" s="18" t="s">
        <v>127</v>
      </c>
      <c r="E352" s="14" t="str">
        <f>_xlfn.XLOOKUP($D352,'Chart of Accounts'!$A:$A,'Chart of Accounts'!B:B,"")</f>
        <v>Indirect Cost Allocation</v>
      </c>
      <c r="F352" s="14" t="str">
        <f>_xlfn.XLOOKUP($D352,'Chart of Accounts'!$A:$A,'Chart of Accounts'!C:C,"")</f>
        <v>Indirect</v>
      </c>
      <c r="G352" s="14" t="s">
        <v>337</v>
      </c>
      <c r="H352" s="16">
        <v>10329.712381289064</v>
      </c>
      <c r="I352" s="16" t="s">
        <v>785</v>
      </c>
      <c r="J352" s="16">
        <v>10329.712381289064</v>
      </c>
      <c r="K352" s="14" t="s">
        <v>225</v>
      </c>
    </row>
    <row r="353" spans="1:11" ht="15" customHeight="1">
      <c r="A353" s="13">
        <v>45901</v>
      </c>
      <c r="B353" s="14" t="s">
        <v>341</v>
      </c>
      <c r="C353" s="19" t="s">
        <v>18</v>
      </c>
      <c r="D353" s="18" t="s">
        <v>127</v>
      </c>
      <c r="E353" s="14" t="str">
        <f>_xlfn.XLOOKUP($D353,'Chart of Accounts'!$A:$A,'Chart of Accounts'!B:B,"")</f>
        <v>Indirect Cost Allocation</v>
      </c>
      <c r="F353" s="14" t="str">
        <f>_xlfn.XLOOKUP($D353,'Chart of Accounts'!$A:$A,'Chart of Accounts'!C:C,"")</f>
        <v>Indirect</v>
      </c>
      <c r="G353" s="14" t="s">
        <v>338</v>
      </c>
      <c r="H353" s="16">
        <v>14096.863197377721</v>
      </c>
      <c r="I353" s="16" t="s">
        <v>785</v>
      </c>
      <c r="J353" s="16">
        <v>14096.863197377721</v>
      </c>
      <c r="K353" s="14" t="s">
        <v>225</v>
      </c>
    </row>
    <row r="354" spans="1:11" ht="15" customHeight="1">
      <c r="A354" s="13">
        <v>45901</v>
      </c>
      <c r="B354" s="14" t="s">
        <v>341</v>
      </c>
      <c r="C354" s="19" t="s">
        <v>20</v>
      </c>
      <c r="D354" s="18" t="s">
        <v>127</v>
      </c>
      <c r="E354" s="14" t="str">
        <f>_xlfn.XLOOKUP($D354,'Chart of Accounts'!$A:$A,'Chart of Accounts'!B:B,"")</f>
        <v>Indirect Cost Allocation</v>
      </c>
      <c r="F354" s="14" t="str">
        <f>_xlfn.XLOOKUP($D354,'Chart of Accounts'!$A:$A,'Chart of Accounts'!C:C,"")</f>
        <v>Indirect</v>
      </c>
      <c r="G354" s="14" t="s">
        <v>339</v>
      </c>
      <c r="H354" s="16">
        <v>12779.8937305564</v>
      </c>
      <c r="I354" s="16" t="s">
        <v>785</v>
      </c>
      <c r="J354" s="16">
        <v>12779.8937305564</v>
      </c>
      <c r="K354" s="14" t="s">
        <v>225</v>
      </c>
    </row>
    <row r="355" spans="1:11" ht="15" customHeight="1">
      <c r="A355" s="13">
        <v>45931</v>
      </c>
      <c r="B355" s="14" t="s">
        <v>342</v>
      </c>
      <c r="C355" s="19" t="s">
        <v>12</v>
      </c>
      <c r="D355" s="18" t="s">
        <v>127</v>
      </c>
      <c r="E355" s="14" t="str">
        <f>_xlfn.XLOOKUP($D355,'Chart of Accounts'!$A:$A,'Chart of Accounts'!B:B,"")</f>
        <v>Indirect Cost Allocation</v>
      </c>
      <c r="F355" s="14" t="str">
        <f>_xlfn.XLOOKUP($D355,'Chart of Accounts'!$A:$A,'Chart of Accounts'!C:C,"")</f>
        <v>Indirect</v>
      </c>
      <c r="G355" s="14" t="s">
        <v>335</v>
      </c>
      <c r="H355" s="16">
        <v>9329.6434243010735</v>
      </c>
      <c r="I355" s="16" t="s">
        <v>785</v>
      </c>
      <c r="J355" s="16">
        <v>9329.6434243010735</v>
      </c>
      <c r="K355" s="14" t="s">
        <v>225</v>
      </c>
    </row>
    <row r="356" spans="1:11" ht="15" customHeight="1">
      <c r="A356" s="13">
        <v>45931</v>
      </c>
      <c r="B356" s="14" t="s">
        <v>342</v>
      </c>
      <c r="C356" s="19" t="s">
        <v>14</v>
      </c>
      <c r="D356" s="18" t="s">
        <v>127</v>
      </c>
      <c r="E356" s="14" t="str">
        <f>_xlfn.XLOOKUP($D356,'Chart of Accounts'!$A:$A,'Chart of Accounts'!B:B,"")</f>
        <v>Indirect Cost Allocation</v>
      </c>
      <c r="F356" s="14" t="str">
        <f>_xlfn.XLOOKUP($D356,'Chart of Accounts'!$A:$A,'Chart of Accounts'!C:C,"")</f>
        <v>Indirect</v>
      </c>
      <c r="G356" s="14" t="s">
        <v>336</v>
      </c>
      <c r="H356" s="16">
        <v>13657.835424579102</v>
      </c>
      <c r="I356" s="16" t="s">
        <v>785</v>
      </c>
      <c r="J356" s="16">
        <v>13657.835424579102</v>
      </c>
      <c r="K356" s="14" t="s">
        <v>225</v>
      </c>
    </row>
    <row r="357" spans="1:11" ht="15" customHeight="1">
      <c r="A357" s="13">
        <v>45931</v>
      </c>
      <c r="B357" s="14" t="s">
        <v>342</v>
      </c>
      <c r="C357" s="19" t="s">
        <v>16</v>
      </c>
      <c r="D357" s="18" t="s">
        <v>127</v>
      </c>
      <c r="E357" s="14" t="str">
        <f>_xlfn.XLOOKUP($D357,'Chart of Accounts'!$A:$A,'Chart of Accounts'!B:B,"")</f>
        <v>Indirect Cost Allocation</v>
      </c>
      <c r="F357" s="14" t="str">
        <f>_xlfn.XLOOKUP($D357,'Chart of Accounts'!$A:$A,'Chart of Accounts'!C:C,"")</f>
        <v>Indirect</v>
      </c>
      <c r="G357" s="14" t="s">
        <v>337</v>
      </c>
      <c r="H357" s="16">
        <v>10480.138465356265</v>
      </c>
      <c r="I357" s="16" t="s">
        <v>785</v>
      </c>
      <c r="J357" s="16">
        <v>10480.138465356265</v>
      </c>
      <c r="K357" s="14" t="s">
        <v>225</v>
      </c>
    </row>
    <row r="358" spans="1:11" ht="15" customHeight="1">
      <c r="A358" s="13">
        <v>45931</v>
      </c>
      <c r="B358" s="14" t="s">
        <v>342</v>
      </c>
      <c r="C358" s="19" t="s">
        <v>18</v>
      </c>
      <c r="D358" s="18" t="s">
        <v>127</v>
      </c>
      <c r="E358" s="14" t="str">
        <f>_xlfn.XLOOKUP($D358,'Chart of Accounts'!$A:$A,'Chart of Accounts'!B:B,"")</f>
        <v>Indirect Cost Allocation</v>
      </c>
      <c r="F358" s="14" t="str">
        <f>_xlfn.XLOOKUP($D358,'Chart of Accounts'!$A:$A,'Chart of Accounts'!C:C,"")</f>
        <v>Indirect</v>
      </c>
      <c r="G358" s="14" t="s">
        <v>338</v>
      </c>
      <c r="H358" s="16">
        <v>14998.30054932844</v>
      </c>
      <c r="I358" s="16" t="s">
        <v>785</v>
      </c>
      <c r="J358" s="16">
        <v>14998.30054932844</v>
      </c>
      <c r="K358" s="14" t="s">
        <v>225</v>
      </c>
    </row>
    <row r="359" spans="1:11" ht="15" customHeight="1">
      <c r="A359" s="13">
        <v>45931</v>
      </c>
      <c r="B359" s="14" t="s">
        <v>342</v>
      </c>
      <c r="C359" s="19" t="s">
        <v>20</v>
      </c>
      <c r="D359" s="18" t="s">
        <v>127</v>
      </c>
      <c r="E359" s="14" t="str">
        <f>_xlfn.XLOOKUP($D359,'Chart of Accounts'!$A:$A,'Chart of Accounts'!B:B,"")</f>
        <v>Indirect Cost Allocation</v>
      </c>
      <c r="F359" s="14" t="str">
        <f>_xlfn.XLOOKUP($D359,'Chart of Accounts'!$A:$A,'Chart of Accounts'!C:C,"")</f>
        <v>Indirect</v>
      </c>
      <c r="G359" s="14" t="s">
        <v>339</v>
      </c>
      <c r="H359" s="16">
        <v>13851.931847304684</v>
      </c>
      <c r="I359" s="16" t="s">
        <v>785</v>
      </c>
      <c r="J359" s="16">
        <v>13851.931847304684</v>
      </c>
      <c r="K359" s="14" t="s">
        <v>225</v>
      </c>
    </row>
    <row r="360" spans="1:11" ht="15" customHeight="1">
      <c r="A360" s="13">
        <v>45962</v>
      </c>
      <c r="B360" s="14" t="s">
        <v>343</v>
      </c>
      <c r="C360" s="19" t="s">
        <v>12</v>
      </c>
      <c r="D360" s="18" t="s">
        <v>127</v>
      </c>
      <c r="E360" s="14" t="str">
        <f>_xlfn.XLOOKUP($D360,'Chart of Accounts'!$A:$A,'Chart of Accounts'!B:B,"")</f>
        <v>Indirect Cost Allocation</v>
      </c>
      <c r="F360" s="14" t="str">
        <f>_xlfn.XLOOKUP($D360,'Chart of Accounts'!$A:$A,'Chart of Accounts'!C:C,"")</f>
        <v>Indirect</v>
      </c>
      <c r="G360" s="14" t="s">
        <v>335</v>
      </c>
      <c r="H360" s="16">
        <v>11967.644272135925</v>
      </c>
      <c r="I360" s="16" t="s">
        <v>785</v>
      </c>
      <c r="J360" s="16">
        <v>11967.644272135925</v>
      </c>
      <c r="K360" s="14" t="s">
        <v>225</v>
      </c>
    </row>
    <row r="361" spans="1:11" ht="15" customHeight="1">
      <c r="A361" s="13">
        <v>45962</v>
      </c>
      <c r="B361" s="14" t="s">
        <v>343</v>
      </c>
      <c r="C361" s="19" t="s">
        <v>14</v>
      </c>
      <c r="D361" s="18" t="s">
        <v>127</v>
      </c>
      <c r="E361" s="14" t="str">
        <f>_xlfn.XLOOKUP($D361,'Chart of Accounts'!$A:$A,'Chart of Accounts'!B:B,"")</f>
        <v>Indirect Cost Allocation</v>
      </c>
      <c r="F361" s="14" t="str">
        <f>_xlfn.XLOOKUP($D361,'Chart of Accounts'!$A:$A,'Chart of Accounts'!C:C,"")</f>
        <v>Indirect</v>
      </c>
      <c r="G361" s="14" t="s">
        <v>336</v>
      </c>
      <c r="H361" s="16">
        <v>12853.712823704687</v>
      </c>
      <c r="I361" s="16" t="s">
        <v>785</v>
      </c>
      <c r="J361" s="16">
        <v>12853.712823704687</v>
      </c>
      <c r="K361" s="14" t="s">
        <v>225</v>
      </c>
    </row>
    <row r="362" spans="1:11" ht="15" customHeight="1">
      <c r="A362" s="13">
        <v>45962</v>
      </c>
      <c r="B362" s="14" t="s">
        <v>343</v>
      </c>
      <c r="C362" s="19" t="s">
        <v>16</v>
      </c>
      <c r="D362" s="18" t="s">
        <v>127</v>
      </c>
      <c r="E362" s="14" t="str">
        <f>_xlfn.XLOOKUP($D362,'Chart of Accounts'!$A:$A,'Chart of Accounts'!B:B,"")</f>
        <v>Indirect Cost Allocation</v>
      </c>
      <c r="F362" s="14" t="str">
        <f>_xlfn.XLOOKUP($D362,'Chart of Accounts'!$A:$A,'Chart of Accounts'!C:C,"")</f>
        <v>Indirect</v>
      </c>
      <c r="G362" s="14" t="s">
        <v>337</v>
      </c>
      <c r="H362" s="16">
        <v>9940.4559746623181</v>
      </c>
      <c r="I362" s="16" t="s">
        <v>785</v>
      </c>
      <c r="J362" s="16">
        <v>9940.4559746623181</v>
      </c>
      <c r="K362" s="14" t="s">
        <v>225</v>
      </c>
    </row>
    <row r="363" spans="1:11" ht="15" customHeight="1">
      <c r="A363" s="13">
        <v>45962</v>
      </c>
      <c r="B363" s="14" t="s">
        <v>343</v>
      </c>
      <c r="C363" s="19" t="s">
        <v>18</v>
      </c>
      <c r="D363" s="18" t="s">
        <v>127</v>
      </c>
      <c r="E363" s="14" t="str">
        <f>_xlfn.XLOOKUP($D363,'Chart of Accounts'!$A:$A,'Chart of Accounts'!B:B,"")</f>
        <v>Indirect Cost Allocation</v>
      </c>
      <c r="F363" s="14" t="str">
        <f>_xlfn.XLOOKUP($D363,'Chart of Accounts'!$A:$A,'Chart of Accounts'!C:C,"")</f>
        <v>Indirect</v>
      </c>
      <c r="G363" s="14" t="s">
        <v>338</v>
      </c>
      <c r="H363" s="16">
        <v>13921.748319239337</v>
      </c>
      <c r="I363" s="16" t="s">
        <v>785</v>
      </c>
      <c r="J363" s="16">
        <v>13921.748319239337</v>
      </c>
      <c r="K363" s="14" t="s">
        <v>225</v>
      </c>
    </row>
    <row r="364" spans="1:11" ht="15" customHeight="1">
      <c r="A364" s="13">
        <v>45962</v>
      </c>
      <c r="B364" s="14" t="s">
        <v>343</v>
      </c>
      <c r="C364" s="19" t="s">
        <v>20</v>
      </c>
      <c r="D364" s="18" t="s">
        <v>127</v>
      </c>
      <c r="E364" s="14" t="str">
        <f>_xlfn.XLOOKUP($D364,'Chart of Accounts'!$A:$A,'Chart of Accounts'!B:B,"")</f>
        <v>Indirect Cost Allocation</v>
      </c>
      <c r="F364" s="14" t="str">
        <f>_xlfn.XLOOKUP($D364,'Chart of Accounts'!$A:$A,'Chart of Accounts'!C:C,"")</f>
        <v>Indirect</v>
      </c>
      <c r="G364" s="14" t="s">
        <v>339</v>
      </c>
      <c r="H364" s="16">
        <v>12825.281388262551</v>
      </c>
      <c r="I364" s="16" t="s">
        <v>785</v>
      </c>
      <c r="J364" s="16">
        <v>12825.281388262551</v>
      </c>
      <c r="K364" s="14" t="s">
        <v>225</v>
      </c>
    </row>
    <row r="365" spans="1:11" ht="15" customHeight="1">
      <c r="A365" s="13">
        <v>45992</v>
      </c>
      <c r="B365" s="14" t="s">
        <v>344</v>
      </c>
      <c r="C365" s="19" t="s">
        <v>12</v>
      </c>
      <c r="D365" s="18" t="s">
        <v>127</v>
      </c>
      <c r="E365" s="14" t="str">
        <f>_xlfn.XLOOKUP($D365,'Chart of Accounts'!$A:$A,'Chart of Accounts'!B:B,"")</f>
        <v>Indirect Cost Allocation</v>
      </c>
      <c r="F365" s="14" t="str">
        <f>_xlfn.XLOOKUP($D365,'Chart of Accounts'!$A:$A,'Chart of Accounts'!C:C,"")</f>
        <v>Indirect</v>
      </c>
      <c r="G365" s="14" t="s">
        <v>335</v>
      </c>
      <c r="H365" s="16">
        <v>12538.871911139795</v>
      </c>
      <c r="I365" s="16" t="s">
        <v>785</v>
      </c>
      <c r="J365" s="16">
        <v>12538.871911139795</v>
      </c>
      <c r="K365" s="14" t="s">
        <v>225</v>
      </c>
    </row>
    <row r="366" spans="1:11" ht="15" customHeight="1">
      <c r="A366" s="13">
        <v>45992</v>
      </c>
      <c r="B366" s="14" t="s">
        <v>344</v>
      </c>
      <c r="C366" s="19" t="s">
        <v>14</v>
      </c>
      <c r="D366" s="18" t="s">
        <v>127</v>
      </c>
      <c r="E366" s="14" t="str">
        <f>_xlfn.XLOOKUP($D366,'Chart of Accounts'!$A:$A,'Chart of Accounts'!B:B,"")</f>
        <v>Indirect Cost Allocation</v>
      </c>
      <c r="F366" s="14" t="str">
        <f>_xlfn.XLOOKUP($D366,'Chart of Accounts'!$A:$A,'Chart of Accounts'!C:C,"")</f>
        <v>Indirect</v>
      </c>
      <c r="G366" s="14" t="s">
        <v>336</v>
      </c>
      <c r="H366" s="16">
        <v>13597.200594330814</v>
      </c>
      <c r="I366" s="16" t="s">
        <v>785</v>
      </c>
      <c r="J366" s="16">
        <v>13597.200594330814</v>
      </c>
      <c r="K366" s="14" t="s">
        <v>225</v>
      </c>
    </row>
    <row r="367" spans="1:11" ht="15" customHeight="1">
      <c r="A367" s="13">
        <v>45992</v>
      </c>
      <c r="B367" s="14" t="s">
        <v>344</v>
      </c>
      <c r="C367" s="19" t="s">
        <v>16</v>
      </c>
      <c r="D367" s="18" t="s">
        <v>127</v>
      </c>
      <c r="E367" s="14" t="str">
        <f>_xlfn.XLOOKUP($D367,'Chart of Accounts'!$A:$A,'Chart of Accounts'!B:B,"")</f>
        <v>Indirect Cost Allocation</v>
      </c>
      <c r="F367" s="14" t="str">
        <f>_xlfn.XLOOKUP($D367,'Chart of Accounts'!$A:$A,'Chart of Accounts'!C:C,"")</f>
        <v>Indirect</v>
      </c>
      <c r="G367" s="14" t="s">
        <v>337</v>
      </c>
      <c r="H367" s="16">
        <v>10052.718596938077</v>
      </c>
      <c r="I367" s="16" t="s">
        <v>785</v>
      </c>
      <c r="J367" s="16">
        <v>10052.718596938077</v>
      </c>
      <c r="K367" s="14" t="s">
        <v>225</v>
      </c>
    </row>
    <row r="368" spans="1:11" ht="15" customHeight="1">
      <c r="A368" s="13">
        <v>45992</v>
      </c>
      <c r="B368" s="14" t="s">
        <v>344</v>
      </c>
      <c r="C368" s="19" t="s">
        <v>18</v>
      </c>
      <c r="D368" s="18" t="s">
        <v>127</v>
      </c>
      <c r="E368" s="14" t="str">
        <f>_xlfn.XLOOKUP($D368,'Chart of Accounts'!$A:$A,'Chart of Accounts'!B:B,"")</f>
        <v>Indirect Cost Allocation</v>
      </c>
      <c r="F368" s="14" t="str">
        <f>_xlfn.XLOOKUP($D368,'Chart of Accounts'!$A:$A,'Chart of Accounts'!C:C,"")</f>
        <v>Indirect</v>
      </c>
      <c r="G368" s="14" t="s">
        <v>338</v>
      </c>
      <c r="H368" s="16">
        <v>14123.889611269402</v>
      </c>
      <c r="I368" s="16" t="s">
        <v>785</v>
      </c>
      <c r="J368" s="16">
        <v>14123.889611269402</v>
      </c>
      <c r="K368" s="14" t="s">
        <v>225</v>
      </c>
    </row>
    <row r="369" spans="1:11" ht="15" customHeight="1">
      <c r="A369" s="13">
        <v>45992</v>
      </c>
      <c r="B369" s="14" t="s">
        <v>344</v>
      </c>
      <c r="C369" s="19" t="s">
        <v>20</v>
      </c>
      <c r="D369" s="18" t="s">
        <v>127</v>
      </c>
      <c r="E369" s="14" t="str">
        <f>_xlfn.XLOOKUP($D369,'Chart of Accounts'!$A:$A,'Chart of Accounts'!B:B,"")</f>
        <v>Indirect Cost Allocation</v>
      </c>
      <c r="F369" s="14" t="str">
        <f>_xlfn.XLOOKUP($D369,'Chart of Accounts'!$A:$A,'Chart of Accounts'!C:C,"")</f>
        <v>Indirect</v>
      </c>
      <c r="G369" s="14" t="s">
        <v>339</v>
      </c>
      <c r="H369" s="16">
        <v>13510.027552730789</v>
      </c>
      <c r="I369" s="16" t="s">
        <v>785</v>
      </c>
      <c r="J369" s="16">
        <v>13510.027552730789</v>
      </c>
      <c r="K369" s="14" t="s">
        <v>225</v>
      </c>
    </row>
    <row r="370" spans="1:11" ht="15" customHeight="1">
      <c r="A370" s="13">
        <v>46023</v>
      </c>
      <c r="B370" s="14" t="s">
        <v>345</v>
      </c>
      <c r="C370" s="19" t="s">
        <v>12</v>
      </c>
      <c r="D370" s="18" t="s">
        <v>127</v>
      </c>
      <c r="E370" s="14" t="str">
        <f>_xlfn.XLOOKUP($D370,'Chart of Accounts'!$A:$A,'Chart of Accounts'!B:B,"")</f>
        <v>Indirect Cost Allocation</v>
      </c>
      <c r="F370" s="14" t="str">
        <f>_xlfn.XLOOKUP($D370,'Chart of Accounts'!$A:$A,'Chart of Accounts'!C:C,"")</f>
        <v>Indirect</v>
      </c>
      <c r="G370" s="14" t="s">
        <v>335</v>
      </c>
      <c r="H370" s="16">
        <v>12852.804442461918</v>
      </c>
      <c r="I370" s="16" t="s">
        <v>785</v>
      </c>
      <c r="J370" s="16">
        <v>12852.804442461918</v>
      </c>
      <c r="K370" s="14" t="s">
        <v>225</v>
      </c>
    </row>
    <row r="371" spans="1:11" ht="15" customHeight="1">
      <c r="A371" s="13">
        <v>46023</v>
      </c>
      <c r="B371" s="14" t="s">
        <v>345</v>
      </c>
      <c r="C371" s="19" t="s">
        <v>14</v>
      </c>
      <c r="D371" s="18" t="s">
        <v>127</v>
      </c>
      <c r="E371" s="14" t="str">
        <f>_xlfn.XLOOKUP($D371,'Chart of Accounts'!$A:$A,'Chart of Accounts'!B:B,"")</f>
        <v>Indirect Cost Allocation</v>
      </c>
      <c r="F371" s="14" t="str">
        <f>_xlfn.XLOOKUP($D371,'Chart of Accounts'!$A:$A,'Chart of Accounts'!C:C,"")</f>
        <v>Indirect</v>
      </c>
      <c r="G371" s="14" t="s">
        <v>336</v>
      </c>
      <c r="H371" s="16">
        <v>14284.103880270686</v>
      </c>
      <c r="I371" s="16" t="s">
        <v>785</v>
      </c>
      <c r="J371" s="16">
        <v>14284.103880270686</v>
      </c>
      <c r="K371" s="14" t="s">
        <v>225</v>
      </c>
    </row>
    <row r="372" spans="1:11" ht="15" customHeight="1">
      <c r="A372" s="13">
        <v>46023</v>
      </c>
      <c r="B372" s="14" t="s">
        <v>345</v>
      </c>
      <c r="C372" s="19" t="s">
        <v>16</v>
      </c>
      <c r="D372" s="18" t="s">
        <v>127</v>
      </c>
      <c r="E372" s="14" t="str">
        <f>_xlfn.XLOOKUP($D372,'Chart of Accounts'!$A:$A,'Chart of Accounts'!B:B,"")</f>
        <v>Indirect Cost Allocation</v>
      </c>
      <c r="F372" s="14" t="str">
        <f>_xlfn.XLOOKUP($D372,'Chart of Accounts'!$A:$A,'Chart of Accounts'!C:C,"")</f>
        <v>Indirect</v>
      </c>
      <c r="G372" s="14" t="s">
        <v>337</v>
      </c>
      <c r="H372" s="16">
        <v>10533.282605262535</v>
      </c>
      <c r="I372" s="16" t="s">
        <v>785</v>
      </c>
      <c r="J372" s="16">
        <v>10533.282605262535</v>
      </c>
      <c r="K372" s="14" t="s">
        <v>225</v>
      </c>
    </row>
    <row r="373" spans="1:11" ht="15" customHeight="1">
      <c r="A373" s="13">
        <v>46023</v>
      </c>
      <c r="B373" s="14" t="s">
        <v>345</v>
      </c>
      <c r="C373" s="19" t="s">
        <v>18</v>
      </c>
      <c r="D373" s="18" t="s">
        <v>127</v>
      </c>
      <c r="E373" s="14" t="str">
        <f>_xlfn.XLOOKUP($D373,'Chart of Accounts'!$A:$A,'Chart of Accounts'!B:B,"")</f>
        <v>Indirect Cost Allocation</v>
      </c>
      <c r="F373" s="14" t="str">
        <f>_xlfn.XLOOKUP($D373,'Chart of Accounts'!$A:$A,'Chart of Accounts'!C:C,"")</f>
        <v>Indirect</v>
      </c>
      <c r="G373" s="14" t="s">
        <v>338</v>
      </c>
      <c r="H373" s="16">
        <v>10898.720871945783</v>
      </c>
      <c r="I373" s="16" t="s">
        <v>785</v>
      </c>
      <c r="J373" s="16">
        <v>10898.720871945783</v>
      </c>
      <c r="K373" s="14" t="s">
        <v>225</v>
      </c>
    </row>
    <row r="374" spans="1:11" ht="15" customHeight="1">
      <c r="A374" s="13">
        <v>46023</v>
      </c>
      <c r="B374" s="14" t="s">
        <v>345</v>
      </c>
      <c r="C374" s="19" t="s">
        <v>20</v>
      </c>
      <c r="D374" s="18" t="s">
        <v>127</v>
      </c>
      <c r="E374" s="14" t="str">
        <f>_xlfn.XLOOKUP($D374,'Chart of Accounts'!$A:$A,'Chart of Accounts'!B:B,"")</f>
        <v>Indirect Cost Allocation</v>
      </c>
      <c r="F374" s="14" t="str">
        <f>_xlfn.XLOOKUP($D374,'Chart of Accounts'!$A:$A,'Chart of Accounts'!C:C,"")</f>
        <v>Indirect</v>
      </c>
      <c r="G374" s="14" t="s">
        <v>339</v>
      </c>
      <c r="H374" s="16">
        <v>14230.779148695437</v>
      </c>
      <c r="I374" s="16" t="s">
        <v>785</v>
      </c>
      <c r="J374" s="16">
        <v>14230.779148695437</v>
      </c>
      <c r="K374" s="14" t="s">
        <v>225</v>
      </c>
    </row>
    <row r="375" spans="1:11" ht="15" customHeight="1">
      <c r="A375" s="13">
        <v>46054</v>
      </c>
      <c r="B375" s="14" t="s">
        <v>346</v>
      </c>
      <c r="C375" s="19" t="s">
        <v>12</v>
      </c>
      <c r="D375" s="18" t="s">
        <v>127</v>
      </c>
      <c r="E375" s="14" t="str">
        <f>_xlfn.XLOOKUP($D375,'Chart of Accounts'!$A:$A,'Chart of Accounts'!B:B,"")</f>
        <v>Indirect Cost Allocation</v>
      </c>
      <c r="F375" s="14" t="str">
        <f>_xlfn.XLOOKUP($D375,'Chart of Accounts'!$A:$A,'Chart of Accounts'!C:C,"")</f>
        <v>Indirect</v>
      </c>
      <c r="G375" s="14" t="s">
        <v>335</v>
      </c>
      <c r="H375" s="16">
        <v>12670.461608444964</v>
      </c>
      <c r="I375" s="16" t="s">
        <v>785</v>
      </c>
      <c r="J375" s="16">
        <v>12670.461608444964</v>
      </c>
      <c r="K375" s="14" t="s">
        <v>225</v>
      </c>
    </row>
    <row r="376" spans="1:11" ht="15" customHeight="1">
      <c r="A376" s="13">
        <v>46054</v>
      </c>
      <c r="B376" s="14" t="s">
        <v>346</v>
      </c>
      <c r="C376" s="19" t="s">
        <v>14</v>
      </c>
      <c r="D376" s="18" t="s">
        <v>127</v>
      </c>
      <c r="E376" s="14" t="str">
        <f>_xlfn.XLOOKUP($D376,'Chart of Accounts'!$A:$A,'Chart of Accounts'!B:B,"")</f>
        <v>Indirect Cost Allocation</v>
      </c>
      <c r="F376" s="14" t="str">
        <f>_xlfn.XLOOKUP($D376,'Chart of Accounts'!$A:$A,'Chart of Accounts'!C:C,"")</f>
        <v>Indirect</v>
      </c>
      <c r="G376" s="14" t="s">
        <v>336</v>
      </c>
      <c r="H376" s="16">
        <v>14320.156355514859</v>
      </c>
      <c r="I376" s="16" t="s">
        <v>785</v>
      </c>
      <c r="J376" s="16">
        <v>14320.156355514859</v>
      </c>
      <c r="K376" s="14" t="s">
        <v>225</v>
      </c>
    </row>
    <row r="377" spans="1:11" ht="15" customHeight="1">
      <c r="A377" s="13">
        <v>46054</v>
      </c>
      <c r="B377" s="14" t="s">
        <v>346</v>
      </c>
      <c r="C377" s="19" t="s">
        <v>16</v>
      </c>
      <c r="D377" s="18" t="s">
        <v>127</v>
      </c>
      <c r="E377" s="14" t="str">
        <f>_xlfn.XLOOKUP($D377,'Chart of Accounts'!$A:$A,'Chart of Accounts'!B:B,"")</f>
        <v>Indirect Cost Allocation</v>
      </c>
      <c r="F377" s="14" t="str">
        <f>_xlfn.XLOOKUP($D377,'Chart of Accounts'!$A:$A,'Chart of Accounts'!C:C,"")</f>
        <v>Indirect</v>
      </c>
      <c r="G377" s="14" t="s">
        <v>337</v>
      </c>
      <c r="H377" s="16">
        <v>10084.530402165572</v>
      </c>
      <c r="I377" s="16" t="s">
        <v>785</v>
      </c>
      <c r="J377" s="16">
        <v>10084.530402165572</v>
      </c>
      <c r="K377" s="14" t="s">
        <v>225</v>
      </c>
    </row>
    <row r="378" spans="1:11" ht="15" customHeight="1">
      <c r="A378" s="13">
        <v>46054</v>
      </c>
      <c r="B378" s="14" t="s">
        <v>346</v>
      </c>
      <c r="C378" s="19" t="s">
        <v>18</v>
      </c>
      <c r="D378" s="18" t="s">
        <v>127</v>
      </c>
      <c r="E378" s="14" t="str">
        <f>_xlfn.XLOOKUP($D378,'Chart of Accounts'!$A:$A,'Chart of Accounts'!B:B,"")</f>
        <v>Indirect Cost Allocation</v>
      </c>
      <c r="F378" s="14" t="str">
        <f>_xlfn.XLOOKUP($D378,'Chart of Accounts'!$A:$A,'Chart of Accounts'!C:C,"")</f>
        <v>Indirect</v>
      </c>
      <c r="G378" s="14" t="s">
        <v>338</v>
      </c>
      <c r="H378" s="16">
        <v>13149.491507366563</v>
      </c>
      <c r="I378" s="16" t="s">
        <v>785</v>
      </c>
      <c r="J378" s="16">
        <v>13149.491507366563</v>
      </c>
      <c r="K378" s="14" t="s">
        <v>225</v>
      </c>
    </row>
    <row r="379" spans="1:11" ht="15" customHeight="1">
      <c r="A379" s="13">
        <v>46054</v>
      </c>
      <c r="B379" s="14" t="s">
        <v>346</v>
      </c>
      <c r="C379" s="19" t="s">
        <v>20</v>
      </c>
      <c r="D379" s="18" t="s">
        <v>127</v>
      </c>
      <c r="E379" s="14" t="str">
        <f>_xlfn.XLOOKUP($D379,'Chart of Accounts'!$A:$A,'Chart of Accounts'!B:B,"")</f>
        <v>Indirect Cost Allocation</v>
      </c>
      <c r="F379" s="14" t="str">
        <f>_xlfn.XLOOKUP($D379,'Chart of Accounts'!$A:$A,'Chart of Accounts'!C:C,"")</f>
        <v>Indirect</v>
      </c>
      <c r="G379" s="14" t="s">
        <v>339</v>
      </c>
      <c r="H379" s="16">
        <v>13921.250073984007</v>
      </c>
      <c r="I379" s="16" t="s">
        <v>785</v>
      </c>
      <c r="J379" s="16">
        <v>13921.250073984007</v>
      </c>
      <c r="K379" s="14" t="s">
        <v>225</v>
      </c>
    </row>
    <row r="380" spans="1:11" ht="15" customHeight="1">
      <c r="A380" s="13">
        <v>46082</v>
      </c>
      <c r="B380" s="14" t="s">
        <v>347</v>
      </c>
      <c r="C380" s="19" t="s">
        <v>12</v>
      </c>
      <c r="D380" s="18" t="s">
        <v>127</v>
      </c>
      <c r="E380" s="14" t="str">
        <f>_xlfn.XLOOKUP($D380,'Chart of Accounts'!$A:$A,'Chart of Accounts'!B:B,"")</f>
        <v>Indirect Cost Allocation</v>
      </c>
      <c r="F380" s="14" t="str">
        <f>_xlfn.XLOOKUP($D380,'Chart of Accounts'!$A:$A,'Chart of Accounts'!C:C,"")</f>
        <v>Indirect</v>
      </c>
      <c r="G380" s="14" t="s">
        <v>335</v>
      </c>
      <c r="H380" s="16">
        <v>10787.131976083805</v>
      </c>
      <c r="I380" s="16" t="s">
        <v>785</v>
      </c>
      <c r="J380" s="16">
        <v>10787.131976083805</v>
      </c>
      <c r="K380" s="14" t="s">
        <v>225</v>
      </c>
    </row>
    <row r="381" spans="1:11" ht="15" customHeight="1">
      <c r="A381" s="13">
        <v>46082</v>
      </c>
      <c r="B381" s="14" t="s">
        <v>347</v>
      </c>
      <c r="C381" s="19" t="s">
        <v>14</v>
      </c>
      <c r="D381" s="18" t="s">
        <v>127</v>
      </c>
      <c r="E381" s="14" t="str">
        <f>_xlfn.XLOOKUP($D381,'Chart of Accounts'!$A:$A,'Chart of Accounts'!B:B,"")</f>
        <v>Indirect Cost Allocation</v>
      </c>
      <c r="F381" s="14" t="str">
        <f>_xlfn.XLOOKUP($D381,'Chart of Accounts'!$A:$A,'Chart of Accounts'!C:C,"")</f>
        <v>Indirect</v>
      </c>
      <c r="G381" s="14" t="s">
        <v>336</v>
      </c>
      <c r="H381" s="16">
        <v>12313.144371319198</v>
      </c>
      <c r="I381" s="16" t="s">
        <v>785</v>
      </c>
      <c r="J381" s="16">
        <v>12313.144371319198</v>
      </c>
      <c r="K381" s="14" t="s">
        <v>225</v>
      </c>
    </row>
    <row r="382" spans="1:11" ht="15" customHeight="1">
      <c r="A382" s="13">
        <v>46082</v>
      </c>
      <c r="B382" s="14" t="s">
        <v>347</v>
      </c>
      <c r="C382" s="19" t="s">
        <v>16</v>
      </c>
      <c r="D382" s="18" t="s">
        <v>127</v>
      </c>
      <c r="E382" s="14" t="str">
        <f>_xlfn.XLOOKUP($D382,'Chart of Accounts'!$A:$A,'Chart of Accounts'!B:B,"")</f>
        <v>Indirect Cost Allocation</v>
      </c>
      <c r="F382" s="14" t="str">
        <f>_xlfn.XLOOKUP($D382,'Chart of Accounts'!$A:$A,'Chart of Accounts'!C:C,"")</f>
        <v>Indirect</v>
      </c>
      <c r="G382" s="14" t="s">
        <v>337</v>
      </c>
      <c r="H382" s="16">
        <v>8620.9819355666496</v>
      </c>
      <c r="I382" s="16" t="s">
        <v>785</v>
      </c>
      <c r="J382" s="16">
        <v>8620.9819355666496</v>
      </c>
      <c r="K382" s="14" t="s">
        <v>225</v>
      </c>
    </row>
    <row r="383" spans="1:11" ht="15" customHeight="1">
      <c r="A383" s="13">
        <v>46082</v>
      </c>
      <c r="B383" s="14" t="s">
        <v>347</v>
      </c>
      <c r="C383" s="19" t="s">
        <v>18</v>
      </c>
      <c r="D383" s="18" t="s">
        <v>127</v>
      </c>
      <c r="E383" s="14" t="str">
        <f>_xlfn.XLOOKUP($D383,'Chart of Accounts'!$A:$A,'Chart of Accounts'!B:B,"")</f>
        <v>Indirect Cost Allocation</v>
      </c>
      <c r="F383" s="14" t="str">
        <f>_xlfn.XLOOKUP($D383,'Chart of Accounts'!$A:$A,'Chart of Accounts'!C:C,"")</f>
        <v>Indirect</v>
      </c>
      <c r="G383" s="14" t="s">
        <v>338</v>
      </c>
      <c r="H383" s="16">
        <v>11597.617204592141</v>
      </c>
      <c r="I383" s="16" t="s">
        <v>785</v>
      </c>
      <c r="J383" s="16">
        <v>11597.617204592141</v>
      </c>
      <c r="K383" s="14" t="s">
        <v>225</v>
      </c>
    </row>
    <row r="384" spans="1:11" ht="15" customHeight="1">
      <c r="A384" s="13">
        <v>46082</v>
      </c>
      <c r="B384" s="14" t="s">
        <v>347</v>
      </c>
      <c r="C384" s="19" t="s">
        <v>20</v>
      </c>
      <c r="D384" s="18" t="s">
        <v>127</v>
      </c>
      <c r="E384" s="14" t="str">
        <f>_xlfn.XLOOKUP($D384,'Chart of Accounts'!$A:$A,'Chart of Accounts'!B:B,"")</f>
        <v>Indirect Cost Allocation</v>
      </c>
      <c r="F384" s="14" t="str">
        <f>_xlfn.XLOOKUP($D384,'Chart of Accounts'!$A:$A,'Chart of Accounts'!C:C,"")</f>
        <v>Indirect</v>
      </c>
      <c r="G384" s="14" t="s">
        <v>339</v>
      </c>
      <c r="H384" s="16">
        <v>13971.259530904139</v>
      </c>
      <c r="I384" s="16" t="s">
        <v>785</v>
      </c>
      <c r="J384" s="16">
        <v>13971.259530904139</v>
      </c>
      <c r="K384" s="14" t="s">
        <v>225</v>
      </c>
    </row>
    <row r="385" spans="1:11" ht="15" customHeight="1">
      <c r="A385" s="13">
        <v>46113</v>
      </c>
      <c r="B385" s="14" t="s">
        <v>348</v>
      </c>
      <c r="C385" s="19" t="s">
        <v>12</v>
      </c>
      <c r="D385" s="18" t="s">
        <v>127</v>
      </c>
      <c r="E385" s="14" t="str">
        <f>_xlfn.XLOOKUP($D385,'Chart of Accounts'!$A:$A,'Chart of Accounts'!B:B,"")</f>
        <v>Indirect Cost Allocation</v>
      </c>
      <c r="F385" s="14" t="str">
        <f>_xlfn.XLOOKUP($D385,'Chart of Accounts'!$A:$A,'Chart of Accounts'!C:C,"")</f>
        <v>Indirect</v>
      </c>
      <c r="G385" s="14" t="s">
        <v>335</v>
      </c>
      <c r="H385" s="16">
        <v>11292.72527775974</v>
      </c>
      <c r="I385" s="16" t="s">
        <v>785</v>
      </c>
      <c r="J385" s="16">
        <v>11292.72527775974</v>
      </c>
      <c r="K385" s="14" t="s">
        <v>225</v>
      </c>
    </row>
    <row r="386" spans="1:11" ht="15" customHeight="1">
      <c r="A386" s="13">
        <v>46113</v>
      </c>
      <c r="B386" s="14" t="s">
        <v>348</v>
      </c>
      <c r="C386" s="19" t="s">
        <v>14</v>
      </c>
      <c r="D386" s="18" t="s">
        <v>127</v>
      </c>
      <c r="E386" s="14" t="str">
        <f>_xlfn.XLOOKUP($D386,'Chart of Accounts'!$A:$A,'Chart of Accounts'!B:B,"")</f>
        <v>Indirect Cost Allocation</v>
      </c>
      <c r="F386" s="14" t="str">
        <f>_xlfn.XLOOKUP($D386,'Chart of Accounts'!$A:$A,'Chart of Accounts'!C:C,"")</f>
        <v>Indirect</v>
      </c>
      <c r="G386" s="14" t="s">
        <v>336</v>
      </c>
      <c r="H386" s="16">
        <v>12816.3177226852</v>
      </c>
      <c r="I386" s="16" t="s">
        <v>785</v>
      </c>
      <c r="J386" s="16">
        <v>12816.3177226852</v>
      </c>
      <c r="K386" s="14" t="s">
        <v>225</v>
      </c>
    </row>
    <row r="387" spans="1:11" ht="15" customHeight="1">
      <c r="A387" s="13">
        <v>46113</v>
      </c>
      <c r="B387" s="14" t="s">
        <v>348</v>
      </c>
      <c r="C387" s="19" t="s">
        <v>16</v>
      </c>
      <c r="D387" s="18" t="s">
        <v>127</v>
      </c>
      <c r="E387" s="14" t="str">
        <f>_xlfn.XLOOKUP($D387,'Chart of Accounts'!$A:$A,'Chart of Accounts'!B:B,"")</f>
        <v>Indirect Cost Allocation</v>
      </c>
      <c r="F387" s="14" t="str">
        <f>_xlfn.XLOOKUP($D387,'Chart of Accounts'!$A:$A,'Chart of Accounts'!C:C,"")</f>
        <v>Indirect</v>
      </c>
      <c r="G387" s="14" t="s">
        <v>337</v>
      </c>
      <c r="H387" s="16">
        <v>7892.7502016348972</v>
      </c>
      <c r="I387" s="16" t="s">
        <v>785</v>
      </c>
      <c r="J387" s="16">
        <v>7892.7502016348972</v>
      </c>
      <c r="K387" s="14" t="s">
        <v>225</v>
      </c>
    </row>
    <row r="388" spans="1:11" ht="15" customHeight="1">
      <c r="A388" s="13">
        <v>46113</v>
      </c>
      <c r="B388" s="14" t="s">
        <v>348</v>
      </c>
      <c r="C388" s="19" t="s">
        <v>18</v>
      </c>
      <c r="D388" s="18" t="s">
        <v>127</v>
      </c>
      <c r="E388" s="14" t="str">
        <f>_xlfn.XLOOKUP($D388,'Chart of Accounts'!$A:$A,'Chart of Accounts'!B:B,"")</f>
        <v>Indirect Cost Allocation</v>
      </c>
      <c r="F388" s="14" t="str">
        <f>_xlfn.XLOOKUP($D388,'Chart of Accounts'!$A:$A,'Chart of Accounts'!C:C,"")</f>
        <v>Indirect</v>
      </c>
      <c r="G388" s="14" t="s">
        <v>338</v>
      </c>
      <c r="H388" s="16">
        <v>12020.661922112542</v>
      </c>
      <c r="I388" s="16" t="s">
        <v>785</v>
      </c>
      <c r="J388" s="16">
        <v>12020.661922112542</v>
      </c>
      <c r="K388" s="14" t="s">
        <v>225</v>
      </c>
    </row>
    <row r="389" spans="1:11" ht="15" customHeight="1">
      <c r="A389" s="13">
        <v>46113</v>
      </c>
      <c r="B389" s="14" t="s">
        <v>348</v>
      </c>
      <c r="C389" s="19" t="s">
        <v>20</v>
      </c>
      <c r="D389" s="18" t="s">
        <v>127</v>
      </c>
      <c r="E389" s="14" t="str">
        <f>_xlfn.XLOOKUP($D389,'Chart of Accounts'!$A:$A,'Chart of Accounts'!B:B,"")</f>
        <v>Indirect Cost Allocation</v>
      </c>
      <c r="F389" s="14" t="str">
        <f>_xlfn.XLOOKUP($D389,'Chart of Accounts'!$A:$A,'Chart of Accounts'!C:C,"")</f>
        <v>Indirect</v>
      </c>
      <c r="G389" s="14" t="s">
        <v>339</v>
      </c>
      <c r="H389" s="16">
        <v>14364.318836034892</v>
      </c>
      <c r="I389" s="16" t="s">
        <v>785</v>
      </c>
      <c r="J389" s="16">
        <v>14364.318836034892</v>
      </c>
      <c r="K389" s="14" t="s">
        <v>225</v>
      </c>
    </row>
    <row r="390" spans="1:11" ht="15" customHeight="1">
      <c r="A390" s="13">
        <v>46143</v>
      </c>
      <c r="B390" s="14" t="s">
        <v>349</v>
      </c>
      <c r="C390" s="19" t="s">
        <v>12</v>
      </c>
      <c r="D390" s="18" t="s">
        <v>127</v>
      </c>
      <c r="E390" s="14" t="str">
        <f>_xlfn.XLOOKUP($D390,'Chart of Accounts'!$A:$A,'Chart of Accounts'!B:B,"")</f>
        <v>Indirect Cost Allocation</v>
      </c>
      <c r="F390" s="14" t="str">
        <f>_xlfn.XLOOKUP($D390,'Chart of Accounts'!$A:$A,'Chart of Accounts'!C:C,"")</f>
        <v>Indirect</v>
      </c>
      <c r="G390" s="14" t="s">
        <v>335</v>
      </c>
      <c r="H390" s="16">
        <v>11823.227040159374</v>
      </c>
      <c r="I390" s="16" t="s">
        <v>785</v>
      </c>
      <c r="J390" s="16">
        <v>11823.227040159374</v>
      </c>
      <c r="K390" s="14" t="s">
        <v>225</v>
      </c>
    </row>
    <row r="391" spans="1:11" ht="15" customHeight="1">
      <c r="A391" s="13">
        <v>46143</v>
      </c>
      <c r="B391" s="14" t="s">
        <v>349</v>
      </c>
      <c r="C391" s="19" t="s">
        <v>14</v>
      </c>
      <c r="D391" s="18" t="s">
        <v>127</v>
      </c>
      <c r="E391" s="14" t="str">
        <f>_xlfn.XLOOKUP($D391,'Chart of Accounts'!$A:$A,'Chart of Accounts'!B:B,"")</f>
        <v>Indirect Cost Allocation</v>
      </c>
      <c r="F391" s="14" t="str">
        <f>_xlfn.XLOOKUP($D391,'Chart of Accounts'!$A:$A,'Chart of Accounts'!C:C,"")</f>
        <v>Indirect</v>
      </c>
      <c r="G391" s="14" t="s">
        <v>336</v>
      </c>
      <c r="H391" s="16">
        <v>13685.325623028115</v>
      </c>
      <c r="I391" s="16" t="s">
        <v>785</v>
      </c>
      <c r="J391" s="16">
        <v>13685.325623028115</v>
      </c>
      <c r="K391" s="14" t="s">
        <v>225</v>
      </c>
    </row>
    <row r="392" spans="1:11" ht="15" customHeight="1">
      <c r="A392" s="13">
        <v>46143</v>
      </c>
      <c r="B392" s="14" t="s">
        <v>349</v>
      </c>
      <c r="C392" s="19" t="s">
        <v>16</v>
      </c>
      <c r="D392" s="18" t="s">
        <v>127</v>
      </c>
      <c r="E392" s="14" t="str">
        <f>_xlfn.XLOOKUP($D392,'Chart of Accounts'!$A:$A,'Chart of Accounts'!B:B,"")</f>
        <v>Indirect Cost Allocation</v>
      </c>
      <c r="F392" s="14" t="str">
        <f>_xlfn.XLOOKUP($D392,'Chart of Accounts'!$A:$A,'Chart of Accounts'!C:C,"")</f>
        <v>Indirect</v>
      </c>
      <c r="G392" s="14" t="s">
        <v>337</v>
      </c>
      <c r="H392" s="16">
        <v>5739.8419284475895</v>
      </c>
      <c r="I392" s="16" t="s">
        <v>785</v>
      </c>
      <c r="J392" s="16">
        <v>5739.8419284475895</v>
      </c>
      <c r="K392" s="14" t="s">
        <v>225</v>
      </c>
    </row>
    <row r="393" spans="1:11" ht="15" customHeight="1">
      <c r="A393" s="13">
        <v>46143</v>
      </c>
      <c r="B393" s="14" t="s">
        <v>349</v>
      </c>
      <c r="C393" s="19" t="s">
        <v>18</v>
      </c>
      <c r="D393" s="18" t="s">
        <v>127</v>
      </c>
      <c r="E393" s="14" t="str">
        <f>_xlfn.XLOOKUP($D393,'Chart of Accounts'!$A:$A,'Chart of Accounts'!B:B,"")</f>
        <v>Indirect Cost Allocation</v>
      </c>
      <c r="F393" s="14" t="str">
        <f>_xlfn.XLOOKUP($D393,'Chart of Accounts'!$A:$A,'Chart of Accounts'!C:C,"")</f>
        <v>Indirect</v>
      </c>
      <c r="G393" s="14" t="s">
        <v>338</v>
      </c>
      <c r="H393" s="16">
        <v>12743.268492469026</v>
      </c>
      <c r="I393" s="16" t="s">
        <v>785</v>
      </c>
      <c r="J393" s="16">
        <v>12743.268492469026</v>
      </c>
      <c r="K393" s="14" t="s">
        <v>225</v>
      </c>
    </row>
    <row r="394" spans="1:11" ht="15" customHeight="1">
      <c r="A394" s="13">
        <v>46143</v>
      </c>
      <c r="B394" s="14" t="s">
        <v>349</v>
      </c>
      <c r="C394" s="19" t="s">
        <v>20</v>
      </c>
      <c r="D394" s="18" t="s">
        <v>127</v>
      </c>
      <c r="E394" s="14" t="str">
        <f>_xlfn.XLOOKUP($D394,'Chart of Accounts'!$A:$A,'Chart of Accounts'!B:B,"")</f>
        <v>Indirect Cost Allocation</v>
      </c>
      <c r="F394" s="14" t="str">
        <f>_xlfn.XLOOKUP($D394,'Chart of Accounts'!$A:$A,'Chart of Accounts'!C:C,"")</f>
        <v>Indirect</v>
      </c>
      <c r="G394" s="14" t="s">
        <v>339</v>
      </c>
      <c r="H394" s="16">
        <v>15424.541609691674</v>
      </c>
      <c r="I394" s="16" t="s">
        <v>785</v>
      </c>
      <c r="J394" s="16">
        <v>15424.541609691674</v>
      </c>
      <c r="K394" s="14" t="s">
        <v>225</v>
      </c>
    </row>
    <row r="395" spans="1:11" ht="15" customHeight="1">
      <c r="A395" s="13">
        <v>46174</v>
      </c>
      <c r="B395" s="14" t="s">
        <v>350</v>
      </c>
      <c r="C395" s="19" t="s">
        <v>12</v>
      </c>
      <c r="D395" s="18" t="s">
        <v>127</v>
      </c>
      <c r="E395" s="14" t="str">
        <f>_xlfn.XLOOKUP($D395,'Chart of Accounts'!$A:$A,'Chart of Accounts'!B:B,"")</f>
        <v>Indirect Cost Allocation</v>
      </c>
      <c r="F395" s="14" t="str">
        <f>_xlfn.XLOOKUP($D395,'Chart of Accounts'!$A:$A,'Chart of Accounts'!C:C,"")</f>
        <v>Indirect</v>
      </c>
      <c r="G395" s="14" t="s">
        <v>335</v>
      </c>
      <c r="H395" s="16">
        <v>12303.066090127948</v>
      </c>
      <c r="I395" s="16" t="s">
        <v>785</v>
      </c>
      <c r="J395" s="16">
        <v>12303.066090127948</v>
      </c>
      <c r="K395" s="14" t="s">
        <v>225</v>
      </c>
    </row>
    <row r="396" spans="1:11" ht="15" customHeight="1">
      <c r="A396" s="13">
        <v>46174</v>
      </c>
      <c r="B396" s="14" t="s">
        <v>350</v>
      </c>
      <c r="C396" s="19" t="s">
        <v>14</v>
      </c>
      <c r="D396" s="18" t="s">
        <v>127</v>
      </c>
      <c r="E396" s="14" t="str">
        <f>_xlfn.XLOOKUP($D396,'Chart of Accounts'!$A:$A,'Chart of Accounts'!B:B,"")</f>
        <v>Indirect Cost Allocation</v>
      </c>
      <c r="F396" s="14" t="str">
        <f>_xlfn.XLOOKUP($D396,'Chart of Accounts'!$A:$A,'Chart of Accounts'!C:C,"")</f>
        <v>Indirect</v>
      </c>
      <c r="G396" s="14" t="s">
        <v>336</v>
      </c>
      <c r="H396" s="16">
        <v>13767.243294196325</v>
      </c>
      <c r="I396" s="16" t="s">
        <v>785</v>
      </c>
      <c r="J396" s="16">
        <v>13767.243294196325</v>
      </c>
      <c r="K396" s="14" t="s">
        <v>225</v>
      </c>
    </row>
    <row r="397" spans="1:11" ht="15" customHeight="1">
      <c r="A397" s="13">
        <v>46174</v>
      </c>
      <c r="B397" s="14" t="s">
        <v>350</v>
      </c>
      <c r="C397" s="19" t="s">
        <v>16</v>
      </c>
      <c r="D397" s="18" t="s">
        <v>127</v>
      </c>
      <c r="E397" s="14" t="str">
        <f>_xlfn.XLOOKUP($D397,'Chart of Accounts'!$A:$A,'Chart of Accounts'!B:B,"")</f>
        <v>Indirect Cost Allocation</v>
      </c>
      <c r="F397" s="14" t="str">
        <f>_xlfn.XLOOKUP($D397,'Chart of Accounts'!$A:$A,'Chart of Accounts'!C:C,"")</f>
        <v>Indirect</v>
      </c>
      <c r="G397" s="14" t="s">
        <v>337</v>
      </c>
      <c r="H397" s="16">
        <v>6041.390914885741</v>
      </c>
      <c r="I397" s="16" t="s">
        <v>785</v>
      </c>
      <c r="J397" s="16">
        <v>6041.390914885741</v>
      </c>
      <c r="K397" s="14" t="s">
        <v>225</v>
      </c>
    </row>
    <row r="398" spans="1:11" ht="15" customHeight="1">
      <c r="A398" s="13">
        <v>46174</v>
      </c>
      <c r="B398" s="14" t="s">
        <v>350</v>
      </c>
      <c r="C398" s="19" t="s">
        <v>18</v>
      </c>
      <c r="D398" s="18" t="s">
        <v>127</v>
      </c>
      <c r="E398" s="14" t="str">
        <f>_xlfn.XLOOKUP($D398,'Chart of Accounts'!$A:$A,'Chart of Accounts'!B:B,"")</f>
        <v>Indirect Cost Allocation</v>
      </c>
      <c r="F398" s="14" t="str">
        <f>_xlfn.XLOOKUP($D398,'Chart of Accounts'!$A:$A,'Chart of Accounts'!C:C,"")</f>
        <v>Indirect</v>
      </c>
      <c r="G398" s="14" t="s">
        <v>338</v>
      </c>
      <c r="H398" s="16">
        <v>13427.8076403093</v>
      </c>
      <c r="I398" s="16" t="s">
        <v>785</v>
      </c>
      <c r="J398" s="16">
        <v>13427.8076403093</v>
      </c>
      <c r="K398" s="14" t="s">
        <v>225</v>
      </c>
    </row>
    <row r="399" spans="1:11" ht="15" customHeight="1">
      <c r="A399" s="13">
        <v>46174</v>
      </c>
      <c r="B399" s="14" t="s">
        <v>350</v>
      </c>
      <c r="C399" s="19" t="s">
        <v>20</v>
      </c>
      <c r="D399" s="18" t="s">
        <v>127</v>
      </c>
      <c r="E399" s="14" t="str">
        <f>_xlfn.XLOOKUP($D399,'Chart of Accounts'!$A:$A,'Chart of Accounts'!B:B,"")</f>
        <v>Indirect Cost Allocation</v>
      </c>
      <c r="F399" s="14" t="str">
        <f>_xlfn.XLOOKUP($D399,'Chart of Accounts'!$A:$A,'Chart of Accounts'!C:C,"")</f>
        <v>Indirect</v>
      </c>
      <c r="G399" s="14" t="s">
        <v>339</v>
      </c>
      <c r="H399" s="16">
        <v>15892.020316053269</v>
      </c>
      <c r="I399" s="16" t="s">
        <v>785</v>
      </c>
      <c r="J399" s="16">
        <v>15892.020316053269</v>
      </c>
      <c r="K399" s="14" t="s">
        <v>225</v>
      </c>
    </row>
    <row r="400" spans="1:11" ht="15" customHeight="1">
      <c r="A400" s="13">
        <v>45992</v>
      </c>
      <c r="B400" s="14" t="s">
        <v>351</v>
      </c>
      <c r="C400" s="19" t="s">
        <v>12</v>
      </c>
      <c r="D400" s="14" t="s">
        <v>86</v>
      </c>
      <c r="E400" s="14" t="str">
        <f>_xlfn.XLOOKUP($D400,'Chart of Accounts'!$A:$A,'Chart of Accounts'!B:B,"")</f>
        <v>Grant Revenue - Federal</v>
      </c>
      <c r="F400" s="14" t="str">
        <f>_xlfn.XLOOKUP($D400,'Chart of Accounts'!$A:$A,'Chart of Accounts'!C:C,"")</f>
        <v>Revenue</v>
      </c>
      <c r="G400" s="14" t="s">
        <v>352</v>
      </c>
      <c r="H400" s="16"/>
      <c r="I400" s="16">
        <v>14097.852631579</v>
      </c>
      <c r="J400" s="16">
        <v>-14097.852631579</v>
      </c>
      <c r="K400" s="14" t="s">
        <v>225</v>
      </c>
    </row>
    <row r="401" spans="1:11" ht="15" customHeight="1">
      <c r="A401" s="13">
        <v>45992</v>
      </c>
      <c r="B401" s="14" t="s">
        <v>351</v>
      </c>
      <c r="C401" s="19" t="s">
        <v>14</v>
      </c>
      <c r="D401" s="14" t="s">
        <v>86</v>
      </c>
      <c r="E401" s="14" t="str">
        <f>_xlfn.XLOOKUP($D401,'Chart of Accounts'!$A:$A,'Chart of Accounts'!B:B,"")</f>
        <v>Grant Revenue - Federal</v>
      </c>
      <c r="F401" s="14" t="str">
        <f>_xlfn.XLOOKUP($D401,'Chart of Accounts'!$A:$A,'Chart of Accounts'!C:C,"")</f>
        <v>Revenue</v>
      </c>
      <c r="G401" s="14" t="s">
        <v>352</v>
      </c>
      <c r="H401" s="16"/>
      <c r="I401" s="16">
        <v>14097.852631579</v>
      </c>
      <c r="J401" s="16">
        <v>-14097.852631579</v>
      </c>
      <c r="K401" s="14" t="s">
        <v>225</v>
      </c>
    </row>
    <row r="402" spans="1:11" ht="15" customHeight="1">
      <c r="A402" s="13">
        <v>45992</v>
      </c>
      <c r="B402" s="14" t="s">
        <v>351</v>
      </c>
      <c r="C402" s="19" t="s">
        <v>16</v>
      </c>
      <c r="D402" s="14" t="s">
        <v>86</v>
      </c>
      <c r="E402" s="14" t="str">
        <f>_xlfn.XLOOKUP($D402,'Chart of Accounts'!$A:$A,'Chart of Accounts'!B:B,"")</f>
        <v>Grant Revenue - Federal</v>
      </c>
      <c r="F402" s="14" t="str">
        <f>_xlfn.XLOOKUP($D402,'Chart of Accounts'!$A:$A,'Chart of Accounts'!C:C,"")</f>
        <v>Revenue</v>
      </c>
      <c r="G402" s="14" t="s">
        <v>352</v>
      </c>
      <c r="H402" s="16"/>
      <c r="I402" s="16">
        <v>10573.389473684199</v>
      </c>
      <c r="J402" s="16">
        <v>-10573.389473684199</v>
      </c>
      <c r="K402" s="14" t="s">
        <v>225</v>
      </c>
    </row>
    <row r="403" spans="1:11" ht="15" customHeight="1">
      <c r="A403" s="13">
        <v>45992</v>
      </c>
      <c r="B403" s="14" t="s">
        <v>351</v>
      </c>
      <c r="C403" s="19" t="s">
        <v>18</v>
      </c>
      <c r="D403" s="14" t="s">
        <v>86</v>
      </c>
      <c r="E403" s="14" t="str">
        <f>_xlfn.XLOOKUP($D403,'Chart of Accounts'!$A:$A,'Chart of Accounts'!B:B,"")</f>
        <v>Grant Revenue - Federal</v>
      </c>
      <c r="F403" s="14" t="str">
        <f>_xlfn.XLOOKUP($D403,'Chart of Accounts'!$A:$A,'Chart of Accounts'!C:C,"")</f>
        <v>Revenue</v>
      </c>
      <c r="G403" s="14" t="s">
        <v>352</v>
      </c>
      <c r="H403" s="16"/>
      <c r="I403" s="16">
        <v>14097.852631579</v>
      </c>
      <c r="J403" s="16">
        <v>-14097.852631579</v>
      </c>
      <c r="K403" s="14" t="s">
        <v>225</v>
      </c>
    </row>
    <row r="404" spans="1:11" ht="15" customHeight="1">
      <c r="A404" s="13">
        <v>45992</v>
      </c>
      <c r="B404" s="14" t="s">
        <v>351</v>
      </c>
      <c r="C404" s="19" t="s">
        <v>20</v>
      </c>
      <c r="D404" s="14" t="s">
        <v>86</v>
      </c>
      <c r="E404" s="14" t="str">
        <f>_xlfn.XLOOKUP($D404,'Chart of Accounts'!$A:$A,'Chart of Accounts'!B:B,"")</f>
        <v>Grant Revenue - Federal</v>
      </c>
      <c r="F404" s="14" t="str">
        <f>_xlfn.XLOOKUP($D404,'Chart of Accounts'!$A:$A,'Chart of Accounts'!C:C,"")</f>
        <v>Revenue</v>
      </c>
      <c r="G404" s="14" t="s">
        <v>352</v>
      </c>
      <c r="H404" s="16"/>
      <c r="I404" s="16">
        <v>14097.852631579</v>
      </c>
      <c r="J404" s="16">
        <v>-14097.852631579</v>
      </c>
      <c r="K404" s="14" t="s">
        <v>225</v>
      </c>
    </row>
    <row r="405" spans="1:11" ht="15" customHeight="1">
      <c r="A405" s="13">
        <v>45992</v>
      </c>
      <c r="B405" s="14" t="s">
        <v>351</v>
      </c>
      <c r="C405" s="19" t="s">
        <v>12</v>
      </c>
      <c r="D405" s="14" t="s">
        <v>90</v>
      </c>
      <c r="E405" s="14" t="str">
        <f>_xlfn.XLOOKUP($D405,'Chart of Accounts'!$A:$A,'Chart of Accounts'!B:B,"")</f>
        <v>Fee for Service Revenue</v>
      </c>
      <c r="F405" s="14" t="str">
        <f>_xlfn.XLOOKUP($D405,'Chart of Accounts'!$A:$A,'Chart of Accounts'!C:C,"")</f>
        <v>Revenue</v>
      </c>
      <c r="G405" s="14" t="s">
        <v>352</v>
      </c>
      <c r="H405" s="16"/>
      <c r="I405" s="16">
        <v>12699.1768421053</v>
      </c>
      <c r="J405" s="16">
        <v>-12699.1768421053</v>
      </c>
      <c r="K405" s="14" t="s">
        <v>225</v>
      </c>
    </row>
    <row r="406" spans="1:11" ht="15" customHeight="1">
      <c r="A406" s="13">
        <v>45992</v>
      </c>
      <c r="B406" s="14" t="s">
        <v>351</v>
      </c>
      <c r="C406" s="19" t="s">
        <v>14</v>
      </c>
      <c r="D406" s="14" t="s">
        <v>90</v>
      </c>
      <c r="E406" s="14" t="str">
        <f>_xlfn.XLOOKUP($D406,'Chart of Accounts'!$A:$A,'Chart of Accounts'!B:B,"")</f>
        <v>Fee for Service Revenue</v>
      </c>
      <c r="F406" s="14" t="str">
        <f>_xlfn.XLOOKUP($D406,'Chart of Accounts'!$A:$A,'Chart of Accounts'!C:C,"")</f>
        <v>Revenue</v>
      </c>
      <c r="G406" s="14" t="s">
        <v>352</v>
      </c>
      <c r="H406" s="16"/>
      <c r="I406" s="16">
        <v>12699.1768421053</v>
      </c>
      <c r="J406" s="16">
        <v>-12699.1768421053</v>
      </c>
      <c r="K406" s="14" t="s">
        <v>225</v>
      </c>
    </row>
    <row r="407" spans="1:11" ht="15" customHeight="1">
      <c r="A407" s="13">
        <v>45992</v>
      </c>
      <c r="B407" s="14" t="s">
        <v>351</v>
      </c>
      <c r="C407" s="19" t="s">
        <v>16</v>
      </c>
      <c r="D407" s="14" t="s">
        <v>90</v>
      </c>
      <c r="E407" s="14" t="str">
        <f>_xlfn.XLOOKUP($D407,'Chart of Accounts'!$A:$A,'Chart of Accounts'!B:B,"")</f>
        <v>Fee for Service Revenue</v>
      </c>
      <c r="F407" s="14" t="str">
        <f>_xlfn.XLOOKUP($D407,'Chart of Accounts'!$A:$A,'Chart of Accounts'!C:C,"")</f>
        <v>Revenue</v>
      </c>
      <c r="G407" s="14" t="s">
        <v>352</v>
      </c>
      <c r="H407" s="16"/>
      <c r="I407" s="16">
        <v>9524.3826315789502</v>
      </c>
      <c r="J407" s="16">
        <v>-9524.3826315789502</v>
      </c>
      <c r="K407" s="14" t="s">
        <v>225</v>
      </c>
    </row>
    <row r="408" spans="1:11" ht="15" customHeight="1">
      <c r="A408" s="13">
        <v>45992</v>
      </c>
      <c r="B408" s="14" t="s">
        <v>351</v>
      </c>
      <c r="C408" s="19" t="s">
        <v>18</v>
      </c>
      <c r="D408" s="14" t="s">
        <v>90</v>
      </c>
      <c r="E408" s="14" t="str">
        <f>_xlfn.XLOOKUP($D408,'Chart of Accounts'!$A:$A,'Chart of Accounts'!B:B,"")</f>
        <v>Fee for Service Revenue</v>
      </c>
      <c r="F408" s="14" t="str">
        <f>_xlfn.XLOOKUP($D408,'Chart of Accounts'!$A:$A,'Chart of Accounts'!C:C,"")</f>
        <v>Revenue</v>
      </c>
      <c r="G408" s="14" t="s">
        <v>352</v>
      </c>
      <c r="H408" s="16"/>
      <c r="I408" s="16">
        <v>12699.1768421053</v>
      </c>
      <c r="J408" s="16">
        <v>-12699.1768421053</v>
      </c>
      <c r="K408" s="14" t="s">
        <v>225</v>
      </c>
    </row>
    <row r="409" spans="1:11" ht="15" customHeight="1">
      <c r="A409" s="13">
        <v>45992</v>
      </c>
      <c r="B409" s="14" t="s">
        <v>351</v>
      </c>
      <c r="C409" s="19" t="s">
        <v>20</v>
      </c>
      <c r="D409" s="14" t="s">
        <v>90</v>
      </c>
      <c r="E409" s="14" t="str">
        <f>_xlfn.XLOOKUP($D409,'Chart of Accounts'!$A:$A,'Chart of Accounts'!B:B,"")</f>
        <v>Fee for Service Revenue</v>
      </c>
      <c r="F409" s="14" t="str">
        <f>_xlfn.XLOOKUP($D409,'Chart of Accounts'!$A:$A,'Chart of Accounts'!C:C,"")</f>
        <v>Revenue</v>
      </c>
      <c r="G409" s="14" t="s">
        <v>352</v>
      </c>
      <c r="H409" s="16"/>
      <c r="I409" s="16">
        <v>12699.1768421053</v>
      </c>
      <c r="J409" s="16">
        <v>-12699.1768421053</v>
      </c>
      <c r="K409" s="14" t="s">
        <v>225</v>
      </c>
    </row>
    <row r="410" spans="1:11" ht="15" customHeight="1">
      <c r="A410" s="13">
        <v>46174</v>
      </c>
      <c r="B410" s="14" t="s">
        <v>353</v>
      </c>
      <c r="C410" s="19" t="s">
        <v>12</v>
      </c>
      <c r="D410" s="14" t="s">
        <v>83</v>
      </c>
      <c r="E410" s="14" t="str">
        <f>_xlfn.XLOOKUP($D410,'Chart of Accounts'!$A:$A,'Chart of Accounts'!B:B,"")</f>
        <v>Contract Revenue</v>
      </c>
      <c r="F410" s="14" t="str">
        <f>_xlfn.XLOOKUP($D410,'Chart of Accounts'!$A:$A,'Chart of Accounts'!C:C,"")</f>
        <v>Revenue</v>
      </c>
      <c r="G410" s="14" t="s">
        <v>352</v>
      </c>
      <c r="H410" s="16"/>
      <c r="I410" s="16">
        <v>26322.597894736798</v>
      </c>
      <c r="J410" s="16">
        <v>-26322.597894736798</v>
      </c>
      <c r="K410" s="14" t="s">
        <v>225</v>
      </c>
    </row>
    <row r="411" spans="1:11" ht="15" customHeight="1">
      <c r="A411" s="13">
        <v>46174</v>
      </c>
      <c r="B411" s="14" t="s">
        <v>353</v>
      </c>
      <c r="C411" s="19" t="s">
        <v>14</v>
      </c>
      <c r="D411" s="14" t="s">
        <v>83</v>
      </c>
      <c r="E411" s="14" t="str">
        <f>_xlfn.XLOOKUP($D411,'Chart of Accounts'!$A:$A,'Chart of Accounts'!B:B,"")</f>
        <v>Contract Revenue</v>
      </c>
      <c r="F411" s="14" t="str">
        <f>_xlfn.XLOOKUP($D411,'Chart of Accounts'!$A:$A,'Chart of Accounts'!C:C,"")</f>
        <v>Revenue</v>
      </c>
      <c r="G411" s="14" t="s">
        <v>352</v>
      </c>
      <c r="H411" s="16"/>
      <c r="I411" s="16">
        <v>26322.597894736798</v>
      </c>
      <c r="J411" s="16">
        <v>-26322.597894736798</v>
      </c>
      <c r="K411" s="14" t="s">
        <v>225</v>
      </c>
    </row>
    <row r="412" spans="1:11" ht="15" customHeight="1">
      <c r="A412" s="13">
        <v>46174</v>
      </c>
      <c r="B412" s="14" t="s">
        <v>353</v>
      </c>
      <c r="C412" s="19" t="s">
        <v>16</v>
      </c>
      <c r="D412" s="14" t="s">
        <v>83</v>
      </c>
      <c r="E412" s="14" t="str">
        <f>_xlfn.XLOOKUP($D412,'Chart of Accounts'!$A:$A,'Chart of Accounts'!B:B,"")</f>
        <v>Contract Revenue</v>
      </c>
      <c r="F412" s="14" t="str">
        <f>_xlfn.XLOOKUP($D412,'Chart of Accounts'!$A:$A,'Chart of Accounts'!C:C,"")</f>
        <v>Revenue</v>
      </c>
      <c r="G412" s="14" t="s">
        <v>352</v>
      </c>
      <c r="H412" s="16"/>
      <c r="I412" s="16">
        <v>13161.298947368399</v>
      </c>
      <c r="J412" s="16">
        <v>-13161.298947368399</v>
      </c>
      <c r="K412" s="14" t="s">
        <v>225</v>
      </c>
    </row>
    <row r="413" spans="1:11" ht="15" customHeight="1">
      <c r="A413" s="13">
        <v>46174</v>
      </c>
      <c r="B413" s="14" t="s">
        <v>353</v>
      </c>
      <c r="C413" s="19" t="s">
        <v>18</v>
      </c>
      <c r="D413" s="14" t="s">
        <v>83</v>
      </c>
      <c r="E413" s="14" t="str">
        <f>_xlfn.XLOOKUP($D413,'Chart of Accounts'!$A:$A,'Chart of Accounts'!B:B,"")</f>
        <v>Contract Revenue</v>
      </c>
      <c r="F413" s="14" t="str">
        <f>_xlfn.XLOOKUP($D413,'Chart of Accounts'!$A:$A,'Chart of Accounts'!C:C,"")</f>
        <v>Revenue</v>
      </c>
      <c r="G413" s="14" t="s">
        <v>352</v>
      </c>
      <c r="H413" s="16"/>
      <c r="I413" s="16">
        <v>26322.597894736798</v>
      </c>
      <c r="J413" s="16">
        <v>-26322.597894736798</v>
      </c>
      <c r="K413" s="14" t="s">
        <v>225</v>
      </c>
    </row>
    <row r="414" spans="1:11" ht="15" customHeight="1">
      <c r="A414" s="13">
        <v>46174</v>
      </c>
      <c r="B414" s="14" t="s">
        <v>353</v>
      </c>
      <c r="C414" s="19" t="s">
        <v>20</v>
      </c>
      <c r="D414" s="14" t="s">
        <v>83</v>
      </c>
      <c r="E414" s="14" t="str">
        <f>_xlfn.XLOOKUP($D414,'Chart of Accounts'!$A:$A,'Chart of Accounts'!B:B,"")</f>
        <v>Contract Revenue</v>
      </c>
      <c r="F414" s="14" t="str">
        <f>_xlfn.XLOOKUP($D414,'Chart of Accounts'!$A:$A,'Chart of Accounts'!C:C,"")</f>
        <v>Revenue</v>
      </c>
      <c r="G414" s="14" t="s">
        <v>352</v>
      </c>
      <c r="H414" s="16"/>
      <c r="I414" s="16">
        <v>32903.2473684211</v>
      </c>
      <c r="J414" s="16">
        <v>-32903.2473684211</v>
      </c>
      <c r="K414" s="14" t="s">
        <v>225</v>
      </c>
    </row>
    <row r="415" spans="1:11" ht="15" customHeight="1">
      <c r="A415" s="13">
        <v>46174</v>
      </c>
      <c r="B415" s="14" t="s">
        <v>353</v>
      </c>
      <c r="C415" s="19" t="s">
        <v>12</v>
      </c>
      <c r="D415" s="14" t="s">
        <v>86</v>
      </c>
      <c r="E415" s="14" t="str">
        <f>_xlfn.XLOOKUP($D415,'Chart of Accounts'!$A:$A,'Chart of Accounts'!B:B,"")</f>
        <v>Grant Revenue - Federal</v>
      </c>
      <c r="F415" s="14" t="str">
        <f>_xlfn.XLOOKUP($D415,'Chart of Accounts'!$A:$A,'Chart of Accounts'!C:C,"")</f>
        <v>Revenue</v>
      </c>
      <c r="G415" s="14" t="s">
        <v>352</v>
      </c>
      <c r="H415" s="16"/>
      <c r="I415" s="16">
        <v>9213.0926315789493</v>
      </c>
      <c r="J415" s="16">
        <v>-9213.0926315789493</v>
      </c>
      <c r="K415" s="14" t="s">
        <v>225</v>
      </c>
    </row>
    <row r="416" spans="1:11" ht="15" customHeight="1">
      <c r="A416" s="13">
        <v>46174</v>
      </c>
      <c r="B416" s="14" t="s">
        <v>353</v>
      </c>
      <c r="C416" s="19" t="s">
        <v>14</v>
      </c>
      <c r="D416" s="14" t="s">
        <v>86</v>
      </c>
      <c r="E416" s="14" t="str">
        <f>_xlfn.XLOOKUP($D416,'Chart of Accounts'!$A:$A,'Chart of Accounts'!B:B,"")</f>
        <v>Grant Revenue - Federal</v>
      </c>
      <c r="F416" s="14" t="str">
        <f>_xlfn.XLOOKUP($D416,'Chart of Accounts'!$A:$A,'Chart of Accounts'!C:C,"")</f>
        <v>Revenue</v>
      </c>
      <c r="G416" s="14" t="s">
        <v>352</v>
      </c>
      <c r="H416" s="16"/>
      <c r="I416" s="16">
        <v>9213.0926315789493</v>
      </c>
      <c r="J416" s="16">
        <v>-9213.0926315789493</v>
      </c>
      <c r="K416" s="14" t="s">
        <v>225</v>
      </c>
    </row>
    <row r="417" spans="1:11" ht="15" customHeight="1">
      <c r="A417" s="13">
        <v>46174</v>
      </c>
      <c r="B417" s="14" t="s">
        <v>353</v>
      </c>
      <c r="C417" s="19" t="s">
        <v>16</v>
      </c>
      <c r="D417" s="14" t="s">
        <v>86</v>
      </c>
      <c r="E417" s="14" t="str">
        <f>_xlfn.XLOOKUP($D417,'Chart of Accounts'!$A:$A,'Chart of Accounts'!B:B,"")</f>
        <v>Grant Revenue - Federal</v>
      </c>
      <c r="F417" s="14" t="str">
        <f>_xlfn.XLOOKUP($D417,'Chart of Accounts'!$A:$A,'Chart of Accounts'!C:C,"")</f>
        <v>Revenue</v>
      </c>
      <c r="G417" s="14" t="s">
        <v>352</v>
      </c>
      <c r="H417" s="16"/>
      <c r="I417" s="16">
        <v>4606.5463157894701</v>
      </c>
      <c r="J417" s="16">
        <v>-4606.5463157894701</v>
      </c>
      <c r="K417" s="14" t="s">
        <v>225</v>
      </c>
    </row>
    <row r="418" spans="1:11" ht="15" customHeight="1">
      <c r="A418" s="13">
        <v>46174</v>
      </c>
      <c r="B418" s="14" t="s">
        <v>353</v>
      </c>
      <c r="C418" s="19" t="s">
        <v>18</v>
      </c>
      <c r="D418" s="14" t="s">
        <v>86</v>
      </c>
      <c r="E418" s="14" t="str">
        <f>_xlfn.XLOOKUP($D418,'Chart of Accounts'!$A:$A,'Chart of Accounts'!B:B,"")</f>
        <v>Grant Revenue - Federal</v>
      </c>
      <c r="F418" s="14" t="str">
        <f>_xlfn.XLOOKUP($D418,'Chart of Accounts'!$A:$A,'Chart of Accounts'!C:C,"")</f>
        <v>Revenue</v>
      </c>
      <c r="G418" s="14" t="s">
        <v>352</v>
      </c>
      <c r="H418" s="16"/>
      <c r="I418" s="16">
        <v>9213.0926315789493</v>
      </c>
      <c r="J418" s="16">
        <v>-9213.0926315789493</v>
      </c>
      <c r="K418" s="14" t="s">
        <v>225</v>
      </c>
    </row>
    <row r="419" spans="1:11" ht="15" customHeight="1">
      <c r="A419" s="13">
        <v>46174</v>
      </c>
      <c r="B419" s="14" t="s">
        <v>353</v>
      </c>
      <c r="C419" s="19" t="s">
        <v>20</v>
      </c>
      <c r="D419" s="14" t="s">
        <v>86</v>
      </c>
      <c r="E419" s="14" t="str">
        <f>_xlfn.XLOOKUP($D419,'Chart of Accounts'!$A:$A,'Chart of Accounts'!B:B,"")</f>
        <v>Grant Revenue - Federal</v>
      </c>
      <c r="F419" s="14" t="str">
        <f>_xlfn.XLOOKUP($D419,'Chart of Accounts'!$A:$A,'Chart of Accounts'!C:C,"")</f>
        <v>Revenue</v>
      </c>
      <c r="G419" s="14" t="s">
        <v>352</v>
      </c>
      <c r="H419" s="16"/>
      <c r="I419" s="16">
        <v>11516.365789473701</v>
      </c>
      <c r="J419" s="16">
        <v>-11516.365789473701</v>
      </c>
      <c r="K419" s="14" t="s">
        <v>225</v>
      </c>
    </row>
    <row r="420" spans="1:11" ht="15" customHeight="1">
      <c r="A420" s="13">
        <v>46174</v>
      </c>
      <c r="B420" s="14" t="s">
        <v>353</v>
      </c>
      <c r="C420" s="19" t="s">
        <v>12</v>
      </c>
      <c r="D420" s="14" t="s">
        <v>90</v>
      </c>
      <c r="E420" s="14" t="str">
        <f>_xlfn.XLOOKUP($D420,'Chart of Accounts'!$A:$A,'Chart of Accounts'!B:B,"")</f>
        <v>Fee for Service Revenue</v>
      </c>
      <c r="F420" s="14" t="str">
        <f>_xlfn.XLOOKUP($D420,'Chart of Accounts'!$A:$A,'Chart of Accounts'!C:C,"")</f>
        <v>Revenue</v>
      </c>
      <c r="G420" s="14" t="s">
        <v>352</v>
      </c>
      <c r="H420" s="16"/>
      <c r="I420" s="16">
        <v>11281.113684210501</v>
      </c>
      <c r="J420" s="16">
        <v>-11281.113684210501</v>
      </c>
      <c r="K420" s="14" t="s">
        <v>225</v>
      </c>
    </row>
    <row r="421" spans="1:11" ht="15" customHeight="1">
      <c r="A421" s="13">
        <v>46174</v>
      </c>
      <c r="B421" s="14" t="s">
        <v>353</v>
      </c>
      <c r="C421" s="19" t="s">
        <v>14</v>
      </c>
      <c r="D421" s="14" t="s">
        <v>90</v>
      </c>
      <c r="E421" s="14" t="str">
        <f>_xlfn.XLOOKUP($D421,'Chart of Accounts'!$A:$A,'Chart of Accounts'!B:B,"")</f>
        <v>Fee for Service Revenue</v>
      </c>
      <c r="F421" s="14" t="str">
        <f>_xlfn.XLOOKUP($D421,'Chart of Accounts'!$A:$A,'Chart of Accounts'!C:C,"")</f>
        <v>Revenue</v>
      </c>
      <c r="G421" s="14" t="s">
        <v>352</v>
      </c>
      <c r="H421" s="16"/>
      <c r="I421" s="16">
        <v>11281.113684210501</v>
      </c>
      <c r="J421" s="16">
        <v>-11281.113684210501</v>
      </c>
      <c r="K421" s="14" t="s">
        <v>225</v>
      </c>
    </row>
    <row r="422" spans="1:11" ht="15" customHeight="1">
      <c r="A422" s="13">
        <v>46174</v>
      </c>
      <c r="B422" s="14" t="s">
        <v>353</v>
      </c>
      <c r="C422" s="19" t="s">
        <v>16</v>
      </c>
      <c r="D422" s="14" t="s">
        <v>90</v>
      </c>
      <c r="E422" s="14" t="str">
        <f>_xlfn.XLOOKUP($D422,'Chart of Accounts'!$A:$A,'Chart of Accounts'!B:B,"")</f>
        <v>Fee for Service Revenue</v>
      </c>
      <c r="F422" s="14" t="str">
        <f>_xlfn.XLOOKUP($D422,'Chart of Accounts'!$A:$A,'Chart of Accounts'!C:C,"")</f>
        <v>Revenue</v>
      </c>
      <c r="G422" s="14" t="s">
        <v>352</v>
      </c>
      <c r="H422" s="16"/>
      <c r="I422" s="16">
        <v>5640.5568421052603</v>
      </c>
      <c r="J422" s="16">
        <v>-5640.5568421052603</v>
      </c>
      <c r="K422" s="14" t="s">
        <v>225</v>
      </c>
    </row>
    <row r="423" spans="1:11" ht="15" customHeight="1">
      <c r="A423" s="13">
        <v>46174</v>
      </c>
      <c r="B423" s="14" t="s">
        <v>353</v>
      </c>
      <c r="C423" s="19" t="s">
        <v>18</v>
      </c>
      <c r="D423" s="14" t="s">
        <v>90</v>
      </c>
      <c r="E423" s="14" t="str">
        <f>_xlfn.XLOOKUP($D423,'Chart of Accounts'!$A:$A,'Chart of Accounts'!B:B,"")</f>
        <v>Fee for Service Revenue</v>
      </c>
      <c r="F423" s="14" t="str">
        <f>_xlfn.XLOOKUP($D423,'Chart of Accounts'!$A:$A,'Chart of Accounts'!C:C,"")</f>
        <v>Revenue</v>
      </c>
      <c r="G423" s="14" t="s">
        <v>352</v>
      </c>
      <c r="H423" s="16"/>
      <c r="I423" s="16">
        <v>11281.113684210501</v>
      </c>
      <c r="J423" s="16">
        <v>-11281.113684210501</v>
      </c>
      <c r="K423" s="14" t="s">
        <v>225</v>
      </c>
    </row>
    <row r="424" spans="1:11" ht="15" customHeight="1">
      <c r="A424" s="13">
        <v>46174</v>
      </c>
      <c r="B424" s="14" t="s">
        <v>353</v>
      </c>
      <c r="C424" s="19" t="s">
        <v>20</v>
      </c>
      <c r="D424" s="14" t="s">
        <v>90</v>
      </c>
      <c r="E424" s="14" t="str">
        <f>_xlfn.XLOOKUP($D424,'Chart of Accounts'!$A:$A,'Chart of Accounts'!B:B,"")</f>
        <v>Fee for Service Revenue</v>
      </c>
      <c r="F424" s="14" t="str">
        <f>_xlfn.XLOOKUP($D424,'Chart of Accounts'!$A:$A,'Chart of Accounts'!C:C,"")</f>
        <v>Revenue</v>
      </c>
      <c r="G424" s="14" t="s">
        <v>352</v>
      </c>
      <c r="H424" s="16"/>
      <c r="I424" s="16">
        <v>14101.392105263199</v>
      </c>
      <c r="J424" s="16">
        <v>-14101.392105263199</v>
      </c>
      <c r="K424" s="14" t="s">
        <v>225</v>
      </c>
    </row>
    <row r="425" spans="1:11" ht="15" customHeight="1">
      <c r="A425" s="13">
        <v>46143</v>
      </c>
      <c r="B425" s="14" t="s">
        <v>354</v>
      </c>
      <c r="C425" s="19" t="s">
        <v>12</v>
      </c>
      <c r="D425" s="14" t="s">
        <v>83</v>
      </c>
      <c r="E425" s="14" t="str">
        <f>_xlfn.XLOOKUP($D425,'Chart of Accounts'!$A:$A,'Chart of Accounts'!B:B,"")</f>
        <v>Contract Revenue</v>
      </c>
      <c r="F425" s="14" t="str">
        <f>_xlfn.XLOOKUP($D425,'Chart of Accounts'!$A:$A,'Chart of Accounts'!C:C,"")</f>
        <v>Revenue</v>
      </c>
      <c r="G425" s="14" t="s">
        <v>352</v>
      </c>
      <c r="H425" s="16"/>
      <c r="I425" s="16">
        <v>25975.437894736799</v>
      </c>
      <c r="J425" s="16">
        <v>-25975.437894736799</v>
      </c>
      <c r="K425" s="14" t="s">
        <v>225</v>
      </c>
    </row>
    <row r="426" spans="1:11" ht="15" customHeight="1">
      <c r="A426" s="13">
        <v>46143</v>
      </c>
      <c r="B426" s="14" t="s">
        <v>354</v>
      </c>
      <c r="C426" s="19" t="s">
        <v>14</v>
      </c>
      <c r="D426" s="14" t="s">
        <v>83</v>
      </c>
      <c r="E426" s="14" t="str">
        <f>_xlfn.XLOOKUP($D426,'Chart of Accounts'!$A:$A,'Chart of Accounts'!B:B,"")</f>
        <v>Contract Revenue</v>
      </c>
      <c r="F426" s="14" t="str">
        <f>_xlfn.XLOOKUP($D426,'Chart of Accounts'!$A:$A,'Chart of Accounts'!C:C,"")</f>
        <v>Revenue</v>
      </c>
      <c r="G426" s="14" t="s">
        <v>352</v>
      </c>
      <c r="H426" s="16"/>
      <c r="I426" s="16">
        <v>25975.437894736799</v>
      </c>
      <c r="J426" s="16">
        <v>-25975.437894736799</v>
      </c>
      <c r="K426" s="14" t="s">
        <v>225</v>
      </c>
    </row>
    <row r="427" spans="1:11" ht="15" customHeight="1">
      <c r="A427" s="13">
        <v>46143</v>
      </c>
      <c r="B427" s="14" t="s">
        <v>354</v>
      </c>
      <c r="C427" s="19" t="s">
        <v>16</v>
      </c>
      <c r="D427" s="14" t="s">
        <v>83</v>
      </c>
      <c r="E427" s="14" t="str">
        <f>_xlfn.XLOOKUP($D427,'Chart of Accounts'!$A:$A,'Chart of Accounts'!B:B,"")</f>
        <v>Contract Revenue</v>
      </c>
      <c r="F427" s="14" t="str">
        <f>_xlfn.XLOOKUP($D427,'Chart of Accounts'!$A:$A,'Chart of Accounts'!C:C,"")</f>
        <v>Revenue</v>
      </c>
      <c r="G427" s="14" t="s">
        <v>352</v>
      </c>
      <c r="H427" s="16"/>
      <c r="I427" s="16">
        <v>12987.718947368399</v>
      </c>
      <c r="J427" s="16">
        <v>-12987.718947368399</v>
      </c>
      <c r="K427" s="14" t="s">
        <v>225</v>
      </c>
    </row>
    <row r="428" spans="1:11" ht="15" customHeight="1">
      <c r="A428" s="13">
        <v>46143</v>
      </c>
      <c r="B428" s="14" t="s">
        <v>354</v>
      </c>
      <c r="C428" s="19" t="s">
        <v>18</v>
      </c>
      <c r="D428" s="14" t="s">
        <v>83</v>
      </c>
      <c r="E428" s="14" t="str">
        <f>_xlfn.XLOOKUP($D428,'Chart of Accounts'!$A:$A,'Chart of Accounts'!B:B,"")</f>
        <v>Contract Revenue</v>
      </c>
      <c r="F428" s="14" t="str">
        <f>_xlfn.XLOOKUP($D428,'Chart of Accounts'!$A:$A,'Chart of Accounts'!C:C,"")</f>
        <v>Revenue</v>
      </c>
      <c r="G428" s="14" t="s">
        <v>352</v>
      </c>
      <c r="H428" s="16"/>
      <c r="I428" s="16">
        <v>25975.437894736799</v>
      </c>
      <c r="J428" s="16">
        <v>-25975.437894736799</v>
      </c>
      <c r="K428" s="14" t="s">
        <v>225</v>
      </c>
    </row>
    <row r="429" spans="1:11" ht="15" customHeight="1">
      <c r="A429" s="13">
        <v>46143</v>
      </c>
      <c r="B429" s="14" t="s">
        <v>354</v>
      </c>
      <c r="C429" s="19" t="s">
        <v>20</v>
      </c>
      <c r="D429" s="14" t="s">
        <v>83</v>
      </c>
      <c r="E429" s="14" t="str">
        <f>_xlfn.XLOOKUP($D429,'Chart of Accounts'!$A:$A,'Chart of Accounts'!B:B,"")</f>
        <v>Contract Revenue</v>
      </c>
      <c r="F429" s="14" t="str">
        <f>_xlfn.XLOOKUP($D429,'Chart of Accounts'!$A:$A,'Chart of Accounts'!C:C,"")</f>
        <v>Revenue</v>
      </c>
      <c r="G429" s="14" t="s">
        <v>352</v>
      </c>
      <c r="H429" s="16"/>
      <c r="I429" s="16">
        <v>32469.297368421099</v>
      </c>
      <c r="J429" s="16">
        <v>-32469.297368421099</v>
      </c>
      <c r="K429" s="14" t="s">
        <v>225</v>
      </c>
    </row>
    <row r="430" spans="1:11" ht="15" customHeight="1">
      <c r="A430" s="13">
        <v>46143</v>
      </c>
      <c r="B430" s="14" t="s">
        <v>354</v>
      </c>
      <c r="C430" s="19" t="s">
        <v>12</v>
      </c>
      <c r="D430" s="14" t="s">
        <v>86</v>
      </c>
      <c r="E430" s="14" t="str">
        <f>_xlfn.XLOOKUP($D430,'Chart of Accounts'!$A:$A,'Chart of Accounts'!B:B,"")</f>
        <v>Grant Revenue - Federal</v>
      </c>
      <c r="F430" s="14" t="str">
        <f>_xlfn.XLOOKUP($D430,'Chart of Accounts'!$A:$A,'Chart of Accounts'!C:C,"")</f>
        <v>Revenue</v>
      </c>
      <c r="G430" s="14" t="s">
        <v>352</v>
      </c>
      <c r="H430" s="16"/>
      <c r="I430" s="16">
        <v>15404.092631579</v>
      </c>
      <c r="J430" s="16">
        <v>-15404.092631579</v>
      </c>
      <c r="K430" s="14" t="s">
        <v>225</v>
      </c>
    </row>
    <row r="431" spans="1:11" ht="15" customHeight="1">
      <c r="A431" s="13">
        <v>46143</v>
      </c>
      <c r="B431" s="14" t="s">
        <v>354</v>
      </c>
      <c r="C431" s="19" t="s">
        <v>14</v>
      </c>
      <c r="D431" s="14" t="s">
        <v>86</v>
      </c>
      <c r="E431" s="14" t="str">
        <f>_xlfn.XLOOKUP($D431,'Chart of Accounts'!$A:$A,'Chart of Accounts'!B:B,"")</f>
        <v>Grant Revenue - Federal</v>
      </c>
      <c r="F431" s="14" t="str">
        <f>_xlfn.XLOOKUP($D431,'Chart of Accounts'!$A:$A,'Chart of Accounts'!C:C,"")</f>
        <v>Revenue</v>
      </c>
      <c r="G431" s="14" t="s">
        <v>352</v>
      </c>
      <c r="H431" s="16"/>
      <c r="I431" s="16">
        <v>15404.092631579</v>
      </c>
      <c r="J431" s="16">
        <v>-15404.092631579</v>
      </c>
      <c r="K431" s="14" t="s">
        <v>225</v>
      </c>
    </row>
    <row r="432" spans="1:11" ht="15" customHeight="1">
      <c r="A432" s="13">
        <v>46143</v>
      </c>
      <c r="B432" s="14" t="s">
        <v>354</v>
      </c>
      <c r="C432" s="19" t="s">
        <v>16</v>
      </c>
      <c r="D432" s="14" t="s">
        <v>86</v>
      </c>
      <c r="E432" s="14" t="str">
        <f>_xlfn.XLOOKUP($D432,'Chart of Accounts'!$A:$A,'Chart of Accounts'!B:B,"")</f>
        <v>Grant Revenue - Federal</v>
      </c>
      <c r="F432" s="14" t="str">
        <f>_xlfn.XLOOKUP($D432,'Chart of Accounts'!$A:$A,'Chart of Accounts'!C:C,"")</f>
        <v>Revenue</v>
      </c>
      <c r="G432" s="14" t="s">
        <v>352</v>
      </c>
      <c r="H432" s="16"/>
      <c r="I432" s="16">
        <v>7702.0463157894701</v>
      </c>
      <c r="J432" s="16">
        <v>-7702.0463157894701</v>
      </c>
      <c r="K432" s="14" t="s">
        <v>225</v>
      </c>
    </row>
    <row r="433" spans="1:11" ht="15" customHeight="1">
      <c r="A433" s="13">
        <v>46143</v>
      </c>
      <c r="B433" s="14" t="s">
        <v>354</v>
      </c>
      <c r="C433" s="19" t="s">
        <v>18</v>
      </c>
      <c r="D433" s="14" t="s">
        <v>86</v>
      </c>
      <c r="E433" s="14" t="str">
        <f>_xlfn.XLOOKUP($D433,'Chart of Accounts'!$A:$A,'Chart of Accounts'!B:B,"")</f>
        <v>Grant Revenue - Federal</v>
      </c>
      <c r="F433" s="14" t="str">
        <f>_xlfn.XLOOKUP($D433,'Chart of Accounts'!$A:$A,'Chart of Accounts'!C:C,"")</f>
        <v>Revenue</v>
      </c>
      <c r="G433" s="14" t="s">
        <v>352</v>
      </c>
      <c r="H433" s="16"/>
      <c r="I433" s="16">
        <v>15404.092631579</v>
      </c>
      <c r="J433" s="16">
        <v>-15404.092631579</v>
      </c>
      <c r="K433" s="14" t="s">
        <v>225</v>
      </c>
    </row>
    <row r="434" spans="1:11" ht="15" customHeight="1">
      <c r="A434" s="13">
        <v>46143</v>
      </c>
      <c r="B434" s="14" t="s">
        <v>354</v>
      </c>
      <c r="C434" s="19" t="s">
        <v>20</v>
      </c>
      <c r="D434" s="14" t="s">
        <v>86</v>
      </c>
      <c r="E434" s="14" t="str">
        <f>_xlfn.XLOOKUP($D434,'Chart of Accounts'!$A:$A,'Chart of Accounts'!B:B,"")</f>
        <v>Grant Revenue - Federal</v>
      </c>
      <c r="F434" s="14" t="str">
        <f>_xlfn.XLOOKUP($D434,'Chart of Accounts'!$A:$A,'Chart of Accounts'!C:C,"")</f>
        <v>Revenue</v>
      </c>
      <c r="G434" s="14" t="s">
        <v>352</v>
      </c>
      <c r="H434" s="16"/>
      <c r="I434" s="16">
        <v>19255.115789473701</v>
      </c>
      <c r="J434" s="16">
        <v>-19255.115789473701</v>
      </c>
      <c r="K434" s="14" t="s">
        <v>225</v>
      </c>
    </row>
    <row r="435" spans="1:11" ht="15" customHeight="1">
      <c r="A435" s="13">
        <v>46143</v>
      </c>
      <c r="B435" s="14" t="s">
        <v>354</v>
      </c>
      <c r="C435" s="19" t="s">
        <v>12</v>
      </c>
      <c r="D435" s="14" t="s">
        <v>90</v>
      </c>
      <c r="E435" s="14" t="str">
        <f>_xlfn.XLOOKUP($D435,'Chart of Accounts'!$A:$A,'Chart of Accounts'!B:B,"")</f>
        <v>Fee for Service Revenue</v>
      </c>
      <c r="F435" s="14" t="str">
        <f>_xlfn.XLOOKUP($D435,'Chart of Accounts'!$A:$A,'Chart of Accounts'!C:C,"")</f>
        <v>Revenue</v>
      </c>
      <c r="G435" s="14" t="s">
        <v>352</v>
      </c>
      <c r="H435" s="16"/>
      <c r="I435" s="16">
        <v>8876.6926315789497</v>
      </c>
      <c r="J435" s="16">
        <v>-8876.6926315789497</v>
      </c>
      <c r="K435" s="14" t="s">
        <v>225</v>
      </c>
    </row>
    <row r="436" spans="1:11" ht="15" customHeight="1">
      <c r="A436" s="13">
        <v>46143</v>
      </c>
      <c r="B436" s="14" t="s">
        <v>354</v>
      </c>
      <c r="C436" s="19" t="s">
        <v>14</v>
      </c>
      <c r="D436" s="14" t="s">
        <v>90</v>
      </c>
      <c r="E436" s="14" t="str">
        <f>_xlfn.XLOOKUP($D436,'Chart of Accounts'!$A:$A,'Chart of Accounts'!B:B,"")</f>
        <v>Fee for Service Revenue</v>
      </c>
      <c r="F436" s="14" t="str">
        <f>_xlfn.XLOOKUP($D436,'Chart of Accounts'!$A:$A,'Chart of Accounts'!C:C,"")</f>
        <v>Revenue</v>
      </c>
      <c r="G436" s="14" t="s">
        <v>352</v>
      </c>
      <c r="H436" s="16"/>
      <c r="I436" s="16">
        <v>8876.6926315789497</v>
      </c>
      <c r="J436" s="16">
        <v>-8876.6926315789497</v>
      </c>
      <c r="K436" s="14" t="s">
        <v>225</v>
      </c>
    </row>
    <row r="437" spans="1:11" ht="15" customHeight="1">
      <c r="A437" s="13">
        <v>46143</v>
      </c>
      <c r="B437" s="14" t="s">
        <v>354</v>
      </c>
      <c r="C437" s="19" t="s">
        <v>16</v>
      </c>
      <c r="D437" s="14" t="s">
        <v>90</v>
      </c>
      <c r="E437" s="14" t="str">
        <f>_xlfn.XLOOKUP($D437,'Chart of Accounts'!$A:$A,'Chart of Accounts'!B:B,"")</f>
        <v>Fee for Service Revenue</v>
      </c>
      <c r="F437" s="14" t="str">
        <f>_xlfn.XLOOKUP($D437,'Chart of Accounts'!$A:$A,'Chart of Accounts'!C:C,"")</f>
        <v>Revenue</v>
      </c>
      <c r="G437" s="14" t="s">
        <v>352</v>
      </c>
      <c r="H437" s="16"/>
      <c r="I437" s="16">
        <v>4438.3463157894703</v>
      </c>
      <c r="J437" s="16">
        <v>-4438.3463157894703</v>
      </c>
      <c r="K437" s="14" t="s">
        <v>225</v>
      </c>
    </row>
    <row r="438" spans="1:11" ht="15" customHeight="1">
      <c r="A438" s="13">
        <v>46143</v>
      </c>
      <c r="B438" s="14" t="s">
        <v>354</v>
      </c>
      <c r="C438" s="19" t="s">
        <v>18</v>
      </c>
      <c r="D438" s="14" t="s">
        <v>90</v>
      </c>
      <c r="E438" s="14" t="str">
        <f>_xlfn.XLOOKUP($D438,'Chart of Accounts'!$A:$A,'Chart of Accounts'!B:B,"")</f>
        <v>Fee for Service Revenue</v>
      </c>
      <c r="F438" s="14" t="str">
        <f>_xlfn.XLOOKUP($D438,'Chart of Accounts'!$A:$A,'Chart of Accounts'!C:C,"")</f>
        <v>Revenue</v>
      </c>
      <c r="G438" s="14" t="s">
        <v>352</v>
      </c>
      <c r="H438" s="16"/>
      <c r="I438" s="16">
        <v>8876.6926315789497</v>
      </c>
      <c r="J438" s="16">
        <v>-8876.6926315789497</v>
      </c>
      <c r="K438" s="14" t="s">
        <v>225</v>
      </c>
    </row>
    <row r="439" spans="1:11" ht="15" customHeight="1">
      <c r="A439" s="13">
        <v>46143</v>
      </c>
      <c r="B439" s="14" t="s">
        <v>354</v>
      </c>
      <c r="C439" s="19" t="s">
        <v>20</v>
      </c>
      <c r="D439" s="14" t="s">
        <v>90</v>
      </c>
      <c r="E439" s="14" t="str">
        <f>_xlfn.XLOOKUP($D439,'Chart of Accounts'!$A:$A,'Chart of Accounts'!B:B,"")</f>
        <v>Fee for Service Revenue</v>
      </c>
      <c r="F439" s="14" t="str">
        <f>_xlfn.XLOOKUP($D439,'Chart of Accounts'!$A:$A,'Chart of Accounts'!C:C,"")</f>
        <v>Revenue</v>
      </c>
      <c r="G439" s="14" t="s">
        <v>352</v>
      </c>
      <c r="H439" s="16"/>
      <c r="I439" s="16">
        <v>11095.865789473701</v>
      </c>
      <c r="J439" s="16">
        <v>-11095.865789473701</v>
      </c>
      <c r="K439" s="14" t="s">
        <v>225</v>
      </c>
    </row>
    <row r="440" spans="1:11" ht="15" customHeight="1">
      <c r="A440" s="13">
        <v>46113</v>
      </c>
      <c r="B440" s="14" t="s">
        <v>355</v>
      </c>
      <c r="C440" s="19" t="s">
        <v>12</v>
      </c>
      <c r="D440" s="14" t="s">
        <v>83</v>
      </c>
      <c r="E440" s="14" t="str">
        <f>_xlfn.XLOOKUP($D440,'Chart of Accounts'!$A:$A,'Chart of Accounts'!B:B,"")</f>
        <v>Contract Revenue</v>
      </c>
      <c r="F440" s="14" t="str">
        <f>_xlfn.XLOOKUP($D440,'Chart of Accounts'!$A:$A,'Chart of Accounts'!C:C,"")</f>
        <v>Revenue</v>
      </c>
      <c r="G440" s="14" t="s">
        <v>352</v>
      </c>
      <c r="H440" s="16"/>
      <c r="I440" s="16">
        <v>21601.74</v>
      </c>
      <c r="J440" s="16">
        <v>-21601.74</v>
      </c>
      <c r="K440" s="14" t="s">
        <v>225</v>
      </c>
    </row>
    <row r="441" spans="1:11" ht="15" customHeight="1">
      <c r="A441" s="13">
        <v>46113</v>
      </c>
      <c r="B441" s="14" t="s">
        <v>355</v>
      </c>
      <c r="C441" s="19" t="s">
        <v>14</v>
      </c>
      <c r="D441" s="14" t="s">
        <v>83</v>
      </c>
      <c r="E441" s="14" t="str">
        <f>_xlfn.XLOOKUP($D441,'Chart of Accounts'!$A:$A,'Chart of Accounts'!B:B,"")</f>
        <v>Contract Revenue</v>
      </c>
      <c r="F441" s="14" t="str">
        <f>_xlfn.XLOOKUP($D441,'Chart of Accounts'!$A:$A,'Chart of Accounts'!C:C,"")</f>
        <v>Revenue</v>
      </c>
      <c r="G441" s="14" t="s">
        <v>352</v>
      </c>
      <c r="H441" s="16"/>
      <c r="I441" s="16">
        <v>21601.74</v>
      </c>
      <c r="J441" s="16">
        <v>-21601.74</v>
      </c>
      <c r="K441" s="14" t="s">
        <v>225</v>
      </c>
    </row>
    <row r="442" spans="1:11" ht="15" customHeight="1">
      <c r="A442" s="13">
        <v>46113</v>
      </c>
      <c r="B442" s="14" t="s">
        <v>355</v>
      </c>
      <c r="C442" s="19" t="s">
        <v>16</v>
      </c>
      <c r="D442" s="14" t="s">
        <v>83</v>
      </c>
      <c r="E442" s="14" t="str">
        <f>_xlfn.XLOOKUP($D442,'Chart of Accounts'!$A:$A,'Chart of Accounts'!B:B,"")</f>
        <v>Contract Revenue</v>
      </c>
      <c r="F442" s="14" t="str">
        <f>_xlfn.XLOOKUP($D442,'Chart of Accounts'!$A:$A,'Chart of Accounts'!C:C,"")</f>
        <v>Revenue</v>
      </c>
      <c r="G442" s="14" t="s">
        <v>352</v>
      </c>
      <c r="H442" s="16"/>
      <c r="I442" s="16">
        <v>16201.305</v>
      </c>
      <c r="J442" s="16">
        <v>-16201.305</v>
      </c>
      <c r="K442" s="14" t="s">
        <v>225</v>
      </c>
    </row>
    <row r="443" spans="1:11" ht="15" customHeight="1">
      <c r="A443" s="13">
        <v>46113</v>
      </c>
      <c r="B443" s="14" t="s">
        <v>355</v>
      </c>
      <c r="C443" s="19" t="s">
        <v>18</v>
      </c>
      <c r="D443" s="14" t="s">
        <v>83</v>
      </c>
      <c r="E443" s="14" t="str">
        <f>_xlfn.XLOOKUP($D443,'Chart of Accounts'!$A:$A,'Chart of Accounts'!B:B,"")</f>
        <v>Contract Revenue</v>
      </c>
      <c r="F443" s="14" t="str">
        <f>_xlfn.XLOOKUP($D443,'Chart of Accounts'!$A:$A,'Chart of Accounts'!C:C,"")</f>
        <v>Revenue</v>
      </c>
      <c r="G443" s="14" t="s">
        <v>352</v>
      </c>
      <c r="H443" s="16"/>
      <c r="I443" s="16">
        <v>21601.74</v>
      </c>
      <c r="J443" s="16">
        <v>-21601.74</v>
      </c>
      <c r="K443" s="14" t="s">
        <v>225</v>
      </c>
    </row>
    <row r="444" spans="1:11" ht="15" customHeight="1">
      <c r="A444" s="13">
        <v>46113</v>
      </c>
      <c r="B444" s="14" t="s">
        <v>355</v>
      </c>
      <c r="C444" s="19" t="s">
        <v>20</v>
      </c>
      <c r="D444" s="14" t="s">
        <v>83</v>
      </c>
      <c r="E444" s="14" t="str">
        <f>_xlfn.XLOOKUP($D444,'Chart of Accounts'!$A:$A,'Chart of Accounts'!B:B,"")</f>
        <v>Contract Revenue</v>
      </c>
      <c r="F444" s="14" t="str">
        <f>_xlfn.XLOOKUP($D444,'Chart of Accounts'!$A:$A,'Chart of Accounts'!C:C,"")</f>
        <v>Revenue</v>
      </c>
      <c r="G444" s="14" t="s">
        <v>352</v>
      </c>
      <c r="H444" s="16"/>
      <c r="I444" s="16">
        <v>27002.174999999999</v>
      </c>
      <c r="J444" s="16">
        <v>-27002.174999999999</v>
      </c>
      <c r="K444" s="14" t="s">
        <v>225</v>
      </c>
    </row>
    <row r="445" spans="1:11" ht="15" customHeight="1">
      <c r="A445" s="13">
        <v>46113</v>
      </c>
      <c r="B445" s="14" t="s">
        <v>355</v>
      </c>
      <c r="C445" s="19" t="s">
        <v>12</v>
      </c>
      <c r="D445" s="14" t="s">
        <v>86</v>
      </c>
      <c r="E445" s="14" t="str">
        <f>_xlfn.XLOOKUP($D445,'Chart of Accounts'!$A:$A,'Chart of Accounts'!B:B,"")</f>
        <v>Grant Revenue - Federal</v>
      </c>
      <c r="F445" s="14" t="str">
        <f>_xlfn.XLOOKUP($D445,'Chart of Accounts'!$A:$A,'Chart of Accounts'!C:C,"")</f>
        <v>Revenue</v>
      </c>
      <c r="G445" s="14" t="s">
        <v>352</v>
      </c>
      <c r="H445" s="16"/>
      <c r="I445" s="16">
        <v>11957.858</v>
      </c>
      <c r="J445" s="16">
        <v>-11957.858</v>
      </c>
      <c r="K445" s="14" t="s">
        <v>225</v>
      </c>
    </row>
    <row r="446" spans="1:11" ht="15" customHeight="1">
      <c r="A446" s="13">
        <v>46113</v>
      </c>
      <c r="B446" s="14" t="s">
        <v>355</v>
      </c>
      <c r="C446" s="19" t="s">
        <v>14</v>
      </c>
      <c r="D446" s="14" t="s">
        <v>86</v>
      </c>
      <c r="E446" s="14" t="str">
        <f>_xlfn.XLOOKUP($D446,'Chart of Accounts'!$A:$A,'Chart of Accounts'!B:B,"")</f>
        <v>Grant Revenue - Federal</v>
      </c>
      <c r="F446" s="14" t="str">
        <f>_xlfn.XLOOKUP($D446,'Chart of Accounts'!$A:$A,'Chart of Accounts'!C:C,"")</f>
        <v>Revenue</v>
      </c>
      <c r="G446" s="14" t="s">
        <v>352</v>
      </c>
      <c r="H446" s="16"/>
      <c r="I446" s="16">
        <v>11957.858</v>
      </c>
      <c r="J446" s="16">
        <v>-11957.858</v>
      </c>
      <c r="K446" s="14" t="s">
        <v>225</v>
      </c>
    </row>
    <row r="447" spans="1:11" ht="15" customHeight="1">
      <c r="A447" s="13">
        <v>46113</v>
      </c>
      <c r="B447" s="14" t="s">
        <v>355</v>
      </c>
      <c r="C447" s="19" t="s">
        <v>16</v>
      </c>
      <c r="D447" s="14" t="s">
        <v>86</v>
      </c>
      <c r="E447" s="14" t="str">
        <f>_xlfn.XLOOKUP($D447,'Chart of Accounts'!$A:$A,'Chart of Accounts'!B:B,"")</f>
        <v>Grant Revenue - Federal</v>
      </c>
      <c r="F447" s="14" t="str">
        <f>_xlfn.XLOOKUP($D447,'Chart of Accounts'!$A:$A,'Chart of Accounts'!C:C,"")</f>
        <v>Revenue</v>
      </c>
      <c r="G447" s="14" t="s">
        <v>352</v>
      </c>
      <c r="H447" s="16"/>
      <c r="I447" s="16">
        <v>8968.3935000000001</v>
      </c>
      <c r="J447" s="16">
        <v>-8968.3935000000001</v>
      </c>
      <c r="K447" s="14" t="s">
        <v>225</v>
      </c>
    </row>
    <row r="448" spans="1:11" ht="15" customHeight="1">
      <c r="A448" s="13">
        <v>46113</v>
      </c>
      <c r="B448" s="14" t="s">
        <v>355</v>
      </c>
      <c r="C448" s="19" t="s">
        <v>18</v>
      </c>
      <c r="D448" s="14" t="s">
        <v>86</v>
      </c>
      <c r="E448" s="14" t="str">
        <f>_xlfn.XLOOKUP($D448,'Chart of Accounts'!$A:$A,'Chart of Accounts'!B:B,"")</f>
        <v>Grant Revenue - Federal</v>
      </c>
      <c r="F448" s="14" t="str">
        <f>_xlfn.XLOOKUP($D448,'Chart of Accounts'!$A:$A,'Chart of Accounts'!C:C,"")</f>
        <v>Revenue</v>
      </c>
      <c r="G448" s="14" t="s">
        <v>352</v>
      </c>
      <c r="H448" s="16"/>
      <c r="I448" s="16">
        <v>11957.858</v>
      </c>
      <c r="J448" s="16">
        <v>-11957.858</v>
      </c>
      <c r="K448" s="14" t="s">
        <v>225</v>
      </c>
    </row>
    <row r="449" spans="1:11" ht="15" customHeight="1">
      <c r="A449" s="13">
        <v>46113</v>
      </c>
      <c r="B449" s="14" t="s">
        <v>355</v>
      </c>
      <c r="C449" s="19" t="s">
        <v>20</v>
      </c>
      <c r="D449" s="14" t="s">
        <v>86</v>
      </c>
      <c r="E449" s="14" t="str">
        <f>_xlfn.XLOOKUP($D449,'Chart of Accounts'!$A:$A,'Chart of Accounts'!B:B,"")</f>
        <v>Grant Revenue - Federal</v>
      </c>
      <c r="F449" s="14" t="str">
        <f>_xlfn.XLOOKUP($D449,'Chart of Accounts'!$A:$A,'Chart of Accounts'!C:C,"")</f>
        <v>Revenue</v>
      </c>
      <c r="G449" s="14" t="s">
        <v>352</v>
      </c>
      <c r="H449" s="16"/>
      <c r="I449" s="16">
        <v>14947.3225</v>
      </c>
      <c r="J449" s="16">
        <v>-14947.3225</v>
      </c>
      <c r="K449" s="14" t="s">
        <v>225</v>
      </c>
    </row>
    <row r="450" spans="1:11" ht="15" customHeight="1">
      <c r="A450" s="13">
        <v>46113</v>
      </c>
      <c r="B450" s="14" t="s">
        <v>355</v>
      </c>
      <c r="C450" s="19" t="s">
        <v>12</v>
      </c>
      <c r="D450" s="14" t="s">
        <v>88</v>
      </c>
      <c r="E450" s="14" t="str">
        <f>_xlfn.XLOOKUP($D450,'Chart of Accounts'!$A:$A,'Chart of Accounts'!B:B,"")</f>
        <v>Grant Revenue - Foundation</v>
      </c>
      <c r="F450" s="14" t="str">
        <f>_xlfn.XLOOKUP($D450,'Chart of Accounts'!$A:$A,'Chart of Accounts'!C:C,"")</f>
        <v>Revenue</v>
      </c>
      <c r="G450" s="14" t="s">
        <v>352</v>
      </c>
      <c r="H450" s="16"/>
      <c r="I450" s="16">
        <v>19403.664000000001</v>
      </c>
      <c r="J450" s="16">
        <v>-19403.664000000001</v>
      </c>
      <c r="K450" s="14" t="s">
        <v>225</v>
      </c>
    </row>
    <row r="451" spans="1:11" ht="15" customHeight="1">
      <c r="A451" s="13">
        <v>46113</v>
      </c>
      <c r="B451" s="14" t="s">
        <v>355</v>
      </c>
      <c r="C451" s="19" t="s">
        <v>14</v>
      </c>
      <c r="D451" s="14" t="s">
        <v>88</v>
      </c>
      <c r="E451" s="14" t="str">
        <f>_xlfn.XLOOKUP($D451,'Chart of Accounts'!$A:$A,'Chart of Accounts'!B:B,"")</f>
        <v>Grant Revenue - Foundation</v>
      </c>
      <c r="F451" s="14" t="str">
        <f>_xlfn.XLOOKUP($D451,'Chart of Accounts'!$A:$A,'Chart of Accounts'!C:C,"")</f>
        <v>Revenue</v>
      </c>
      <c r="G451" s="14" t="s">
        <v>352</v>
      </c>
      <c r="H451" s="16"/>
      <c r="I451" s="16">
        <v>19403.664000000001</v>
      </c>
      <c r="J451" s="16">
        <v>-19403.664000000001</v>
      </c>
      <c r="K451" s="14" t="s">
        <v>225</v>
      </c>
    </row>
    <row r="452" spans="1:11" ht="15" customHeight="1">
      <c r="A452" s="13">
        <v>46113</v>
      </c>
      <c r="B452" s="14" t="s">
        <v>355</v>
      </c>
      <c r="C452" s="19" t="s">
        <v>16</v>
      </c>
      <c r="D452" s="14" t="s">
        <v>88</v>
      </c>
      <c r="E452" s="14" t="str">
        <f>_xlfn.XLOOKUP($D452,'Chart of Accounts'!$A:$A,'Chart of Accounts'!B:B,"")</f>
        <v>Grant Revenue - Foundation</v>
      </c>
      <c r="F452" s="14" t="str">
        <f>_xlfn.XLOOKUP($D452,'Chart of Accounts'!$A:$A,'Chart of Accounts'!C:C,"")</f>
        <v>Revenue</v>
      </c>
      <c r="G452" s="14" t="s">
        <v>352</v>
      </c>
      <c r="H452" s="16"/>
      <c r="I452" s="16">
        <v>14552.748</v>
      </c>
      <c r="J452" s="16">
        <v>-14552.748</v>
      </c>
      <c r="K452" s="14" t="s">
        <v>225</v>
      </c>
    </row>
    <row r="453" spans="1:11" ht="15" customHeight="1">
      <c r="A453" s="13">
        <v>46113</v>
      </c>
      <c r="B453" s="14" t="s">
        <v>355</v>
      </c>
      <c r="C453" s="19" t="s">
        <v>18</v>
      </c>
      <c r="D453" s="14" t="s">
        <v>88</v>
      </c>
      <c r="E453" s="14" t="str">
        <f>_xlfn.XLOOKUP($D453,'Chart of Accounts'!$A:$A,'Chart of Accounts'!B:B,"")</f>
        <v>Grant Revenue - Foundation</v>
      </c>
      <c r="F453" s="14" t="str">
        <f>_xlfn.XLOOKUP($D453,'Chart of Accounts'!$A:$A,'Chart of Accounts'!C:C,"")</f>
        <v>Revenue</v>
      </c>
      <c r="G453" s="14" t="s">
        <v>352</v>
      </c>
      <c r="H453" s="16"/>
      <c r="I453" s="16">
        <v>19403.664000000001</v>
      </c>
      <c r="J453" s="16">
        <v>-19403.664000000001</v>
      </c>
      <c r="K453" s="14" t="s">
        <v>225</v>
      </c>
    </row>
    <row r="454" spans="1:11" ht="15" customHeight="1">
      <c r="A454" s="13">
        <v>46113</v>
      </c>
      <c r="B454" s="14" t="s">
        <v>355</v>
      </c>
      <c r="C454" s="19" t="s">
        <v>20</v>
      </c>
      <c r="D454" s="14" t="s">
        <v>88</v>
      </c>
      <c r="E454" s="14" t="str">
        <f>_xlfn.XLOOKUP($D454,'Chart of Accounts'!$A:$A,'Chart of Accounts'!B:B,"")</f>
        <v>Grant Revenue - Foundation</v>
      </c>
      <c r="F454" s="14" t="str">
        <f>_xlfn.XLOOKUP($D454,'Chart of Accounts'!$A:$A,'Chart of Accounts'!C:C,"")</f>
        <v>Revenue</v>
      </c>
      <c r="G454" s="14" t="s">
        <v>352</v>
      </c>
      <c r="H454" s="16"/>
      <c r="I454" s="16">
        <v>24254.58</v>
      </c>
      <c r="J454" s="16">
        <v>-24254.58</v>
      </c>
      <c r="K454" s="14" t="s">
        <v>225</v>
      </c>
    </row>
    <row r="455" spans="1:11" ht="15" customHeight="1">
      <c r="A455" s="13">
        <v>46113</v>
      </c>
      <c r="B455" s="14" t="s">
        <v>355</v>
      </c>
      <c r="C455" s="19" t="s">
        <v>12</v>
      </c>
      <c r="D455" s="14" t="s">
        <v>90</v>
      </c>
      <c r="E455" s="14" t="str">
        <f>_xlfn.XLOOKUP($D455,'Chart of Accounts'!$A:$A,'Chart of Accounts'!B:B,"")</f>
        <v>Fee for Service Revenue</v>
      </c>
      <c r="F455" s="14" t="str">
        <f>_xlfn.XLOOKUP($D455,'Chart of Accounts'!$A:$A,'Chart of Accounts'!C:C,"")</f>
        <v>Revenue</v>
      </c>
      <c r="G455" s="14" t="s">
        <v>352</v>
      </c>
      <c r="H455" s="16"/>
      <c r="I455" s="16">
        <v>9257.8880000000008</v>
      </c>
      <c r="J455" s="16">
        <v>-9257.8880000000008</v>
      </c>
      <c r="K455" s="14" t="s">
        <v>225</v>
      </c>
    </row>
    <row r="456" spans="1:11" ht="15" customHeight="1">
      <c r="A456" s="13">
        <v>46113</v>
      </c>
      <c r="B456" s="14" t="s">
        <v>355</v>
      </c>
      <c r="C456" s="19" t="s">
        <v>14</v>
      </c>
      <c r="D456" s="14" t="s">
        <v>90</v>
      </c>
      <c r="E456" s="14" t="str">
        <f>_xlfn.XLOOKUP($D456,'Chart of Accounts'!$A:$A,'Chart of Accounts'!B:B,"")</f>
        <v>Fee for Service Revenue</v>
      </c>
      <c r="F456" s="14" t="str">
        <f>_xlfn.XLOOKUP($D456,'Chart of Accounts'!$A:$A,'Chart of Accounts'!C:C,"")</f>
        <v>Revenue</v>
      </c>
      <c r="G456" s="14" t="s">
        <v>352</v>
      </c>
      <c r="H456" s="16"/>
      <c r="I456" s="16">
        <v>9257.8880000000008</v>
      </c>
      <c r="J456" s="16">
        <v>-9257.8880000000008</v>
      </c>
      <c r="K456" s="14" t="s">
        <v>225</v>
      </c>
    </row>
    <row r="457" spans="1:11" ht="15" customHeight="1">
      <c r="A457" s="13">
        <v>46113</v>
      </c>
      <c r="B457" s="14" t="s">
        <v>355</v>
      </c>
      <c r="C457" s="19" t="s">
        <v>16</v>
      </c>
      <c r="D457" s="14" t="s">
        <v>90</v>
      </c>
      <c r="E457" s="14" t="str">
        <f>_xlfn.XLOOKUP($D457,'Chart of Accounts'!$A:$A,'Chart of Accounts'!B:B,"")</f>
        <v>Fee for Service Revenue</v>
      </c>
      <c r="F457" s="14" t="str">
        <f>_xlfn.XLOOKUP($D457,'Chart of Accounts'!$A:$A,'Chart of Accounts'!C:C,"")</f>
        <v>Revenue</v>
      </c>
      <c r="G457" s="14" t="s">
        <v>352</v>
      </c>
      <c r="H457" s="16"/>
      <c r="I457" s="16">
        <v>6943.4160000000002</v>
      </c>
      <c r="J457" s="16">
        <v>-6943.4160000000002</v>
      </c>
      <c r="K457" s="14" t="s">
        <v>225</v>
      </c>
    </row>
    <row r="458" spans="1:11" ht="15" customHeight="1">
      <c r="A458" s="13">
        <v>46113</v>
      </c>
      <c r="B458" s="14" t="s">
        <v>355</v>
      </c>
      <c r="C458" s="19" t="s">
        <v>18</v>
      </c>
      <c r="D458" s="14" t="s">
        <v>90</v>
      </c>
      <c r="E458" s="14" t="str">
        <f>_xlfn.XLOOKUP($D458,'Chart of Accounts'!$A:$A,'Chart of Accounts'!B:B,"")</f>
        <v>Fee for Service Revenue</v>
      </c>
      <c r="F458" s="14" t="str">
        <f>_xlfn.XLOOKUP($D458,'Chart of Accounts'!$A:$A,'Chart of Accounts'!C:C,"")</f>
        <v>Revenue</v>
      </c>
      <c r="G458" s="14" t="s">
        <v>352</v>
      </c>
      <c r="H458" s="16"/>
      <c r="I458" s="16">
        <v>9257.8880000000008</v>
      </c>
      <c r="J458" s="16">
        <v>-9257.8880000000008</v>
      </c>
      <c r="K458" s="14" t="s">
        <v>225</v>
      </c>
    </row>
    <row r="459" spans="1:11" ht="15" customHeight="1">
      <c r="A459" s="13">
        <v>46113</v>
      </c>
      <c r="B459" s="14" t="s">
        <v>355</v>
      </c>
      <c r="C459" s="19" t="s">
        <v>20</v>
      </c>
      <c r="D459" s="14" t="s">
        <v>90</v>
      </c>
      <c r="E459" s="14" t="str">
        <f>_xlfn.XLOOKUP($D459,'Chart of Accounts'!$A:$A,'Chart of Accounts'!B:B,"")</f>
        <v>Fee for Service Revenue</v>
      </c>
      <c r="F459" s="14" t="str">
        <f>_xlfn.XLOOKUP($D459,'Chart of Accounts'!$A:$A,'Chart of Accounts'!C:C,"")</f>
        <v>Revenue</v>
      </c>
      <c r="G459" s="14" t="s">
        <v>352</v>
      </c>
      <c r="H459" s="16"/>
      <c r="I459" s="16">
        <v>11572.36</v>
      </c>
      <c r="J459" s="16">
        <v>-11572.36</v>
      </c>
      <c r="K459" s="14" t="s">
        <v>225</v>
      </c>
    </row>
    <row r="460" spans="1:11" ht="15" customHeight="1">
      <c r="A460" s="13">
        <v>46082</v>
      </c>
      <c r="B460" s="14" t="s">
        <v>356</v>
      </c>
      <c r="C460" s="19" t="s">
        <v>12</v>
      </c>
      <c r="D460" s="14" t="s">
        <v>83</v>
      </c>
      <c r="E460" s="14" t="str">
        <f>_xlfn.XLOOKUP($D460,'Chart of Accounts'!$A:$A,'Chart of Accounts'!B:B,"")</f>
        <v>Contract Revenue</v>
      </c>
      <c r="F460" s="14" t="str">
        <f>_xlfn.XLOOKUP($D460,'Chart of Accounts'!$A:$A,'Chart of Accounts'!C:C,"")</f>
        <v>Revenue</v>
      </c>
      <c r="G460" s="14" t="s">
        <v>352</v>
      </c>
      <c r="H460" s="16"/>
      <c r="I460" s="16">
        <v>21117.01</v>
      </c>
      <c r="J460" s="16">
        <v>-21117.01</v>
      </c>
      <c r="K460" s="14" t="s">
        <v>225</v>
      </c>
    </row>
    <row r="461" spans="1:11" ht="15" customHeight="1">
      <c r="A461" s="13">
        <v>46082</v>
      </c>
      <c r="B461" s="14" t="s">
        <v>356</v>
      </c>
      <c r="C461" s="19" t="s">
        <v>14</v>
      </c>
      <c r="D461" s="14" t="s">
        <v>83</v>
      </c>
      <c r="E461" s="14" t="str">
        <f>_xlfn.XLOOKUP($D461,'Chart of Accounts'!$A:$A,'Chart of Accounts'!B:B,"")</f>
        <v>Contract Revenue</v>
      </c>
      <c r="F461" s="14" t="str">
        <f>_xlfn.XLOOKUP($D461,'Chart of Accounts'!$A:$A,'Chart of Accounts'!C:C,"")</f>
        <v>Revenue</v>
      </c>
      <c r="G461" s="14" t="s">
        <v>352</v>
      </c>
      <c r="H461" s="16"/>
      <c r="I461" s="16">
        <v>21117.01</v>
      </c>
      <c r="J461" s="16">
        <v>-21117.01</v>
      </c>
      <c r="K461" s="14" t="s">
        <v>225</v>
      </c>
    </row>
    <row r="462" spans="1:11" ht="15" customHeight="1">
      <c r="A462" s="13">
        <v>46082</v>
      </c>
      <c r="B462" s="14" t="s">
        <v>356</v>
      </c>
      <c r="C462" s="19" t="s">
        <v>16</v>
      </c>
      <c r="D462" s="14" t="s">
        <v>83</v>
      </c>
      <c r="E462" s="14" t="str">
        <f>_xlfn.XLOOKUP($D462,'Chart of Accounts'!$A:$A,'Chart of Accounts'!B:B,"")</f>
        <v>Contract Revenue</v>
      </c>
      <c r="F462" s="14" t="str">
        <f>_xlfn.XLOOKUP($D462,'Chart of Accounts'!$A:$A,'Chart of Accounts'!C:C,"")</f>
        <v>Revenue</v>
      </c>
      <c r="G462" s="14" t="s">
        <v>352</v>
      </c>
      <c r="H462" s="16"/>
      <c r="I462" s="16">
        <v>15837.7575</v>
      </c>
      <c r="J462" s="16">
        <v>-15837.7575</v>
      </c>
      <c r="K462" s="14" t="s">
        <v>225</v>
      </c>
    </row>
    <row r="463" spans="1:11" ht="15" customHeight="1">
      <c r="A463" s="13">
        <v>46082</v>
      </c>
      <c r="B463" s="14" t="s">
        <v>356</v>
      </c>
      <c r="C463" s="19" t="s">
        <v>18</v>
      </c>
      <c r="D463" s="14" t="s">
        <v>83</v>
      </c>
      <c r="E463" s="14" t="str">
        <f>_xlfn.XLOOKUP($D463,'Chart of Accounts'!$A:$A,'Chart of Accounts'!B:B,"")</f>
        <v>Contract Revenue</v>
      </c>
      <c r="F463" s="14" t="str">
        <f>_xlfn.XLOOKUP($D463,'Chart of Accounts'!$A:$A,'Chart of Accounts'!C:C,"")</f>
        <v>Revenue</v>
      </c>
      <c r="G463" s="14" t="s">
        <v>352</v>
      </c>
      <c r="H463" s="16"/>
      <c r="I463" s="16">
        <v>21117.01</v>
      </c>
      <c r="J463" s="16">
        <v>-21117.01</v>
      </c>
      <c r="K463" s="14" t="s">
        <v>225</v>
      </c>
    </row>
    <row r="464" spans="1:11" ht="15" customHeight="1">
      <c r="A464" s="13">
        <v>46082</v>
      </c>
      <c r="B464" s="14" t="s">
        <v>356</v>
      </c>
      <c r="C464" s="19" t="s">
        <v>20</v>
      </c>
      <c r="D464" s="14" t="s">
        <v>83</v>
      </c>
      <c r="E464" s="14" t="str">
        <f>_xlfn.XLOOKUP($D464,'Chart of Accounts'!$A:$A,'Chart of Accounts'!B:B,"")</f>
        <v>Contract Revenue</v>
      </c>
      <c r="F464" s="14" t="str">
        <f>_xlfn.XLOOKUP($D464,'Chart of Accounts'!$A:$A,'Chart of Accounts'!C:C,"")</f>
        <v>Revenue</v>
      </c>
      <c r="G464" s="14" t="s">
        <v>352</v>
      </c>
      <c r="H464" s="16"/>
      <c r="I464" s="16">
        <v>26396.262500000001</v>
      </c>
      <c r="J464" s="16">
        <v>-26396.262500000001</v>
      </c>
      <c r="K464" s="14" t="s">
        <v>225</v>
      </c>
    </row>
    <row r="465" spans="1:11" ht="15" customHeight="1">
      <c r="A465" s="13">
        <v>46082</v>
      </c>
      <c r="B465" s="14" t="s">
        <v>356</v>
      </c>
      <c r="C465" s="19" t="s">
        <v>12</v>
      </c>
      <c r="D465" s="14" t="s">
        <v>86</v>
      </c>
      <c r="E465" s="14" t="str">
        <f>_xlfn.XLOOKUP($D465,'Chart of Accounts'!$A:$A,'Chart of Accounts'!B:B,"")</f>
        <v>Grant Revenue - Federal</v>
      </c>
      <c r="F465" s="14" t="str">
        <f>_xlfn.XLOOKUP($D465,'Chart of Accounts'!$A:$A,'Chart of Accounts'!C:C,"")</f>
        <v>Revenue</v>
      </c>
      <c r="G465" s="14" t="s">
        <v>352</v>
      </c>
      <c r="H465" s="16"/>
      <c r="I465" s="16">
        <v>13791.802</v>
      </c>
      <c r="J465" s="16">
        <v>-13791.802</v>
      </c>
      <c r="K465" s="14" t="s">
        <v>225</v>
      </c>
    </row>
    <row r="466" spans="1:11" ht="15" customHeight="1">
      <c r="A466" s="13">
        <v>46082</v>
      </c>
      <c r="B466" s="14" t="s">
        <v>356</v>
      </c>
      <c r="C466" s="19" t="s">
        <v>14</v>
      </c>
      <c r="D466" s="14" t="s">
        <v>86</v>
      </c>
      <c r="E466" s="14" t="str">
        <f>_xlfn.XLOOKUP($D466,'Chart of Accounts'!$A:$A,'Chart of Accounts'!B:B,"")</f>
        <v>Grant Revenue - Federal</v>
      </c>
      <c r="F466" s="14" t="str">
        <f>_xlfn.XLOOKUP($D466,'Chart of Accounts'!$A:$A,'Chart of Accounts'!C:C,"")</f>
        <v>Revenue</v>
      </c>
      <c r="G466" s="14" t="s">
        <v>352</v>
      </c>
      <c r="H466" s="16"/>
      <c r="I466" s="16">
        <v>13791.802</v>
      </c>
      <c r="J466" s="16">
        <v>-13791.802</v>
      </c>
      <c r="K466" s="14" t="s">
        <v>225</v>
      </c>
    </row>
    <row r="467" spans="1:11" ht="15" customHeight="1">
      <c r="A467" s="13">
        <v>46082</v>
      </c>
      <c r="B467" s="14" t="s">
        <v>356</v>
      </c>
      <c r="C467" s="19" t="s">
        <v>16</v>
      </c>
      <c r="D467" s="14" t="s">
        <v>86</v>
      </c>
      <c r="E467" s="14" t="str">
        <f>_xlfn.XLOOKUP($D467,'Chart of Accounts'!$A:$A,'Chart of Accounts'!B:B,"")</f>
        <v>Grant Revenue - Federal</v>
      </c>
      <c r="F467" s="14" t="str">
        <f>_xlfn.XLOOKUP($D467,'Chart of Accounts'!$A:$A,'Chart of Accounts'!C:C,"")</f>
        <v>Revenue</v>
      </c>
      <c r="G467" s="14" t="s">
        <v>352</v>
      </c>
      <c r="H467" s="16"/>
      <c r="I467" s="16">
        <v>10343.851500000001</v>
      </c>
      <c r="J467" s="16">
        <v>-10343.851500000001</v>
      </c>
      <c r="K467" s="14" t="s">
        <v>225</v>
      </c>
    </row>
    <row r="468" spans="1:11" ht="15" customHeight="1">
      <c r="A468" s="13">
        <v>46082</v>
      </c>
      <c r="B468" s="14" t="s">
        <v>356</v>
      </c>
      <c r="C468" s="19" t="s">
        <v>18</v>
      </c>
      <c r="D468" s="14" t="s">
        <v>86</v>
      </c>
      <c r="E468" s="14" t="str">
        <f>_xlfn.XLOOKUP($D468,'Chart of Accounts'!$A:$A,'Chart of Accounts'!B:B,"")</f>
        <v>Grant Revenue - Federal</v>
      </c>
      <c r="F468" s="14" t="str">
        <f>_xlfn.XLOOKUP($D468,'Chart of Accounts'!$A:$A,'Chart of Accounts'!C:C,"")</f>
        <v>Revenue</v>
      </c>
      <c r="G468" s="14" t="s">
        <v>352</v>
      </c>
      <c r="H468" s="16"/>
      <c r="I468" s="16">
        <v>13791.802</v>
      </c>
      <c r="J468" s="16">
        <v>-13791.802</v>
      </c>
      <c r="K468" s="14" t="s">
        <v>225</v>
      </c>
    </row>
    <row r="469" spans="1:11" ht="15" customHeight="1">
      <c r="A469" s="13">
        <v>46082</v>
      </c>
      <c r="B469" s="14" t="s">
        <v>356</v>
      </c>
      <c r="C469" s="19" t="s">
        <v>20</v>
      </c>
      <c r="D469" s="14" t="s">
        <v>86</v>
      </c>
      <c r="E469" s="14" t="str">
        <f>_xlfn.XLOOKUP($D469,'Chart of Accounts'!$A:$A,'Chart of Accounts'!B:B,"")</f>
        <v>Grant Revenue - Federal</v>
      </c>
      <c r="F469" s="14" t="str">
        <f>_xlfn.XLOOKUP($D469,'Chart of Accounts'!$A:$A,'Chart of Accounts'!C:C,"")</f>
        <v>Revenue</v>
      </c>
      <c r="G469" s="14" t="s">
        <v>352</v>
      </c>
      <c r="H469" s="16"/>
      <c r="I469" s="16">
        <v>17239.752499999999</v>
      </c>
      <c r="J469" s="16">
        <v>-17239.752499999999</v>
      </c>
      <c r="K469" s="14" t="s">
        <v>225</v>
      </c>
    </row>
    <row r="470" spans="1:11" ht="15" customHeight="1">
      <c r="A470" s="13">
        <v>46082</v>
      </c>
      <c r="B470" s="14" t="s">
        <v>356</v>
      </c>
      <c r="C470" s="19" t="s">
        <v>12</v>
      </c>
      <c r="D470" s="14" t="s">
        <v>90</v>
      </c>
      <c r="E470" s="14" t="str">
        <f>_xlfn.XLOOKUP($D470,'Chart of Accounts'!$A:$A,'Chart of Accounts'!B:B,"")</f>
        <v>Fee for Service Revenue</v>
      </c>
      <c r="F470" s="14" t="str">
        <f>_xlfn.XLOOKUP($D470,'Chart of Accounts'!$A:$A,'Chart of Accounts'!C:C,"")</f>
        <v>Revenue</v>
      </c>
      <c r="G470" s="14" t="s">
        <v>352</v>
      </c>
      <c r="H470" s="16"/>
      <c r="I470" s="16">
        <v>9050.1460000000006</v>
      </c>
      <c r="J470" s="16">
        <v>-9050.1460000000006</v>
      </c>
      <c r="K470" s="14" t="s">
        <v>225</v>
      </c>
    </row>
    <row r="471" spans="1:11" ht="15" customHeight="1">
      <c r="A471" s="13">
        <v>46082</v>
      </c>
      <c r="B471" s="14" t="s">
        <v>356</v>
      </c>
      <c r="C471" s="19" t="s">
        <v>14</v>
      </c>
      <c r="D471" s="14" t="s">
        <v>90</v>
      </c>
      <c r="E471" s="14" t="str">
        <f>_xlfn.XLOOKUP($D471,'Chart of Accounts'!$A:$A,'Chart of Accounts'!B:B,"")</f>
        <v>Fee for Service Revenue</v>
      </c>
      <c r="F471" s="14" t="str">
        <f>_xlfn.XLOOKUP($D471,'Chart of Accounts'!$A:$A,'Chart of Accounts'!C:C,"")</f>
        <v>Revenue</v>
      </c>
      <c r="G471" s="14" t="s">
        <v>352</v>
      </c>
      <c r="H471" s="16"/>
      <c r="I471" s="16">
        <v>9050.1460000000006</v>
      </c>
      <c r="J471" s="16">
        <v>-9050.1460000000006</v>
      </c>
      <c r="K471" s="14" t="s">
        <v>225</v>
      </c>
    </row>
    <row r="472" spans="1:11" ht="15" customHeight="1">
      <c r="A472" s="13">
        <v>46082</v>
      </c>
      <c r="B472" s="14" t="s">
        <v>356</v>
      </c>
      <c r="C472" s="19" t="s">
        <v>16</v>
      </c>
      <c r="D472" s="14" t="s">
        <v>90</v>
      </c>
      <c r="E472" s="14" t="str">
        <f>_xlfn.XLOOKUP($D472,'Chart of Accounts'!$A:$A,'Chart of Accounts'!B:B,"")</f>
        <v>Fee for Service Revenue</v>
      </c>
      <c r="F472" s="14" t="str">
        <f>_xlfn.XLOOKUP($D472,'Chart of Accounts'!$A:$A,'Chart of Accounts'!C:C,"")</f>
        <v>Revenue</v>
      </c>
      <c r="G472" s="14" t="s">
        <v>352</v>
      </c>
      <c r="H472" s="16"/>
      <c r="I472" s="16">
        <v>6787.6094999999996</v>
      </c>
      <c r="J472" s="16">
        <v>-6787.6094999999996</v>
      </c>
      <c r="K472" s="14" t="s">
        <v>225</v>
      </c>
    </row>
    <row r="473" spans="1:11" ht="15" customHeight="1">
      <c r="A473" s="13">
        <v>46082</v>
      </c>
      <c r="B473" s="14" t="s">
        <v>356</v>
      </c>
      <c r="C473" s="19" t="s">
        <v>18</v>
      </c>
      <c r="D473" s="14" t="s">
        <v>90</v>
      </c>
      <c r="E473" s="14" t="str">
        <f>_xlfn.XLOOKUP($D473,'Chart of Accounts'!$A:$A,'Chart of Accounts'!B:B,"")</f>
        <v>Fee for Service Revenue</v>
      </c>
      <c r="F473" s="14" t="str">
        <f>_xlfn.XLOOKUP($D473,'Chart of Accounts'!$A:$A,'Chart of Accounts'!C:C,"")</f>
        <v>Revenue</v>
      </c>
      <c r="G473" s="14" t="s">
        <v>352</v>
      </c>
      <c r="H473" s="16"/>
      <c r="I473" s="16">
        <v>9050.1460000000006</v>
      </c>
      <c r="J473" s="16">
        <v>-9050.1460000000006</v>
      </c>
      <c r="K473" s="14" t="s">
        <v>225</v>
      </c>
    </row>
    <row r="474" spans="1:11" ht="15" customHeight="1">
      <c r="A474" s="13">
        <v>46082</v>
      </c>
      <c r="B474" s="14" t="s">
        <v>356</v>
      </c>
      <c r="C474" s="19" t="s">
        <v>20</v>
      </c>
      <c r="D474" s="14" t="s">
        <v>90</v>
      </c>
      <c r="E474" s="14" t="str">
        <f>_xlfn.XLOOKUP($D474,'Chart of Accounts'!$A:$A,'Chart of Accounts'!B:B,"")</f>
        <v>Fee for Service Revenue</v>
      </c>
      <c r="F474" s="14" t="str">
        <f>_xlfn.XLOOKUP($D474,'Chart of Accounts'!$A:$A,'Chart of Accounts'!C:C,"")</f>
        <v>Revenue</v>
      </c>
      <c r="G474" s="14" t="s">
        <v>352</v>
      </c>
      <c r="H474" s="16"/>
      <c r="I474" s="16">
        <v>11312.682500000001</v>
      </c>
      <c r="J474" s="16">
        <v>-11312.682500000001</v>
      </c>
      <c r="K474" s="14" t="s">
        <v>225</v>
      </c>
    </row>
    <row r="475" spans="1:11" ht="15" customHeight="1">
      <c r="A475" s="13">
        <v>46054</v>
      </c>
      <c r="B475" s="14" t="s">
        <v>357</v>
      </c>
      <c r="C475" s="19" t="s">
        <v>12</v>
      </c>
      <c r="D475" s="14" t="s">
        <v>83</v>
      </c>
      <c r="E475" s="14" t="str">
        <f>_xlfn.XLOOKUP($D475,'Chart of Accounts'!$A:$A,'Chart of Accounts'!B:B,"")</f>
        <v>Contract Revenue</v>
      </c>
      <c r="F475" s="14" t="str">
        <f>_xlfn.XLOOKUP($D475,'Chart of Accounts'!$A:$A,'Chart of Accounts'!C:C,"")</f>
        <v>Revenue</v>
      </c>
      <c r="G475" s="14" t="s">
        <v>352</v>
      </c>
      <c r="H475" s="16"/>
      <c r="I475" s="16">
        <v>30155.791578947399</v>
      </c>
      <c r="J475" s="16">
        <v>-30155.791578947399</v>
      </c>
      <c r="K475" s="14" t="s">
        <v>225</v>
      </c>
    </row>
    <row r="476" spans="1:11" ht="15" customHeight="1">
      <c r="A476" s="13">
        <v>46054</v>
      </c>
      <c r="B476" s="14" t="s">
        <v>357</v>
      </c>
      <c r="C476" s="19" t="s">
        <v>14</v>
      </c>
      <c r="D476" s="14" t="s">
        <v>83</v>
      </c>
      <c r="E476" s="14" t="str">
        <f>_xlfn.XLOOKUP($D476,'Chart of Accounts'!$A:$A,'Chart of Accounts'!B:B,"")</f>
        <v>Contract Revenue</v>
      </c>
      <c r="F476" s="14" t="str">
        <f>_xlfn.XLOOKUP($D476,'Chart of Accounts'!$A:$A,'Chart of Accounts'!C:C,"")</f>
        <v>Revenue</v>
      </c>
      <c r="G476" s="14" t="s">
        <v>352</v>
      </c>
      <c r="H476" s="16"/>
      <c r="I476" s="16">
        <v>30155.791578947399</v>
      </c>
      <c r="J476" s="16">
        <v>-30155.791578947399</v>
      </c>
      <c r="K476" s="14" t="s">
        <v>225</v>
      </c>
    </row>
    <row r="477" spans="1:11" ht="15" customHeight="1">
      <c r="A477" s="13">
        <v>46054</v>
      </c>
      <c r="B477" s="14" t="s">
        <v>357</v>
      </c>
      <c r="C477" s="19" t="s">
        <v>16</v>
      </c>
      <c r="D477" s="14" t="s">
        <v>83</v>
      </c>
      <c r="E477" s="14" t="str">
        <f>_xlfn.XLOOKUP($D477,'Chart of Accounts'!$A:$A,'Chart of Accounts'!B:B,"")</f>
        <v>Contract Revenue</v>
      </c>
      <c r="F477" s="14" t="str">
        <f>_xlfn.XLOOKUP($D477,'Chart of Accounts'!$A:$A,'Chart of Accounts'!C:C,"")</f>
        <v>Revenue</v>
      </c>
      <c r="G477" s="14" t="s">
        <v>352</v>
      </c>
      <c r="H477" s="16"/>
      <c r="I477" s="16">
        <v>22616.8436842105</v>
      </c>
      <c r="J477" s="16">
        <v>-22616.8436842105</v>
      </c>
      <c r="K477" s="14" t="s">
        <v>225</v>
      </c>
    </row>
    <row r="478" spans="1:11" ht="15" customHeight="1">
      <c r="A478" s="13">
        <v>46054</v>
      </c>
      <c r="B478" s="14" t="s">
        <v>357</v>
      </c>
      <c r="C478" s="19" t="s">
        <v>18</v>
      </c>
      <c r="D478" s="14" t="s">
        <v>83</v>
      </c>
      <c r="E478" s="14" t="str">
        <f>_xlfn.XLOOKUP($D478,'Chart of Accounts'!$A:$A,'Chart of Accounts'!B:B,"")</f>
        <v>Contract Revenue</v>
      </c>
      <c r="F478" s="14" t="str">
        <f>_xlfn.XLOOKUP($D478,'Chart of Accounts'!$A:$A,'Chart of Accounts'!C:C,"")</f>
        <v>Revenue</v>
      </c>
      <c r="G478" s="14" t="s">
        <v>352</v>
      </c>
      <c r="H478" s="16"/>
      <c r="I478" s="16">
        <v>30155.791578947399</v>
      </c>
      <c r="J478" s="16">
        <v>-30155.791578947399</v>
      </c>
      <c r="K478" s="14" t="s">
        <v>225</v>
      </c>
    </row>
    <row r="479" spans="1:11" ht="15" customHeight="1">
      <c r="A479" s="13">
        <v>46054</v>
      </c>
      <c r="B479" s="14" t="s">
        <v>357</v>
      </c>
      <c r="C479" s="19" t="s">
        <v>20</v>
      </c>
      <c r="D479" s="14" t="s">
        <v>83</v>
      </c>
      <c r="E479" s="14" t="str">
        <f>_xlfn.XLOOKUP($D479,'Chart of Accounts'!$A:$A,'Chart of Accounts'!B:B,"")</f>
        <v>Contract Revenue</v>
      </c>
      <c r="F479" s="14" t="str">
        <f>_xlfn.XLOOKUP($D479,'Chart of Accounts'!$A:$A,'Chart of Accounts'!C:C,"")</f>
        <v>Revenue</v>
      </c>
      <c r="G479" s="14" t="s">
        <v>352</v>
      </c>
      <c r="H479" s="16"/>
      <c r="I479" s="16">
        <v>30155.791578947399</v>
      </c>
      <c r="J479" s="16">
        <v>-30155.791578947399</v>
      </c>
      <c r="K479" s="14" t="s">
        <v>225</v>
      </c>
    </row>
    <row r="480" spans="1:11" ht="15" customHeight="1">
      <c r="A480" s="13">
        <v>46054</v>
      </c>
      <c r="B480" s="14" t="s">
        <v>357</v>
      </c>
      <c r="C480" s="19" t="s">
        <v>12</v>
      </c>
      <c r="D480" s="14" t="s">
        <v>86</v>
      </c>
      <c r="E480" s="14" t="str">
        <f>_xlfn.XLOOKUP($D480,'Chart of Accounts'!$A:$A,'Chart of Accounts'!B:B,"")</f>
        <v>Grant Revenue - Federal</v>
      </c>
      <c r="F480" s="14" t="str">
        <f>_xlfn.XLOOKUP($D480,'Chart of Accounts'!$A:$A,'Chart of Accounts'!C:C,"")</f>
        <v>Revenue</v>
      </c>
      <c r="G480" s="14" t="s">
        <v>352</v>
      </c>
      <c r="H480" s="16"/>
      <c r="I480" s="16">
        <v>14213.951578947401</v>
      </c>
      <c r="J480" s="16">
        <v>-14213.951578947401</v>
      </c>
      <c r="K480" s="14" t="s">
        <v>225</v>
      </c>
    </row>
    <row r="481" spans="1:11" ht="15" customHeight="1">
      <c r="A481" s="13">
        <v>46054</v>
      </c>
      <c r="B481" s="14" t="s">
        <v>357</v>
      </c>
      <c r="C481" s="19" t="s">
        <v>14</v>
      </c>
      <c r="D481" s="14" t="s">
        <v>86</v>
      </c>
      <c r="E481" s="14" t="str">
        <f>_xlfn.XLOOKUP($D481,'Chart of Accounts'!$A:$A,'Chart of Accounts'!B:B,"")</f>
        <v>Grant Revenue - Federal</v>
      </c>
      <c r="F481" s="14" t="str">
        <f>_xlfn.XLOOKUP($D481,'Chart of Accounts'!$A:$A,'Chart of Accounts'!C:C,"")</f>
        <v>Revenue</v>
      </c>
      <c r="G481" s="14" t="s">
        <v>352</v>
      </c>
      <c r="H481" s="16"/>
      <c r="I481" s="16">
        <v>14213.951578947401</v>
      </c>
      <c r="J481" s="16">
        <v>-14213.951578947401</v>
      </c>
      <c r="K481" s="14" t="s">
        <v>225</v>
      </c>
    </row>
    <row r="482" spans="1:11" ht="15" customHeight="1">
      <c r="A482" s="13">
        <v>46054</v>
      </c>
      <c r="B482" s="14" t="s">
        <v>357</v>
      </c>
      <c r="C482" s="19" t="s">
        <v>16</v>
      </c>
      <c r="D482" s="14" t="s">
        <v>86</v>
      </c>
      <c r="E482" s="14" t="str">
        <f>_xlfn.XLOOKUP($D482,'Chart of Accounts'!$A:$A,'Chart of Accounts'!B:B,"")</f>
        <v>Grant Revenue - Federal</v>
      </c>
      <c r="F482" s="14" t="str">
        <f>_xlfn.XLOOKUP($D482,'Chart of Accounts'!$A:$A,'Chart of Accounts'!C:C,"")</f>
        <v>Revenue</v>
      </c>
      <c r="G482" s="14" t="s">
        <v>352</v>
      </c>
      <c r="H482" s="16"/>
      <c r="I482" s="16">
        <v>10660.463684210499</v>
      </c>
      <c r="J482" s="16">
        <v>-10660.463684210499</v>
      </c>
      <c r="K482" s="14" t="s">
        <v>225</v>
      </c>
    </row>
    <row r="483" spans="1:11" ht="15" customHeight="1">
      <c r="A483" s="13">
        <v>46054</v>
      </c>
      <c r="B483" s="14" t="s">
        <v>357</v>
      </c>
      <c r="C483" s="19" t="s">
        <v>18</v>
      </c>
      <c r="D483" s="14" t="s">
        <v>86</v>
      </c>
      <c r="E483" s="14" t="str">
        <f>_xlfn.XLOOKUP($D483,'Chart of Accounts'!$A:$A,'Chart of Accounts'!B:B,"")</f>
        <v>Grant Revenue - Federal</v>
      </c>
      <c r="F483" s="14" t="str">
        <f>_xlfn.XLOOKUP($D483,'Chart of Accounts'!$A:$A,'Chart of Accounts'!C:C,"")</f>
        <v>Revenue</v>
      </c>
      <c r="G483" s="14" t="s">
        <v>352</v>
      </c>
      <c r="H483" s="16"/>
      <c r="I483" s="16">
        <v>14213.951578947401</v>
      </c>
      <c r="J483" s="16">
        <v>-14213.951578947401</v>
      </c>
      <c r="K483" s="14" t="s">
        <v>225</v>
      </c>
    </row>
    <row r="484" spans="1:11" ht="15" customHeight="1">
      <c r="A484" s="13">
        <v>46054</v>
      </c>
      <c r="B484" s="14" t="s">
        <v>357</v>
      </c>
      <c r="C484" s="19" t="s">
        <v>20</v>
      </c>
      <c r="D484" s="14" t="s">
        <v>86</v>
      </c>
      <c r="E484" s="14" t="str">
        <f>_xlfn.XLOOKUP($D484,'Chart of Accounts'!$A:$A,'Chart of Accounts'!B:B,"")</f>
        <v>Grant Revenue - Federal</v>
      </c>
      <c r="F484" s="14" t="str">
        <f>_xlfn.XLOOKUP($D484,'Chart of Accounts'!$A:$A,'Chart of Accounts'!C:C,"")</f>
        <v>Revenue</v>
      </c>
      <c r="G484" s="14" t="s">
        <v>352</v>
      </c>
      <c r="H484" s="16"/>
      <c r="I484" s="16">
        <v>14213.951578947401</v>
      </c>
      <c r="J484" s="16">
        <v>-14213.951578947401</v>
      </c>
      <c r="K484" s="14" t="s">
        <v>225</v>
      </c>
    </row>
    <row r="485" spans="1:11" ht="15" customHeight="1">
      <c r="A485" s="13">
        <v>46054</v>
      </c>
      <c r="B485" s="14" t="s">
        <v>357</v>
      </c>
      <c r="C485" s="19" t="s">
        <v>12</v>
      </c>
      <c r="D485" s="14" t="s">
        <v>90</v>
      </c>
      <c r="E485" s="14" t="str">
        <f>_xlfn.XLOOKUP($D485,'Chart of Accounts'!$A:$A,'Chart of Accounts'!B:B,"")</f>
        <v>Fee for Service Revenue</v>
      </c>
      <c r="F485" s="14" t="str">
        <f>_xlfn.XLOOKUP($D485,'Chart of Accounts'!$A:$A,'Chart of Accounts'!C:C,"")</f>
        <v>Revenue</v>
      </c>
      <c r="G485" s="14" t="s">
        <v>352</v>
      </c>
      <c r="H485" s="16"/>
      <c r="I485" s="16">
        <v>12923.9115789474</v>
      </c>
      <c r="J485" s="16">
        <v>-12923.9115789474</v>
      </c>
      <c r="K485" s="14" t="s">
        <v>225</v>
      </c>
    </row>
    <row r="486" spans="1:11" ht="15" customHeight="1">
      <c r="A486" s="13">
        <v>46054</v>
      </c>
      <c r="B486" s="14" t="s">
        <v>357</v>
      </c>
      <c r="C486" s="19" t="s">
        <v>14</v>
      </c>
      <c r="D486" s="14" t="s">
        <v>90</v>
      </c>
      <c r="E486" s="14" t="str">
        <f>_xlfn.XLOOKUP($D486,'Chart of Accounts'!$A:$A,'Chart of Accounts'!B:B,"")</f>
        <v>Fee for Service Revenue</v>
      </c>
      <c r="F486" s="14" t="str">
        <f>_xlfn.XLOOKUP($D486,'Chart of Accounts'!$A:$A,'Chart of Accounts'!C:C,"")</f>
        <v>Revenue</v>
      </c>
      <c r="G486" s="14" t="s">
        <v>352</v>
      </c>
      <c r="H486" s="16"/>
      <c r="I486" s="16">
        <v>12923.9115789474</v>
      </c>
      <c r="J486" s="16">
        <v>-12923.9115789474</v>
      </c>
      <c r="K486" s="14" t="s">
        <v>225</v>
      </c>
    </row>
    <row r="487" spans="1:11" ht="15" customHeight="1">
      <c r="A487" s="13">
        <v>46054</v>
      </c>
      <c r="B487" s="14" t="s">
        <v>357</v>
      </c>
      <c r="C487" s="19" t="s">
        <v>16</v>
      </c>
      <c r="D487" s="14" t="s">
        <v>90</v>
      </c>
      <c r="E487" s="14" t="str">
        <f>_xlfn.XLOOKUP($D487,'Chart of Accounts'!$A:$A,'Chart of Accounts'!B:B,"")</f>
        <v>Fee for Service Revenue</v>
      </c>
      <c r="F487" s="14" t="str">
        <f>_xlfn.XLOOKUP($D487,'Chart of Accounts'!$A:$A,'Chart of Accounts'!C:C,"")</f>
        <v>Revenue</v>
      </c>
      <c r="G487" s="14" t="s">
        <v>352</v>
      </c>
      <c r="H487" s="16"/>
      <c r="I487" s="16">
        <v>9692.9336842105295</v>
      </c>
      <c r="J487" s="16">
        <v>-9692.9336842105295</v>
      </c>
      <c r="K487" s="14" t="s">
        <v>225</v>
      </c>
    </row>
    <row r="488" spans="1:11" ht="15" customHeight="1">
      <c r="A488" s="13">
        <v>46054</v>
      </c>
      <c r="B488" s="14" t="s">
        <v>357</v>
      </c>
      <c r="C488" s="19" t="s">
        <v>18</v>
      </c>
      <c r="D488" s="14" t="s">
        <v>90</v>
      </c>
      <c r="E488" s="14" t="str">
        <f>_xlfn.XLOOKUP($D488,'Chart of Accounts'!$A:$A,'Chart of Accounts'!B:B,"")</f>
        <v>Fee for Service Revenue</v>
      </c>
      <c r="F488" s="14" t="str">
        <f>_xlfn.XLOOKUP($D488,'Chart of Accounts'!$A:$A,'Chart of Accounts'!C:C,"")</f>
        <v>Revenue</v>
      </c>
      <c r="G488" s="14" t="s">
        <v>352</v>
      </c>
      <c r="H488" s="16"/>
      <c r="I488" s="16">
        <v>12923.9115789474</v>
      </c>
      <c r="J488" s="16">
        <v>-12923.9115789474</v>
      </c>
      <c r="K488" s="14" t="s">
        <v>225</v>
      </c>
    </row>
    <row r="489" spans="1:11" ht="15" customHeight="1">
      <c r="A489" s="13">
        <v>46054</v>
      </c>
      <c r="B489" s="14" t="s">
        <v>357</v>
      </c>
      <c r="C489" s="19" t="s">
        <v>20</v>
      </c>
      <c r="D489" s="14" t="s">
        <v>90</v>
      </c>
      <c r="E489" s="14" t="str">
        <f>_xlfn.XLOOKUP($D489,'Chart of Accounts'!$A:$A,'Chart of Accounts'!B:B,"")</f>
        <v>Fee for Service Revenue</v>
      </c>
      <c r="F489" s="14" t="str">
        <f>_xlfn.XLOOKUP($D489,'Chart of Accounts'!$A:$A,'Chart of Accounts'!C:C,"")</f>
        <v>Revenue</v>
      </c>
      <c r="G489" s="14" t="s">
        <v>352</v>
      </c>
      <c r="H489" s="16"/>
      <c r="I489" s="16">
        <v>12923.9115789474</v>
      </c>
      <c r="J489" s="16">
        <v>-12923.9115789474</v>
      </c>
      <c r="K489" s="14" t="s">
        <v>225</v>
      </c>
    </row>
    <row r="490" spans="1:11" ht="15" customHeight="1">
      <c r="A490" s="13">
        <v>46023</v>
      </c>
      <c r="B490" s="14" t="s">
        <v>358</v>
      </c>
      <c r="C490" s="19" t="s">
        <v>12</v>
      </c>
      <c r="D490" s="14" t="s">
        <v>83</v>
      </c>
      <c r="E490" s="14" t="str">
        <f>_xlfn.XLOOKUP($D490,'Chart of Accounts'!$A:$A,'Chart of Accounts'!B:B,"")</f>
        <v>Contract Revenue</v>
      </c>
      <c r="F490" s="14" t="str">
        <f>_xlfn.XLOOKUP($D490,'Chart of Accounts'!$A:$A,'Chart of Accounts'!C:C,"")</f>
        <v>Revenue</v>
      </c>
      <c r="G490" s="14" t="s">
        <v>352</v>
      </c>
      <c r="H490" s="16"/>
      <c r="I490" s="16">
        <v>23218.506666666701</v>
      </c>
      <c r="J490" s="16">
        <v>-23218.506666666701</v>
      </c>
      <c r="K490" s="14" t="s">
        <v>225</v>
      </c>
    </row>
    <row r="491" spans="1:11" ht="15" customHeight="1">
      <c r="A491" s="13">
        <v>46023</v>
      </c>
      <c r="B491" s="14" t="s">
        <v>358</v>
      </c>
      <c r="C491" s="19" t="s">
        <v>14</v>
      </c>
      <c r="D491" s="14" t="s">
        <v>83</v>
      </c>
      <c r="E491" s="14" t="str">
        <f>_xlfn.XLOOKUP($D491,'Chart of Accounts'!$A:$A,'Chart of Accounts'!B:B,"")</f>
        <v>Contract Revenue</v>
      </c>
      <c r="F491" s="14" t="str">
        <f>_xlfn.XLOOKUP($D491,'Chart of Accounts'!$A:$A,'Chart of Accounts'!C:C,"")</f>
        <v>Revenue</v>
      </c>
      <c r="G491" s="14" t="s">
        <v>352</v>
      </c>
      <c r="H491" s="16"/>
      <c r="I491" s="16">
        <v>23218.506666666701</v>
      </c>
      <c r="J491" s="16">
        <v>-23218.506666666701</v>
      </c>
      <c r="K491" s="14" t="s">
        <v>225</v>
      </c>
    </row>
    <row r="492" spans="1:11" ht="15" customHeight="1">
      <c r="A492" s="13">
        <v>46023</v>
      </c>
      <c r="B492" s="14" t="s">
        <v>358</v>
      </c>
      <c r="C492" s="19" t="s">
        <v>16</v>
      </c>
      <c r="D492" s="14" t="s">
        <v>83</v>
      </c>
      <c r="E492" s="14" t="str">
        <f>_xlfn.XLOOKUP($D492,'Chart of Accounts'!$A:$A,'Chart of Accounts'!B:B,"")</f>
        <v>Contract Revenue</v>
      </c>
      <c r="F492" s="14" t="str">
        <f>_xlfn.XLOOKUP($D492,'Chart of Accounts'!$A:$A,'Chart of Accounts'!C:C,"")</f>
        <v>Revenue</v>
      </c>
      <c r="G492" s="14" t="s">
        <v>352</v>
      </c>
      <c r="H492" s="16"/>
      <c r="I492" s="16">
        <v>17413.88</v>
      </c>
      <c r="J492" s="16">
        <v>-17413.88</v>
      </c>
      <c r="K492" s="14" t="s">
        <v>225</v>
      </c>
    </row>
    <row r="493" spans="1:11" ht="15" customHeight="1">
      <c r="A493" s="13">
        <v>46023</v>
      </c>
      <c r="B493" s="14" t="s">
        <v>358</v>
      </c>
      <c r="C493" s="19" t="s">
        <v>18</v>
      </c>
      <c r="D493" s="14" t="s">
        <v>83</v>
      </c>
      <c r="E493" s="14" t="str">
        <f>_xlfn.XLOOKUP($D493,'Chart of Accounts'!$A:$A,'Chart of Accounts'!B:B,"")</f>
        <v>Contract Revenue</v>
      </c>
      <c r="F493" s="14" t="str">
        <f>_xlfn.XLOOKUP($D493,'Chart of Accounts'!$A:$A,'Chart of Accounts'!C:C,"")</f>
        <v>Revenue</v>
      </c>
      <c r="G493" s="14" t="s">
        <v>352</v>
      </c>
      <c r="H493" s="16"/>
      <c r="I493" s="16">
        <v>17413.88</v>
      </c>
      <c r="J493" s="16">
        <v>-17413.88</v>
      </c>
      <c r="K493" s="14" t="s">
        <v>225</v>
      </c>
    </row>
    <row r="494" spans="1:11" ht="15" customHeight="1">
      <c r="A494" s="13">
        <v>46023</v>
      </c>
      <c r="B494" s="14" t="s">
        <v>358</v>
      </c>
      <c r="C494" s="19" t="s">
        <v>20</v>
      </c>
      <c r="D494" s="14" t="s">
        <v>83</v>
      </c>
      <c r="E494" s="14" t="str">
        <f>_xlfn.XLOOKUP($D494,'Chart of Accounts'!$A:$A,'Chart of Accounts'!B:B,"")</f>
        <v>Contract Revenue</v>
      </c>
      <c r="F494" s="14" t="str">
        <f>_xlfn.XLOOKUP($D494,'Chart of Accounts'!$A:$A,'Chart of Accounts'!C:C,"")</f>
        <v>Revenue</v>
      </c>
      <c r="G494" s="14" t="s">
        <v>352</v>
      </c>
      <c r="H494" s="16"/>
      <c r="I494" s="16">
        <v>23218.506666666701</v>
      </c>
      <c r="J494" s="16">
        <v>-23218.506666666701</v>
      </c>
      <c r="K494" s="14" t="s">
        <v>225</v>
      </c>
    </row>
    <row r="495" spans="1:11" ht="15" customHeight="1">
      <c r="A495" s="13">
        <v>46023</v>
      </c>
      <c r="B495" s="14" t="s">
        <v>358</v>
      </c>
      <c r="C495" s="19" t="s">
        <v>12</v>
      </c>
      <c r="D495" s="14" t="s">
        <v>88</v>
      </c>
      <c r="E495" s="14" t="str">
        <f>_xlfn.XLOOKUP($D495,'Chart of Accounts'!$A:$A,'Chart of Accounts'!B:B,"")</f>
        <v>Grant Revenue - Foundation</v>
      </c>
      <c r="F495" s="14" t="str">
        <f>_xlfn.XLOOKUP($D495,'Chart of Accounts'!$A:$A,'Chart of Accounts'!C:C,"")</f>
        <v>Revenue</v>
      </c>
      <c r="G495" s="14" t="s">
        <v>352</v>
      </c>
      <c r="H495" s="16"/>
      <c r="I495" s="16">
        <v>19994.004444444399</v>
      </c>
      <c r="J495" s="16">
        <v>-19994.004444444399</v>
      </c>
      <c r="K495" s="14" t="s">
        <v>225</v>
      </c>
    </row>
    <row r="496" spans="1:11" ht="15" customHeight="1">
      <c r="A496" s="13">
        <v>46023</v>
      </c>
      <c r="B496" s="14" t="s">
        <v>358</v>
      </c>
      <c r="C496" s="19" t="s">
        <v>14</v>
      </c>
      <c r="D496" s="14" t="s">
        <v>88</v>
      </c>
      <c r="E496" s="14" t="str">
        <f>_xlfn.XLOOKUP($D496,'Chart of Accounts'!$A:$A,'Chart of Accounts'!B:B,"")</f>
        <v>Grant Revenue - Foundation</v>
      </c>
      <c r="F496" s="14" t="str">
        <f>_xlfn.XLOOKUP($D496,'Chart of Accounts'!$A:$A,'Chart of Accounts'!C:C,"")</f>
        <v>Revenue</v>
      </c>
      <c r="G496" s="14" t="s">
        <v>352</v>
      </c>
      <c r="H496" s="16"/>
      <c r="I496" s="16">
        <v>19994.004444444399</v>
      </c>
      <c r="J496" s="16">
        <v>-19994.004444444399</v>
      </c>
      <c r="K496" s="14" t="s">
        <v>225</v>
      </c>
    </row>
    <row r="497" spans="1:11" ht="15" customHeight="1">
      <c r="A497" s="13">
        <v>46023</v>
      </c>
      <c r="B497" s="14" t="s">
        <v>358</v>
      </c>
      <c r="C497" s="19" t="s">
        <v>16</v>
      </c>
      <c r="D497" s="14" t="s">
        <v>88</v>
      </c>
      <c r="E497" s="14" t="str">
        <f>_xlfn.XLOOKUP($D497,'Chart of Accounts'!$A:$A,'Chart of Accounts'!B:B,"")</f>
        <v>Grant Revenue - Foundation</v>
      </c>
      <c r="F497" s="14" t="str">
        <f>_xlfn.XLOOKUP($D497,'Chart of Accounts'!$A:$A,'Chart of Accounts'!C:C,"")</f>
        <v>Revenue</v>
      </c>
      <c r="G497" s="14" t="s">
        <v>352</v>
      </c>
      <c r="H497" s="16"/>
      <c r="I497" s="16">
        <v>14995.503333333299</v>
      </c>
      <c r="J497" s="16">
        <v>-14995.503333333299</v>
      </c>
      <c r="K497" s="14" t="s">
        <v>225</v>
      </c>
    </row>
    <row r="498" spans="1:11" ht="15" customHeight="1">
      <c r="A498" s="13">
        <v>46023</v>
      </c>
      <c r="B498" s="14" t="s">
        <v>358</v>
      </c>
      <c r="C498" s="19" t="s">
        <v>18</v>
      </c>
      <c r="D498" s="14" t="s">
        <v>88</v>
      </c>
      <c r="E498" s="14" t="str">
        <f>_xlfn.XLOOKUP($D498,'Chart of Accounts'!$A:$A,'Chart of Accounts'!B:B,"")</f>
        <v>Grant Revenue - Foundation</v>
      </c>
      <c r="F498" s="14" t="str">
        <f>_xlfn.XLOOKUP($D498,'Chart of Accounts'!$A:$A,'Chart of Accounts'!C:C,"")</f>
        <v>Revenue</v>
      </c>
      <c r="G498" s="14" t="s">
        <v>352</v>
      </c>
      <c r="H498" s="16"/>
      <c r="I498" s="16">
        <v>14995.503333333299</v>
      </c>
      <c r="J498" s="16">
        <v>-14995.503333333299</v>
      </c>
      <c r="K498" s="14" t="s">
        <v>225</v>
      </c>
    </row>
    <row r="499" spans="1:11" ht="15" customHeight="1">
      <c r="A499" s="13">
        <v>46023</v>
      </c>
      <c r="B499" s="14" t="s">
        <v>358</v>
      </c>
      <c r="C499" s="19" t="s">
        <v>20</v>
      </c>
      <c r="D499" s="14" t="s">
        <v>88</v>
      </c>
      <c r="E499" s="14" t="str">
        <f>_xlfn.XLOOKUP($D499,'Chart of Accounts'!$A:$A,'Chart of Accounts'!B:B,"")</f>
        <v>Grant Revenue - Foundation</v>
      </c>
      <c r="F499" s="14" t="str">
        <f>_xlfn.XLOOKUP($D499,'Chart of Accounts'!$A:$A,'Chart of Accounts'!C:C,"")</f>
        <v>Revenue</v>
      </c>
      <c r="G499" s="14" t="s">
        <v>352</v>
      </c>
      <c r="H499" s="16"/>
      <c r="I499" s="16">
        <v>19994.004444444399</v>
      </c>
      <c r="J499" s="16">
        <v>-19994.004444444399</v>
      </c>
      <c r="K499" s="14" t="s">
        <v>225</v>
      </c>
    </row>
    <row r="500" spans="1:11" ht="15" customHeight="1">
      <c r="A500" s="13">
        <v>46023</v>
      </c>
      <c r="B500" s="14" t="s">
        <v>358</v>
      </c>
      <c r="C500" s="19" t="s">
        <v>12</v>
      </c>
      <c r="D500" s="14" t="s">
        <v>90</v>
      </c>
      <c r="E500" s="14" t="str">
        <f>_xlfn.XLOOKUP($D500,'Chart of Accounts'!$A:$A,'Chart of Accounts'!B:B,"")</f>
        <v>Fee for Service Revenue</v>
      </c>
      <c r="F500" s="14" t="str">
        <f>_xlfn.XLOOKUP($D500,'Chart of Accounts'!$A:$A,'Chart of Accounts'!C:C,"")</f>
        <v>Revenue</v>
      </c>
      <c r="G500" s="14" t="s">
        <v>352</v>
      </c>
      <c r="H500" s="16"/>
      <c r="I500" s="16">
        <v>9950.7888888888901</v>
      </c>
      <c r="J500" s="16">
        <v>-9950.7888888888901</v>
      </c>
      <c r="K500" s="14" t="s">
        <v>225</v>
      </c>
    </row>
    <row r="501" spans="1:11" ht="15" customHeight="1">
      <c r="A501" s="13">
        <v>46023</v>
      </c>
      <c r="B501" s="14" t="s">
        <v>358</v>
      </c>
      <c r="C501" s="19" t="s">
        <v>14</v>
      </c>
      <c r="D501" s="14" t="s">
        <v>90</v>
      </c>
      <c r="E501" s="14" t="str">
        <f>_xlfn.XLOOKUP($D501,'Chart of Accounts'!$A:$A,'Chart of Accounts'!B:B,"")</f>
        <v>Fee for Service Revenue</v>
      </c>
      <c r="F501" s="14" t="str">
        <f>_xlfn.XLOOKUP($D501,'Chart of Accounts'!$A:$A,'Chart of Accounts'!C:C,"")</f>
        <v>Revenue</v>
      </c>
      <c r="G501" s="14" t="s">
        <v>352</v>
      </c>
      <c r="H501" s="16"/>
      <c r="I501" s="16">
        <v>9950.7888888888901</v>
      </c>
      <c r="J501" s="16">
        <v>-9950.7888888888901</v>
      </c>
      <c r="K501" s="14" t="s">
        <v>225</v>
      </c>
    </row>
    <row r="502" spans="1:11" ht="15" customHeight="1">
      <c r="A502" s="13">
        <v>46023</v>
      </c>
      <c r="B502" s="14" t="s">
        <v>358</v>
      </c>
      <c r="C502" s="19" t="s">
        <v>16</v>
      </c>
      <c r="D502" s="14" t="s">
        <v>90</v>
      </c>
      <c r="E502" s="14" t="str">
        <f>_xlfn.XLOOKUP($D502,'Chart of Accounts'!$A:$A,'Chart of Accounts'!B:B,"")</f>
        <v>Fee for Service Revenue</v>
      </c>
      <c r="F502" s="14" t="str">
        <f>_xlfn.XLOOKUP($D502,'Chart of Accounts'!$A:$A,'Chart of Accounts'!C:C,"")</f>
        <v>Revenue</v>
      </c>
      <c r="G502" s="14" t="s">
        <v>352</v>
      </c>
      <c r="H502" s="16"/>
      <c r="I502" s="16">
        <v>7463.0916666666699</v>
      </c>
      <c r="J502" s="16">
        <v>-7463.0916666666699</v>
      </c>
      <c r="K502" s="14" t="s">
        <v>225</v>
      </c>
    </row>
    <row r="503" spans="1:11" ht="15" customHeight="1">
      <c r="A503" s="13">
        <v>46023</v>
      </c>
      <c r="B503" s="14" t="s">
        <v>358</v>
      </c>
      <c r="C503" s="19" t="s">
        <v>18</v>
      </c>
      <c r="D503" s="14" t="s">
        <v>90</v>
      </c>
      <c r="E503" s="14" t="str">
        <f>_xlfn.XLOOKUP($D503,'Chart of Accounts'!$A:$A,'Chart of Accounts'!B:B,"")</f>
        <v>Fee for Service Revenue</v>
      </c>
      <c r="F503" s="14" t="str">
        <f>_xlfn.XLOOKUP($D503,'Chart of Accounts'!$A:$A,'Chart of Accounts'!C:C,"")</f>
        <v>Revenue</v>
      </c>
      <c r="G503" s="14" t="s">
        <v>352</v>
      </c>
      <c r="H503" s="16"/>
      <c r="I503" s="16">
        <v>7463.0916666666699</v>
      </c>
      <c r="J503" s="16">
        <v>-7463.0916666666699</v>
      </c>
      <c r="K503" s="14" t="s">
        <v>225</v>
      </c>
    </row>
    <row r="504" spans="1:11" ht="15" customHeight="1">
      <c r="A504" s="13">
        <v>46023</v>
      </c>
      <c r="B504" s="14" t="s">
        <v>358</v>
      </c>
      <c r="C504" s="19" t="s">
        <v>20</v>
      </c>
      <c r="D504" s="14" t="s">
        <v>90</v>
      </c>
      <c r="E504" s="14" t="str">
        <f>_xlfn.XLOOKUP($D504,'Chart of Accounts'!$A:$A,'Chart of Accounts'!B:B,"")</f>
        <v>Fee for Service Revenue</v>
      </c>
      <c r="F504" s="14" t="str">
        <f>_xlfn.XLOOKUP($D504,'Chart of Accounts'!$A:$A,'Chart of Accounts'!C:C,"")</f>
        <v>Revenue</v>
      </c>
      <c r="G504" s="14" t="s">
        <v>352</v>
      </c>
      <c r="H504" s="16"/>
      <c r="I504" s="16">
        <v>9950.7888888888901</v>
      </c>
      <c r="J504" s="16">
        <v>-9950.7888888888901</v>
      </c>
      <c r="K504" s="14" t="s">
        <v>225</v>
      </c>
    </row>
    <row r="505" spans="1:11" ht="15" customHeight="1">
      <c r="A505" s="13">
        <v>45992</v>
      </c>
      <c r="B505" s="14" t="s">
        <v>351</v>
      </c>
      <c r="C505" s="19" t="s">
        <v>12</v>
      </c>
      <c r="D505" s="14" t="s">
        <v>83</v>
      </c>
      <c r="E505" s="14" t="str">
        <f>_xlfn.XLOOKUP($D505,'Chart of Accounts'!$A:$A,'Chart of Accounts'!B:B,"")</f>
        <v>Contract Revenue</v>
      </c>
      <c r="F505" s="14" t="str">
        <f>_xlfn.XLOOKUP($D505,'Chart of Accounts'!$A:$A,'Chart of Accounts'!C:C,"")</f>
        <v>Revenue</v>
      </c>
      <c r="G505" s="14" t="s">
        <v>352</v>
      </c>
      <c r="H505" s="16"/>
      <c r="I505" s="16">
        <v>29631.4147368421</v>
      </c>
      <c r="J505" s="16">
        <v>-29631.4147368421</v>
      </c>
      <c r="K505" s="14" t="s">
        <v>225</v>
      </c>
    </row>
    <row r="506" spans="1:11" ht="15" customHeight="1">
      <c r="A506" s="13">
        <v>45992</v>
      </c>
      <c r="B506" s="14" t="s">
        <v>351</v>
      </c>
      <c r="C506" s="19" t="s">
        <v>14</v>
      </c>
      <c r="D506" s="14" t="s">
        <v>83</v>
      </c>
      <c r="E506" s="14" t="str">
        <f>_xlfn.XLOOKUP($D506,'Chart of Accounts'!$A:$A,'Chart of Accounts'!B:B,"")</f>
        <v>Contract Revenue</v>
      </c>
      <c r="F506" s="14" t="str">
        <f>_xlfn.XLOOKUP($D506,'Chart of Accounts'!$A:$A,'Chart of Accounts'!C:C,"")</f>
        <v>Revenue</v>
      </c>
      <c r="G506" s="14" t="s">
        <v>352</v>
      </c>
      <c r="H506" s="16"/>
      <c r="I506" s="16">
        <v>29631.4147368421</v>
      </c>
      <c r="J506" s="16">
        <v>-29631.4147368421</v>
      </c>
      <c r="K506" s="14" t="s">
        <v>225</v>
      </c>
    </row>
    <row r="507" spans="1:11" ht="15" customHeight="1">
      <c r="A507" s="13">
        <v>45992</v>
      </c>
      <c r="B507" s="14" t="s">
        <v>351</v>
      </c>
      <c r="C507" s="19" t="s">
        <v>16</v>
      </c>
      <c r="D507" s="14" t="s">
        <v>83</v>
      </c>
      <c r="E507" s="14" t="str">
        <f>_xlfn.XLOOKUP($D507,'Chart of Accounts'!$A:$A,'Chart of Accounts'!B:B,"")</f>
        <v>Contract Revenue</v>
      </c>
      <c r="F507" s="14" t="str">
        <f>_xlfn.XLOOKUP($D507,'Chart of Accounts'!$A:$A,'Chart of Accounts'!C:C,"")</f>
        <v>Revenue</v>
      </c>
      <c r="G507" s="14" t="s">
        <v>352</v>
      </c>
      <c r="H507" s="16"/>
      <c r="I507" s="16">
        <v>22223.561052631601</v>
      </c>
      <c r="J507" s="16">
        <v>-22223.561052631601</v>
      </c>
      <c r="K507" s="14" t="s">
        <v>225</v>
      </c>
    </row>
    <row r="508" spans="1:11" ht="15" customHeight="1">
      <c r="A508" s="13">
        <v>45992</v>
      </c>
      <c r="B508" s="14" t="s">
        <v>351</v>
      </c>
      <c r="C508" s="19" t="s">
        <v>18</v>
      </c>
      <c r="D508" s="14" t="s">
        <v>83</v>
      </c>
      <c r="E508" s="14" t="str">
        <f>_xlfn.XLOOKUP($D508,'Chart of Accounts'!$A:$A,'Chart of Accounts'!B:B,"")</f>
        <v>Contract Revenue</v>
      </c>
      <c r="F508" s="14" t="str">
        <f>_xlfn.XLOOKUP($D508,'Chart of Accounts'!$A:$A,'Chart of Accounts'!C:C,"")</f>
        <v>Revenue</v>
      </c>
      <c r="G508" s="14" t="s">
        <v>352</v>
      </c>
      <c r="H508" s="16"/>
      <c r="I508" s="16">
        <v>29631.4147368421</v>
      </c>
      <c r="J508" s="16">
        <v>-29631.4147368421</v>
      </c>
      <c r="K508" s="14" t="s">
        <v>225</v>
      </c>
    </row>
    <row r="509" spans="1:11" ht="15" customHeight="1">
      <c r="A509" s="13">
        <v>45992</v>
      </c>
      <c r="B509" s="14" t="s">
        <v>351</v>
      </c>
      <c r="C509" s="19" t="s">
        <v>20</v>
      </c>
      <c r="D509" s="14" t="s">
        <v>83</v>
      </c>
      <c r="E509" s="14" t="str">
        <f>_xlfn.XLOOKUP($D509,'Chart of Accounts'!$A:$A,'Chart of Accounts'!B:B,"")</f>
        <v>Contract Revenue</v>
      </c>
      <c r="F509" s="14" t="str">
        <f>_xlfn.XLOOKUP($D509,'Chart of Accounts'!$A:$A,'Chart of Accounts'!C:C,"")</f>
        <v>Revenue</v>
      </c>
      <c r="G509" s="14" t="s">
        <v>352</v>
      </c>
      <c r="H509" s="16"/>
      <c r="I509" s="16">
        <v>29631.4147368421</v>
      </c>
      <c r="J509" s="16">
        <v>-29631.4147368421</v>
      </c>
      <c r="K509" s="14" t="s">
        <v>225</v>
      </c>
    </row>
    <row r="510" spans="1:11" ht="15" customHeight="1">
      <c r="A510" s="13">
        <v>45962</v>
      </c>
      <c r="B510" s="14" t="s">
        <v>359</v>
      </c>
      <c r="C510" s="19" t="s">
        <v>12</v>
      </c>
      <c r="D510" s="14" t="s">
        <v>83</v>
      </c>
      <c r="E510" s="14" t="str">
        <f>_xlfn.XLOOKUP($D510,'Chart of Accounts'!$A:$A,'Chart of Accounts'!B:B,"")</f>
        <v>Contract Revenue</v>
      </c>
      <c r="F510" s="14" t="str">
        <f>_xlfn.XLOOKUP($D510,'Chart of Accounts'!$A:$A,'Chart of Accounts'!C:C,"")</f>
        <v>Revenue</v>
      </c>
      <c r="G510" s="14" t="s">
        <v>352</v>
      </c>
      <c r="H510" s="16"/>
      <c r="I510" s="16">
        <v>27082.044210526299</v>
      </c>
      <c r="J510" s="16">
        <v>-27082.044210526299</v>
      </c>
      <c r="K510" s="14" t="s">
        <v>225</v>
      </c>
    </row>
    <row r="511" spans="1:11" ht="15" customHeight="1">
      <c r="A511" s="13">
        <v>45962</v>
      </c>
      <c r="B511" s="14" t="s">
        <v>359</v>
      </c>
      <c r="C511" s="19" t="s">
        <v>14</v>
      </c>
      <c r="D511" s="14" t="s">
        <v>83</v>
      </c>
      <c r="E511" s="14" t="str">
        <f>_xlfn.XLOOKUP($D511,'Chart of Accounts'!$A:$A,'Chart of Accounts'!B:B,"")</f>
        <v>Contract Revenue</v>
      </c>
      <c r="F511" s="14" t="str">
        <f>_xlfn.XLOOKUP($D511,'Chart of Accounts'!$A:$A,'Chart of Accounts'!C:C,"")</f>
        <v>Revenue</v>
      </c>
      <c r="G511" s="14" t="s">
        <v>352</v>
      </c>
      <c r="H511" s="16"/>
      <c r="I511" s="16">
        <v>27082.044210526299</v>
      </c>
      <c r="J511" s="16">
        <v>-27082.044210526299</v>
      </c>
      <c r="K511" s="14" t="s">
        <v>225</v>
      </c>
    </row>
    <row r="512" spans="1:11" ht="15" customHeight="1">
      <c r="A512" s="13">
        <v>45962</v>
      </c>
      <c r="B512" s="14" t="s">
        <v>359</v>
      </c>
      <c r="C512" s="19" t="s">
        <v>16</v>
      </c>
      <c r="D512" s="14" t="s">
        <v>83</v>
      </c>
      <c r="E512" s="14" t="str">
        <f>_xlfn.XLOOKUP($D512,'Chart of Accounts'!$A:$A,'Chart of Accounts'!B:B,"")</f>
        <v>Contract Revenue</v>
      </c>
      <c r="F512" s="14" t="str">
        <f>_xlfn.XLOOKUP($D512,'Chart of Accounts'!$A:$A,'Chart of Accounts'!C:C,"")</f>
        <v>Revenue</v>
      </c>
      <c r="G512" s="14" t="s">
        <v>352</v>
      </c>
      <c r="H512" s="16"/>
      <c r="I512" s="16">
        <v>20311.533157894701</v>
      </c>
      <c r="J512" s="16">
        <v>-20311.533157894701</v>
      </c>
      <c r="K512" s="14" t="s">
        <v>225</v>
      </c>
    </row>
    <row r="513" spans="1:11" ht="15" customHeight="1">
      <c r="A513" s="13">
        <v>45962</v>
      </c>
      <c r="B513" s="14" t="s">
        <v>359</v>
      </c>
      <c r="C513" s="19" t="s">
        <v>18</v>
      </c>
      <c r="D513" s="14" t="s">
        <v>83</v>
      </c>
      <c r="E513" s="14" t="str">
        <f>_xlfn.XLOOKUP($D513,'Chart of Accounts'!$A:$A,'Chart of Accounts'!B:B,"")</f>
        <v>Contract Revenue</v>
      </c>
      <c r="F513" s="14" t="str">
        <f>_xlfn.XLOOKUP($D513,'Chart of Accounts'!$A:$A,'Chart of Accounts'!C:C,"")</f>
        <v>Revenue</v>
      </c>
      <c r="G513" s="14" t="s">
        <v>352</v>
      </c>
      <c r="H513" s="16"/>
      <c r="I513" s="16">
        <v>27082.044210526299</v>
      </c>
      <c r="J513" s="16">
        <v>-27082.044210526299</v>
      </c>
      <c r="K513" s="14" t="s">
        <v>225</v>
      </c>
    </row>
    <row r="514" spans="1:11" ht="15" customHeight="1">
      <c r="A514" s="13">
        <v>45962</v>
      </c>
      <c r="B514" s="14" t="s">
        <v>359</v>
      </c>
      <c r="C514" s="19" t="s">
        <v>20</v>
      </c>
      <c r="D514" s="14" t="s">
        <v>83</v>
      </c>
      <c r="E514" s="14" t="str">
        <f>_xlfn.XLOOKUP($D514,'Chart of Accounts'!$A:$A,'Chart of Accounts'!B:B,"")</f>
        <v>Contract Revenue</v>
      </c>
      <c r="F514" s="14" t="str">
        <f>_xlfn.XLOOKUP($D514,'Chart of Accounts'!$A:$A,'Chart of Accounts'!C:C,"")</f>
        <v>Revenue</v>
      </c>
      <c r="G514" s="14" t="s">
        <v>352</v>
      </c>
      <c r="H514" s="16"/>
      <c r="I514" s="16">
        <v>27082.044210526299</v>
      </c>
      <c r="J514" s="16">
        <v>-27082.044210526299</v>
      </c>
      <c r="K514" s="14" t="s">
        <v>225</v>
      </c>
    </row>
    <row r="515" spans="1:11" ht="15" customHeight="1">
      <c r="A515" s="13">
        <v>45962</v>
      </c>
      <c r="B515" s="14" t="s">
        <v>359</v>
      </c>
      <c r="C515" s="19" t="s">
        <v>12</v>
      </c>
      <c r="D515" s="14" t="s">
        <v>86</v>
      </c>
      <c r="E515" s="14" t="str">
        <f>_xlfn.XLOOKUP($D515,'Chart of Accounts'!$A:$A,'Chart of Accounts'!B:B,"")</f>
        <v>Grant Revenue - Federal</v>
      </c>
      <c r="F515" s="14" t="str">
        <f>_xlfn.XLOOKUP($D515,'Chart of Accounts'!$A:$A,'Chart of Accounts'!C:C,"")</f>
        <v>Revenue</v>
      </c>
      <c r="G515" s="14" t="s">
        <v>352</v>
      </c>
      <c r="H515" s="16"/>
      <c r="I515" s="16">
        <v>10514.8547368421</v>
      </c>
      <c r="J515" s="16">
        <v>-10514.8547368421</v>
      </c>
      <c r="K515" s="14" t="s">
        <v>225</v>
      </c>
    </row>
    <row r="516" spans="1:11" ht="15" customHeight="1">
      <c r="A516" s="13">
        <v>45962</v>
      </c>
      <c r="B516" s="14" t="s">
        <v>359</v>
      </c>
      <c r="C516" s="19" t="s">
        <v>14</v>
      </c>
      <c r="D516" s="14" t="s">
        <v>86</v>
      </c>
      <c r="E516" s="14" t="str">
        <f>_xlfn.XLOOKUP($D516,'Chart of Accounts'!$A:$A,'Chart of Accounts'!B:B,"")</f>
        <v>Grant Revenue - Federal</v>
      </c>
      <c r="F516" s="14" t="str">
        <f>_xlfn.XLOOKUP($D516,'Chart of Accounts'!$A:$A,'Chart of Accounts'!C:C,"")</f>
        <v>Revenue</v>
      </c>
      <c r="G516" s="14" t="s">
        <v>352</v>
      </c>
      <c r="H516" s="16"/>
      <c r="I516" s="16">
        <v>10514.8547368421</v>
      </c>
      <c r="J516" s="16">
        <v>-10514.8547368421</v>
      </c>
      <c r="K516" s="14" t="s">
        <v>225</v>
      </c>
    </row>
    <row r="517" spans="1:11" ht="15" customHeight="1">
      <c r="A517" s="13">
        <v>45962</v>
      </c>
      <c r="B517" s="14" t="s">
        <v>359</v>
      </c>
      <c r="C517" s="19" t="s">
        <v>16</v>
      </c>
      <c r="D517" s="14" t="s">
        <v>86</v>
      </c>
      <c r="E517" s="14" t="str">
        <f>_xlfn.XLOOKUP($D517,'Chart of Accounts'!$A:$A,'Chart of Accounts'!B:B,"")</f>
        <v>Grant Revenue - Federal</v>
      </c>
      <c r="F517" s="14" t="str">
        <f>_xlfn.XLOOKUP($D517,'Chart of Accounts'!$A:$A,'Chart of Accounts'!C:C,"")</f>
        <v>Revenue</v>
      </c>
      <c r="G517" s="14" t="s">
        <v>352</v>
      </c>
      <c r="H517" s="16"/>
      <c r="I517" s="16">
        <v>7886.1410526315804</v>
      </c>
      <c r="J517" s="16">
        <v>-7886.1410526315804</v>
      </c>
      <c r="K517" s="14" t="s">
        <v>225</v>
      </c>
    </row>
    <row r="518" spans="1:11" ht="15" customHeight="1">
      <c r="A518" s="13">
        <v>45962</v>
      </c>
      <c r="B518" s="14" t="s">
        <v>359</v>
      </c>
      <c r="C518" s="19" t="s">
        <v>18</v>
      </c>
      <c r="D518" s="14" t="s">
        <v>86</v>
      </c>
      <c r="E518" s="14" t="str">
        <f>_xlfn.XLOOKUP($D518,'Chart of Accounts'!$A:$A,'Chart of Accounts'!B:B,"")</f>
        <v>Grant Revenue - Federal</v>
      </c>
      <c r="F518" s="14" t="str">
        <f>_xlfn.XLOOKUP($D518,'Chart of Accounts'!$A:$A,'Chart of Accounts'!C:C,"")</f>
        <v>Revenue</v>
      </c>
      <c r="G518" s="14" t="s">
        <v>352</v>
      </c>
      <c r="H518" s="16"/>
      <c r="I518" s="16">
        <v>10514.8547368421</v>
      </c>
      <c r="J518" s="16">
        <v>-10514.8547368421</v>
      </c>
      <c r="K518" s="14" t="s">
        <v>225</v>
      </c>
    </row>
    <row r="519" spans="1:11" ht="15" customHeight="1">
      <c r="A519" s="13">
        <v>45962</v>
      </c>
      <c r="B519" s="14" t="s">
        <v>359</v>
      </c>
      <c r="C519" s="19" t="s">
        <v>20</v>
      </c>
      <c r="D519" s="14" t="s">
        <v>86</v>
      </c>
      <c r="E519" s="14" t="str">
        <f>_xlfn.XLOOKUP($D519,'Chart of Accounts'!$A:$A,'Chart of Accounts'!B:B,"")</f>
        <v>Grant Revenue - Federal</v>
      </c>
      <c r="F519" s="14" t="str">
        <f>_xlfn.XLOOKUP($D519,'Chart of Accounts'!$A:$A,'Chart of Accounts'!C:C,"")</f>
        <v>Revenue</v>
      </c>
      <c r="G519" s="14" t="s">
        <v>352</v>
      </c>
      <c r="H519" s="16"/>
      <c r="I519" s="16">
        <v>10514.8547368421</v>
      </c>
      <c r="J519" s="16">
        <v>-10514.8547368421</v>
      </c>
      <c r="K519" s="14" t="s">
        <v>225</v>
      </c>
    </row>
    <row r="520" spans="1:11" ht="15" customHeight="1">
      <c r="A520" s="13">
        <v>45962</v>
      </c>
      <c r="B520" s="14" t="s">
        <v>359</v>
      </c>
      <c r="C520" s="19" t="s">
        <v>12</v>
      </c>
      <c r="D520" s="14" t="s">
        <v>90</v>
      </c>
      <c r="E520" s="14" t="str">
        <f>_xlfn.XLOOKUP($D520,'Chart of Accounts'!$A:$A,'Chart of Accounts'!B:B,"")</f>
        <v>Fee for Service Revenue</v>
      </c>
      <c r="F520" s="14" t="str">
        <f>_xlfn.XLOOKUP($D520,'Chart of Accounts'!$A:$A,'Chart of Accounts'!C:C,"")</f>
        <v>Revenue</v>
      </c>
      <c r="G520" s="14" t="s">
        <v>352</v>
      </c>
      <c r="H520" s="16"/>
      <c r="I520" s="16">
        <v>11606.5894736842</v>
      </c>
      <c r="J520" s="16">
        <v>-11606.5894736842</v>
      </c>
      <c r="K520" s="14" t="s">
        <v>225</v>
      </c>
    </row>
    <row r="521" spans="1:11" ht="15" customHeight="1">
      <c r="A521" s="13">
        <v>45962</v>
      </c>
      <c r="B521" s="14" t="s">
        <v>359</v>
      </c>
      <c r="C521" s="19" t="s">
        <v>14</v>
      </c>
      <c r="D521" s="14" t="s">
        <v>90</v>
      </c>
      <c r="E521" s="14" t="str">
        <f>_xlfn.XLOOKUP($D521,'Chart of Accounts'!$A:$A,'Chart of Accounts'!B:B,"")</f>
        <v>Fee for Service Revenue</v>
      </c>
      <c r="F521" s="14" t="str">
        <f>_xlfn.XLOOKUP($D521,'Chart of Accounts'!$A:$A,'Chart of Accounts'!C:C,"")</f>
        <v>Revenue</v>
      </c>
      <c r="G521" s="14" t="s">
        <v>352</v>
      </c>
      <c r="H521" s="16"/>
      <c r="I521" s="16">
        <v>11606.5894736842</v>
      </c>
      <c r="J521" s="16">
        <v>-11606.5894736842</v>
      </c>
      <c r="K521" s="14" t="s">
        <v>225</v>
      </c>
    </row>
    <row r="522" spans="1:11" ht="15" customHeight="1">
      <c r="A522" s="13">
        <v>45962</v>
      </c>
      <c r="B522" s="14" t="s">
        <v>359</v>
      </c>
      <c r="C522" s="19" t="s">
        <v>16</v>
      </c>
      <c r="D522" s="14" t="s">
        <v>90</v>
      </c>
      <c r="E522" s="14" t="str">
        <f>_xlfn.XLOOKUP($D522,'Chart of Accounts'!$A:$A,'Chart of Accounts'!B:B,"")</f>
        <v>Fee for Service Revenue</v>
      </c>
      <c r="F522" s="14" t="str">
        <f>_xlfn.XLOOKUP($D522,'Chart of Accounts'!$A:$A,'Chart of Accounts'!C:C,"")</f>
        <v>Revenue</v>
      </c>
      <c r="G522" s="14" t="s">
        <v>352</v>
      </c>
      <c r="H522" s="16"/>
      <c r="I522" s="16">
        <v>8704.9421052631606</v>
      </c>
      <c r="J522" s="16">
        <v>-8704.9421052631606</v>
      </c>
      <c r="K522" s="14" t="s">
        <v>225</v>
      </c>
    </row>
    <row r="523" spans="1:11" ht="15" customHeight="1">
      <c r="A523" s="13">
        <v>45962</v>
      </c>
      <c r="B523" s="14" t="s">
        <v>359</v>
      </c>
      <c r="C523" s="19" t="s">
        <v>18</v>
      </c>
      <c r="D523" s="14" t="s">
        <v>90</v>
      </c>
      <c r="E523" s="14" t="str">
        <f>_xlfn.XLOOKUP($D523,'Chart of Accounts'!$A:$A,'Chart of Accounts'!B:B,"")</f>
        <v>Fee for Service Revenue</v>
      </c>
      <c r="F523" s="14" t="str">
        <f>_xlfn.XLOOKUP($D523,'Chart of Accounts'!$A:$A,'Chart of Accounts'!C:C,"")</f>
        <v>Revenue</v>
      </c>
      <c r="G523" s="14" t="s">
        <v>352</v>
      </c>
      <c r="H523" s="16"/>
      <c r="I523" s="16">
        <v>11606.5894736842</v>
      </c>
      <c r="J523" s="16">
        <v>-11606.5894736842</v>
      </c>
      <c r="K523" s="14" t="s">
        <v>225</v>
      </c>
    </row>
    <row r="524" spans="1:11" ht="15" customHeight="1">
      <c r="A524" s="13">
        <v>45962</v>
      </c>
      <c r="B524" s="14" t="s">
        <v>359</v>
      </c>
      <c r="C524" s="19" t="s">
        <v>20</v>
      </c>
      <c r="D524" s="14" t="s">
        <v>90</v>
      </c>
      <c r="E524" s="14" t="str">
        <f>_xlfn.XLOOKUP($D524,'Chart of Accounts'!$A:$A,'Chart of Accounts'!B:B,"")</f>
        <v>Fee for Service Revenue</v>
      </c>
      <c r="F524" s="14" t="str">
        <f>_xlfn.XLOOKUP($D524,'Chart of Accounts'!$A:$A,'Chart of Accounts'!C:C,"")</f>
        <v>Revenue</v>
      </c>
      <c r="G524" s="14" t="s">
        <v>352</v>
      </c>
      <c r="H524" s="16"/>
      <c r="I524" s="16">
        <v>11606.5894736842</v>
      </c>
      <c r="J524" s="16">
        <v>-11606.5894736842</v>
      </c>
      <c r="K524" s="14" t="s">
        <v>225</v>
      </c>
    </row>
    <row r="525" spans="1:11" ht="15" customHeight="1">
      <c r="A525" s="13">
        <v>45931</v>
      </c>
      <c r="B525" s="14" t="s">
        <v>360</v>
      </c>
      <c r="C525" s="19" t="s">
        <v>12</v>
      </c>
      <c r="D525" s="14" t="s">
        <v>83</v>
      </c>
      <c r="E525" s="14" t="str">
        <f>_xlfn.XLOOKUP($D525,'Chart of Accounts'!$A:$A,'Chart of Accounts'!B:B,"")</f>
        <v>Contract Revenue</v>
      </c>
      <c r="F525" s="14" t="str">
        <f>_xlfn.XLOOKUP($D525,'Chart of Accounts'!$A:$A,'Chart of Accounts'!C:C,"")</f>
        <v>Revenue</v>
      </c>
      <c r="G525" s="14" t="s">
        <v>352</v>
      </c>
      <c r="H525" s="16"/>
      <c r="I525" s="16">
        <v>16718.116666666701</v>
      </c>
      <c r="J525" s="16">
        <v>-16718.116666666701</v>
      </c>
      <c r="K525" s="14" t="s">
        <v>225</v>
      </c>
    </row>
    <row r="526" spans="1:11" ht="15" customHeight="1">
      <c r="A526" s="13">
        <v>45931</v>
      </c>
      <c r="B526" s="14" t="s">
        <v>360</v>
      </c>
      <c r="C526" s="19" t="s">
        <v>14</v>
      </c>
      <c r="D526" s="14" t="s">
        <v>83</v>
      </c>
      <c r="E526" s="14" t="str">
        <f>_xlfn.XLOOKUP($D526,'Chart of Accounts'!$A:$A,'Chart of Accounts'!B:B,"")</f>
        <v>Contract Revenue</v>
      </c>
      <c r="F526" s="14" t="str">
        <f>_xlfn.XLOOKUP($D526,'Chart of Accounts'!$A:$A,'Chart of Accounts'!C:C,"")</f>
        <v>Revenue</v>
      </c>
      <c r="G526" s="14" t="s">
        <v>352</v>
      </c>
      <c r="H526" s="16"/>
      <c r="I526" s="16">
        <v>22290.822222222199</v>
      </c>
      <c r="J526" s="16">
        <v>-22290.822222222199</v>
      </c>
      <c r="K526" s="14" t="s">
        <v>225</v>
      </c>
    </row>
    <row r="527" spans="1:11" ht="15" customHeight="1">
      <c r="A527" s="13">
        <v>45931</v>
      </c>
      <c r="B527" s="14" t="s">
        <v>360</v>
      </c>
      <c r="C527" s="19" t="s">
        <v>16</v>
      </c>
      <c r="D527" s="14" t="s">
        <v>83</v>
      </c>
      <c r="E527" s="14" t="str">
        <f>_xlfn.XLOOKUP($D527,'Chart of Accounts'!$A:$A,'Chart of Accounts'!B:B,"")</f>
        <v>Contract Revenue</v>
      </c>
      <c r="F527" s="14" t="str">
        <f>_xlfn.XLOOKUP($D527,'Chart of Accounts'!$A:$A,'Chart of Accounts'!C:C,"")</f>
        <v>Revenue</v>
      </c>
      <c r="G527" s="14" t="s">
        <v>352</v>
      </c>
      <c r="H527" s="16"/>
      <c r="I527" s="16">
        <v>16718.116666666701</v>
      </c>
      <c r="J527" s="16">
        <v>-16718.116666666701</v>
      </c>
      <c r="K527" s="14" t="s">
        <v>225</v>
      </c>
    </row>
    <row r="528" spans="1:11" ht="15" customHeight="1">
      <c r="A528" s="13">
        <v>45931</v>
      </c>
      <c r="B528" s="14" t="s">
        <v>360</v>
      </c>
      <c r="C528" s="19" t="s">
        <v>18</v>
      </c>
      <c r="D528" s="14" t="s">
        <v>83</v>
      </c>
      <c r="E528" s="14" t="str">
        <f>_xlfn.XLOOKUP($D528,'Chart of Accounts'!$A:$A,'Chart of Accounts'!B:B,"")</f>
        <v>Contract Revenue</v>
      </c>
      <c r="F528" s="14" t="str">
        <f>_xlfn.XLOOKUP($D528,'Chart of Accounts'!$A:$A,'Chart of Accounts'!C:C,"")</f>
        <v>Revenue</v>
      </c>
      <c r="G528" s="14" t="s">
        <v>352</v>
      </c>
      <c r="H528" s="16"/>
      <c r="I528" s="16">
        <v>22290.822222222199</v>
      </c>
      <c r="J528" s="16">
        <v>-22290.822222222199</v>
      </c>
      <c r="K528" s="14" t="s">
        <v>225</v>
      </c>
    </row>
    <row r="529" spans="1:11" ht="15" customHeight="1">
      <c r="A529" s="13">
        <v>45931</v>
      </c>
      <c r="B529" s="14" t="s">
        <v>360</v>
      </c>
      <c r="C529" s="19" t="s">
        <v>20</v>
      </c>
      <c r="D529" s="14" t="s">
        <v>83</v>
      </c>
      <c r="E529" s="14" t="str">
        <f>_xlfn.XLOOKUP($D529,'Chart of Accounts'!$A:$A,'Chart of Accounts'!B:B,"")</f>
        <v>Contract Revenue</v>
      </c>
      <c r="F529" s="14" t="str">
        <f>_xlfn.XLOOKUP($D529,'Chart of Accounts'!$A:$A,'Chart of Accounts'!C:C,"")</f>
        <v>Revenue</v>
      </c>
      <c r="G529" s="14" t="s">
        <v>352</v>
      </c>
      <c r="H529" s="16"/>
      <c r="I529" s="16">
        <v>22290.822222222199</v>
      </c>
      <c r="J529" s="16">
        <v>-22290.822222222199</v>
      </c>
      <c r="K529" s="14" t="s">
        <v>225</v>
      </c>
    </row>
    <row r="530" spans="1:11" ht="15" customHeight="1">
      <c r="A530" s="13">
        <v>45931</v>
      </c>
      <c r="B530" s="14" t="s">
        <v>360</v>
      </c>
      <c r="C530" s="19" t="s">
        <v>12</v>
      </c>
      <c r="D530" s="14" t="s">
        <v>86</v>
      </c>
      <c r="E530" s="14" t="str">
        <f>_xlfn.XLOOKUP($D530,'Chart of Accounts'!$A:$A,'Chart of Accounts'!B:B,"")</f>
        <v>Grant Revenue - Federal</v>
      </c>
      <c r="F530" s="14" t="str">
        <f>_xlfn.XLOOKUP($D530,'Chart of Accounts'!$A:$A,'Chart of Accounts'!C:C,"")</f>
        <v>Revenue</v>
      </c>
      <c r="G530" s="14" t="s">
        <v>352</v>
      </c>
      <c r="H530" s="16"/>
      <c r="I530" s="16">
        <v>13267.3283333333</v>
      </c>
      <c r="J530" s="16">
        <v>-13267.3283333333</v>
      </c>
      <c r="K530" s="14" t="s">
        <v>225</v>
      </c>
    </row>
    <row r="531" spans="1:11" ht="15" customHeight="1">
      <c r="A531" s="13">
        <v>45931</v>
      </c>
      <c r="B531" s="14" t="s">
        <v>360</v>
      </c>
      <c r="C531" s="19" t="s">
        <v>14</v>
      </c>
      <c r="D531" s="14" t="s">
        <v>86</v>
      </c>
      <c r="E531" s="14" t="str">
        <f>_xlfn.XLOOKUP($D531,'Chart of Accounts'!$A:$A,'Chart of Accounts'!B:B,"")</f>
        <v>Grant Revenue - Federal</v>
      </c>
      <c r="F531" s="14" t="str">
        <f>_xlfn.XLOOKUP($D531,'Chart of Accounts'!$A:$A,'Chart of Accounts'!C:C,"")</f>
        <v>Revenue</v>
      </c>
      <c r="G531" s="14" t="s">
        <v>352</v>
      </c>
      <c r="H531" s="16"/>
      <c r="I531" s="16">
        <v>17689.771111111098</v>
      </c>
      <c r="J531" s="16">
        <v>-17689.771111111098</v>
      </c>
      <c r="K531" s="14" t="s">
        <v>225</v>
      </c>
    </row>
    <row r="532" spans="1:11" ht="15" customHeight="1">
      <c r="A532" s="13">
        <v>45931</v>
      </c>
      <c r="B532" s="14" t="s">
        <v>360</v>
      </c>
      <c r="C532" s="19" t="s">
        <v>16</v>
      </c>
      <c r="D532" s="14" t="s">
        <v>86</v>
      </c>
      <c r="E532" s="14" t="str">
        <f>_xlfn.XLOOKUP($D532,'Chart of Accounts'!$A:$A,'Chart of Accounts'!B:B,"")</f>
        <v>Grant Revenue - Federal</v>
      </c>
      <c r="F532" s="14" t="str">
        <f>_xlfn.XLOOKUP($D532,'Chart of Accounts'!$A:$A,'Chart of Accounts'!C:C,"")</f>
        <v>Revenue</v>
      </c>
      <c r="G532" s="14" t="s">
        <v>352</v>
      </c>
      <c r="H532" s="16"/>
      <c r="I532" s="16">
        <v>13267.3283333333</v>
      </c>
      <c r="J532" s="16">
        <v>-13267.3283333333</v>
      </c>
      <c r="K532" s="14" t="s">
        <v>225</v>
      </c>
    </row>
    <row r="533" spans="1:11" ht="15" customHeight="1">
      <c r="A533" s="13">
        <v>45931</v>
      </c>
      <c r="B533" s="14" t="s">
        <v>360</v>
      </c>
      <c r="C533" s="19" t="s">
        <v>18</v>
      </c>
      <c r="D533" s="14" t="s">
        <v>86</v>
      </c>
      <c r="E533" s="14" t="str">
        <f>_xlfn.XLOOKUP($D533,'Chart of Accounts'!$A:$A,'Chart of Accounts'!B:B,"")</f>
        <v>Grant Revenue - Federal</v>
      </c>
      <c r="F533" s="14" t="str">
        <f>_xlfn.XLOOKUP($D533,'Chart of Accounts'!$A:$A,'Chart of Accounts'!C:C,"")</f>
        <v>Revenue</v>
      </c>
      <c r="G533" s="14" t="s">
        <v>352</v>
      </c>
      <c r="H533" s="16"/>
      <c r="I533" s="16">
        <v>17689.771111111098</v>
      </c>
      <c r="J533" s="16">
        <v>-17689.771111111098</v>
      </c>
      <c r="K533" s="14" t="s">
        <v>225</v>
      </c>
    </row>
    <row r="534" spans="1:11" ht="15" customHeight="1">
      <c r="A534" s="13">
        <v>45931</v>
      </c>
      <c r="B534" s="14" t="s">
        <v>360</v>
      </c>
      <c r="C534" s="19" t="s">
        <v>20</v>
      </c>
      <c r="D534" s="14" t="s">
        <v>86</v>
      </c>
      <c r="E534" s="14" t="str">
        <f>_xlfn.XLOOKUP($D534,'Chart of Accounts'!$A:$A,'Chart of Accounts'!B:B,"")</f>
        <v>Grant Revenue - Federal</v>
      </c>
      <c r="F534" s="14" t="str">
        <f>_xlfn.XLOOKUP($D534,'Chart of Accounts'!$A:$A,'Chart of Accounts'!C:C,"")</f>
        <v>Revenue</v>
      </c>
      <c r="G534" s="14" t="s">
        <v>352</v>
      </c>
      <c r="H534" s="16"/>
      <c r="I534" s="16">
        <v>17689.771111111098</v>
      </c>
      <c r="J534" s="16">
        <v>-17689.771111111098</v>
      </c>
      <c r="K534" s="14" t="s">
        <v>225</v>
      </c>
    </row>
    <row r="535" spans="1:11" ht="15" customHeight="1">
      <c r="A535" s="13">
        <v>45931</v>
      </c>
      <c r="B535" s="14" t="s">
        <v>360</v>
      </c>
      <c r="C535" s="19" t="s">
        <v>12</v>
      </c>
      <c r="D535" s="14" t="s">
        <v>88</v>
      </c>
      <c r="E535" s="14" t="str">
        <f>_xlfn.XLOOKUP($D535,'Chart of Accounts'!$A:$A,'Chart of Accounts'!B:B,"")</f>
        <v>Grant Revenue - Foundation</v>
      </c>
      <c r="F535" s="14" t="str">
        <f>_xlfn.XLOOKUP($D535,'Chart of Accounts'!$A:$A,'Chart of Accounts'!C:C,"")</f>
        <v>Revenue</v>
      </c>
      <c r="G535" s="14" t="s">
        <v>352</v>
      </c>
      <c r="H535" s="16"/>
      <c r="I535" s="16">
        <v>13258.5333333333</v>
      </c>
      <c r="J535" s="16">
        <v>-13258.5333333333</v>
      </c>
      <c r="K535" s="14" t="s">
        <v>225</v>
      </c>
    </row>
    <row r="536" spans="1:11" ht="15" customHeight="1">
      <c r="A536" s="13">
        <v>45931</v>
      </c>
      <c r="B536" s="14" t="s">
        <v>360</v>
      </c>
      <c r="C536" s="19" t="s">
        <v>14</v>
      </c>
      <c r="D536" s="14" t="s">
        <v>88</v>
      </c>
      <c r="E536" s="14" t="str">
        <f>_xlfn.XLOOKUP($D536,'Chart of Accounts'!$A:$A,'Chart of Accounts'!B:B,"")</f>
        <v>Grant Revenue - Foundation</v>
      </c>
      <c r="F536" s="14" t="str">
        <f>_xlfn.XLOOKUP($D536,'Chart of Accounts'!$A:$A,'Chart of Accounts'!C:C,"")</f>
        <v>Revenue</v>
      </c>
      <c r="G536" s="14" t="s">
        <v>352</v>
      </c>
      <c r="H536" s="16"/>
      <c r="I536" s="16">
        <v>17678.0444444444</v>
      </c>
      <c r="J536" s="16">
        <v>-17678.0444444444</v>
      </c>
      <c r="K536" s="14" t="s">
        <v>225</v>
      </c>
    </row>
    <row r="537" spans="1:11" ht="15" customHeight="1">
      <c r="A537" s="13">
        <v>45931</v>
      </c>
      <c r="B537" s="14" t="s">
        <v>360</v>
      </c>
      <c r="C537" s="19" t="s">
        <v>16</v>
      </c>
      <c r="D537" s="14" t="s">
        <v>88</v>
      </c>
      <c r="E537" s="14" t="str">
        <f>_xlfn.XLOOKUP($D537,'Chart of Accounts'!$A:$A,'Chart of Accounts'!B:B,"")</f>
        <v>Grant Revenue - Foundation</v>
      </c>
      <c r="F537" s="14" t="str">
        <f>_xlfn.XLOOKUP($D537,'Chart of Accounts'!$A:$A,'Chart of Accounts'!C:C,"")</f>
        <v>Revenue</v>
      </c>
      <c r="G537" s="14" t="s">
        <v>352</v>
      </c>
      <c r="H537" s="16"/>
      <c r="I537" s="16">
        <v>13258.5333333333</v>
      </c>
      <c r="J537" s="16">
        <v>-13258.5333333333</v>
      </c>
      <c r="K537" s="14" t="s">
        <v>225</v>
      </c>
    </row>
    <row r="538" spans="1:11" ht="15" customHeight="1">
      <c r="A538" s="13">
        <v>45931</v>
      </c>
      <c r="B538" s="14" t="s">
        <v>360</v>
      </c>
      <c r="C538" s="19" t="s">
        <v>18</v>
      </c>
      <c r="D538" s="14" t="s">
        <v>88</v>
      </c>
      <c r="E538" s="14" t="str">
        <f>_xlfn.XLOOKUP($D538,'Chart of Accounts'!$A:$A,'Chart of Accounts'!B:B,"")</f>
        <v>Grant Revenue - Foundation</v>
      </c>
      <c r="F538" s="14" t="str">
        <f>_xlfn.XLOOKUP($D538,'Chart of Accounts'!$A:$A,'Chart of Accounts'!C:C,"")</f>
        <v>Revenue</v>
      </c>
      <c r="G538" s="14" t="s">
        <v>352</v>
      </c>
      <c r="H538" s="16"/>
      <c r="I538" s="16">
        <v>17678.0444444444</v>
      </c>
      <c r="J538" s="16">
        <v>-17678.0444444444</v>
      </c>
      <c r="K538" s="14" t="s">
        <v>225</v>
      </c>
    </row>
    <row r="539" spans="1:11" ht="15" customHeight="1">
      <c r="A539" s="13">
        <v>45931</v>
      </c>
      <c r="B539" s="14" t="s">
        <v>360</v>
      </c>
      <c r="C539" s="19" t="s">
        <v>20</v>
      </c>
      <c r="D539" s="14" t="s">
        <v>88</v>
      </c>
      <c r="E539" s="14" t="str">
        <f>_xlfn.XLOOKUP($D539,'Chart of Accounts'!$A:$A,'Chart of Accounts'!B:B,"")</f>
        <v>Grant Revenue - Foundation</v>
      </c>
      <c r="F539" s="14" t="str">
        <f>_xlfn.XLOOKUP($D539,'Chart of Accounts'!$A:$A,'Chart of Accounts'!C:C,"")</f>
        <v>Revenue</v>
      </c>
      <c r="G539" s="14" t="s">
        <v>352</v>
      </c>
      <c r="H539" s="16"/>
      <c r="I539" s="16">
        <v>17678.0444444444</v>
      </c>
      <c r="J539" s="16">
        <v>-17678.0444444444</v>
      </c>
      <c r="K539" s="14" t="s">
        <v>225</v>
      </c>
    </row>
    <row r="540" spans="1:11" ht="15" customHeight="1">
      <c r="A540" s="13">
        <v>45931</v>
      </c>
      <c r="B540" s="14" t="s">
        <v>360</v>
      </c>
      <c r="C540" s="19" t="s">
        <v>12</v>
      </c>
      <c r="D540" s="14" t="s">
        <v>90</v>
      </c>
      <c r="E540" s="14" t="str">
        <f>_xlfn.XLOOKUP($D540,'Chart of Accounts'!$A:$A,'Chart of Accounts'!B:B,"")</f>
        <v>Fee for Service Revenue</v>
      </c>
      <c r="F540" s="14" t="str">
        <f>_xlfn.XLOOKUP($D540,'Chart of Accounts'!$A:$A,'Chart of Accounts'!C:C,"")</f>
        <v>Revenue</v>
      </c>
      <c r="G540" s="14" t="s">
        <v>352</v>
      </c>
      <c r="H540" s="16"/>
      <c r="I540" s="16">
        <v>7164.9066666666704</v>
      </c>
      <c r="J540" s="16">
        <v>-7164.9066666666704</v>
      </c>
      <c r="K540" s="14" t="s">
        <v>225</v>
      </c>
    </row>
    <row r="541" spans="1:11" ht="15" customHeight="1">
      <c r="A541" s="13">
        <v>45931</v>
      </c>
      <c r="B541" s="14" t="s">
        <v>360</v>
      </c>
      <c r="C541" s="19" t="s">
        <v>14</v>
      </c>
      <c r="D541" s="14" t="s">
        <v>90</v>
      </c>
      <c r="E541" s="14" t="str">
        <f>_xlfn.XLOOKUP($D541,'Chart of Accounts'!$A:$A,'Chart of Accounts'!B:B,"")</f>
        <v>Fee for Service Revenue</v>
      </c>
      <c r="F541" s="14" t="str">
        <f>_xlfn.XLOOKUP($D541,'Chart of Accounts'!$A:$A,'Chart of Accounts'!C:C,"")</f>
        <v>Revenue</v>
      </c>
      <c r="G541" s="14" t="s">
        <v>352</v>
      </c>
      <c r="H541" s="16"/>
      <c r="I541" s="16">
        <v>9553.2088888888902</v>
      </c>
      <c r="J541" s="16">
        <v>-9553.2088888888902</v>
      </c>
      <c r="K541" s="14" t="s">
        <v>225</v>
      </c>
    </row>
    <row r="542" spans="1:11" ht="15" customHeight="1">
      <c r="A542" s="13">
        <v>45931</v>
      </c>
      <c r="B542" s="14" t="s">
        <v>360</v>
      </c>
      <c r="C542" s="19" t="s">
        <v>16</v>
      </c>
      <c r="D542" s="14" t="s">
        <v>90</v>
      </c>
      <c r="E542" s="14" t="str">
        <f>_xlfn.XLOOKUP($D542,'Chart of Accounts'!$A:$A,'Chart of Accounts'!B:B,"")</f>
        <v>Fee for Service Revenue</v>
      </c>
      <c r="F542" s="14" t="str">
        <f>_xlfn.XLOOKUP($D542,'Chart of Accounts'!$A:$A,'Chart of Accounts'!C:C,"")</f>
        <v>Revenue</v>
      </c>
      <c r="G542" s="14" t="s">
        <v>352</v>
      </c>
      <c r="H542" s="16"/>
      <c r="I542" s="16">
        <v>7164.9066666666704</v>
      </c>
      <c r="J542" s="16">
        <v>-7164.9066666666704</v>
      </c>
      <c r="K542" s="14" t="s">
        <v>225</v>
      </c>
    </row>
    <row r="543" spans="1:11" ht="15" customHeight="1">
      <c r="A543" s="13">
        <v>45931</v>
      </c>
      <c r="B543" s="14" t="s">
        <v>360</v>
      </c>
      <c r="C543" s="19" t="s">
        <v>18</v>
      </c>
      <c r="D543" s="14" t="s">
        <v>90</v>
      </c>
      <c r="E543" s="14" t="str">
        <f>_xlfn.XLOOKUP($D543,'Chart of Accounts'!$A:$A,'Chart of Accounts'!B:B,"")</f>
        <v>Fee for Service Revenue</v>
      </c>
      <c r="F543" s="14" t="str">
        <f>_xlfn.XLOOKUP($D543,'Chart of Accounts'!$A:$A,'Chart of Accounts'!C:C,"")</f>
        <v>Revenue</v>
      </c>
      <c r="G543" s="14" t="s">
        <v>352</v>
      </c>
      <c r="H543" s="16"/>
      <c r="I543" s="16">
        <v>9553.2088888888902</v>
      </c>
      <c r="J543" s="16">
        <v>-9553.2088888888902</v>
      </c>
      <c r="K543" s="14" t="s">
        <v>225</v>
      </c>
    </row>
    <row r="544" spans="1:11" ht="15" customHeight="1">
      <c r="A544" s="13">
        <v>45931</v>
      </c>
      <c r="B544" s="14" t="s">
        <v>360</v>
      </c>
      <c r="C544" s="19" t="s">
        <v>20</v>
      </c>
      <c r="D544" s="14" t="s">
        <v>90</v>
      </c>
      <c r="E544" s="14" t="str">
        <f>_xlfn.XLOOKUP($D544,'Chart of Accounts'!$A:$A,'Chart of Accounts'!B:B,"")</f>
        <v>Fee for Service Revenue</v>
      </c>
      <c r="F544" s="14" t="str">
        <f>_xlfn.XLOOKUP($D544,'Chart of Accounts'!$A:$A,'Chart of Accounts'!C:C,"")</f>
        <v>Revenue</v>
      </c>
      <c r="G544" s="14" t="s">
        <v>352</v>
      </c>
      <c r="H544" s="16"/>
      <c r="I544" s="16">
        <v>9553.2088888888902</v>
      </c>
      <c r="J544" s="16">
        <v>-9553.2088888888902</v>
      </c>
      <c r="K544" s="14" t="s">
        <v>225</v>
      </c>
    </row>
    <row r="545" spans="1:11" ht="15" customHeight="1">
      <c r="A545" s="13">
        <v>45901</v>
      </c>
      <c r="B545" s="14" t="s">
        <v>361</v>
      </c>
      <c r="C545" s="19" t="s">
        <v>12</v>
      </c>
      <c r="D545" s="14" t="s">
        <v>83</v>
      </c>
      <c r="E545" s="14" t="str">
        <f>_xlfn.XLOOKUP($D545,'Chart of Accounts'!$A:$A,'Chart of Accounts'!B:B,"")</f>
        <v>Contract Revenue</v>
      </c>
      <c r="F545" s="14" t="str">
        <f>_xlfn.XLOOKUP($D545,'Chart of Accounts'!$A:$A,'Chart of Accounts'!C:C,"")</f>
        <v>Revenue</v>
      </c>
      <c r="G545" s="14" t="s">
        <v>352</v>
      </c>
      <c r="H545" s="16"/>
      <c r="I545" s="16">
        <v>30227.553333333301</v>
      </c>
      <c r="J545" s="16">
        <v>-30227.553333333301</v>
      </c>
      <c r="K545" s="14" t="s">
        <v>225</v>
      </c>
    </row>
    <row r="546" spans="1:11" ht="15" customHeight="1">
      <c r="A546" s="13">
        <v>45901</v>
      </c>
      <c r="B546" s="14" t="s">
        <v>361</v>
      </c>
      <c r="C546" s="19" t="s">
        <v>14</v>
      </c>
      <c r="D546" s="14" t="s">
        <v>83</v>
      </c>
      <c r="E546" s="14" t="str">
        <f>_xlfn.XLOOKUP($D546,'Chart of Accounts'!$A:$A,'Chart of Accounts'!B:B,"")</f>
        <v>Contract Revenue</v>
      </c>
      <c r="F546" s="14" t="str">
        <f>_xlfn.XLOOKUP($D546,'Chart of Accounts'!$A:$A,'Chart of Accounts'!C:C,"")</f>
        <v>Revenue</v>
      </c>
      <c r="G546" s="14" t="s">
        <v>352</v>
      </c>
      <c r="H546" s="16"/>
      <c r="I546" s="16">
        <v>22670.665000000001</v>
      </c>
      <c r="J546" s="16">
        <v>-22670.665000000001</v>
      </c>
      <c r="K546" s="14" t="s">
        <v>225</v>
      </c>
    </row>
    <row r="547" spans="1:11" ht="15" customHeight="1">
      <c r="A547" s="13">
        <v>45901</v>
      </c>
      <c r="B547" s="14" t="s">
        <v>361</v>
      </c>
      <c r="C547" s="19" t="s">
        <v>16</v>
      </c>
      <c r="D547" s="14" t="s">
        <v>83</v>
      </c>
      <c r="E547" s="14" t="str">
        <f>_xlfn.XLOOKUP($D547,'Chart of Accounts'!$A:$A,'Chart of Accounts'!B:B,"")</f>
        <v>Contract Revenue</v>
      </c>
      <c r="F547" s="14" t="str">
        <f>_xlfn.XLOOKUP($D547,'Chart of Accounts'!$A:$A,'Chart of Accounts'!C:C,"")</f>
        <v>Revenue</v>
      </c>
      <c r="G547" s="14" t="s">
        <v>352</v>
      </c>
      <c r="H547" s="16"/>
      <c r="I547" s="16">
        <v>22670.665000000001</v>
      </c>
      <c r="J547" s="16">
        <v>-22670.665000000001</v>
      </c>
      <c r="K547" s="14" t="s">
        <v>225</v>
      </c>
    </row>
    <row r="548" spans="1:11" ht="15" customHeight="1">
      <c r="A548" s="13">
        <v>45901</v>
      </c>
      <c r="B548" s="14" t="s">
        <v>361</v>
      </c>
      <c r="C548" s="19" t="s">
        <v>18</v>
      </c>
      <c r="D548" s="14" t="s">
        <v>83</v>
      </c>
      <c r="E548" s="14" t="str">
        <f>_xlfn.XLOOKUP($D548,'Chart of Accounts'!$A:$A,'Chart of Accounts'!B:B,"")</f>
        <v>Contract Revenue</v>
      </c>
      <c r="F548" s="14" t="str">
        <f>_xlfn.XLOOKUP($D548,'Chart of Accounts'!$A:$A,'Chart of Accounts'!C:C,"")</f>
        <v>Revenue</v>
      </c>
      <c r="G548" s="14" t="s">
        <v>352</v>
      </c>
      <c r="H548" s="16"/>
      <c r="I548" s="16">
        <v>30227.553333333301</v>
      </c>
      <c r="J548" s="16">
        <v>-30227.553333333301</v>
      </c>
      <c r="K548" s="14" t="s">
        <v>225</v>
      </c>
    </row>
    <row r="549" spans="1:11" ht="15" customHeight="1">
      <c r="A549" s="13">
        <v>45901</v>
      </c>
      <c r="B549" s="14" t="s">
        <v>361</v>
      </c>
      <c r="C549" s="19" t="s">
        <v>20</v>
      </c>
      <c r="D549" s="14" t="s">
        <v>83</v>
      </c>
      <c r="E549" s="14" t="str">
        <f>_xlfn.XLOOKUP($D549,'Chart of Accounts'!$A:$A,'Chart of Accounts'!B:B,"")</f>
        <v>Contract Revenue</v>
      </c>
      <c r="F549" s="14" t="str">
        <f>_xlfn.XLOOKUP($D549,'Chart of Accounts'!$A:$A,'Chart of Accounts'!C:C,"")</f>
        <v>Revenue</v>
      </c>
      <c r="G549" s="14" t="s">
        <v>352</v>
      </c>
      <c r="H549" s="16"/>
      <c r="I549" s="16">
        <v>30227.553333333301</v>
      </c>
      <c r="J549" s="16">
        <v>-30227.553333333301</v>
      </c>
      <c r="K549" s="14" t="s">
        <v>225</v>
      </c>
    </row>
    <row r="550" spans="1:11" ht="15" customHeight="1">
      <c r="A550" s="13">
        <v>45901</v>
      </c>
      <c r="B550" s="14" t="s">
        <v>361</v>
      </c>
      <c r="C550" s="19" t="s">
        <v>12</v>
      </c>
      <c r="D550" s="14" t="s">
        <v>86</v>
      </c>
      <c r="E550" s="14" t="str">
        <f>_xlfn.XLOOKUP($D550,'Chart of Accounts'!$A:$A,'Chart of Accounts'!B:B,"")</f>
        <v>Grant Revenue - Federal</v>
      </c>
      <c r="F550" s="14" t="str">
        <f>_xlfn.XLOOKUP($D550,'Chart of Accounts'!$A:$A,'Chart of Accounts'!C:C,"")</f>
        <v>Revenue</v>
      </c>
      <c r="G550" s="14" t="s">
        <v>352</v>
      </c>
      <c r="H550" s="16"/>
      <c r="I550" s="16">
        <v>12393.9222222222</v>
      </c>
      <c r="J550" s="16">
        <v>-12393.9222222222</v>
      </c>
      <c r="K550" s="14" t="s">
        <v>225</v>
      </c>
    </row>
    <row r="551" spans="1:11" ht="15" customHeight="1">
      <c r="A551" s="13">
        <v>45901</v>
      </c>
      <c r="B551" s="14" t="s">
        <v>361</v>
      </c>
      <c r="C551" s="19" t="s">
        <v>14</v>
      </c>
      <c r="D551" s="14" t="s">
        <v>86</v>
      </c>
      <c r="E551" s="14" t="str">
        <f>_xlfn.XLOOKUP($D551,'Chart of Accounts'!$A:$A,'Chart of Accounts'!B:B,"")</f>
        <v>Grant Revenue - Federal</v>
      </c>
      <c r="F551" s="14" t="str">
        <f>_xlfn.XLOOKUP($D551,'Chart of Accounts'!$A:$A,'Chart of Accounts'!C:C,"")</f>
        <v>Revenue</v>
      </c>
      <c r="G551" s="14" t="s">
        <v>352</v>
      </c>
      <c r="H551" s="16"/>
      <c r="I551" s="16">
        <v>9295.4416666666693</v>
      </c>
      <c r="J551" s="16">
        <v>-9295.4416666666693</v>
      </c>
      <c r="K551" s="14" t="s">
        <v>225</v>
      </c>
    </row>
    <row r="552" spans="1:11" ht="15" customHeight="1">
      <c r="A552" s="13">
        <v>45901</v>
      </c>
      <c r="B552" s="14" t="s">
        <v>361</v>
      </c>
      <c r="C552" s="19" t="s">
        <v>16</v>
      </c>
      <c r="D552" s="14" t="s">
        <v>86</v>
      </c>
      <c r="E552" s="14" t="str">
        <f>_xlfn.XLOOKUP($D552,'Chart of Accounts'!$A:$A,'Chart of Accounts'!B:B,"")</f>
        <v>Grant Revenue - Federal</v>
      </c>
      <c r="F552" s="14" t="str">
        <f>_xlfn.XLOOKUP($D552,'Chart of Accounts'!$A:$A,'Chart of Accounts'!C:C,"")</f>
        <v>Revenue</v>
      </c>
      <c r="G552" s="14" t="s">
        <v>352</v>
      </c>
      <c r="H552" s="16"/>
      <c r="I552" s="16">
        <v>9295.4416666666693</v>
      </c>
      <c r="J552" s="16">
        <v>-9295.4416666666693</v>
      </c>
      <c r="K552" s="14" t="s">
        <v>225</v>
      </c>
    </row>
    <row r="553" spans="1:11" ht="15" customHeight="1">
      <c r="A553" s="13">
        <v>45901</v>
      </c>
      <c r="B553" s="14" t="s">
        <v>361</v>
      </c>
      <c r="C553" s="19" t="s">
        <v>18</v>
      </c>
      <c r="D553" s="14" t="s">
        <v>86</v>
      </c>
      <c r="E553" s="14" t="str">
        <f>_xlfn.XLOOKUP($D553,'Chart of Accounts'!$A:$A,'Chart of Accounts'!B:B,"")</f>
        <v>Grant Revenue - Federal</v>
      </c>
      <c r="F553" s="14" t="str">
        <f>_xlfn.XLOOKUP($D553,'Chart of Accounts'!$A:$A,'Chart of Accounts'!C:C,"")</f>
        <v>Revenue</v>
      </c>
      <c r="G553" s="14" t="s">
        <v>352</v>
      </c>
      <c r="H553" s="16"/>
      <c r="I553" s="16">
        <v>12393.9222222222</v>
      </c>
      <c r="J553" s="16">
        <v>-12393.9222222222</v>
      </c>
      <c r="K553" s="14" t="s">
        <v>225</v>
      </c>
    </row>
    <row r="554" spans="1:11" ht="15" customHeight="1">
      <c r="A554" s="13">
        <v>45901</v>
      </c>
      <c r="B554" s="14" t="s">
        <v>361</v>
      </c>
      <c r="C554" s="19" t="s">
        <v>20</v>
      </c>
      <c r="D554" s="14" t="s">
        <v>86</v>
      </c>
      <c r="E554" s="14" t="str">
        <f>_xlfn.XLOOKUP($D554,'Chart of Accounts'!$A:$A,'Chart of Accounts'!B:B,"")</f>
        <v>Grant Revenue - Federal</v>
      </c>
      <c r="F554" s="14" t="str">
        <f>_xlfn.XLOOKUP($D554,'Chart of Accounts'!$A:$A,'Chart of Accounts'!C:C,"")</f>
        <v>Revenue</v>
      </c>
      <c r="G554" s="14" t="s">
        <v>352</v>
      </c>
      <c r="H554" s="16"/>
      <c r="I554" s="16">
        <v>12393.9222222222</v>
      </c>
      <c r="J554" s="16">
        <v>-12393.9222222222</v>
      </c>
      <c r="K554" s="14" t="s">
        <v>225</v>
      </c>
    </row>
    <row r="555" spans="1:11" ht="15" customHeight="1">
      <c r="A555" s="13">
        <v>45901</v>
      </c>
      <c r="B555" s="14" t="s">
        <v>361</v>
      </c>
      <c r="C555" s="19" t="s">
        <v>12</v>
      </c>
      <c r="D555" s="14" t="s">
        <v>90</v>
      </c>
      <c r="E555" s="14" t="str">
        <f>_xlfn.XLOOKUP($D555,'Chart of Accounts'!$A:$A,'Chart of Accounts'!B:B,"")</f>
        <v>Fee for Service Revenue</v>
      </c>
      <c r="F555" s="14" t="str">
        <f>_xlfn.XLOOKUP($D555,'Chart of Accounts'!$A:$A,'Chart of Accounts'!C:C,"")</f>
        <v>Revenue</v>
      </c>
      <c r="G555" s="14" t="s">
        <v>352</v>
      </c>
      <c r="H555" s="16"/>
      <c r="I555" s="16">
        <v>12954.666666666701</v>
      </c>
      <c r="J555" s="16">
        <v>-12954.666666666701</v>
      </c>
      <c r="K555" s="14" t="s">
        <v>225</v>
      </c>
    </row>
    <row r="556" spans="1:11" ht="15" customHeight="1">
      <c r="A556" s="13">
        <v>45901</v>
      </c>
      <c r="B556" s="14" t="s">
        <v>361</v>
      </c>
      <c r="C556" s="19" t="s">
        <v>14</v>
      </c>
      <c r="D556" s="14" t="s">
        <v>90</v>
      </c>
      <c r="E556" s="14" t="str">
        <f>_xlfn.XLOOKUP($D556,'Chart of Accounts'!$A:$A,'Chart of Accounts'!B:B,"")</f>
        <v>Fee for Service Revenue</v>
      </c>
      <c r="F556" s="14" t="str">
        <f>_xlfn.XLOOKUP($D556,'Chart of Accounts'!$A:$A,'Chart of Accounts'!C:C,"")</f>
        <v>Revenue</v>
      </c>
      <c r="G556" s="14" t="s">
        <v>352</v>
      </c>
      <c r="H556" s="16"/>
      <c r="I556" s="16">
        <v>9716</v>
      </c>
      <c r="J556" s="16">
        <v>-9716</v>
      </c>
      <c r="K556" s="14" t="s">
        <v>225</v>
      </c>
    </row>
    <row r="557" spans="1:11" ht="15" customHeight="1">
      <c r="A557" s="13">
        <v>45901</v>
      </c>
      <c r="B557" s="14" t="s">
        <v>361</v>
      </c>
      <c r="C557" s="19" t="s">
        <v>16</v>
      </c>
      <c r="D557" s="14" t="s">
        <v>90</v>
      </c>
      <c r="E557" s="14" t="str">
        <f>_xlfn.XLOOKUP($D557,'Chart of Accounts'!$A:$A,'Chart of Accounts'!B:B,"")</f>
        <v>Fee for Service Revenue</v>
      </c>
      <c r="F557" s="14" t="str">
        <f>_xlfn.XLOOKUP($D557,'Chart of Accounts'!$A:$A,'Chart of Accounts'!C:C,"")</f>
        <v>Revenue</v>
      </c>
      <c r="G557" s="14" t="s">
        <v>352</v>
      </c>
      <c r="H557" s="16"/>
      <c r="I557" s="16">
        <v>9716</v>
      </c>
      <c r="J557" s="16">
        <v>-9716</v>
      </c>
      <c r="K557" s="14" t="s">
        <v>225</v>
      </c>
    </row>
    <row r="558" spans="1:11" ht="15" customHeight="1">
      <c r="A558" s="13">
        <v>45901</v>
      </c>
      <c r="B558" s="14" t="s">
        <v>361</v>
      </c>
      <c r="C558" s="19" t="s">
        <v>18</v>
      </c>
      <c r="D558" s="14" t="s">
        <v>90</v>
      </c>
      <c r="E558" s="14" t="str">
        <f>_xlfn.XLOOKUP($D558,'Chart of Accounts'!$A:$A,'Chart of Accounts'!B:B,"")</f>
        <v>Fee for Service Revenue</v>
      </c>
      <c r="F558" s="14" t="str">
        <f>_xlfn.XLOOKUP($D558,'Chart of Accounts'!$A:$A,'Chart of Accounts'!C:C,"")</f>
        <v>Revenue</v>
      </c>
      <c r="G558" s="14" t="s">
        <v>352</v>
      </c>
      <c r="H558" s="16"/>
      <c r="I558" s="16">
        <v>12954.666666666701</v>
      </c>
      <c r="J558" s="16">
        <v>-12954.666666666701</v>
      </c>
      <c r="K558" s="14" t="s">
        <v>225</v>
      </c>
    </row>
    <row r="559" spans="1:11" ht="15" customHeight="1">
      <c r="A559" s="13">
        <v>45901</v>
      </c>
      <c r="B559" s="14" t="s">
        <v>361</v>
      </c>
      <c r="C559" s="19" t="s">
        <v>20</v>
      </c>
      <c r="D559" s="14" t="s">
        <v>90</v>
      </c>
      <c r="E559" s="14" t="str">
        <f>_xlfn.XLOOKUP($D559,'Chart of Accounts'!$A:$A,'Chart of Accounts'!B:B,"")</f>
        <v>Fee for Service Revenue</v>
      </c>
      <c r="F559" s="14" t="str">
        <f>_xlfn.XLOOKUP($D559,'Chart of Accounts'!$A:$A,'Chart of Accounts'!C:C,"")</f>
        <v>Revenue</v>
      </c>
      <c r="G559" s="14" t="s">
        <v>352</v>
      </c>
      <c r="H559" s="16"/>
      <c r="I559" s="16">
        <v>12954.666666666701</v>
      </c>
      <c r="J559" s="16">
        <v>-12954.666666666701</v>
      </c>
      <c r="K559" s="14" t="s">
        <v>225</v>
      </c>
    </row>
    <row r="560" spans="1:11" ht="15" customHeight="1">
      <c r="A560" s="13">
        <v>45870</v>
      </c>
      <c r="B560" s="14" t="s">
        <v>362</v>
      </c>
      <c r="C560" s="19" t="s">
        <v>12</v>
      </c>
      <c r="D560" s="14" t="s">
        <v>83</v>
      </c>
      <c r="E560" s="14" t="str">
        <f>_xlfn.XLOOKUP($D560,'Chart of Accounts'!$A:$A,'Chart of Accounts'!B:B,"")</f>
        <v>Contract Revenue</v>
      </c>
      <c r="F560" s="14" t="str">
        <f>_xlfn.XLOOKUP($D560,'Chart of Accounts'!$A:$A,'Chart of Accounts'!C:C,"")</f>
        <v>Revenue</v>
      </c>
      <c r="G560" s="14" t="s">
        <v>352</v>
      </c>
      <c r="H560" s="16"/>
      <c r="I560" s="16">
        <v>29449.782222222198</v>
      </c>
      <c r="J560" s="16">
        <v>-29449.782222222198</v>
      </c>
      <c r="K560" s="14" t="s">
        <v>225</v>
      </c>
    </row>
    <row r="561" spans="1:11" ht="15" customHeight="1">
      <c r="A561" s="13">
        <v>45870</v>
      </c>
      <c r="B561" s="14" t="s">
        <v>362</v>
      </c>
      <c r="C561" s="19" t="s">
        <v>14</v>
      </c>
      <c r="D561" s="14" t="s">
        <v>83</v>
      </c>
      <c r="E561" s="14" t="str">
        <f>_xlfn.XLOOKUP($D561,'Chart of Accounts'!$A:$A,'Chart of Accounts'!B:B,"")</f>
        <v>Contract Revenue</v>
      </c>
      <c r="F561" s="14" t="str">
        <f>_xlfn.XLOOKUP($D561,'Chart of Accounts'!$A:$A,'Chart of Accounts'!C:C,"")</f>
        <v>Revenue</v>
      </c>
      <c r="G561" s="14" t="s">
        <v>352</v>
      </c>
      <c r="H561" s="16"/>
      <c r="I561" s="16">
        <v>22087.336666666699</v>
      </c>
      <c r="J561" s="16">
        <v>-22087.336666666699</v>
      </c>
      <c r="K561" s="14" t="s">
        <v>225</v>
      </c>
    </row>
    <row r="562" spans="1:11" ht="15" customHeight="1">
      <c r="A562" s="13">
        <v>45870</v>
      </c>
      <c r="B562" s="14" t="s">
        <v>362</v>
      </c>
      <c r="C562" s="19" t="s">
        <v>16</v>
      </c>
      <c r="D562" s="14" t="s">
        <v>83</v>
      </c>
      <c r="E562" s="14" t="str">
        <f>_xlfn.XLOOKUP($D562,'Chart of Accounts'!$A:$A,'Chart of Accounts'!B:B,"")</f>
        <v>Contract Revenue</v>
      </c>
      <c r="F562" s="14" t="str">
        <f>_xlfn.XLOOKUP($D562,'Chart of Accounts'!$A:$A,'Chart of Accounts'!C:C,"")</f>
        <v>Revenue</v>
      </c>
      <c r="G562" s="14" t="s">
        <v>352</v>
      </c>
      <c r="H562" s="16"/>
      <c r="I562" s="16">
        <v>22087.336666666699</v>
      </c>
      <c r="J562" s="16">
        <v>-22087.336666666699</v>
      </c>
      <c r="K562" s="14" t="s">
        <v>225</v>
      </c>
    </row>
    <row r="563" spans="1:11" ht="15" customHeight="1">
      <c r="A563" s="13">
        <v>45870</v>
      </c>
      <c r="B563" s="14" t="s">
        <v>362</v>
      </c>
      <c r="C563" s="19" t="s">
        <v>18</v>
      </c>
      <c r="D563" s="14" t="s">
        <v>83</v>
      </c>
      <c r="E563" s="14" t="str">
        <f>_xlfn.XLOOKUP($D563,'Chart of Accounts'!$A:$A,'Chart of Accounts'!B:B,"")</f>
        <v>Contract Revenue</v>
      </c>
      <c r="F563" s="14" t="str">
        <f>_xlfn.XLOOKUP($D563,'Chart of Accounts'!$A:$A,'Chart of Accounts'!C:C,"")</f>
        <v>Revenue</v>
      </c>
      <c r="G563" s="14" t="s">
        <v>352</v>
      </c>
      <c r="H563" s="16"/>
      <c r="I563" s="16">
        <v>29449.782222222198</v>
      </c>
      <c r="J563" s="16">
        <v>-29449.782222222198</v>
      </c>
      <c r="K563" s="14" t="s">
        <v>225</v>
      </c>
    </row>
    <row r="564" spans="1:11" ht="15" customHeight="1">
      <c r="A564" s="13">
        <v>45870</v>
      </c>
      <c r="B564" s="14" t="s">
        <v>362</v>
      </c>
      <c r="C564" s="19" t="s">
        <v>20</v>
      </c>
      <c r="D564" s="14" t="s">
        <v>83</v>
      </c>
      <c r="E564" s="14" t="str">
        <f>_xlfn.XLOOKUP($D564,'Chart of Accounts'!$A:$A,'Chart of Accounts'!B:B,"")</f>
        <v>Contract Revenue</v>
      </c>
      <c r="F564" s="14" t="str">
        <f>_xlfn.XLOOKUP($D564,'Chart of Accounts'!$A:$A,'Chart of Accounts'!C:C,"")</f>
        <v>Revenue</v>
      </c>
      <c r="G564" s="14" t="s">
        <v>352</v>
      </c>
      <c r="H564" s="16"/>
      <c r="I564" s="16">
        <v>29449.782222222198</v>
      </c>
      <c r="J564" s="16">
        <v>-29449.782222222198</v>
      </c>
      <c r="K564" s="14" t="s">
        <v>225</v>
      </c>
    </row>
    <row r="565" spans="1:11" ht="15" customHeight="1">
      <c r="A565" s="13">
        <v>45870</v>
      </c>
      <c r="B565" s="14" t="s">
        <v>362</v>
      </c>
      <c r="C565" s="19" t="s">
        <v>12</v>
      </c>
      <c r="D565" s="14" t="s">
        <v>86</v>
      </c>
      <c r="E565" s="14" t="str">
        <f>_xlfn.XLOOKUP($D565,'Chart of Accounts'!$A:$A,'Chart of Accounts'!B:B,"")</f>
        <v>Grant Revenue - Federal</v>
      </c>
      <c r="F565" s="14" t="str">
        <f>_xlfn.XLOOKUP($D565,'Chart of Accounts'!$A:$A,'Chart of Accounts'!C:C,"")</f>
        <v>Revenue</v>
      </c>
      <c r="G565" s="14" t="s">
        <v>352</v>
      </c>
      <c r="H565" s="16"/>
      <c r="I565" s="16">
        <v>12104.311111111099</v>
      </c>
      <c r="J565" s="16">
        <v>-12104.311111111099</v>
      </c>
      <c r="K565" s="14" t="s">
        <v>225</v>
      </c>
    </row>
    <row r="566" spans="1:11" ht="15" customHeight="1">
      <c r="A566" s="13">
        <v>45870</v>
      </c>
      <c r="B566" s="14" t="s">
        <v>362</v>
      </c>
      <c r="C566" s="19" t="s">
        <v>14</v>
      </c>
      <c r="D566" s="14" t="s">
        <v>86</v>
      </c>
      <c r="E566" s="14" t="str">
        <f>_xlfn.XLOOKUP($D566,'Chart of Accounts'!$A:$A,'Chart of Accounts'!B:B,"")</f>
        <v>Grant Revenue - Federal</v>
      </c>
      <c r="F566" s="14" t="str">
        <f>_xlfn.XLOOKUP($D566,'Chart of Accounts'!$A:$A,'Chart of Accounts'!C:C,"")</f>
        <v>Revenue</v>
      </c>
      <c r="G566" s="14" t="s">
        <v>352</v>
      </c>
      <c r="H566" s="16"/>
      <c r="I566" s="16">
        <v>9078.2333333333299</v>
      </c>
      <c r="J566" s="16">
        <v>-9078.2333333333299</v>
      </c>
      <c r="K566" s="14" t="s">
        <v>225</v>
      </c>
    </row>
    <row r="567" spans="1:11" ht="15" customHeight="1">
      <c r="A567" s="13">
        <v>45870</v>
      </c>
      <c r="B567" s="14" t="s">
        <v>362</v>
      </c>
      <c r="C567" s="19" t="s">
        <v>16</v>
      </c>
      <c r="D567" s="14" t="s">
        <v>86</v>
      </c>
      <c r="E567" s="14" t="str">
        <f>_xlfn.XLOOKUP($D567,'Chart of Accounts'!$A:$A,'Chart of Accounts'!B:B,"")</f>
        <v>Grant Revenue - Federal</v>
      </c>
      <c r="F567" s="14" t="str">
        <f>_xlfn.XLOOKUP($D567,'Chart of Accounts'!$A:$A,'Chart of Accounts'!C:C,"")</f>
        <v>Revenue</v>
      </c>
      <c r="G567" s="14" t="s">
        <v>352</v>
      </c>
      <c r="H567" s="16"/>
      <c r="I567" s="16">
        <v>9078.2333333333299</v>
      </c>
      <c r="J567" s="16">
        <v>-9078.2333333333299</v>
      </c>
      <c r="K567" s="14" t="s">
        <v>225</v>
      </c>
    </row>
    <row r="568" spans="1:11" ht="15" customHeight="1">
      <c r="A568" s="13">
        <v>45870</v>
      </c>
      <c r="B568" s="14" t="s">
        <v>362</v>
      </c>
      <c r="C568" s="19" t="s">
        <v>18</v>
      </c>
      <c r="D568" s="14" t="s">
        <v>86</v>
      </c>
      <c r="E568" s="14" t="str">
        <f>_xlfn.XLOOKUP($D568,'Chart of Accounts'!$A:$A,'Chart of Accounts'!B:B,"")</f>
        <v>Grant Revenue - Federal</v>
      </c>
      <c r="F568" s="14" t="str">
        <f>_xlfn.XLOOKUP($D568,'Chart of Accounts'!$A:$A,'Chart of Accounts'!C:C,"")</f>
        <v>Revenue</v>
      </c>
      <c r="G568" s="14" t="s">
        <v>352</v>
      </c>
      <c r="H568" s="16"/>
      <c r="I568" s="16">
        <v>12104.311111111099</v>
      </c>
      <c r="J568" s="16">
        <v>-12104.311111111099</v>
      </c>
      <c r="K568" s="14" t="s">
        <v>225</v>
      </c>
    </row>
    <row r="569" spans="1:11" ht="15" customHeight="1">
      <c r="A569" s="13">
        <v>45870</v>
      </c>
      <c r="B569" s="14" t="s">
        <v>362</v>
      </c>
      <c r="C569" s="19" t="s">
        <v>20</v>
      </c>
      <c r="D569" s="14" t="s">
        <v>86</v>
      </c>
      <c r="E569" s="14" t="str">
        <f>_xlfn.XLOOKUP($D569,'Chart of Accounts'!$A:$A,'Chart of Accounts'!B:B,"")</f>
        <v>Grant Revenue - Federal</v>
      </c>
      <c r="F569" s="14" t="str">
        <f>_xlfn.XLOOKUP($D569,'Chart of Accounts'!$A:$A,'Chart of Accounts'!C:C,"")</f>
        <v>Revenue</v>
      </c>
      <c r="G569" s="14" t="s">
        <v>352</v>
      </c>
      <c r="H569" s="16"/>
      <c r="I569" s="16">
        <v>12104.311111111099</v>
      </c>
      <c r="J569" s="16">
        <v>-12104.311111111099</v>
      </c>
      <c r="K569" s="14" t="s">
        <v>225</v>
      </c>
    </row>
    <row r="570" spans="1:11" ht="15" customHeight="1">
      <c r="A570" s="13">
        <v>45870</v>
      </c>
      <c r="B570" s="14" t="s">
        <v>362</v>
      </c>
      <c r="C570" s="19" t="s">
        <v>12</v>
      </c>
      <c r="D570" s="14" t="s">
        <v>90</v>
      </c>
      <c r="E570" s="14" t="str">
        <f>_xlfn.XLOOKUP($D570,'Chart of Accounts'!$A:$A,'Chart of Accounts'!B:B,"")</f>
        <v>Fee for Service Revenue</v>
      </c>
      <c r="F570" s="14" t="str">
        <f>_xlfn.XLOOKUP($D570,'Chart of Accounts'!$A:$A,'Chart of Accounts'!C:C,"")</f>
        <v>Revenue</v>
      </c>
      <c r="G570" s="14" t="s">
        <v>352</v>
      </c>
      <c r="H570" s="16"/>
      <c r="I570" s="16">
        <v>12621.335555555601</v>
      </c>
      <c r="J570" s="16">
        <v>-12621.335555555601</v>
      </c>
      <c r="K570" s="14" t="s">
        <v>225</v>
      </c>
    </row>
    <row r="571" spans="1:11" ht="15" customHeight="1">
      <c r="A571" s="13">
        <v>45870</v>
      </c>
      <c r="B571" s="14" t="s">
        <v>362</v>
      </c>
      <c r="C571" s="19" t="s">
        <v>14</v>
      </c>
      <c r="D571" s="14" t="s">
        <v>90</v>
      </c>
      <c r="E571" s="14" t="str">
        <f>_xlfn.XLOOKUP($D571,'Chart of Accounts'!$A:$A,'Chart of Accounts'!B:B,"")</f>
        <v>Fee for Service Revenue</v>
      </c>
      <c r="F571" s="14" t="str">
        <f>_xlfn.XLOOKUP($D571,'Chart of Accounts'!$A:$A,'Chart of Accounts'!C:C,"")</f>
        <v>Revenue</v>
      </c>
      <c r="G571" s="14" t="s">
        <v>352</v>
      </c>
      <c r="H571" s="16"/>
      <c r="I571" s="16">
        <v>9466.0016666666706</v>
      </c>
      <c r="J571" s="16">
        <v>-9466.0016666666706</v>
      </c>
      <c r="K571" s="14" t="s">
        <v>225</v>
      </c>
    </row>
    <row r="572" spans="1:11" ht="15" customHeight="1">
      <c r="A572" s="13">
        <v>45870</v>
      </c>
      <c r="B572" s="14" t="s">
        <v>362</v>
      </c>
      <c r="C572" s="19" t="s">
        <v>16</v>
      </c>
      <c r="D572" s="14" t="s">
        <v>90</v>
      </c>
      <c r="E572" s="14" t="str">
        <f>_xlfn.XLOOKUP($D572,'Chart of Accounts'!$A:$A,'Chart of Accounts'!B:B,"")</f>
        <v>Fee for Service Revenue</v>
      </c>
      <c r="F572" s="14" t="str">
        <f>_xlfn.XLOOKUP($D572,'Chart of Accounts'!$A:$A,'Chart of Accounts'!C:C,"")</f>
        <v>Revenue</v>
      </c>
      <c r="G572" s="14" t="s">
        <v>352</v>
      </c>
      <c r="H572" s="16"/>
      <c r="I572" s="16">
        <v>9466.0016666666706</v>
      </c>
      <c r="J572" s="16">
        <v>-9466.0016666666706</v>
      </c>
      <c r="K572" s="14" t="s">
        <v>225</v>
      </c>
    </row>
    <row r="573" spans="1:11" ht="15" customHeight="1">
      <c r="A573" s="13">
        <v>45870</v>
      </c>
      <c r="B573" s="14" t="s">
        <v>362</v>
      </c>
      <c r="C573" s="19" t="s">
        <v>18</v>
      </c>
      <c r="D573" s="14" t="s">
        <v>90</v>
      </c>
      <c r="E573" s="14" t="str">
        <f>_xlfn.XLOOKUP($D573,'Chart of Accounts'!$A:$A,'Chart of Accounts'!B:B,"")</f>
        <v>Fee for Service Revenue</v>
      </c>
      <c r="F573" s="14" t="str">
        <f>_xlfn.XLOOKUP($D573,'Chart of Accounts'!$A:$A,'Chart of Accounts'!C:C,"")</f>
        <v>Revenue</v>
      </c>
      <c r="G573" s="14" t="s">
        <v>352</v>
      </c>
      <c r="H573" s="16"/>
      <c r="I573" s="16">
        <v>12621.335555555601</v>
      </c>
      <c r="J573" s="16">
        <v>-12621.335555555601</v>
      </c>
      <c r="K573" s="14" t="s">
        <v>225</v>
      </c>
    </row>
    <row r="574" spans="1:11" ht="15" customHeight="1">
      <c r="A574" s="13">
        <v>45870</v>
      </c>
      <c r="B574" s="14" t="s">
        <v>362</v>
      </c>
      <c r="C574" s="19" t="s">
        <v>20</v>
      </c>
      <c r="D574" s="14" t="s">
        <v>90</v>
      </c>
      <c r="E574" s="14" t="str">
        <f>_xlfn.XLOOKUP($D574,'Chart of Accounts'!$A:$A,'Chart of Accounts'!B:B,"")</f>
        <v>Fee for Service Revenue</v>
      </c>
      <c r="F574" s="14" t="str">
        <f>_xlfn.XLOOKUP($D574,'Chart of Accounts'!$A:$A,'Chart of Accounts'!C:C,"")</f>
        <v>Revenue</v>
      </c>
      <c r="G574" s="14" t="s">
        <v>352</v>
      </c>
      <c r="H574" s="16"/>
      <c r="I574" s="16">
        <v>12621.335555555601</v>
      </c>
      <c r="J574" s="16">
        <v>-12621.335555555601</v>
      </c>
      <c r="K574" s="14" t="s">
        <v>225</v>
      </c>
    </row>
    <row r="575" spans="1:11" ht="15" customHeight="1">
      <c r="A575" s="13">
        <v>45839</v>
      </c>
      <c r="B575" s="14" t="s">
        <v>363</v>
      </c>
      <c r="C575" s="19" t="s">
        <v>12</v>
      </c>
      <c r="D575" s="14" t="s">
        <v>83</v>
      </c>
      <c r="E575" s="14" t="str">
        <f>_xlfn.XLOOKUP($D575,'Chart of Accounts'!$A:$A,'Chart of Accounts'!B:B,"")</f>
        <v>Contract Revenue</v>
      </c>
      <c r="F575" s="14" t="str">
        <f>_xlfn.XLOOKUP($D575,'Chart of Accounts'!$A:$A,'Chart of Accounts'!C:C,"")</f>
        <v>Revenue</v>
      </c>
      <c r="G575" s="14" t="s">
        <v>352</v>
      </c>
      <c r="H575" s="16"/>
      <c r="I575" s="16">
        <v>29414.426666666699</v>
      </c>
      <c r="J575" s="16">
        <v>-29414.426666666699</v>
      </c>
      <c r="K575" s="14" t="s">
        <v>225</v>
      </c>
    </row>
    <row r="576" spans="1:11" ht="15" customHeight="1">
      <c r="A576" s="13">
        <v>45839</v>
      </c>
      <c r="B576" s="14" t="s">
        <v>363</v>
      </c>
      <c r="C576" s="19" t="s">
        <v>14</v>
      </c>
      <c r="D576" s="14" t="s">
        <v>83</v>
      </c>
      <c r="E576" s="14" t="str">
        <f>_xlfn.XLOOKUP($D576,'Chart of Accounts'!$A:$A,'Chart of Accounts'!B:B,"")</f>
        <v>Contract Revenue</v>
      </c>
      <c r="F576" s="14" t="str">
        <f>_xlfn.XLOOKUP($D576,'Chart of Accounts'!$A:$A,'Chart of Accounts'!C:C,"")</f>
        <v>Revenue</v>
      </c>
      <c r="G576" s="14" t="s">
        <v>352</v>
      </c>
      <c r="H576" s="16"/>
      <c r="I576" s="16">
        <v>22060.82</v>
      </c>
      <c r="J576" s="16">
        <v>-22060.82</v>
      </c>
      <c r="K576" s="14" t="s">
        <v>225</v>
      </c>
    </row>
    <row r="577" spans="1:11" ht="15" customHeight="1">
      <c r="A577" s="13">
        <v>45839</v>
      </c>
      <c r="B577" s="14" t="s">
        <v>363</v>
      </c>
      <c r="C577" s="19" t="s">
        <v>16</v>
      </c>
      <c r="D577" s="14" t="s">
        <v>83</v>
      </c>
      <c r="E577" s="14" t="str">
        <f>_xlfn.XLOOKUP($D577,'Chart of Accounts'!$A:$A,'Chart of Accounts'!B:B,"")</f>
        <v>Contract Revenue</v>
      </c>
      <c r="F577" s="14" t="str">
        <f>_xlfn.XLOOKUP($D577,'Chart of Accounts'!$A:$A,'Chart of Accounts'!C:C,"")</f>
        <v>Revenue</v>
      </c>
      <c r="G577" s="14" t="s">
        <v>352</v>
      </c>
      <c r="H577" s="16"/>
      <c r="I577" s="16">
        <v>22060.82</v>
      </c>
      <c r="J577" s="16">
        <v>-22060.82</v>
      </c>
      <c r="K577" s="14" t="s">
        <v>225</v>
      </c>
    </row>
    <row r="578" spans="1:11" ht="15" customHeight="1">
      <c r="A578" s="13">
        <v>45839</v>
      </c>
      <c r="B578" s="14" t="s">
        <v>363</v>
      </c>
      <c r="C578" s="19" t="s">
        <v>18</v>
      </c>
      <c r="D578" s="14" t="s">
        <v>83</v>
      </c>
      <c r="E578" s="14" t="str">
        <f>_xlfn.XLOOKUP($D578,'Chart of Accounts'!$A:$A,'Chart of Accounts'!B:B,"")</f>
        <v>Contract Revenue</v>
      </c>
      <c r="F578" s="14" t="str">
        <f>_xlfn.XLOOKUP($D578,'Chart of Accounts'!$A:$A,'Chart of Accounts'!C:C,"")</f>
        <v>Revenue</v>
      </c>
      <c r="G578" s="14" t="s">
        <v>352</v>
      </c>
      <c r="H578" s="16"/>
      <c r="I578" s="16">
        <v>29414.426666666699</v>
      </c>
      <c r="J578" s="16">
        <v>-29414.426666666699</v>
      </c>
      <c r="K578" s="14" t="s">
        <v>225</v>
      </c>
    </row>
    <row r="579" spans="1:11" ht="15" customHeight="1">
      <c r="A579" s="13">
        <v>45839</v>
      </c>
      <c r="B579" s="14" t="s">
        <v>363</v>
      </c>
      <c r="C579" s="19" t="s">
        <v>20</v>
      </c>
      <c r="D579" s="14" t="s">
        <v>83</v>
      </c>
      <c r="E579" s="14" t="str">
        <f>_xlfn.XLOOKUP($D579,'Chart of Accounts'!$A:$A,'Chart of Accounts'!B:B,"")</f>
        <v>Contract Revenue</v>
      </c>
      <c r="F579" s="14" t="str">
        <f>_xlfn.XLOOKUP($D579,'Chart of Accounts'!$A:$A,'Chart of Accounts'!C:C,"")</f>
        <v>Revenue</v>
      </c>
      <c r="G579" s="14" t="s">
        <v>352</v>
      </c>
      <c r="H579" s="16"/>
      <c r="I579" s="16">
        <v>29414.426666666699</v>
      </c>
      <c r="J579" s="16">
        <v>-29414.426666666699</v>
      </c>
      <c r="K579" s="14" t="s">
        <v>225</v>
      </c>
    </row>
    <row r="580" spans="1:11" ht="15" customHeight="1">
      <c r="A580" s="13">
        <v>45839</v>
      </c>
      <c r="B580" s="14" t="s">
        <v>363</v>
      </c>
      <c r="C580" s="19" t="s">
        <v>12</v>
      </c>
      <c r="D580" s="14" t="s">
        <v>86</v>
      </c>
      <c r="E580" s="14" t="str">
        <f>_xlfn.XLOOKUP($D580,'Chart of Accounts'!$A:$A,'Chart of Accounts'!B:B,"")</f>
        <v>Grant Revenue - Federal</v>
      </c>
      <c r="F580" s="14" t="str">
        <f>_xlfn.XLOOKUP($D580,'Chart of Accounts'!$A:$A,'Chart of Accounts'!C:C,"")</f>
        <v>Revenue</v>
      </c>
      <c r="G580" s="14" t="s">
        <v>352</v>
      </c>
      <c r="H580" s="16"/>
      <c r="I580" s="16">
        <v>11979.8977777778</v>
      </c>
      <c r="J580" s="16">
        <v>-11979.8977777778</v>
      </c>
      <c r="K580" s="14" t="s">
        <v>225</v>
      </c>
    </row>
    <row r="581" spans="1:11" ht="15" customHeight="1">
      <c r="A581" s="13">
        <v>45839</v>
      </c>
      <c r="B581" s="14" t="s">
        <v>363</v>
      </c>
      <c r="C581" s="19" t="s">
        <v>14</v>
      </c>
      <c r="D581" s="14" t="s">
        <v>86</v>
      </c>
      <c r="E581" s="14" t="str">
        <f>_xlfn.XLOOKUP($D581,'Chart of Accounts'!$A:$A,'Chart of Accounts'!B:B,"")</f>
        <v>Grant Revenue - Federal</v>
      </c>
      <c r="F581" s="14" t="str">
        <f>_xlfn.XLOOKUP($D581,'Chart of Accounts'!$A:$A,'Chart of Accounts'!C:C,"")</f>
        <v>Revenue</v>
      </c>
      <c r="G581" s="14" t="s">
        <v>352</v>
      </c>
      <c r="H581" s="16"/>
      <c r="I581" s="16">
        <v>8984.9233333333304</v>
      </c>
      <c r="J581" s="16">
        <v>-8984.9233333333304</v>
      </c>
      <c r="K581" s="14" t="s">
        <v>225</v>
      </c>
    </row>
    <row r="582" spans="1:11" ht="15" customHeight="1">
      <c r="A582" s="13">
        <v>45839</v>
      </c>
      <c r="B582" s="14" t="s">
        <v>363</v>
      </c>
      <c r="C582" s="19" t="s">
        <v>16</v>
      </c>
      <c r="D582" s="14" t="s">
        <v>86</v>
      </c>
      <c r="E582" s="14" t="str">
        <f>_xlfn.XLOOKUP($D582,'Chart of Accounts'!$A:$A,'Chart of Accounts'!B:B,"")</f>
        <v>Grant Revenue - Federal</v>
      </c>
      <c r="F582" s="14" t="str">
        <f>_xlfn.XLOOKUP($D582,'Chart of Accounts'!$A:$A,'Chart of Accounts'!C:C,"")</f>
        <v>Revenue</v>
      </c>
      <c r="G582" s="14" t="s">
        <v>352</v>
      </c>
      <c r="H582" s="16"/>
      <c r="I582" s="16">
        <v>8984.9233333333304</v>
      </c>
      <c r="J582" s="16">
        <v>-8984.9233333333304</v>
      </c>
      <c r="K582" s="14" t="s">
        <v>225</v>
      </c>
    </row>
    <row r="583" spans="1:11" ht="15" customHeight="1">
      <c r="A583" s="13">
        <v>45839</v>
      </c>
      <c r="B583" s="14" t="s">
        <v>363</v>
      </c>
      <c r="C583" s="19" t="s">
        <v>18</v>
      </c>
      <c r="D583" s="14" t="s">
        <v>86</v>
      </c>
      <c r="E583" s="14" t="str">
        <f>_xlfn.XLOOKUP($D583,'Chart of Accounts'!$A:$A,'Chart of Accounts'!B:B,"")</f>
        <v>Grant Revenue - Federal</v>
      </c>
      <c r="F583" s="14" t="str">
        <f>_xlfn.XLOOKUP($D583,'Chart of Accounts'!$A:$A,'Chart of Accounts'!C:C,"")</f>
        <v>Revenue</v>
      </c>
      <c r="G583" s="14" t="s">
        <v>352</v>
      </c>
      <c r="H583" s="16"/>
      <c r="I583" s="16">
        <v>11979.8977777778</v>
      </c>
      <c r="J583" s="16">
        <v>-11979.8977777778</v>
      </c>
      <c r="K583" s="14" t="s">
        <v>225</v>
      </c>
    </row>
    <row r="584" spans="1:11" ht="15" customHeight="1">
      <c r="A584" s="13">
        <v>45839</v>
      </c>
      <c r="B584" s="14" t="s">
        <v>363</v>
      </c>
      <c r="C584" s="19" t="s">
        <v>20</v>
      </c>
      <c r="D584" s="14" t="s">
        <v>86</v>
      </c>
      <c r="E584" s="14" t="str">
        <f>_xlfn.XLOOKUP($D584,'Chart of Accounts'!$A:$A,'Chart of Accounts'!B:B,"")</f>
        <v>Grant Revenue - Federal</v>
      </c>
      <c r="F584" s="14" t="str">
        <f>_xlfn.XLOOKUP($D584,'Chart of Accounts'!$A:$A,'Chart of Accounts'!C:C,"")</f>
        <v>Revenue</v>
      </c>
      <c r="G584" s="14" t="s">
        <v>352</v>
      </c>
      <c r="H584" s="16"/>
      <c r="I584" s="16">
        <v>11979.8977777778</v>
      </c>
      <c r="J584" s="16">
        <v>-11979.8977777778</v>
      </c>
      <c r="K584" s="14" t="s">
        <v>225</v>
      </c>
    </row>
    <row r="585" spans="1:11" ht="15" customHeight="1">
      <c r="A585" s="13">
        <v>45839</v>
      </c>
      <c r="B585" s="14" t="s">
        <v>363</v>
      </c>
      <c r="C585" s="19" t="s">
        <v>12</v>
      </c>
      <c r="D585" s="14" t="s">
        <v>88</v>
      </c>
      <c r="E585" s="14" t="str">
        <f>_xlfn.XLOOKUP($D585,'Chart of Accounts'!$A:$A,'Chart of Accounts'!B:B,"")</f>
        <v>Grant Revenue - Foundation</v>
      </c>
      <c r="F585" s="14" t="str">
        <f>_xlfn.XLOOKUP($D585,'Chart of Accounts'!$A:$A,'Chart of Accounts'!C:C,"")</f>
        <v>Revenue</v>
      </c>
      <c r="G585" s="14" t="s">
        <v>352</v>
      </c>
      <c r="H585" s="16"/>
      <c r="I585" s="16">
        <v>24633.56</v>
      </c>
      <c r="J585" s="16">
        <v>-24633.56</v>
      </c>
      <c r="K585" s="14" t="s">
        <v>225</v>
      </c>
    </row>
    <row r="586" spans="1:11" ht="15" customHeight="1">
      <c r="A586" s="13">
        <v>45839</v>
      </c>
      <c r="B586" s="14" t="s">
        <v>363</v>
      </c>
      <c r="C586" s="19" t="s">
        <v>14</v>
      </c>
      <c r="D586" s="14" t="s">
        <v>88</v>
      </c>
      <c r="E586" s="14" t="str">
        <f>_xlfn.XLOOKUP($D586,'Chart of Accounts'!$A:$A,'Chart of Accounts'!B:B,"")</f>
        <v>Grant Revenue - Foundation</v>
      </c>
      <c r="F586" s="14" t="str">
        <f>_xlfn.XLOOKUP($D586,'Chart of Accounts'!$A:$A,'Chart of Accounts'!C:C,"")</f>
        <v>Revenue</v>
      </c>
      <c r="G586" s="14" t="s">
        <v>352</v>
      </c>
      <c r="H586" s="16"/>
      <c r="I586" s="16">
        <v>18475.169999999998</v>
      </c>
      <c r="J586" s="16">
        <v>-18475.169999999998</v>
      </c>
      <c r="K586" s="14" t="s">
        <v>225</v>
      </c>
    </row>
    <row r="587" spans="1:11" ht="15" customHeight="1">
      <c r="A587" s="13">
        <v>45839</v>
      </c>
      <c r="B587" s="14" t="s">
        <v>363</v>
      </c>
      <c r="C587" s="19" t="s">
        <v>16</v>
      </c>
      <c r="D587" s="14" t="s">
        <v>88</v>
      </c>
      <c r="E587" s="14" t="str">
        <f>_xlfn.XLOOKUP($D587,'Chart of Accounts'!$A:$A,'Chart of Accounts'!B:B,"")</f>
        <v>Grant Revenue - Foundation</v>
      </c>
      <c r="F587" s="14" t="str">
        <f>_xlfn.XLOOKUP($D587,'Chart of Accounts'!$A:$A,'Chart of Accounts'!C:C,"")</f>
        <v>Revenue</v>
      </c>
      <c r="G587" s="14" t="s">
        <v>352</v>
      </c>
      <c r="H587" s="16"/>
      <c r="I587" s="16">
        <v>18475.169999999998</v>
      </c>
      <c r="J587" s="16">
        <v>-18475.169999999998</v>
      </c>
      <c r="K587" s="14" t="s">
        <v>225</v>
      </c>
    </row>
    <row r="588" spans="1:11" ht="15" customHeight="1">
      <c r="A588" s="13">
        <v>45839</v>
      </c>
      <c r="B588" s="14" t="s">
        <v>363</v>
      </c>
      <c r="C588" s="19" t="s">
        <v>18</v>
      </c>
      <c r="D588" s="14" t="s">
        <v>88</v>
      </c>
      <c r="E588" s="14" t="str">
        <f>_xlfn.XLOOKUP($D588,'Chart of Accounts'!$A:$A,'Chart of Accounts'!B:B,"")</f>
        <v>Grant Revenue - Foundation</v>
      </c>
      <c r="F588" s="14" t="str">
        <f>_xlfn.XLOOKUP($D588,'Chart of Accounts'!$A:$A,'Chart of Accounts'!C:C,"")</f>
        <v>Revenue</v>
      </c>
      <c r="G588" s="14" t="s">
        <v>352</v>
      </c>
      <c r="H588" s="16"/>
      <c r="I588" s="16">
        <v>24633.56</v>
      </c>
      <c r="J588" s="16">
        <v>-24633.56</v>
      </c>
      <c r="K588" s="14" t="s">
        <v>225</v>
      </c>
    </row>
    <row r="589" spans="1:11" ht="15" customHeight="1">
      <c r="A589" s="13">
        <v>45839</v>
      </c>
      <c r="B589" s="14" t="s">
        <v>363</v>
      </c>
      <c r="C589" s="19" t="s">
        <v>20</v>
      </c>
      <c r="D589" s="14" t="s">
        <v>88</v>
      </c>
      <c r="E589" s="14" t="str">
        <f>_xlfn.XLOOKUP($D589,'Chart of Accounts'!$A:$A,'Chart of Accounts'!B:B,"")</f>
        <v>Grant Revenue - Foundation</v>
      </c>
      <c r="F589" s="14" t="str">
        <f>_xlfn.XLOOKUP($D589,'Chart of Accounts'!$A:$A,'Chart of Accounts'!C:C,"")</f>
        <v>Revenue</v>
      </c>
      <c r="G589" s="14" t="s">
        <v>352</v>
      </c>
      <c r="H589" s="16"/>
      <c r="I589" s="16">
        <v>24633.56</v>
      </c>
      <c r="J589" s="16">
        <v>-24633.56</v>
      </c>
      <c r="K589" s="14" t="s">
        <v>225</v>
      </c>
    </row>
    <row r="590" spans="1:11" ht="15" customHeight="1">
      <c r="A590" s="13">
        <v>45839</v>
      </c>
      <c r="B590" s="14" t="s">
        <v>363</v>
      </c>
      <c r="C590" s="19" t="s">
        <v>12</v>
      </c>
      <c r="D590" s="14" t="s">
        <v>90</v>
      </c>
      <c r="E590" s="14" t="str">
        <f>_xlfn.XLOOKUP($D590,'Chart of Accounts'!$A:$A,'Chart of Accounts'!B:B,"")</f>
        <v>Fee for Service Revenue</v>
      </c>
      <c r="F590" s="14" t="str">
        <f>_xlfn.XLOOKUP($D590,'Chart of Accounts'!$A:$A,'Chart of Accounts'!C:C,"")</f>
        <v>Revenue</v>
      </c>
      <c r="G590" s="14" t="s">
        <v>352</v>
      </c>
      <c r="H590" s="16"/>
      <c r="I590" s="16">
        <v>12606.1822222222</v>
      </c>
      <c r="J590" s="16">
        <v>-12606.1822222222</v>
      </c>
      <c r="K590" s="14" t="s">
        <v>225</v>
      </c>
    </row>
    <row r="591" spans="1:11" ht="15" customHeight="1">
      <c r="A591" s="13">
        <v>45839</v>
      </c>
      <c r="B591" s="14" t="s">
        <v>363</v>
      </c>
      <c r="C591" s="19" t="s">
        <v>14</v>
      </c>
      <c r="D591" s="14" t="s">
        <v>90</v>
      </c>
      <c r="E591" s="14" t="str">
        <f>_xlfn.XLOOKUP($D591,'Chart of Accounts'!$A:$A,'Chart of Accounts'!B:B,"")</f>
        <v>Fee for Service Revenue</v>
      </c>
      <c r="F591" s="14" t="str">
        <f>_xlfn.XLOOKUP($D591,'Chart of Accounts'!$A:$A,'Chart of Accounts'!C:C,"")</f>
        <v>Revenue</v>
      </c>
      <c r="G591" s="14" t="s">
        <v>352</v>
      </c>
      <c r="H591" s="16"/>
      <c r="I591" s="16">
        <v>9454.6366666666709</v>
      </c>
      <c r="J591" s="16">
        <v>-9454.6366666666709</v>
      </c>
      <c r="K591" s="14" t="s">
        <v>225</v>
      </c>
    </row>
    <row r="592" spans="1:11" ht="15" customHeight="1">
      <c r="A592" s="13">
        <v>45839</v>
      </c>
      <c r="B592" s="14" t="s">
        <v>363</v>
      </c>
      <c r="C592" s="19" t="s">
        <v>16</v>
      </c>
      <c r="D592" s="14" t="s">
        <v>90</v>
      </c>
      <c r="E592" s="14" t="str">
        <f>_xlfn.XLOOKUP($D592,'Chart of Accounts'!$A:$A,'Chart of Accounts'!B:B,"")</f>
        <v>Fee for Service Revenue</v>
      </c>
      <c r="F592" s="14" t="str">
        <f>_xlfn.XLOOKUP($D592,'Chart of Accounts'!$A:$A,'Chart of Accounts'!C:C,"")</f>
        <v>Revenue</v>
      </c>
      <c r="G592" s="14" t="s">
        <v>352</v>
      </c>
      <c r="H592" s="16"/>
      <c r="I592" s="16">
        <v>9454.6366666666709</v>
      </c>
      <c r="J592" s="16">
        <v>-9454.6366666666709</v>
      </c>
      <c r="K592" s="14" t="s">
        <v>225</v>
      </c>
    </row>
    <row r="593" spans="1:11" ht="15" customHeight="1">
      <c r="A593" s="13">
        <v>45839</v>
      </c>
      <c r="B593" s="14" t="s">
        <v>363</v>
      </c>
      <c r="C593" s="19" t="s">
        <v>18</v>
      </c>
      <c r="D593" s="14" t="s">
        <v>90</v>
      </c>
      <c r="E593" s="14" t="str">
        <f>_xlfn.XLOOKUP($D593,'Chart of Accounts'!$A:$A,'Chart of Accounts'!B:B,"")</f>
        <v>Fee for Service Revenue</v>
      </c>
      <c r="F593" s="14" t="str">
        <f>_xlfn.XLOOKUP($D593,'Chart of Accounts'!$A:$A,'Chart of Accounts'!C:C,"")</f>
        <v>Revenue</v>
      </c>
      <c r="G593" s="14" t="s">
        <v>352</v>
      </c>
      <c r="H593" s="16"/>
      <c r="I593" s="16">
        <v>12606.1822222222</v>
      </c>
      <c r="J593" s="16">
        <v>-12606.1822222222</v>
      </c>
      <c r="K593" s="14" t="s">
        <v>225</v>
      </c>
    </row>
    <row r="594" spans="1:11" ht="15" customHeight="1">
      <c r="A594" s="13">
        <v>45839</v>
      </c>
      <c r="B594" s="14" t="s">
        <v>363</v>
      </c>
      <c r="C594" s="19" t="s">
        <v>20</v>
      </c>
      <c r="D594" s="14" t="s">
        <v>90</v>
      </c>
      <c r="E594" s="14" t="str">
        <f>_xlfn.XLOOKUP($D594,'Chart of Accounts'!$A:$A,'Chart of Accounts'!B:B,"")</f>
        <v>Fee for Service Revenue</v>
      </c>
      <c r="F594" s="14" t="str">
        <f>_xlfn.XLOOKUP($D594,'Chart of Accounts'!$A:$A,'Chart of Accounts'!C:C,"")</f>
        <v>Revenue</v>
      </c>
      <c r="G594" s="14" t="s">
        <v>352</v>
      </c>
      <c r="H594" s="16"/>
      <c r="I594" s="16">
        <v>12606.1822222222</v>
      </c>
      <c r="J594" s="16">
        <v>-12606.1822222222</v>
      </c>
      <c r="K594" s="14" t="s">
        <v>225</v>
      </c>
    </row>
    <row r="595" spans="1:11" ht="15" customHeight="1">
      <c r="A595" s="13">
        <v>46174</v>
      </c>
      <c r="B595" s="14" t="s">
        <v>364</v>
      </c>
      <c r="C595" s="19" t="s">
        <v>4</v>
      </c>
      <c r="D595" s="14" t="s">
        <v>31</v>
      </c>
      <c r="E595" s="14" t="str">
        <f>_xlfn.XLOOKUP($D595,'Chart of Accounts'!$A:$A,'Chart of Accounts'!B:B,"")</f>
        <v>Retirement Contributions</v>
      </c>
      <c r="F595" s="14" t="str">
        <f>_xlfn.XLOOKUP($D595,'Chart of Accounts'!$A:$A,'Chart of Accounts'!C:C,"")</f>
        <v>Expense</v>
      </c>
      <c r="G595" s="14" t="s">
        <v>365</v>
      </c>
      <c r="H595" s="16">
        <v>215.27019230769201</v>
      </c>
      <c r="I595" s="16"/>
      <c r="J595" s="16">
        <v>215.27019230769201</v>
      </c>
      <c r="K595" s="14" t="s">
        <v>225</v>
      </c>
    </row>
    <row r="596" spans="1:11" ht="15" customHeight="1">
      <c r="A596" s="13">
        <v>46174</v>
      </c>
      <c r="B596" s="14" t="s">
        <v>364</v>
      </c>
      <c r="C596" s="19" t="s">
        <v>6</v>
      </c>
      <c r="D596" s="14" t="s">
        <v>31</v>
      </c>
      <c r="E596" s="14" t="str">
        <f>_xlfn.XLOOKUP($D596,'Chart of Accounts'!$A:$A,'Chart of Accounts'!B:B,"")</f>
        <v>Retirement Contributions</v>
      </c>
      <c r="F596" s="14" t="str">
        <f>_xlfn.XLOOKUP($D596,'Chart of Accounts'!$A:$A,'Chart of Accounts'!C:C,"")</f>
        <v>Expense</v>
      </c>
      <c r="G596" s="14" t="s">
        <v>365</v>
      </c>
      <c r="H596" s="16">
        <v>287.02692307692303</v>
      </c>
      <c r="I596" s="16"/>
      <c r="J596" s="16">
        <v>287.02692307692303</v>
      </c>
      <c r="K596" s="14" t="s">
        <v>225</v>
      </c>
    </row>
    <row r="597" spans="1:11" ht="15" customHeight="1">
      <c r="A597" s="13">
        <v>46174</v>
      </c>
      <c r="B597" s="14" t="s">
        <v>364</v>
      </c>
      <c r="C597" s="19" t="s">
        <v>8</v>
      </c>
      <c r="D597" s="14" t="s">
        <v>31</v>
      </c>
      <c r="E597" s="14" t="str">
        <f>_xlfn.XLOOKUP($D597,'Chart of Accounts'!$A:$A,'Chart of Accounts'!B:B,"")</f>
        <v>Retirement Contributions</v>
      </c>
      <c r="F597" s="14" t="str">
        <f>_xlfn.XLOOKUP($D597,'Chart of Accounts'!$A:$A,'Chart of Accounts'!C:C,"")</f>
        <v>Expense</v>
      </c>
      <c r="G597" s="14" t="s">
        <v>365</v>
      </c>
      <c r="H597" s="16">
        <v>430.54038461538499</v>
      </c>
      <c r="I597" s="16"/>
      <c r="J597" s="16">
        <v>430.54038461538499</v>
      </c>
      <c r="K597" s="14" t="s">
        <v>225</v>
      </c>
    </row>
    <row r="598" spans="1:11" ht="15" customHeight="1">
      <c r="A598" s="13">
        <v>46174</v>
      </c>
      <c r="B598" s="14" t="s">
        <v>364</v>
      </c>
      <c r="C598" s="19" t="s">
        <v>10</v>
      </c>
      <c r="D598" s="14" t="s">
        <v>31</v>
      </c>
      <c r="E598" s="14" t="str">
        <f>_xlfn.XLOOKUP($D598,'Chart of Accounts'!$A:$A,'Chart of Accounts'!B:B,"")</f>
        <v>Retirement Contributions</v>
      </c>
      <c r="F598" s="14" t="str">
        <f>_xlfn.XLOOKUP($D598,'Chart of Accounts'!$A:$A,'Chart of Accounts'!C:C,"")</f>
        <v>Expense</v>
      </c>
      <c r="G598" s="14" t="s">
        <v>365</v>
      </c>
      <c r="H598" s="16">
        <v>143.513461538462</v>
      </c>
      <c r="I598" s="16"/>
      <c r="J598" s="16">
        <v>143.513461538462</v>
      </c>
      <c r="K598" s="14" t="s">
        <v>225</v>
      </c>
    </row>
    <row r="599" spans="1:11" ht="15" customHeight="1">
      <c r="A599" s="13">
        <v>46174</v>
      </c>
      <c r="B599" s="14" t="s">
        <v>364</v>
      </c>
      <c r="C599" s="19" t="s">
        <v>12</v>
      </c>
      <c r="D599" s="14" t="s">
        <v>31</v>
      </c>
      <c r="E599" s="14" t="str">
        <f>_xlfn.XLOOKUP($D599,'Chart of Accounts'!$A:$A,'Chart of Accounts'!B:B,"")</f>
        <v>Retirement Contributions</v>
      </c>
      <c r="F599" s="14" t="str">
        <f>_xlfn.XLOOKUP($D599,'Chart of Accounts'!$A:$A,'Chart of Accounts'!C:C,"")</f>
        <v>Expense</v>
      </c>
      <c r="G599" s="14" t="s">
        <v>365</v>
      </c>
      <c r="H599" s="16">
        <v>502.29711538461498</v>
      </c>
      <c r="I599" s="16"/>
      <c r="J599" s="16">
        <v>502.29711538461498</v>
      </c>
      <c r="K599" s="14" t="s">
        <v>225</v>
      </c>
    </row>
    <row r="600" spans="1:11" ht="15" customHeight="1">
      <c r="A600" s="13">
        <v>46174</v>
      </c>
      <c r="B600" s="14" t="s">
        <v>364</v>
      </c>
      <c r="C600" s="19" t="s">
        <v>14</v>
      </c>
      <c r="D600" s="14" t="s">
        <v>31</v>
      </c>
      <c r="E600" s="14" t="str">
        <f>_xlfn.XLOOKUP($D600,'Chart of Accounts'!$A:$A,'Chart of Accounts'!B:B,"")</f>
        <v>Retirement Contributions</v>
      </c>
      <c r="F600" s="14" t="str">
        <f>_xlfn.XLOOKUP($D600,'Chart of Accounts'!$A:$A,'Chart of Accounts'!C:C,"")</f>
        <v>Expense</v>
      </c>
      <c r="G600" s="14" t="s">
        <v>365</v>
      </c>
      <c r="H600" s="16">
        <v>574.05384615384605</v>
      </c>
      <c r="I600" s="16"/>
      <c r="J600" s="16">
        <v>574.05384615384605</v>
      </c>
      <c r="K600" s="14" t="s">
        <v>225</v>
      </c>
    </row>
    <row r="601" spans="1:11" ht="15" customHeight="1">
      <c r="A601" s="13">
        <v>46174</v>
      </c>
      <c r="B601" s="14" t="s">
        <v>364</v>
      </c>
      <c r="C601" s="19" t="s">
        <v>16</v>
      </c>
      <c r="D601" s="14" t="s">
        <v>31</v>
      </c>
      <c r="E601" s="14" t="str">
        <f>_xlfn.XLOOKUP($D601,'Chart of Accounts'!$A:$A,'Chart of Accounts'!B:B,"")</f>
        <v>Retirement Contributions</v>
      </c>
      <c r="F601" s="14" t="str">
        <f>_xlfn.XLOOKUP($D601,'Chart of Accounts'!$A:$A,'Chart of Accounts'!C:C,"")</f>
        <v>Expense</v>
      </c>
      <c r="G601" s="14" t="s">
        <v>365</v>
      </c>
      <c r="H601" s="16">
        <v>287.02692307692303</v>
      </c>
      <c r="I601" s="16"/>
      <c r="J601" s="16">
        <v>287.02692307692303</v>
      </c>
      <c r="K601" s="14" t="s">
        <v>225</v>
      </c>
    </row>
    <row r="602" spans="1:11" ht="15" customHeight="1">
      <c r="A602" s="13">
        <v>46174</v>
      </c>
      <c r="B602" s="14" t="s">
        <v>364</v>
      </c>
      <c r="C602" s="19" t="s">
        <v>18</v>
      </c>
      <c r="D602" s="14" t="s">
        <v>31</v>
      </c>
      <c r="E602" s="14" t="str">
        <f>_xlfn.XLOOKUP($D602,'Chart of Accounts'!$A:$A,'Chart of Accounts'!B:B,"")</f>
        <v>Retirement Contributions</v>
      </c>
      <c r="F602" s="14" t="str">
        <f>_xlfn.XLOOKUP($D602,'Chart of Accounts'!$A:$A,'Chart of Accounts'!C:C,"")</f>
        <v>Expense</v>
      </c>
      <c r="G602" s="14" t="s">
        <v>365</v>
      </c>
      <c r="H602" s="16">
        <v>574.05384615384605</v>
      </c>
      <c r="I602" s="16"/>
      <c r="J602" s="16">
        <v>574.05384615384605</v>
      </c>
      <c r="K602" s="14" t="s">
        <v>225</v>
      </c>
    </row>
    <row r="603" spans="1:11" ht="15" customHeight="1">
      <c r="A603" s="13">
        <v>46174</v>
      </c>
      <c r="B603" s="14" t="s">
        <v>364</v>
      </c>
      <c r="C603" s="19" t="s">
        <v>20</v>
      </c>
      <c r="D603" s="14" t="s">
        <v>31</v>
      </c>
      <c r="E603" s="14" t="str">
        <f>_xlfn.XLOOKUP($D603,'Chart of Accounts'!$A:$A,'Chart of Accounts'!B:B,"")</f>
        <v>Retirement Contributions</v>
      </c>
      <c r="F603" s="14" t="str">
        <f>_xlfn.XLOOKUP($D603,'Chart of Accounts'!$A:$A,'Chart of Accounts'!C:C,"")</f>
        <v>Expense</v>
      </c>
      <c r="G603" s="14" t="s">
        <v>365</v>
      </c>
      <c r="H603" s="16">
        <v>717.56730769230796</v>
      </c>
      <c r="I603" s="16"/>
      <c r="J603" s="16">
        <v>717.56730769230796</v>
      </c>
      <c r="K603" s="14" t="s">
        <v>225</v>
      </c>
    </row>
    <row r="604" spans="1:11" ht="15" customHeight="1">
      <c r="A604" s="13">
        <v>46143</v>
      </c>
      <c r="B604" s="14" t="s">
        <v>366</v>
      </c>
      <c r="C604" s="19" t="s">
        <v>4</v>
      </c>
      <c r="D604" s="14" t="s">
        <v>31</v>
      </c>
      <c r="E604" s="14" t="str">
        <f>_xlfn.XLOOKUP($D604,'Chart of Accounts'!$A:$A,'Chart of Accounts'!B:B,"")</f>
        <v>Retirement Contributions</v>
      </c>
      <c r="F604" s="14" t="str">
        <f>_xlfn.XLOOKUP($D604,'Chart of Accounts'!$A:$A,'Chart of Accounts'!C:C,"")</f>
        <v>Expense</v>
      </c>
      <c r="G604" s="14" t="s">
        <v>365</v>
      </c>
      <c r="H604" s="16">
        <v>205.72673076923101</v>
      </c>
      <c r="I604" s="16"/>
      <c r="J604" s="16">
        <v>205.72673076923101</v>
      </c>
      <c r="K604" s="14" t="s">
        <v>225</v>
      </c>
    </row>
    <row r="605" spans="1:11" ht="15" customHeight="1">
      <c r="A605" s="13">
        <v>46143</v>
      </c>
      <c r="B605" s="14" t="s">
        <v>366</v>
      </c>
      <c r="C605" s="19" t="s">
        <v>6</v>
      </c>
      <c r="D605" s="14" t="s">
        <v>31</v>
      </c>
      <c r="E605" s="14" t="str">
        <f>_xlfn.XLOOKUP($D605,'Chart of Accounts'!$A:$A,'Chart of Accounts'!B:B,"")</f>
        <v>Retirement Contributions</v>
      </c>
      <c r="F605" s="14" t="str">
        <f>_xlfn.XLOOKUP($D605,'Chart of Accounts'!$A:$A,'Chart of Accounts'!C:C,"")</f>
        <v>Expense</v>
      </c>
      <c r="G605" s="14" t="s">
        <v>365</v>
      </c>
      <c r="H605" s="16">
        <v>274.30230769230798</v>
      </c>
      <c r="I605" s="16"/>
      <c r="J605" s="16">
        <v>274.30230769230798</v>
      </c>
      <c r="K605" s="14" t="s">
        <v>225</v>
      </c>
    </row>
    <row r="606" spans="1:11" ht="15" customHeight="1">
      <c r="A606" s="13">
        <v>46143</v>
      </c>
      <c r="B606" s="14" t="s">
        <v>366</v>
      </c>
      <c r="C606" s="19" t="s">
        <v>8</v>
      </c>
      <c r="D606" s="14" t="s">
        <v>31</v>
      </c>
      <c r="E606" s="14" t="str">
        <f>_xlfn.XLOOKUP($D606,'Chart of Accounts'!$A:$A,'Chart of Accounts'!B:B,"")</f>
        <v>Retirement Contributions</v>
      </c>
      <c r="F606" s="14" t="str">
        <f>_xlfn.XLOOKUP($D606,'Chart of Accounts'!$A:$A,'Chart of Accounts'!C:C,"")</f>
        <v>Expense</v>
      </c>
      <c r="G606" s="14" t="s">
        <v>365</v>
      </c>
      <c r="H606" s="16">
        <v>411.45346153846202</v>
      </c>
      <c r="I606" s="16"/>
      <c r="J606" s="16">
        <v>411.45346153846202</v>
      </c>
      <c r="K606" s="14" t="s">
        <v>225</v>
      </c>
    </row>
    <row r="607" spans="1:11" ht="15" customHeight="1">
      <c r="A607" s="13">
        <v>46143</v>
      </c>
      <c r="B607" s="14" t="s">
        <v>366</v>
      </c>
      <c r="C607" s="19" t="s">
        <v>10</v>
      </c>
      <c r="D607" s="14" t="s">
        <v>31</v>
      </c>
      <c r="E607" s="14" t="str">
        <f>_xlfn.XLOOKUP($D607,'Chart of Accounts'!$A:$A,'Chart of Accounts'!B:B,"")</f>
        <v>Retirement Contributions</v>
      </c>
      <c r="F607" s="14" t="str">
        <f>_xlfn.XLOOKUP($D607,'Chart of Accounts'!$A:$A,'Chart of Accounts'!C:C,"")</f>
        <v>Expense</v>
      </c>
      <c r="G607" s="14" t="s">
        <v>365</v>
      </c>
      <c r="H607" s="16">
        <v>137.15115384615399</v>
      </c>
      <c r="I607" s="16"/>
      <c r="J607" s="16">
        <v>137.15115384615399</v>
      </c>
      <c r="K607" s="14" t="s">
        <v>225</v>
      </c>
    </row>
    <row r="608" spans="1:11" ht="15" customHeight="1">
      <c r="A608" s="13">
        <v>46143</v>
      </c>
      <c r="B608" s="14" t="s">
        <v>366</v>
      </c>
      <c r="C608" s="19" t="s">
        <v>12</v>
      </c>
      <c r="D608" s="14" t="s">
        <v>31</v>
      </c>
      <c r="E608" s="14" t="str">
        <f>_xlfn.XLOOKUP($D608,'Chart of Accounts'!$A:$A,'Chart of Accounts'!B:B,"")</f>
        <v>Retirement Contributions</v>
      </c>
      <c r="F608" s="14" t="str">
        <f>_xlfn.XLOOKUP($D608,'Chart of Accounts'!$A:$A,'Chart of Accounts'!C:C,"")</f>
        <v>Expense</v>
      </c>
      <c r="G608" s="14" t="s">
        <v>365</v>
      </c>
      <c r="H608" s="16">
        <v>480.02903846153902</v>
      </c>
      <c r="I608" s="16"/>
      <c r="J608" s="16">
        <v>480.02903846153902</v>
      </c>
      <c r="K608" s="14" t="s">
        <v>225</v>
      </c>
    </row>
    <row r="609" spans="1:11" ht="15" customHeight="1">
      <c r="A609" s="13">
        <v>46143</v>
      </c>
      <c r="B609" s="14" t="s">
        <v>366</v>
      </c>
      <c r="C609" s="19" t="s">
        <v>14</v>
      </c>
      <c r="D609" s="14" t="s">
        <v>31</v>
      </c>
      <c r="E609" s="14" t="str">
        <f>_xlfn.XLOOKUP($D609,'Chart of Accounts'!$A:$A,'Chart of Accounts'!B:B,"")</f>
        <v>Retirement Contributions</v>
      </c>
      <c r="F609" s="14" t="str">
        <f>_xlfn.XLOOKUP($D609,'Chart of Accounts'!$A:$A,'Chart of Accounts'!C:C,"")</f>
        <v>Expense</v>
      </c>
      <c r="G609" s="14" t="s">
        <v>365</v>
      </c>
      <c r="H609" s="16">
        <v>548.60461538461595</v>
      </c>
      <c r="I609" s="16"/>
      <c r="J609" s="16">
        <v>548.60461538461595</v>
      </c>
      <c r="K609" s="14" t="s">
        <v>225</v>
      </c>
    </row>
    <row r="610" spans="1:11" ht="15" customHeight="1">
      <c r="A610" s="13">
        <v>46143</v>
      </c>
      <c r="B610" s="14" t="s">
        <v>366</v>
      </c>
      <c r="C610" s="19" t="s">
        <v>16</v>
      </c>
      <c r="D610" s="14" t="s">
        <v>31</v>
      </c>
      <c r="E610" s="14" t="str">
        <f>_xlfn.XLOOKUP($D610,'Chart of Accounts'!$A:$A,'Chart of Accounts'!B:B,"")</f>
        <v>Retirement Contributions</v>
      </c>
      <c r="F610" s="14" t="str">
        <f>_xlfn.XLOOKUP($D610,'Chart of Accounts'!$A:$A,'Chart of Accounts'!C:C,"")</f>
        <v>Expense</v>
      </c>
      <c r="G610" s="14" t="s">
        <v>365</v>
      </c>
      <c r="H610" s="16">
        <v>274.30230769230798</v>
      </c>
      <c r="I610" s="16"/>
      <c r="J610" s="16">
        <v>274.30230769230798</v>
      </c>
      <c r="K610" s="14" t="s">
        <v>225</v>
      </c>
    </row>
    <row r="611" spans="1:11" ht="15" customHeight="1">
      <c r="A611" s="13">
        <v>46143</v>
      </c>
      <c r="B611" s="14" t="s">
        <v>366</v>
      </c>
      <c r="C611" s="19" t="s">
        <v>18</v>
      </c>
      <c r="D611" s="14" t="s">
        <v>31</v>
      </c>
      <c r="E611" s="14" t="str">
        <f>_xlfn.XLOOKUP($D611,'Chart of Accounts'!$A:$A,'Chart of Accounts'!B:B,"")</f>
        <v>Retirement Contributions</v>
      </c>
      <c r="F611" s="14" t="str">
        <f>_xlfn.XLOOKUP($D611,'Chart of Accounts'!$A:$A,'Chart of Accounts'!C:C,"")</f>
        <v>Expense</v>
      </c>
      <c r="G611" s="14" t="s">
        <v>365</v>
      </c>
      <c r="H611" s="16">
        <v>548.60461538461595</v>
      </c>
      <c r="I611" s="16"/>
      <c r="J611" s="16">
        <v>548.60461538461595</v>
      </c>
      <c r="K611" s="14" t="s">
        <v>225</v>
      </c>
    </row>
    <row r="612" spans="1:11" ht="15" customHeight="1">
      <c r="A612" s="13">
        <v>46143</v>
      </c>
      <c r="B612" s="14" t="s">
        <v>366</v>
      </c>
      <c r="C612" s="19" t="s">
        <v>20</v>
      </c>
      <c r="D612" s="14" t="s">
        <v>31</v>
      </c>
      <c r="E612" s="14" t="str">
        <f>_xlfn.XLOOKUP($D612,'Chart of Accounts'!$A:$A,'Chart of Accounts'!B:B,"")</f>
        <v>Retirement Contributions</v>
      </c>
      <c r="F612" s="14" t="str">
        <f>_xlfn.XLOOKUP($D612,'Chart of Accounts'!$A:$A,'Chart of Accounts'!C:C,"")</f>
        <v>Expense</v>
      </c>
      <c r="G612" s="14" t="s">
        <v>365</v>
      </c>
      <c r="H612" s="16">
        <v>685.75576923076903</v>
      </c>
      <c r="I612" s="16"/>
      <c r="J612" s="16">
        <v>685.75576923076903</v>
      </c>
      <c r="K612" s="14" t="s">
        <v>225</v>
      </c>
    </row>
    <row r="613" spans="1:11" ht="15" customHeight="1">
      <c r="A613" s="13">
        <v>46113</v>
      </c>
      <c r="B613" s="14" t="s">
        <v>367</v>
      </c>
      <c r="C613" s="19" t="s">
        <v>4</v>
      </c>
      <c r="D613" s="14" t="s">
        <v>31</v>
      </c>
      <c r="E613" s="14" t="str">
        <f>_xlfn.XLOOKUP($D613,'Chart of Accounts'!$A:$A,'Chart of Accounts'!B:B,"")</f>
        <v>Retirement Contributions</v>
      </c>
      <c r="F613" s="14" t="str">
        <f>_xlfn.XLOOKUP($D613,'Chart of Accounts'!$A:$A,'Chart of Accounts'!C:C,"")</f>
        <v>Expense</v>
      </c>
      <c r="G613" s="14" t="s">
        <v>365</v>
      </c>
      <c r="H613" s="16">
        <v>220.12269230769201</v>
      </c>
      <c r="I613" s="16"/>
      <c r="J613" s="16">
        <v>220.12269230769201</v>
      </c>
      <c r="K613" s="14" t="s">
        <v>225</v>
      </c>
    </row>
    <row r="614" spans="1:11" ht="15" customHeight="1">
      <c r="A614" s="13">
        <v>46113</v>
      </c>
      <c r="B614" s="14" t="s">
        <v>367</v>
      </c>
      <c r="C614" s="19" t="s">
        <v>6</v>
      </c>
      <c r="D614" s="14" t="s">
        <v>31</v>
      </c>
      <c r="E614" s="14" t="str">
        <f>_xlfn.XLOOKUP($D614,'Chart of Accounts'!$A:$A,'Chart of Accounts'!B:B,"")</f>
        <v>Retirement Contributions</v>
      </c>
      <c r="F614" s="14" t="str">
        <f>_xlfn.XLOOKUP($D614,'Chart of Accounts'!$A:$A,'Chart of Accounts'!C:C,"")</f>
        <v>Expense</v>
      </c>
      <c r="G614" s="14" t="s">
        <v>365</v>
      </c>
      <c r="H614" s="16">
        <v>293.496923076923</v>
      </c>
      <c r="I614" s="16"/>
      <c r="J614" s="16">
        <v>293.496923076923</v>
      </c>
      <c r="K614" s="14" t="s">
        <v>225</v>
      </c>
    </row>
    <row r="615" spans="1:11" ht="15" customHeight="1">
      <c r="A615" s="13">
        <v>46113</v>
      </c>
      <c r="B615" s="14" t="s">
        <v>367</v>
      </c>
      <c r="C615" s="19" t="s">
        <v>8</v>
      </c>
      <c r="D615" s="14" t="s">
        <v>31</v>
      </c>
      <c r="E615" s="14" t="str">
        <f>_xlfn.XLOOKUP($D615,'Chart of Accounts'!$A:$A,'Chart of Accounts'!B:B,"")</f>
        <v>Retirement Contributions</v>
      </c>
      <c r="F615" s="14" t="str">
        <f>_xlfn.XLOOKUP($D615,'Chart of Accounts'!$A:$A,'Chart of Accounts'!C:C,"")</f>
        <v>Expense</v>
      </c>
      <c r="G615" s="14" t="s">
        <v>365</v>
      </c>
      <c r="H615" s="16">
        <v>293.496923076923</v>
      </c>
      <c r="I615" s="16"/>
      <c r="J615" s="16">
        <v>293.496923076923</v>
      </c>
      <c r="K615" s="14" t="s">
        <v>225</v>
      </c>
    </row>
    <row r="616" spans="1:11" ht="15" customHeight="1">
      <c r="A616" s="13">
        <v>46113</v>
      </c>
      <c r="B616" s="14" t="s">
        <v>367</v>
      </c>
      <c r="C616" s="19" t="s">
        <v>10</v>
      </c>
      <c r="D616" s="14" t="s">
        <v>31</v>
      </c>
      <c r="E616" s="14" t="str">
        <f>_xlfn.XLOOKUP($D616,'Chart of Accounts'!$A:$A,'Chart of Accounts'!B:B,"")</f>
        <v>Retirement Contributions</v>
      </c>
      <c r="F616" s="14" t="str">
        <f>_xlfn.XLOOKUP($D616,'Chart of Accounts'!$A:$A,'Chart of Accounts'!C:C,"")</f>
        <v>Expense</v>
      </c>
      <c r="G616" s="14" t="s">
        <v>365</v>
      </c>
      <c r="H616" s="16">
        <v>146.74846153846201</v>
      </c>
      <c r="I616" s="16"/>
      <c r="J616" s="16">
        <v>146.74846153846201</v>
      </c>
      <c r="K616" s="14" t="s">
        <v>225</v>
      </c>
    </row>
    <row r="617" spans="1:11" ht="15" customHeight="1">
      <c r="A617" s="13">
        <v>46113</v>
      </c>
      <c r="B617" s="14" t="s">
        <v>367</v>
      </c>
      <c r="C617" s="19" t="s">
        <v>12</v>
      </c>
      <c r="D617" s="14" t="s">
        <v>31</v>
      </c>
      <c r="E617" s="14" t="str">
        <f>_xlfn.XLOOKUP($D617,'Chart of Accounts'!$A:$A,'Chart of Accounts'!B:B,"")</f>
        <v>Retirement Contributions</v>
      </c>
      <c r="F617" s="14" t="str">
        <f>_xlfn.XLOOKUP($D617,'Chart of Accounts'!$A:$A,'Chart of Accounts'!C:C,"")</f>
        <v>Expense</v>
      </c>
      <c r="G617" s="14" t="s">
        <v>365</v>
      </c>
      <c r="H617" s="16">
        <v>513.61961538461503</v>
      </c>
      <c r="I617" s="16"/>
      <c r="J617" s="16">
        <v>513.61961538461503</v>
      </c>
      <c r="K617" s="14" t="s">
        <v>225</v>
      </c>
    </row>
    <row r="618" spans="1:11" ht="15" customHeight="1">
      <c r="A618" s="13">
        <v>46113</v>
      </c>
      <c r="B618" s="14" t="s">
        <v>367</v>
      </c>
      <c r="C618" s="19" t="s">
        <v>14</v>
      </c>
      <c r="D618" s="14" t="s">
        <v>31</v>
      </c>
      <c r="E618" s="14" t="str">
        <f>_xlfn.XLOOKUP($D618,'Chart of Accounts'!$A:$A,'Chart of Accounts'!B:B,"")</f>
        <v>Retirement Contributions</v>
      </c>
      <c r="F618" s="14" t="str">
        <f>_xlfn.XLOOKUP($D618,'Chart of Accounts'!$A:$A,'Chart of Accounts'!C:C,"")</f>
        <v>Expense</v>
      </c>
      <c r="G618" s="14" t="s">
        <v>365</v>
      </c>
      <c r="H618" s="16">
        <v>586.99384615384599</v>
      </c>
      <c r="I618" s="16"/>
      <c r="J618" s="16">
        <v>586.99384615384599</v>
      </c>
      <c r="K618" s="14" t="s">
        <v>225</v>
      </c>
    </row>
    <row r="619" spans="1:11" ht="15" customHeight="1">
      <c r="A619" s="13">
        <v>46113</v>
      </c>
      <c r="B619" s="14" t="s">
        <v>367</v>
      </c>
      <c r="C619" s="19" t="s">
        <v>16</v>
      </c>
      <c r="D619" s="14" t="s">
        <v>31</v>
      </c>
      <c r="E619" s="14" t="str">
        <f>_xlfn.XLOOKUP($D619,'Chart of Accounts'!$A:$A,'Chart of Accounts'!B:B,"")</f>
        <v>Retirement Contributions</v>
      </c>
      <c r="F619" s="14" t="str">
        <f>_xlfn.XLOOKUP($D619,'Chart of Accounts'!$A:$A,'Chart of Accounts'!C:C,"")</f>
        <v>Expense</v>
      </c>
      <c r="G619" s="14" t="s">
        <v>365</v>
      </c>
      <c r="H619" s="16">
        <v>440.24538461538498</v>
      </c>
      <c r="I619" s="16"/>
      <c r="J619" s="16">
        <v>440.24538461538498</v>
      </c>
      <c r="K619" s="14" t="s">
        <v>225</v>
      </c>
    </row>
    <row r="620" spans="1:11" ht="15" customHeight="1">
      <c r="A620" s="13">
        <v>46113</v>
      </c>
      <c r="B620" s="14" t="s">
        <v>367</v>
      </c>
      <c r="C620" s="19" t="s">
        <v>18</v>
      </c>
      <c r="D620" s="14" t="s">
        <v>31</v>
      </c>
      <c r="E620" s="14" t="str">
        <f>_xlfn.XLOOKUP($D620,'Chart of Accounts'!$A:$A,'Chart of Accounts'!B:B,"")</f>
        <v>Retirement Contributions</v>
      </c>
      <c r="F620" s="14" t="str">
        <f>_xlfn.XLOOKUP($D620,'Chart of Accounts'!$A:$A,'Chart of Accounts'!C:C,"")</f>
        <v>Expense</v>
      </c>
      <c r="G620" s="14" t="s">
        <v>365</v>
      </c>
      <c r="H620" s="16">
        <v>586.99384615384599</v>
      </c>
      <c r="I620" s="16"/>
      <c r="J620" s="16">
        <v>586.99384615384599</v>
      </c>
      <c r="K620" s="14" t="s">
        <v>225</v>
      </c>
    </row>
    <row r="621" spans="1:11" ht="15" customHeight="1">
      <c r="A621" s="13">
        <v>46113</v>
      </c>
      <c r="B621" s="14" t="s">
        <v>367</v>
      </c>
      <c r="C621" s="19" t="s">
        <v>20</v>
      </c>
      <c r="D621" s="14" t="s">
        <v>31</v>
      </c>
      <c r="E621" s="14" t="str">
        <f>_xlfn.XLOOKUP($D621,'Chart of Accounts'!$A:$A,'Chart of Accounts'!B:B,"")</f>
        <v>Retirement Contributions</v>
      </c>
      <c r="F621" s="14" t="str">
        <f>_xlfn.XLOOKUP($D621,'Chart of Accounts'!$A:$A,'Chart of Accounts'!C:C,"")</f>
        <v>Expense</v>
      </c>
      <c r="G621" s="14" t="s">
        <v>365</v>
      </c>
      <c r="H621" s="16">
        <v>733.74230769230803</v>
      </c>
      <c r="I621" s="16"/>
      <c r="J621" s="16">
        <v>733.74230769230803</v>
      </c>
      <c r="K621" s="14" t="s">
        <v>225</v>
      </c>
    </row>
    <row r="622" spans="1:11" ht="15" customHeight="1">
      <c r="A622" s="13">
        <v>46082</v>
      </c>
      <c r="B622" s="14" t="s">
        <v>368</v>
      </c>
      <c r="C622" s="19" t="s">
        <v>4</v>
      </c>
      <c r="D622" s="14" t="s">
        <v>31</v>
      </c>
      <c r="E622" s="14" t="str">
        <f>_xlfn.XLOOKUP($D622,'Chart of Accounts'!$A:$A,'Chart of Accounts'!B:B,"")</f>
        <v>Retirement Contributions</v>
      </c>
      <c r="F622" s="14" t="str">
        <f>_xlfn.XLOOKUP($D622,'Chart of Accounts'!$A:$A,'Chart of Accounts'!C:C,"")</f>
        <v>Expense</v>
      </c>
      <c r="G622" s="14" t="s">
        <v>365</v>
      </c>
      <c r="H622" s="16">
        <v>218.33653846153899</v>
      </c>
      <c r="I622" s="16"/>
      <c r="J622" s="16">
        <v>218.33653846153899</v>
      </c>
      <c r="K622" s="14" t="s">
        <v>225</v>
      </c>
    </row>
    <row r="623" spans="1:11" ht="15" customHeight="1">
      <c r="A623" s="13">
        <v>46082</v>
      </c>
      <c r="B623" s="14" t="s">
        <v>368</v>
      </c>
      <c r="C623" s="19" t="s">
        <v>6</v>
      </c>
      <c r="D623" s="14" t="s">
        <v>31</v>
      </c>
      <c r="E623" s="14" t="str">
        <f>_xlfn.XLOOKUP($D623,'Chart of Accounts'!$A:$A,'Chart of Accounts'!B:B,"")</f>
        <v>Retirement Contributions</v>
      </c>
      <c r="F623" s="14" t="str">
        <f>_xlfn.XLOOKUP($D623,'Chart of Accounts'!$A:$A,'Chart of Accounts'!C:C,"")</f>
        <v>Expense</v>
      </c>
      <c r="G623" s="14" t="s">
        <v>365</v>
      </c>
      <c r="H623" s="16">
        <v>291.11538461538498</v>
      </c>
      <c r="I623" s="16"/>
      <c r="J623" s="16">
        <v>291.11538461538498</v>
      </c>
      <c r="K623" s="14" t="s">
        <v>225</v>
      </c>
    </row>
    <row r="624" spans="1:11" ht="15" customHeight="1">
      <c r="A624" s="13">
        <v>46082</v>
      </c>
      <c r="B624" s="14" t="s">
        <v>368</v>
      </c>
      <c r="C624" s="19" t="s">
        <v>8</v>
      </c>
      <c r="D624" s="14" t="s">
        <v>31</v>
      </c>
      <c r="E624" s="14" t="str">
        <f>_xlfn.XLOOKUP($D624,'Chart of Accounts'!$A:$A,'Chart of Accounts'!B:B,"")</f>
        <v>Retirement Contributions</v>
      </c>
      <c r="F624" s="14" t="str">
        <f>_xlfn.XLOOKUP($D624,'Chart of Accounts'!$A:$A,'Chart of Accounts'!C:C,"")</f>
        <v>Expense</v>
      </c>
      <c r="G624" s="14" t="s">
        <v>365</v>
      </c>
      <c r="H624" s="16">
        <v>291.11538461538498</v>
      </c>
      <c r="I624" s="16"/>
      <c r="J624" s="16">
        <v>291.11538461538498</v>
      </c>
      <c r="K624" s="14" t="s">
        <v>225</v>
      </c>
    </row>
    <row r="625" spans="1:11" ht="15" customHeight="1">
      <c r="A625" s="13">
        <v>46082</v>
      </c>
      <c r="B625" s="14" t="s">
        <v>368</v>
      </c>
      <c r="C625" s="19" t="s">
        <v>10</v>
      </c>
      <c r="D625" s="14" t="s">
        <v>31</v>
      </c>
      <c r="E625" s="14" t="str">
        <f>_xlfn.XLOOKUP($D625,'Chart of Accounts'!$A:$A,'Chart of Accounts'!B:B,"")</f>
        <v>Retirement Contributions</v>
      </c>
      <c r="F625" s="14" t="str">
        <f>_xlfn.XLOOKUP($D625,'Chart of Accounts'!$A:$A,'Chart of Accounts'!C:C,"")</f>
        <v>Expense</v>
      </c>
      <c r="G625" s="14" t="s">
        <v>365</v>
      </c>
      <c r="H625" s="16">
        <v>145.55769230769201</v>
      </c>
      <c r="I625" s="16"/>
      <c r="J625" s="16">
        <v>145.55769230769201</v>
      </c>
      <c r="K625" s="14" t="s">
        <v>225</v>
      </c>
    </row>
    <row r="626" spans="1:11" ht="15" customHeight="1">
      <c r="A626" s="13">
        <v>46082</v>
      </c>
      <c r="B626" s="14" t="s">
        <v>368</v>
      </c>
      <c r="C626" s="19" t="s">
        <v>12</v>
      </c>
      <c r="D626" s="14" t="s">
        <v>31</v>
      </c>
      <c r="E626" s="14" t="str">
        <f>_xlfn.XLOOKUP($D626,'Chart of Accounts'!$A:$A,'Chart of Accounts'!B:B,"")</f>
        <v>Retirement Contributions</v>
      </c>
      <c r="F626" s="14" t="str">
        <f>_xlfn.XLOOKUP($D626,'Chart of Accounts'!$A:$A,'Chart of Accounts'!C:C,"")</f>
        <v>Expense</v>
      </c>
      <c r="G626" s="14" t="s">
        <v>365</v>
      </c>
      <c r="H626" s="16">
        <v>509.45192307692298</v>
      </c>
      <c r="I626" s="16"/>
      <c r="J626" s="16">
        <v>509.45192307692298</v>
      </c>
      <c r="K626" s="14" t="s">
        <v>225</v>
      </c>
    </row>
    <row r="627" spans="1:11" ht="15" customHeight="1">
      <c r="A627" s="13">
        <v>46082</v>
      </c>
      <c r="B627" s="14" t="s">
        <v>368</v>
      </c>
      <c r="C627" s="19" t="s">
        <v>14</v>
      </c>
      <c r="D627" s="14" t="s">
        <v>31</v>
      </c>
      <c r="E627" s="14" t="str">
        <f>_xlfn.XLOOKUP($D627,'Chart of Accounts'!$A:$A,'Chart of Accounts'!B:B,"")</f>
        <v>Retirement Contributions</v>
      </c>
      <c r="F627" s="14" t="str">
        <f>_xlfn.XLOOKUP($D627,'Chart of Accounts'!$A:$A,'Chart of Accounts'!C:C,"")</f>
        <v>Expense</v>
      </c>
      <c r="G627" s="14" t="s">
        <v>365</v>
      </c>
      <c r="H627" s="16">
        <v>582.23076923076906</v>
      </c>
      <c r="I627" s="16"/>
      <c r="J627" s="16">
        <v>582.23076923076906</v>
      </c>
      <c r="K627" s="14" t="s">
        <v>225</v>
      </c>
    </row>
    <row r="628" spans="1:11" ht="15" customHeight="1">
      <c r="A628" s="13">
        <v>46082</v>
      </c>
      <c r="B628" s="14" t="s">
        <v>368</v>
      </c>
      <c r="C628" s="19" t="s">
        <v>16</v>
      </c>
      <c r="D628" s="14" t="s">
        <v>31</v>
      </c>
      <c r="E628" s="14" t="str">
        <f>_xlfn.XLOOKUP($D628,'Chart of Accounts'!$A:$A,'Chart of Accounts'!B:B,"")</f>
        <v>Retirement Contributions</v>
      </c>
      <c r="F628" s="14" t="str">
        <f>_xlfn.XLOOKUP($D628,'Chart of Accounts'!$A:$A,'Chart of Accounts'!C:C,"")</f>
        <v>Expense</v>
      </c>
      <c r="G628" s="14" t="s">
        <v>365</v>
      </c>
      <c r="H628" s="16">
        <v>436.67307692307702</v>
      </c>
      <c r="I628" s="16"/>
      <c r="J628" s="16">
        <v>436.67307692307702</v>
      </c>
      <c r="K628" s="14" t="s">
        <v>225</v>
      </c>
    </row>
    <row r="629" spans="1:11" ht="15" customHeight="1">
      <c r="A629" s="13">
        <v>46082</v>
      </c>
      <c r="B629" s="14" t="s">
        <v>368</v>
      </c>
      <c r="C629" s="19" t="s">
        <v>18</v>
      </c>
      <c r="D629" s="14" t="s">
        <v>31</v>
      </c>
      <c r="E629" s="14" t="str">
        <f>_xlfn.XLOOKUP($D629,'Chart of Accounts'!$A:$A,'Chart of Accounts'!B:B,"")</f>
        <v>Retirement Contributions</v>
      </c>
      <c r="F629" s="14" t="str">
        <f>_xlfn.XLOOKUP($D629,'Chart of Accounts'!$A:$A,'Chart of Accounts'!C:C,"")</f>
        <v>Expense</v>
      </c>
      <c r="G629" s="14" t="s">
        <v>365</v>
      </c>
      <c r="H629" s="16">
        <v>582.23076923076906</v>
      </c>
      <c r="I629" s="16"/>
      <c r="J629" s="16">
        <v>582.23076923076906</v>
      </c>
      <c r="K629" s="14" t="s">
        <v>225</v>
      </c>
    </row>
    <row r="630" spans="1:11" ht="15" customHeight="1">
      <c r="A630" s="13">
        <v>46082</v>
      </c>
      <c r="B630" s="14" t="s">
        <v>368</v>
      </c>
      <c r="C630" s="19" t="s">
        <v>20</v>
      </c>
      <c r="D630" s="14" t="s">
        <v>31</v>
      </c>
      <c r="E630" s="14" t="str">
        <f>_xlfn.XLOOKUP($D630,'Chart of Accounts'!$A:$A,'Chart of Accounts'!B:B,"")</f>
        <v>Retirement Contributions</v>
      </c>
      <c r="F630" s="14" t="str">
        <f>_xlfn.XLOOKUP($D630,'Chart of Accounts'!$A:$A,'Chart of Accounts'!C:C,"")</f>
        <v>Expense</v>
      </c>
      <c r="G630" s="14" t="s">
        <v>365</v>
      </c>
      <c r="H630" s="16">
        <v>727.788461538462</v>
      </c>
      <c r="I630" s="16"/>
      <c r="J630" s="16">
        <v>727.788461538462</v>
      </c>
      <c r="K630" s="14" t="s">
        <v>225</v>
      </c>
    </row>
    <row r="631" spans="1:11" ht="15" customHeight="1">
      <c r="A631" s="13">
        <v>46054</v>
      </c>
      <c r="B631" s="14" t="s">
        <v>369</v>
      </c>
      <c r="C631" s="19" t="s">
        <v>4</v>
      </c>
      <c r="D631" s="14" t="s">
        <v>31</v>
      </c>
      <c r="E631" s="14" t="str">
        <f>_xlfn.XLOOKUP($D631,'Chart of Accounts'!$A:$A,'Chart of Accounts'!B:B,"")</f>
        <v>Retirement Contributions</v>
      </c>
      <c r="F631" s="14" t="str">
        <f>_xlfn.XLOOKUP($D631,'Chart of Accounts'!$A:$A,'Chart of Accounts'!C:C,"")</f>
        <v>Expense</v>
      </c>
      <c r="G631" s="14" t="s">
        <v>365</v>
      </c>
      <c r="H631" s="16">
        <v>222.83538461538501</v>
      </c>
      <c r="I631" s="16"/>
      <c r="J631" s="16">
        <v>222.83538461538501</v>
      </c>
      <c r="K631" s="14" t="s">
        <v>225</v>
      </c>
    </row>
    <row r="632" spans="1:11" ht="15" customHeight="1">
      <c r="A632" s="13">
        <v>46054</v>
      </c>
      <c r="B632" s="14" t="s">
        <v>369</v>
      </c>
      <c r="C632" s="19" t="s">
        <v>6</v>
      </c>
      <c r="D632" s="14" t="s">
        <v>31</v>
      </c>
      <c r="E632" s="14" t="str">
        <f>_xlfn.XLOOKUP($D632,'Chart of Accounts'!$A:$A,'Chart of Accounts'!B:B,"")</f>
        <v>Retirement Contributions</v>
      </c>
      <c r="F632" s="14" t="str">
        <f>_xlfn.XLOOKUP($D632,'Chart of Accounts'!$A:$A,'Chart of Accounts'!C:C,"")</f>
        <v>Expense</v>
      </c>
      <c r="G632" s="14" t="s">
        <v>365</v>
      </c>
      <c r="H632" s="16">
        <v>297.113846153846</v>
      </c>
      <c r="I632" s="16"/>
      <c r="J632" s="16">
        <v>297.113846153846</v>
      </c>
      <c r="K632" s="14" t="s">
        <v>225</v>
      </c>
    </row>
    <row r="633" spans="1:11" ht="15" customHeight="1">
      <c r="A633" s="13">
        <v>46054</v>
      </c>
      <c r="B633" s="14" t="s">
        <v>369</v>
      </c>
      <c r="C633" s="19" t="s">
        <v>8</v>
      </c>
      <c r="D633" s="14" t="s">
        <v>31</v>
      </c>
      <c r="E633" s="14" t="str">
        <f>_xlfn.XLOOKUP($D633,'Chart of Accounts'!$A:$A,'Chart of Accounts'!B:B,"")</f>
        <v>Retirement Contributions</v>
      </c>
      <c r="F633" s="14" t="str">
        <f>_xlfn.XLOOKUP($D633,'Chart of Accounts'!$A:$A,'Chart of Accounts'!C:C,"")</f>
        <v>Expense</v>
      </c>
      <c r="G633" s="14" t="s">
        <v>365</v>
      </c>
      <c r="H633" s="16">
        <v>297.113846153846</v>
      </c>
      <c r="I633" s="16"/>
      <c r="J633" s="16">
        <v>297.113846153846</v>
      </c>
      <c r="K633" s="14" t="s">
        <v>225</v>
      </c>
    </row>
    <row r="634" spans="1:11" ht="15" customHeight="1">
      <c r="A634" s="13">
        <v>46054</v>
      </c>
      <c r="B634" s="14" t="s">
        <v>369</v>
      </c>
      <c r="C634" s="19" t="s">
        <v>10</v>
      </c>
      <c r="D634" s="14" t="s">
        <v>31</v>
      </c>
      <c r="E634" s="14" t="str">
        <f>_xlfn.XLOOKUP($D634,'Chart of Accounts'!$A:$A,'Chart of Accounts'!B:B,"")</f>
        <v>Retirement Contributions</v>
      </c>
      <c r="F634" s="14" t="str">
        <f>_xlfn.XLOOKUP($D634,'Chart of Accounts'!$A:$A,'Chart of Accounts'!C:C,"")</f>
        <v>Expense</v>
      </c>
      <c r="G634" s="14" t="s">
        <v>365</v>
      </c>
      <c r="H634" s="16">
        <v>297.113846153846</v>
      </c>
      <c r="I634" s="16"/>
      <c r="J634" s="16">
        <v>297.113846153846</v>
      </c>
      <c r="K634" s="14" t="s">
        <v>225</v>
      </c>
    </row>
    <row r="635" spans="1:11" ht="15" customHeight="1">
      <c r="A635" s="13">
        <v>46054</v>
      </c>
      <c r="B635" s="14" t="s">
        <v>369</v>
      </c>
      <c r="C635" s="19" t="s">
        <v>12</v>
      </c>
      <c r="D635" s="14" t="s">
        <v>31</v>
      </c>
      <c r="E635" s="14" t="str">
        <f>_xlfn.XLOOKUP($D635,'Chart of Accounts'!$A:$A,'Chart of Accounts'!B:B,"")</f>
        <v>Retirement Contributions</v>
      </c>
      <c r="F635" s="14" t="str">
        <f>_xlfn.XLOOKUP($D635,'Chart of Accounts'!$A:$A,'Chart of Accounts'!C:C,"")</f>
        <v>Expense</v>
      </c>
      <c r="G635" s="14" t="s">
        <v>365</v>
      </c>
      <c r="H635" s="16">
        <v>519.94923076923101</v>
      </c>
      <c r="I635" s="16"/>
      <c r="J635" s="16">
        <v>519.94923076923101</v>
      </c>
      <c r="K635" s="14" t="s">
        <v>225</v>
      </c>
    </row>
    <row r="636" spans="1:11" ht="15" customHeight="1">
      <c r="A636" s="13">
        <v>46054</v>
      </c>
      <c r="B636" s="14" t="s">
        <v>369</v>
      </c>
      <c r="C636" s="19" t="s">
        <v>14</v>
      </c>
      <c r="D636" s="14" t="s">
        <v>31</v>
      </c>
      <c r="E636" s="14" t="str">
        <f>_xlfn.XLOOKUP($D636,'Chart of Accounts'!$A:$A,'Chart of Accounts'!B:B,"")</f>
        <v>Retirement Contributions</v>
      </c>
      <c r="F636" s="14" t="str">
        <f>_xlfn.XLOOKUP($D636,'Chart of Accounts'!$A:$A,'Chart of Accounts'!C:C,"")</f>
        <v>Expense</v>
      </c>
      <c r="G636" s="14" t="s">
        <v>365</v>
      </c>
      <c r="H636" s="16">
        <v>594.227692307692</v>
      </c>
      <c r="I636" s="16"/>
      <c r="J636" s="16">
        <v>594.227692307692</v>
      </c>
      <c r="K636" s="14" t="s">
        <v>225</v>
      </c>
    </row>
    <row r="637" spans="1:11" ht="15" customHeight="1">
      <c r="A637" s="13">
        <v>46054</v>
      </c>
      <c r="B637" s="14" t="s">
        <v>369</v>
      </c>
      <c r="C637" s="19" t="s">
        <v>16</v>
      </c>
      <c r="D637" s="14" t="s">
        <v>31</v>
      </c>
      <c r="E637" s="14" t="str">
        <f>_xlfn.XLOOKUP($D637,'Chart of Accounts'!$A:$A,'Chart of Accounts'!B:B,"")</f>
        <v>Retirement Contributions</v>
      </c>
      <c r="F637" s="14" t="str">
        <f>_xlfn.XLOOKUP($D637,'Chart of Accounts'!$A:$A,'Chart of Accounts'!C:C,"")</f>
        <v>Expense</v>
      </c>
      <c r="G637" s="14" t="s">
        <v>365</v>
      </c>
      <c r="H637" s="16">
        <v>445.670769230769</v>
      </c>
      <c r="I637" s="16"/>
      <c r="J637" s="16">
        <v>445.670769230769</v>
      </c>
      <c r="K637" s="14" t="s">
        <v>225</v>
      </c>
    </row>
    <row r="638" spans="1:11" ht="15" customHeight="1">
      <c r="A638" s="13">
        <v>46054</v>
      </c>
      <c r="B638" s="14" t="s">
        <v>369</v>
      </c>
      <c r="C638" s="19" t="s">
        <v>18</v>
      </c>
      <c r="D638" s="14" t="s">
        <v>31</v>
      </c>
      <c r="E638" s="14" t="str">
        <f>_xlfn.XLOOKUP($D638,'Chart of Accounts'!$A:$A,'Chart of Accounts'!B:B,"")</f>
        <v>Retirement Contributions</v>
      </c>
      <c r="F638" s="14" t="str">
        <f>_xlfn.XLOOKUP($D638,'Chart of Accounts'!$A:$A,'Chart of Accounts'!C:C,"")</f>
        <v>Expense</v>
      </c>
      <c r="G638" s="14" t="s">
        <v>365</v>
      </c>
      <c r="H638" s="16">
        <v>594.227692307692</v>
      </c>
      <c r="I638" s="16"/>
      <c r="J638" s="16">
        <v>594.227692307692</v>
      </c>
      <c r="K638" s="14" t="s">
        <v>225</v>
      </c>
    </row>
    <row r="639" spans="1:11" ht="15" customHeight="1">
      <c r="A639" s="13">
        <v>46054</v>
      </c>
      <c r="B639" s="14" t="s">
        <v>369</v>
      </c>
      <c r="C639" s="19" t="s">
        <v>20</v>
      </c>
      <c r="D639" s="14" t="s">
        <v>31</v>
      </c>
      <c r="E639" s="14" t="str">
        <f>_xlfn.XLOOKUP($D639,'Chart of Accounts'!$A:$A,'Chart of Accounts'!B:B,"")</f>
        <v>Retirement Contributions</v>
      </c>
      <c r="F639" s="14" t="str">
        <f>_xlfn.XLOOKUP($D639,'Chart of Accounts'!$A:$A,'Chart of Accounts'!C:C,"")</f>
        <v>Expense</v>
      </c>
      <c r="G639" s="14" t="s">
        <v>365</v>
      </c>
      <c r="H639" s="16">
        <v>594.227692307692</v>
      </c>
      <c r="I639" s="16"/>
      <c r="J639" s="16">
        <v>594.227692307692</v>
      </c>
      <c r="K639" s="14" t="s">
        <v>225</v>
      </c>
    </row>
    <row r="640" spans="1:11" ht="15" customHeight="1">
      <c r="A640" s="13">
        <v>46023</v>
      </c>
      <c r="B640" s="14" t="s">
        <v>370</v>
      </c>
      <c r="C640" s="19" t="s">
        <v>4</v>
      </c>
      <c r="D640" s="14" t="s">
        <v>31</v>
      </c>
      <c r="E640" s="14" t="str">
        <f>_xlfn.XLOOKUP($D640,'Chart of Accounts'!$A:$A,'Chart of Accounts'!B:B,"")</f>
        <v>Retirement Contributions</v>
      </c>
      <c r="F640" s="14" t="str">
        <f>_xlfn.XLOOKUP($D640,'Chart of Accounts'!$A:$A,'Chart of Accounts'!C:C,"")</f>
        <v>Expense</v>
      </c>
      <c r="G640" s="14" t="s">
        <v>365</v>
      </c>
      <c r="H640" s="16">
        <v>226.00200000000001</v>
      </c>
      <c r="I640" s="16"/>
      <c r="J640" s="16">
        <v>226.00200000000001</v>
      </c>
      <c r="K640" s="14" t="s">
        <v>225</v>
      </c>
    </row>
    <row r="641" spans="1:11" ht="15" customHeight="1">
      <c r="A641" s="13">
        <v>46023</v>
      </c>
      <c r="B641" s="14" t="s">
        <v>370</v>
      </c>
      <c r="C641" s="19" t="s">
        <v>6</v>
      </c>
      <c r="D641" s="14" t="s">
        <v>31</v>
      </c>
      <c r="E641" s="14" t="str">
        <f>_xlfn.XLOOKUP($D641,'Chart of Accounts'!$A:$A,'Chart of Accounts'!B:B,"")</f>
        <v>Retirement Contributions</v>
      </c>
      <c r="F641" s="14" t="str">
        <f>_xlfn.XLOOKUP($D641,'Chart of Accounts'!$A:$A,'Chart of Accounts'!C:C,"")</f>
        <v>Expense</v>
      </c>
      <c r="G641" s="14" t="s">
        <v>365</v>
      </c>
      <c r="H641" s="16">
        <v>301.33600000000001</v>
      </c>
      <c r="I641" s="16"/>
      <c r="J641" s="16">
        <v>301.33600000000001</v>
      </c>
      <c r="K641" s="14" t="s">
        <v>225</v>
      </c>
    </row>
    <row r="642" spans="1:11" ht="15" customHeight="1">
      <c r="A642" s="13">
        <v>46023</v>
      </c>
      <c r="B642" s="14" t="s">
        <v>370</v>
      </c>
      <c r="C642" s="19" t="s">
        <v>8</v>
      </c>
      <c r="D642" s="14" t="s">
        <v>31</v>
      </c>
      <c r="E642" s="14" t="str">
        <f>_xlfn.XLOOKUP($D642,'Chart of Accounts'!$A:$A,'Chart of Accounts'!B:B,"")</f>
        <v>Retirement Contributions</v>
      </c>
      <c r="F642" s="14" t="str">
        <f>_xlfn.XLOOKUP($D642,'Chart of Accounts'!$A:$A,'Chart of Accounts'!C:C,"")</f>
        <v>Expense</v>
      </c>
      <c r="G642" s="14" t="s">
        <v>365</v>
      </c>
      <c r="H642" s="16">
        <v>301.33600000000001</v>
      </c>
      <c r="I642" s="16"/>
      <c r="J642" s="16">
        <v>301.33600000000001</v>
      </c>
      <c r="K642" s="14" t="s">
        <v>225</v>
      </c>
    </row>
    <row r="643" spans="1:11" ht="15" customHeight="1">
      <c r="A643" s="13">
        <v>46023</v>
      </c>
      <c r="B643" s="14" t="s">
        <v>370</v>
      </c>
      <c r="C643" s="19" t="s">
        <v>10</v>
      </c>
      <c r="D643" s="14" t="s">
        <v>31</v>
      </c>
      <c r="E643" s="14" t="str">
        <f>_xlfn.XLOOKUP($D643,'Chart of Accounts'!$A:$A,'Chart of Accounts'!B:B,"")</f>
        <v>Retirement Contributions</v>
      </c>
      <c r="F643" s="14" t="str">
        <f>_xlfn.XLOOKUP($D643,'Chart of Accounts'!$A:$A,'Chart of Accounts'!C:C,"")</f>
        <v>Expense</v>
      </c>
      <c r="G643" s="14" t="s">
        <v>365</v>
      </c>
      <c r="H643" s="16">
        <v>301.33600000000001</v>
      </c>
      <c r="I643" s="16"/>
      <c r="J643" s="16">
        <v>301.33600000000001</v>
      </c>
      <c r="K643" s="14" t="s">
        <v>225</v>
      </c>
    </row>
    <row r="644" spans="1:11" ht="15" customHeight="1">
      <c r="A644" s="13">
        <v>46023</v>
      </c>
      <c r="B644" s="14" t="s">
        <v>370</v>
      </c>
      <c r="C644" s="19" t="s">
        <v>12</v>
      </c>
      <c r="D644" s="14" t="s">
        <v>31</v>
      </c>
      <c r="E644" s="14" t="str">
        <f>_xlfn.XLOOKUP($D644,'Chart of Accounts'!$A:$A,'Chart of Accounts'!B:B,"")</f>
        <v>Retirement Contributions</v>
      </c>
      <c r="F644" s="14" t="str">
        <f>_xlfn.XLOOKUP($D644,'Chart of Accounts'!$A:$A,'Chart of Accounts'!C:C,"")</f>
        <v>Expense</v>
      </c>
      <c r="G644" s="14" t="s">
        <v>365</v>
      </c>
      <c r="H644" s="16">
        <v>527.33799999999997</v>
      </c>
      <c r="I644" s="16"/>
      <c r="J644" s="16">
        <v>527.33799999999997</v>
      </c>
      <c r="K644" s="14" t="s">
        <v>225</v>
      </c>
    </row>
    <row r="645" spans="1:11" ht="15" customHeight="1">
      <c r="A645" s="13">
        <v>46023</v>
      </c>
      <c r="B645" s="14" t="s">
        <v>370</v>
      </c>
      <c r="C645" s="19" t="s">
        <v>14</v>
      </c>
      <c r="D645" s="14" t="s">
        <v>31</v>
      </c>
      <c r="E645" s="14" t="str">
        <f>_xlfn.XLOOKUP($D645,'Chart of Accounts'!$A:$A,'Chart of Accounts'!B:B,"")</f>
        <v>Retirement Contributions</v>
      </c>
      <c r="F645" s="14" t="str">
        <f>_xlfn.XLOOKUP($D645,'Chart of Accounts'!$A:$A,'Chart of Accounts'!C:C,"")</f>
        <v>Expense</v>
      </c>
      <c r="G645" s="14" t="s">
        <v>365</v>
      </c>
      <c r="H645" s="16">
        <v>602.67200000000003</v>
      </c>
      <c r="I645" s="16"/>
      <c r="J645" s="16">
        <v>602.67200000000003</v>
      </c>
      <c r="K645" s="14" t="s">
        <v>225</v>
      </c>
    </row>
    <row r="646" spans="1:11" ht="15" customHeight="1">
      <c r="A646" s="13">
        <v>46023</v>
      </c>
      <c r="B646" s="14" t="s">
        <v>370</v>
      </c>
      <c r="C646" s="19" t="s">
        <v>16</v>
      </c>
      <c r="D646" s="14" t="s">
        <v>31</v>
      </c>
      <c r="E646" s="14" t="str">
        <f>_xlfn.XLOOKUP($D646,'Chart of Accounts'!$A:$A,'Chart of Accounts'!B:B,"")</f>
        <v>Retirement Contributions</v>
      </c>
      <c r="F646" s="14" t="str">
        <f>_xlfn.XLOOKUP($D646,'Chart of Accounts'!$A:$A,'Chart of Accounts'!C:C,"")</f>
        <v>Expense</v>
      </c>
      <c r="G646" s="14" t="s">
        <v>365</v>
      </c>
      <c r="H646" s="16">
        <v>452.00400000000002</v>
      </c>
      <c r="I646" s="16"/>
      <c r="J646" s="16">
        <v>452.00400000000002</v>
      </c>
      <c r="K646" s="14" t="s">
        <v>225</v>
      </c>
    </row>
    <row r="647" spans="1:11" ht="15" customHeight="1">
      <c r="A647" s="13">
        <v>46023</v>
      </c>
      <c r="B647" s="14" t="s">
        <v>370</v>
      </c>
      <c r="C647" s="19" t="s">
        <v>18</v>
      </c>
      <c r="D647" s="14" t="s">
        <v>31</v>
      </c>
      <c r="E647" s="14" t="str">
        <f>_xlfn.XLOOKUP($D647,'Chart of Accounts'!$A:$A,'Chart of Accounts'!B:B,"")</f>
        <v>Retirement Contributions</v>
      </c>
      <c r="F647" s="14" t="str">
        <f>_xlfn.XLOOKUP($D647,'Chart of Accounts'!$A:$A,'Chart of Accounts'!C:C,"")</f>
        <v>Expense</v>
      </c>
      <c r="G647" s="14" t="s">
        <v>365</v>
      </c>
      <c r="H647" s="16">
        <v>452.00400000000002</v>
      </c>
      <c r="I647" s="16"/>
      <c r="J647" s="16">
        <v>452.00400000000002</v>
      </c>
      <c r="K647" s="14" t="s">
        <v>225</v>
      </c>
    </row>
    <row r="648" spans="1:11" ht="15" customHeight="1">
      <c r="A648" s="13">
        <v>46023</v>
      </c>
      <c r="B648" s="14" t="s">
        <v>370</v>
      </c>
      <c r="C648" s="19" t="s">
        <v>20</v>
      </c>
      <c r="D648" s="14" t="s">
        <v>31</v>
      </c>
      <c r="E648" s="14" t="str">
        <f>_xlfn.XLOOKUP($D648,'Chart of Accounts'!$A:$A,'Chart of Accounts'!B:B,"")</f>
        <v>Retirement Contributions</v>
      </c>
      <c r="F648" s="14" t="str">
        <f>_xlfn.XLOOKUP($D648,'Chart of Accounts'!$A:$A,'Chart of Accounts'!C:C,"")</f>
        <v>Expense</v>
      </c>
      <c r="G648" s="14" t="s">
        <v>365</v>
      </c>
      <c r="H648" s="16">
        <v>602.67200000000003</v>
      </c>
      <c r="I648" s="16"/>
      <c r="J648" s="16">
        <v>602.67200000000003</v>
      </c>
      <c r="K648" s="14" t="s">
        <v>225</v>
      </c>
    </row>
    <row r="649" spans="1:11" ht="15" customHeight="1">
      <c r="A649" s="13">
        <v>45992</v>
      </c>
      <c r="B649" s="14" t="s">
        <v>371</v>
      </c>
      <c r="C649" s="19" t="s">
        <v>4</v>
      </c>
      <c r="D649" s="14" t="s">
        <v>31</v>
      </c>
      <c r="E649" s="14" t="str">
        <f>_xlfn.XLOOKUP($D649,'Chart of Accounts'!$A:$A,'Chart of Accounts'!B:B,"")</f>
        <v>Retirement Contributions</v>
      </c>
      <c r="F649" s="14" t="str">
        <f>_xlfn.XLOOKUP($D649,'Chart of Accounts'!$A:$A,'Chart of Accounts'!C:C,"")</f>
        <v>Expense</v>
      </c>
      <c r="G649" s="14" t="s">
        <v>365</v>
      </c>
      <c r="H649" s="16">
        <v>219.591923076923</v>
      </c>
      <c r="I649" s="16"/>
      <c r="J649" s="16">
        <v>219.591923076923</v>
      </c>
      <c r="K649" s="14" t="s">
        <v>225</v>
      </c>
    </row>
    <row r="650" spans="1:11" ht="15" customHeight="1">
      <c r="A650" s="13">
        <v>45992</v>
      </c>
      <c r="B650" s="14" t="s">
        <v>371</v>
      </c>
      <c r="C650" s="19" t="s">
        <v>6</v>
      </c>
      <c r="D650" s="14" t="s">
        <v>31</v>
      </c>
      <c r="E650" s="14" t="str">
        <f>_xlfn.XLOOKUP($D650,'Chart of Accounts'!$A:$A,'Chart of Accounts'!B:B,"")</f>
        <v>Retirement Contributions</v>
      </c>
      <c r="F650" s="14" t="str">
        <f>_xlfn.XLOOKUP($D650,'Chart of Accounts'!$A:$A,'Chart of Accounts'!C:C,"")</f>
        <v>Expense</v>
      </c>
      <c r="G650" s="14" t="s">
        <v>365</v>
      </c>
      <c r="H650" s="16">
        <v>292.78923076923098</v>
      </c>
      <c r="I650" s="16"/>
      <c r="J650" s="16">
        <v>292.78923076923098</v>
      </c>
      <c r="K650" s="14" t="s">
        <v>225</v>
      </c>
    </row>
    <row r="651" spans="1:11" ht="15" customHeight="1">
      <c r="A651" s="13">
        <v>45992</v>
      </c>
      <c r="B651" s="14" t="s">
        <v>371</v>
      </c>
      <c r="C651" s="19" t="s">
        <v>8</v>
      </c>
      <c r="D651" s="14" t="s">
        <v>31</v>
      </c>
      <c r="E651" s="14" t="str">
        <f>_xlfn.XLOOKUP($D651,'Chart of Accounts'!$A:$A,'Chart of Accounts'!B:B,"")</f>
        <v>Retirement Contributions</v>
      </c>
      <c r="F651" s="14" t="str">
        <f>_xlfn.XLOOKUP($D651,'Chart of Accounts'!$A:$A,'Chart of Accounts'!C:C,"")</f>
        <v>Expense</v>
      </c>
      <c r="G651" s="14" t="s">
        <v>365</v>
      </c>
      <c r="H651" s="16">
        <v>292.78923076923098</v>
      </c>
      <c r="I651" s="16"/>
      <c r="J651" s="16">
        <v>292.78923076923098</v>
      </c>
      <c r="K651" s="14" t="s">
        <v>225</v>
      </c>
    </row>
    <row r="652" spans="1:11" ht="15" customHeight="1">
      <c r="A652" s="13">
        <v>45992</v>
      </c>
      <c r="B652" s="14" t="s">
        <v>371</v>
      </c>
      <c r="C652" s="19" t="s">
        <v>10</v>
      </c>
      <c r="D652" s="14" t="s">
        <v>31</v>
      </c>
      <c r="E652" s="14" t="str">
        <f>_xlfn.XLOOKUP($D652,'Chart of Accounts'!$A:$A,'Chart of Accounts'!B:B,"")</f>
        <v>Retirement Contributions</v>
      </c>
      <c r="F652" s="14" t="str">
        <f>_xlfn.XLOOKUP($D652,'Chart of Accounts'!$A:$A,'Chart of Accounts'!C:C,"")</f>
        <v>Expense</v>
      </c>
      <c r="G652" s="14" t="s">
        <v>365</v>
      </c>
      <c r="H652" s="16">
        <v>292.78923076923098</v>
      </c>
      <c r="I652" s="16"/>
      <c r="J652" s="16">
        <v>292.78923076923098</v>
      </c>
      <c r="K652" s="14" t="s">
        <v>225</v>
      </c>
    </row>
    <row r="653" spans="1:11" ht="15" customHeight="1">
      <c r="A653" s="13">
        <v>45992</v>
      </c>
      <c r="B653" s="14" t="s">
        <v>371</v>
      </c>
      <c r="C653" s="19" t="s">
        <v>12</v>
      </c>
      <c r="D653" s="14" t="s">
        <v>31</v>
      </c>
      <c r="E653" s="14" t="str">
        <f>_xlfn.XLOOKUP($D653,'Chart of Accounts'!$A:$A,'Chart of Accounts'!B:B,"")</f>
        <v>Retirement Contributions</v>
      </c>
      <c r="F653" s="14" t="str">
        <f>_xlfn.XLOOKUP($D653,'Chart of Accounts'!$A:$A,'Chart of Accounts'!C:C,"")</f>
        <v>Expense</v>
      </c>
      <c r="G653" s="14" t="s">
        <v>365</v>
      </c>
      <c r="H653" s="16">
        <v>512.38115384615401</v>
      </c>
      <c r="I653" s="16"/>
      <c r="J653" s="16">
        <v>512.38115384615401</v>
      </c>
      <c r="K653" s="14" t="s">
        <v>225</v>
      </c>
    </row>
    <row r="654" spans="1:11" ht="15" customHeight="1">
      <c r="A654" s="13">
        <v>45992</v>
      </c>
      <c r="B654" s="14" t="s">
        <v>371</v>
      </c>
      <c r="C654" s="19" t="s">
        <v>14</v>
      </c>
      <c r="D654" s="14" t="s">
        <v>31</v>
      </c>
      <c r="E654" s="14" t="str">
        <f>_xlfn.XLOOKUP($D654,'Chart of Accounts'!$A:$A,'Chart of Accounts'!B:B,"")</f>
        <v>Retirement Contributions</v>
      </c>
      <c r="F654" s="14" t="str">
        <f>_xlfn.XLOOKUP($D654,'Chart of Accounts'!$A:$A,'Chart of Accounts'!C:C,"")</f>
        <v>Expense</v>
      </c>
      <c r="G654" s="14" t="s">
        <v>365</v>
      </c>
      <c r="H654" s="16">
        <v>585.57846153846197</v>
      </c>
      <c r="I654" s="16"/>
      <c r="J654" s="16">
        <v>585.57846153846197</v>
      </c>
      <c r="K654" s="14" t="s">
        <v>225</v>
      </c>
    </row>
    <row r="655" spans="1:11" ht="15" customHeight="1">
      <c r="A655" s="13">
        <v>45992</v>
      </c>
      <c r="B655" s="14" t="s">
        <v>371</v>
      </c>
      <c r="C655" s="19" t="s">
        <v>16</v>
      </c>
      <c r="D655" s="14" t="s">
        <v>31</v>
      </c>
      <c r="E655" s="14" t="str">
        <f>_xlfn.XLOOKUP($D655,'Chart of Accounts'!$A:$A,'Chart of Accounts'!B:B,"")</f>
        <v>Retirement Contributions</v>
      </c>
      <c r="F655" s="14" t="str">
        <f>_xlfn.XLOOKUP($D655,'Chart of Accounts'!$A:$A,'Chart of Accounts'!C:C,"")</f>
        <v>Expense</v>
      </c>
      <c r="G655" s="14" t="s">
        <v>365</v>
      </c>
      <c r="H655" s="16">
        <v>439.18384615384599</v>
      </c>
      <c r="I655" s="16"/>
      <c r="J655" s="16">
        <v>439.18384615384599</v>
      </c>
      <c r="K655" s="14" t="s">
        <v>225</v>
      </c>
    </row>
    <row r="656" spans="1:11" ht="15" customHeight="1">
      <c r="A656" s="13">
        <v>45992</v>
      </c>
      <c r="B656" s="14" t="s">
        <v>371</v>
      </c>
      <c r="C656" s="19" t="s">
        <v>18</v>
      </c>
      <c r="D656" s="14" t="s">
        <v>31</v>
      </c>
      <c r="E656" s="14" t="str">
        <f>_xlfn.XLOOKUP($D656,'Chart of Accounts'!$A:$A,'Chart of Accounts'!B:B,"")</f>
        <v>Retirement Contributions</v>
      </c>
      <c r="F656" s="14" t="str">
        <f>_xlfn.XLOOKUP($D656,'Chart of Accounts'!$A:$A,'Chart of Accounts'!C:C,"")</f>
        <v>Expense</v>
      </c>
      <c r="G656" s="14" t="s">
        <v>365</v>
      </c>
      <c r="H656" s="16">
        <v>585.57846153846197</v>
      </c>
      <c r="I656" s="16"/>
      <c r="J656" s="16">
        <v>585.57846153846197</v>
      </c>
      <c r="K656" s="14" t="s">
        <v>225</v>
      </c>
    </row>
    <row r="657" spans="1:11" ht="15" customHeight="1">
      <c r="A657" s="13">
        <v>45992</v>
      </c>
      <c r="B657" s="14" t="s">
        <v>371</v>
      </c>
      <c r="C657" s="19" t="s">
        <v>20</v>
      </c>
      <c r="D657" s="14" t="s">
        <v>31</v>
      </c>
      <c r="E657" s="14" t="str">
        <f>_xlfn.XLOOKUP($D657,'Chart of Accounts'!$A:$A,'Chart of Accounts'!B:B,"")</f>
        <v>Retirement Contributions</v>
      </c>
      <c r="F657" s="14" t="str">
        <f>_xlfn.XLOOKUP($D657,'Chart of Accounts'!$A:$A,'Chart of Accounts'!C:C,"")</f>
        <v>Expense</v>
      </c>
      <c r="G657" s="14" t="s">
        <v>365</v>
      </c>
      <c r="H657" s="16">
        <v>585.57846153846197</v>
      </c>
      <c r="I657" s="16"/>
      <c r="J657" s="16">
        <v>585.57846153846197</v>
      </c>
      <c r="K657" s="14" t="s">
        <v>225</v>
      </c>
    </row>
    <row r="658" spans="1:11" ht="15" customHeight="1">
      <c r="A658" s="13">
        <v>45962</v>
      </c>
      <c r="B658" s="14" t="s">
        <v>372</v>
      </c>
      <c r="C658" s="19" t="s">
        <v>4</v>
      </c>
      <c r="D658" s="14" t="s">
        <v>31</v>
      </c>
      <c r="E658" s="14" t="str">
        <f>_xlfn.XLOOKUP($D658,'Chart of Accounts'!$A:$A,'Chart of Accounts'!B:B,"")</f>
        <v>Retirement Contributions</v>
      </c>
      <c r="F658" s="14" t="str">
        <f>_xlfn.XLOOKUP($D658,'Chart of Accounts'!$A:$A,'Chart of Accounts'!C:C,"")</f>
        <v>Expense</v>
      </c>
      <c r="G658" s="14" t="s">
        <v>365</v>
      </c>
      <c r="H658" s="16">
        <v>215.86557692307699</v>
      </c>
      <c r="I658" s="16"/>
      <c r="J658" s="16">
        <v>215.86557692307699</v>
      </c>
      <c r="K658" s="14" t="s">
        <v>225</v>
      </c>
    </row>
    <row r="659" spans="1:11" ht="15" customHeight="1">
      <c r="A659" s="13">
        <v>45962</v>
      </c>
      <c r="B659" s="14" t="s">
        <v>372</v>
      </c>
      <c r="C659" s="19" t="s">
        <v>6</v>
      </c>
      <c r="D659" s="14" t="s">
        <v>31</v>
      </c>
      <c r="E659" s="14" t="str">
        <f>_xlfn.XLOOKUP($D659,'Chart of Accounts'!$A:$A,'Chart of Accounts'!B:B,"")</f>
        <v>Retirement Contributions</v>
      </c>
      <c r="F659" s="14" t="str">
        <f>_xlfn.XLOOKUP($D659,'Chart of Accounts'!$A:$A,'Chart of Accounts'!C:C,"")</f>
        <v>Expense</v>
      </c>
      <c r="G659" s="14" t="s">
        <v>365</v>
      </c>
      <c r="H659" s="16">
        <v>287.82076923076897</v>
      </c>
      <c r="I659" s="16"/>
      <c r="J659" s="16">
        <v>287.82076923076897</v>
      </c>
      <c r="K659" s="14" t="s">
        <v>225</v>
      </c>
    </row>
    <row r="660" spans="1:11" ht="15" customHeight="1">
      <c r="A660" s="13">
        <v>45962</v>
      </c>
      <c r="B660" s="14" t="s">
        <v>372</v>
      </c>
      <c r="C660" s="19" t="s">
        <v>8</v>
      </c>
      <c r="D660" s="14" t="s">
        <v>31</v>
      </c>
      <c r="E660" s="14" t="str">
        <f>_xlfn.XLOOKUP($D660,'Chart of Accounts'!$A:$A,'Chart of Accounts'!B:B,"")</f>
        <v>Retirement Contributions</v>
      </c>
      <c r="F660" s="14" t="str">
        <f>_xlfn.XLOOKUP($D660,'Chart of Accounts'!$A:$A,'Chart of Accounts'!C:C,"")</f>
        <v>Expense</v>
      </c>
      <c r="G660" s="14" t="s">
        <v>365</v>
      </c>
      <c r="H660" s="16">
        <v>287.82076923076897</v>
      </c>
      <c r="I660" s="16"/>
      <c r="J660" s="16">
        <v>287.82076923076897</v>
      </c>
      <c r="K660" s="14" t="s">
        <v>225</v>
      </c>
    </row>
    <row r="661" spans="1:11" ht="15" customHeight="1">
      <c r="A661" s="13">
        <v>45962</v>
      </c>
      <c r="B661" s="14" t="s">
        <v>372</v>
      </c>
      <c r="C661" s="19" t="s">
        <v>10</v>
      </c>
      <c r="D661" s="14" t="s">
        <v>31</v>
      </c>
      <c r="E661" s="14" t="str">
        <f>_xlfn.XLOOKUP($D661,'Chart of Accounts'!$A:$A,'Chart of Accounts'!B:B,"")</f>
        <v>Retirement Contributions</v>
      </c>
      <c r="F661" s="14" t="str">
        <f>_xlfn.XLOOKUP($D661,'Chart of Accounts'!$A:$A,'Chart of Accounts'!C:C,"")</f>
        <v>Expense</v>
      </c>
      <c r="G661" s="14" t="s">
        <v>365</v>
      </c>
      <c r="H661" s="16">
        <v>287.82076923076897</v>
      </c>
      <c r="I661" s="16"/>
      <c r="J661" s="16">
        <v>287.82076923076897</v>
      </c>
      <c r="K661" s="14" t="s">
        <v>225</v>
      </c>
    </row>
    <row r="662" spans="1:11" ht="15" customHeight="1">
      <c r="A662" s="13">
        <v>45962</v>
      </c>
      <c r="B662" s="14" t="s">
        <v>372</v>
      </c>
      <c r="C662" s="19" t="s">
        <v>12</v>
      </c>
      <c r="D662" s="14" t="s">
        <v>31</v>
      </c>
      <c r="E662" s="14" t="str">
        <f>_xlfn.XLOOKUP($D662,'Chart of Accounts'!$A:$A,'Chart of Accounts'!B:B,"")</f>
        <v>Retirement Contributions</v>
      </c>
      <c r="F662" s="14" t="str">
        <f>_xlfn.XLOOKUP($D662,'Chart of Accounts'!$A:$A,'Chart of Accounts'!C:C,"")</f>
        <v>Expense</v>
      </c>
      <c r="G662" s="14" t="s">
        <v>365</v>
      </c>
      <c r="H662" s="16">
        <v>503.68634615384599</v>
      </c>
      <c r="I662" s="16"/>
      <c r="J662" s="16">
        <v>503.68634615384599</v>
      </c>
      <c r="K662" s="14" t="s">
        <v>225</v>
      </c>
    </row>
    <row r="663" spans="1:11" ht="15" customHeight="1">
      <c r="A663" s="13">
        <v>45962</v>
      </c>
      <c r="B663" s="14" t="s">
        <v>372</v>
      </c>
      <c r="C663" s="19" t="s">
        <v>14</v>
      </c>
      <c r="D663" s="14" t="s">
        <v>31</v>
      </c>
      <c r="E663" s="14" t="str">
        <f>_xlfn.XLOOKUP($D663,'Chart of Accounts'!$A:$A,'Chart of Accounts'!B:B,"")</f>
        <v>Retirement Contributions</v>
      </c>
      <c r="F663" s="14" t="str">
        <f>_xlfn.XLOOKUP($D663,'Chart of Accounts'!$A:$A,'Chart of Accounts'!C:C,"")</f>
        <v>Expense</v>
      </c>
      <c r="G663" s="14" t="s">
        <v>365</v>
      </c>
      <c r="H663" s="16">
        <v>575.64153846153897</v>
      </c>
      <c r="I663" s="16"/>
      <c r="J663" s="16">
        <v>575.64153846153897</v>
      </c>
      <c r="K663" s="14" t="s">
        <v>225</v>
      </c>
    </row>
    <row r="664" spans="1:11" ht="15" customHeight="1">
      <c r="A664" s="13">
        <v>45962</v>
      </c>
      <c r="B664" s="14" t="s">
        <v>372</v>
      </c>
      <c r="C664" s="19" t="s">
        <v>16</v>
      </c>
      <c r="D664" s="14" t="s">
        <v>31</v>
      </c>
      <c r="E664" s="14" t="str">
        <f>_xlfn.XLOOKUP($D664,'Chart of Accounts'!$A:$A,'Chart of Accounts'!B:B,"")</f>
        <v>Retirement Contributions</v>
      </c>
      <c r="F664" s="14" t="str">
        <f>_xlfn.XLOOKUP($D664,'Chart of Accounts'!$A:$A,'Chart of Accounts'!C:C,"")</f>
        <v>Expense</v>
      </c>
      <c r="G664" s="14" t="s">
        <v>365</v>
      </c>
      <c r="H664" s="16">
        <v>431.73115384615397</v>
      </c>
      <c r="I664" s="16"/>
      <c r="J664" s="16">
        <v>431.73115384615397</v>
      </c>
      <c r="K664" s="14" t="s">
        <v>225</v>
      </c>
    </row>
    <row r="665" spans="1:11" ht="15" customHeight="1">
      <c r="A665" s="13">
        <v>45962</v>
      </c>
      <c r="B665" s="14" t="s">
        <v>372</v>
      </c>
      <c r="C665" s="19" t="s">
        <v>18</v>
      </c>
      <c r="D665" s="14" t="s">
        <v>31</v>
      </c>
      <c r="E665" s="14" t="str">
        <f>_xlfn.XLOOKUP($D665,'Chart of Accounts'!$A:$A,'Chart of Accounts'!B:B,"")</f>
        <v>Retirement Contributions</v>
      </c>
      <c r="F665" s="14" t="str">
        <f>_xlfn.XLOOKUP($D665,'Chart of Accounts'!$A:$A,'Chart of Accounts'!C:C,"")</f>
        <v>Expense</v>
      </c>
      <c r="G665" s="14" t="s">
        <v>365</v>
      </c>
      <c r="H665" s="16">
        <v>575.64153846153897</v>
      </c>
      <c r="I665" s="16"/>
      <c r="J665" s="16">
        <v>575.64153846153897</v>
      </c>
      <c r="K665" s="14" t="s">
        <v>225</v>
      </c>
    </row>
    <row r="666" spans="1:11" ht="15" customHeight="1">
      <c r="A666" s="13">
        <v>45962</v>
      </c>
      <c r="B666" s="14" t="s">
        <v>372</v>
      </c>
      <c r="C666" s="19" t="s">
        <v>20</v>
      </c>
      <c r="D666" s="14" t="s">
        <v>31</v>
      </c>
      <c r="E666" s="14" t="str">
        <f>_xlfn.XLOOKUP($D666,'Chart of Accounts'!$A:$A,'Chart of Accounts'!B:B,"")</f>
        <v>Retirement Contributions</v>
      </c>
      <c r="F666" s="14" t="str">
        <f>_xlfn.XLOOKUP($D666,'Chart of Accounts'!$A:$A,'Chart of Accounts'!C:C,"")</f>
        <v>Expense</v>
      </c>
      <c r="G666" s="14" t="s">
        <v>365</v>
      </c>
      <c r="H666" s="16">
        <v>575.64153846153897</v>
      </c>
      <c r="I666" s="16"/>
      <c r="J666" s="16">
        <v>575.64153846153897</v>
      </c>
      <c r="K666" s="14" t="s">
        <v>225</v>
      </c>
    </row>
    <row r="667" spans="1:11" ht="15" customHeight="1">
      <c r="A667" s="13">
        <v>45931</v>
      </c>
      <c r="B667" s="14" t="s">
        <v>373</v>
      </c>
      <c r="C667" s="19" t="s">
        <v>4</v>
      </c>
      <c r="D667" s="14" t="s">
        <v>31</v>
      </c>
      <c r="E667" s="14" t="str">
        <f>_xlfn.XLOOKUP($D667,'Chart of Accounts'!$A:$A,'Chart of Accounts'!B:B,"")</f>
        <v>Retirement Contributions</v>
      </c>
      <c r="F667" s="14" t="str">
        <f>_xlfn.XLOOKUP($D667,'Chart of Accounts'!$A:$A,'Chart of Accounts'!C:C,"")</f>
        <v>Expense</v>
      </c>
      <c r="G667" s="14" t="s">
        <v>365</v>
      </c>
      <c r="H667" s="16">
        <v>232.38300000000001</v>
      </c>
      <c r="I667" s="16"/>
      <c r="J667" s="16">
        <v>232.38300000000001</v>
      </c>
      <c r="K667" s="14" t="s">
        <v>225</v>
      </c>
    </row>
    <row r="668" spans="1:11" ht="15" customHeight="1">
      <c r="A668" s="13">
        <v>45931</v>
      </c>
      <c r="B668" s="14" t="s">
        <v>373</v>
      </c>
      <c r="C668" s="19" t="s">
        <v>6</v>
      </c>
      <c r="D668" s="14" t="s">
        <v>31</v>
      </c>
      <c r="E668" s="14" t="str">
        <f>_xlfn.XLOOKUP($D668,'Chart of Accounts'!$A:$A,'Chart of Accounts'!B:B,"")</f>
        <v>Retirement Contributions</v>
      </c>
      <c r="F668" s="14" t="str">
        <f>_xlfn.XLOOKUP($D668,'Chart of Accounts'!$A:$A,'Chart of Accounts'!C:C,"")</f>
        <v>Expense</v>
      </c>
      <c r="G668" s="14" t="s">
        <v>365</v>
      </c>
      <c r="H668" s="16">
        <v>309.84399999999999</v>
      </c>
      <c r="I668" s="16"/>
      <c r="J668" s="16">
        <v>309.84399999999999</v>
      </c>
      <c r="K668" s="14" t="s">
        <v>225</v>
      </c>
    </row>
    <row r="669" spans="1:11" ht="15" customHeight="1">
      <c r="A669" s="13">
        <v>45931</v>
      </c>
      <c r="B669" s="14" t="s">
        <v>373</v>
      </c>
      <c r="C669" s="19" t="s">
        <v>8</v>
      </c>
      <c r="D669" s="14" t="s">
        <v>31</v>
      </c>
      <c r="E669" s="14" t="str">
        <f>_xlfn.XLOOKUP($D669,'Chart of Accounts'!$A:$A,'Chart of Accounts'!B:B,"")</f>
        <v>Retirement Contributions</v>
      </c>
      <c r="F669" s="14" t="str">
        <f>_xlfn.XLOOKUP($D669,'Chart of Accounts'!$A:$A,'Chart of Accounts'!C:C,"")</f>
        <v>Expense</v>
      </c>
      <c r="G669" s="14" t="s">
        <v>365</v>
      </c>
      <c r="H669" s="16">
        <v>309.84399999999999</v>
      </c>
      <c r="I669" s="16"/>
      <c r="J669" s="16">
        <v>309.84399999999999</v>
      </c>
      <c r="K669" s="14" t="s">
        <v>225</v>
      </c>
    </row>
    <row r="670" spans="1:11" ht="15" customHeight="1">
      <c r="A670" s="13">
        <v>45931</v>
      </c>
      <c r="B670" s="14" t="s">
        <v>373</v>
      </c>
      <c r="C670" s="19" t="s">
        <v>10</v>
      </c>
      <c r="D670" s="14" t="s">
        <v>31</v>
      </c>
      <c r="E670" s="14" t="str">
        <f>_xlfn.XLOOKUP($D670,'Chart of Accounts'!$A:$A,'Chart of Accounts'!B:B,"")</f>
        <v>Retirement Contributions</v>
      </c>
      <c r="F670" s="14" t="str">
        <f>_xlfn.XLOOKUP($D670,'Chart of Accounts'!$A:$A,'Chart of Accounts'!C:C,"")</f>
        <v>Expense</v>
      </c>
      <c r="G670" s="14" t="s">
        <v>365</v>
      </c>
      <c r="H670" s="16">
        <v>309.84399999999999</v>
      </c>
      <c r="I670" s="16"/>
      <c r="J670" s="16">
        <v>309.84399999999999</v>
      </c>
      <c r="K670" s="14" t="s">
        <v>225</v>
      </c>
    </row>
    <row r="671" spans="1:11" ht="15" customHeight="1">
      <c r="A671" s="13">
        <v>45931</v>
      </c>
      <c r="B671" s="14" t="s">
        <v>373</v>
      </c>
      <c r="C671" s="19" t="s">
        <v>12</v>
      </c>
      <c r="D671" s="14" t="s">
        <v>31</v>
      </c>
      <c r="E671" s="14" t="str">
        <f>_xlfn.XLOOKUP($D671,'Chart of Accounts'!$A:$A,'Chart of Accounts'!B:B,"")</f>
        <v>Retirement Contributions</v>
      </c>
      <c r="F671" s="14" t="str">
        <f>_xlfn.XLOOKUP($D671,'Chart of Accounts'!$A:$A,'Chart of Accounts'!C:C,"")</f>
        <v>Expense</v>
      </c>
      <c r="G671" s="14" t="s">
        <v>365</v>
      </c>
      <c r="H671" s="16">
        <v>387.30500000000001</v>
      </c>
      <c r="I671" s="16"/>
      <c r="J671" s="16">
        <v>387.30500000000001</v>
      </c>
      <c r="K671" s="14" t="s">
        <v>225</v>
      </c>
    </row>
    <row r="672" spans="1:11" ht="15" customHeight="1">
      <c r="A672" s="13">
        <v>45931</v>
      </c>
      <c r="B672" s="14" t="s">
        <v>373</v>
      </c>
      <c r="C672" s="19" t="s">
        <v>14</v>
      </c>
      <c r="D672" s="14" t="s">
        <v>31</v>
      </c>
      <c r="E672" s="14" t="str">
        <f>_xlfn.XLOOKUP($D672,'Chart of Accounts'!$A:$A,'Chart of Accounts'!B:B,"")</f>
        <v>Retirement Contributions</v>
      </c>
      <c r="F672" s="14" t="str">
        <f>_xlfn.XLOOKUP($D672,'Chart of Accounts'!$A:$A,'Chart of Accounts'!C:C,"")</f>
        <v>Expense</v>
      </c>
      <c r="G672" s="14" t="s">
        <v>365</v>
      </c>
      <c r="H672" s="16">
        <v>619.68799999999999</v>
      </c>
      <c r="I672" s="16"/>
      <c r="J672" s="16">
        <v>619.68799999999999</v>
      </c>
      <c r="K672" s="14" t="s">
        <v>225</v>
      </c>
    </row>
    <row r="673" spans="1:11" ht="15" customHeight="1">
      <c r="A673" s="13">
        <v>45931</v>
      </c>
      <c r="B673" s="14" t="s">
        <v>373</v>
      </c>
      <c r="C673" s="19" t="s">
        <v>16</v>
      </c>
      <c r="D673" s="14" t="s">
        <v>31</v>
      </c>
      <c r="E673" s="14" t="str">
        <f>_xlfn.XLOOKUP($D673,'Chart of Accounts'!$A:$A,'Chart of Accounts'!B:B,"")</f>
        <v>Retirement Contributions</v>
      </c>
      <c r="F673" s="14" t="str">
        <f>_xlfn.XLOOKUP($D673,'Chart of Accounts'!$A:$A,'Chart of Accounts'!C:C,"")</f>
        <v>Expense</v>
      </c>
      <c r="G673" s="14" t="s">
        <v>365</v>
      </c>
      <c r="H673" s="16">
        <v>464.76600000000002</v>
      </c>
      <c r="I673" s="16"/>
      <c r="J673" s="16">
        <v>464.76600000000002</v>
      </c>
      <c r="K673" s="14" t="s">
        <v>225</v>
      </c>
    </row>
    <row r="674" spans="1:11" ht="15" customHeight="1">
      <c r="A674" s="13">
        <v>45931</v>
      </c>
      <c r="B674" s="14" t="s">
        <v>373</v>
      </c>
      <c r="C674" s="19" t="s">
        <v>18</v>
      </c>
      <c r="D674" s="14" t="s">
        <v>31</v>
      </c>
      <c r="E674" s="14" t="str">
        <f>_xlfn.XLOOKUP($D674,'Chart of Accounts'!$A:$A,'Chart of Accounts'!B:B,"")</f>
        <v>Retirement Contributions</v>
      </c>
      <c r="F674" s="14" t="str">
        <f>_xlfn.XLOOKUP($D674,'Chart of Accounts'!$A:$A,'Chart of Accounts'!C:C,"")</f>
        <v>Expense</v>
      </c>
      <c r="G674" s="14" t="s">
        <v>365</v>
      </c>
      <c r="H674" s="16">
        <v>619.68799999999999</v>
      </c>
      <c r="I674" s="16"/>
      <c r="J674" s="16">
        <v>619.68799999999999</v>
      </c>
      <c r="K674" s="14" t="s">
        <v>225</v>
      </c>
    </row>
    <row r="675" spans="1:11" ht="15" customHeight="1">
      <c r="A675" s="13">
        <v>45931</v>
      </c>
      <c r="B675" s="14" t="s">
        <v>373</v>
      </c>
      <c r="C675" s="19" t="s">
        <v>20</v>
      </c>
      <c r="D675" s="14" t="s">
        <v>31</v>
      </c>
      <c r="E675" s="14" t="str">
        <f>_xlfn.XLOOKUP($D675,'Chart of Accounts'!$A:$A,'Chart of Accounts'!B:B,"")</f>
        <v>Retirement Contributions</v>
      </c>
      <c r="F675" s="14" t="str">
        <f>_xlfn.XLOOKUP($D675,'Chart of Accounts'!$A:$A,'Chart of Accounts'!C:C,"")</f>
        <v>Expense</v>
      </c>
      <c r="G675" s="14" t="s">
        <v>365</v>
      </c>
      <c r="H675" s="16">
        <v>619.68799999999999</v>
      </c>
      <c r="I675" s="16"/>
      <c r="J675" s="16">
        <v>619.68799999999999</v>
      </c>
      <c r="K675" s="14" t="s">
        <v>225</v>
      </c>
    </row>
    <row r="676" spans="1:11" ht="15" customHeight="1">
      <c r="A676" s="13">
        <v>45901</v>
      </c>
      <c r="B676" s="14" t="s">
        <v>374</v>
      </c>
      <c r="C676" s="19" t="s">
        <v>4</v>
      </c>
      <c r="D676" s="14" t="s">
        <v>31</v>
      </c>
      <c r="E676" s="14" t="str">
        <f>_xlfn.XLOOKUP($D676,'Chart of Accounts'!$A:$A,'Chart of Accounts'!B:B,"")</f>
        <v>Retirement Contributions</v>
      </c>
      <c r="F676" s="14" t="str">
        <f>_xlfn.XLOOKUP($D676,'Chart of Accounts'!$A:$A,'Chart of Accounts'!C:C,"")</f>
        <v>Expense</v>
      </c>
      <c r="G676" s="14" t="s">
        <v>365</v>
      </c>
      <c r="H676" s="16">
        <v>230.46539999999999</v>
      </c>
      <c r="I676" s="16"/>
      <c r="J676" s="16">
        <v>230.46539999999999</v>
      </c>
      <c r="K676" s="14" t="s">
        <v>225</v>
      </c>
    </row>
    <row r="677" spans="1:11" ht="15" customHeight="1">
      <c r="A677" s="13">
        <v>45901</v>
      </c>
      <c r="B677" s="14" t="s">
        <v>374</v>
      </c>
      <c r="C677" s="19" t="s">
        <v>6</v>
      </c>
      <c r="D677" s="14" t="s">
        <v>31</v>
      </c>
      <c r="E677" s="14" t="str">
        <f>_xlfn.XLOOKUP($D677,'Chart of Accounts'!$A:$A,'Chart of Accounts'!B:B,"")</f>
        <v>Retirement Contributions</v>
      </c>
      <c r="F677" s="14" t="str">
        <f>_xlfn.XLOOKUP($D677,'Chart of Accounts'!$A:$A,'Chart of Accounts'!C:C,"")</f>
        <v>Expense</v>
      </c>
      <c r="G677" s="14" t="s">
        <v>365</v>
      </c>
      <c r="H677" s="16">
        <v>307.28719999999998</v>
      </c>
      <c r="I677" s="16"/>
      <c r="J677" s="16">
        <v>307.28719999999998</v>
      </c>
      <c r="K677" s="14" t="s">
        <v>225</v>
      </c>
    </row>
    <row r="678" spans="1:11" ht="15" customHeight="1">
      <c r="A678" s="13">
        <v>45901</v>
      </c>
      <c r="B678" s="14" t="s">
        <v>374</v>
      </c>
      <c r="C678" s="19" t="s">
        <v>8</v>
      </c>
      <c r="D678" s="14" t="s">
        <v>31</v>
      </c>
      <c r="E678" s="14" t="str">
        <f>_xlfn.XLOOKUP($D678,'Chart of Accounts'!$A:$A,'Chart of Accounts'!B:B,"")</f>
        <v>Retirement Contributions</v>
      </c>
      <c r="F678" s="14" t="str">
        <f>_xlfn.XLOOKUP($D678,'Chart of Accounts'!$A:$A,'Chart of Accounts'!C:C,"")</f>
        <v>Expense</v>
      </c>
      <c r="G678" s="14" t="s">
        <v>365</v>
      </c>
      <c r="H678" s="16">
        <v>307.28719999999998</v>
      </c>
      <c r="I678" s="16"/>
      <c r="J678" s="16">
        <v>307.28719999999998</v>
      </c>
      <c r="K678" s="14" t="s">
        <v>225</v>
      </c>
    </row>
    <row r="679" spans="1:11" ht="15" customHeight="1">
      <c r="A679" s="13">
        <v>45901</v>
      </c>
      <c r="B679" s="14" t="s">
        <v>374</v>
      </c>
      <c r="C679" s="19" t="s">
        <v>10</v>
      </c>
      <c r="D679" s="14" t="s">
        <v>31</v>
      </c>
      <c r="E679" s="14" t="str">
        <f>_xlfn.XLOOKUP($D679,'Chart of Accounts'!$A:$A,'Chart of Accounts'!B:B,"")</f>
        <v>Retirement Contributions</v>
      </c>
      <c r="F679" s="14" t="str">
        <f>_xlfn.XLOOKUP($D679,'Chart of Accounts'!$A:$A,'Chart of Accounts'!C:C,"")</f>
        <v>Expense</v>
      </c>
      <c r="G679" s="14" t="s">
        <v>365</v>
      </c>
      <c r="H679" s="16">
        <v>307.28719999999998</v>
      </c>
      <c r="I679" s="16"/>
      <c r="J679" s="16">
        <v>307.28719999999998</v>
      </c>
      <c r="K679" s="14" t="s">
        <v>225</v>
      </c>
    </row>
    <row r="680" spans="1:11" ht="15" customHeight="1">
      <c r="A680" s="13">
        <v>45901</v>
      </c>
      <c r="B680" s="14" t="s">
        <v>374</v>
      </c>
      <c r="C680" s="19" t="s">
        <v>12</v>
      </c>
      <c r="D680" s="14" t="s">
        <v>31</v>
      </c>
      <c r="E680" s="14" t="str">
        <f>_xlfn.XLOOKUP($D680,'Chart of Accounts'!$A:$A,'Chart of Accounts'!B:B,"")</f>
        <v>Retirement Contributions</v>
      </c>
      <c r="F680" s="14" t="str">
        <f>_xlfn.XLOOKUP($D680,'Chart of Accounts'!$A:$A,'Chart of Accounts'!C:C,"")</f>
        <v>Expense</v>
      </c>
      <c r="G680" s="14" t="s">
        <v>365</v>
      </c>
      <c r="H680" s="16">
        <v>537.75260000000003</v>
      </c>
      <c r="I680" s="16"/>
      <c r="J680" s="16">
        <v>537.75260000000003</v>
      </c>
      <c r="K680" s="14" t="s">
        <v>225</v>
      </c>
    </row>
    <row r="681" spans="1:11" ht="15" customHeight="1">
      <c r="A681" s="13">
        <v>45901</v>
      </c>
      <c r="B681" s="14" t="s">
        <v>374</v>
      </c>
      <c r="C681" s="19" t="s">
        <v>14</v>
      </c>
      <c r="D681" s="14" t="s">
        <v>31</v>
      </c>
      <c r="E681" s="14" t="str">
        <f>_xlfn.XLOOKUP($D681,'Chart of Accounts'!$A:$A,'Chart of Accounts'!B:B,"")</f>
        <v>Retirement Contributions</v>
      </c>
      <c r="F681" s="14" t="str">
        <f>_xlfn.XLOOKUP($D681,'Chart of Accounts'!$A:$A,'Chart of Accounts'!C:C,"")</f>
        <v>Expense</v>
      </c>
      <c r="G681" s="14" t="s">
        <v>365</v>
      </c>
      <c r="H681" s="16">
        <v>460.93079999999998</v>
      </c>
      <c r="I681" s="16"/>
      <c r="J681" s="16">
        <v>460.93079999999998</v>
      </c>
      <c r="K681" s="14" t="s">
        <v>225</v>
      </c>
    </row>
    <row r="682" spans="1:11" ht="15" customHeight="1">
      <c r="A682" s="13">
        <v>45901</v>
      </c>
      <c r="B682" s="14" t="s">
        <v>374</v>
      </c>
      <c r="C682" s="19" t="s">
        <v>16</v>
      </c>
      <c r="D682" s="14" t="s">
        <v>31</v>
      </c>
      <c r="E682" s="14" t="str">
        <f>_xlfn.XLOOKUP($D682,'Chart of Accounts'!$A:$A,'Chart of Accounts'!B:B,"")</f>
        <v>Retirement Contributions</v>
      </c>
      <c r="F682" s="14" t="str">
        <f>_xlfn.XLOOKUP($D682,'Chart of Accounts'!$A:$A,'Chart of Accounts'!C:C,"")</f>
        <v>Expense</v>
      </c>
      <c r="G682" s="14" t="s">
        <v>365</v>
      </c>
      <c r="H682" s="16">
        <v>460.93079999999998</v>
      </c>
      <c r="I682" s="16"/>
      <c r="J682" s="16">
        <v>460.93079999999998</v>
      </c>
      <c r="K682" s="14" t="s">
        <v>225</v>
      </c>
    </row>
    <row r="683" spans="1:11" ht="15" customHeight="1">
      <c r="A683" s="13">
        <v>45901</v>
      </c>
      <c r="B683" s="14" t="s">
        <v>374</v>
      </c>
      <c r="C683" s="19" t="s">
        <v>18</v>
      </c>
      <c r="D683" s="14" t="s">
        <v>31</v>
      </c>
      <c r="E683" s="14" t="str">
        <f>_xlfn.XLOOKUP($D683,'Chart of Accounts'!$A:$A,'Chart of Accounts'!B:B,"")</f>
        <v>Retirement Contributions</v>
      </c>
      <c r="F683" s="14" t="str">
        <f>_xlfn.XLOOKUP($D683,'Chart of Accounts'!$A:$A,'Chart of Accounts'!C:C,"")</f>
        <v>Expense</v>
      </c>
      <c r="G683" s="14" t="s">
        <v>365</v>
      </c>
      <c r="H683" s="16">
        <v>614.57439999999997</v>
      </c>
      <c r="I683" s="16"/>
      <c r="J683" s="16">
        <v>614.57439999999997</v>
      </c>
      <c r="K683" s="14" t="s">
        <v>225</v>
      </c>
    </row>
    <row r="684" spans="1:11" ht="15" customHeight="1">
      <c r="A684" s="13">
        <v>45901</v>
      </c>
      <c r="B684" s="14" t="s">
        <v>374</v>
      </c>
      <c r="C684" s="19" t="s">
        <v>20</v>
      </c>
      <c r="D684" s="14" t="s">
        <v>31</v>
      </c>
      <c r="E684" s="14" t="str">
        <f>_xlfn.XLOOKUP($D684,'Chart of Accounts'!$A:$A,'Chart of Accounts'!B:B,"")</f>
        <v>Retirement Contributions</v>
      </c>
      <c r="F684" s="14" t="str">
        <f>_xlfn.XLOOKUP($D684,'Chart of Accounts'!$A:$A,'Chart of Accounts'!C:C,"")</f>
        <v>Expense</v>
      </c>
      <c r="G684" s="14" t="s">
        <v>365</v>
      </c>
      <c r="H684" s="16">
        <v>614.57439999999997</v>
      </c>
      <c r="I684" s="16"/>
      <c r="J684" s="16">
        <v>614.57439999999997</v>
      </c>
      <c r="K684" s="14" t="s">
        <v>225</v>
      </c>
    </row>
    <row r="685" spans="1:11" ht="15" customHeight="1">
      <c r="A685" s="13">
        <v>45870</v>
      </c>
      <c r="B685" s="14" t="s">
        <v>375</v>
      </c>
      <c r="C685" s="19" t="s">
        <v>4</v>
      </c>
      <c r="D685" s="14" t="s">
        <v>31</v>
      </c>
      <c r="E685" s="14" t="str">
        <f>_xlfn.XLOOKUP($D685,'Chart of Accounts'!$A:$A,'Chart of Accounts'!B:B,"")</f>
        <v>Retirement Contributions</v>
      </c>
      <c r="F685" s="14" t="str">
        <f>_xlfn.XLOOKUP($D685,'Chart of Accounts'!$A:$A,'Chart of Accounts'!C:C,"")</f>
        <v>Expense</v>
      </c>
      <c r="G685" s="14" t="s">
        <v>365</v>
      </c>
      <c r="H685" s="16">
        <v>224.3826</v>
      </c>
      <c r="I685" s="16"/>
      <c r="J685" s="16">
        <v>224.3826</v>
      </c>
      <c r="K685" s="14" t="s">
        <v>225</v>
      </c>
    </row>
    <row r="686" spans="1:11" ht="15" customHeight="1">
      <c r="A686" s="13">
        <v>45870</v>
      </c>
      <c r="B686" s="14" t="s">
        <v>375</v>
      </c>
      <c r="C686" s="19" t="s">
        <v>6</v>
      </c>
      <c r="D686" s="14" t="s">
        <v>31</v>
      </c>
      <c r="E686" s="14" t="str">
        <f>_xlfn.XLOOKUP($D686,'Chart of Accounts'!$A:$A,'Chart of Accounts'!B:B,"")</f>
        <v>Retirement Contributions</v>
      </c>
      <c r="F686" s="14" t="str">
        <f>_xlfn.XLOOKUP($D686,'Chart of Accounts'!$A:$A,'Chart of Accounts'!C:C,"")</f>
        <v>Expense</v>
      </c>
      <c r="G686" s="14" t="s">
        <v>365</v>
      </c>
      <c r="H686" s="16">
        <v>299.17680000000001</v>
      </c>
      <c r="I686" s="16"/>
      <c r="J686" s="16">
        <v>299.17680000000001</v>
      </c>
      <c r="K686" s="14" t="s">
        <v>225</v>
      </c>
    </row>
    <row r="687" spans="1:11" ht="15" customHeight="1">
      <c r="A687" s="13">
        <v>45870</v>
      </c>
      <c r="B687" s="14" t="s">
        <v>375</v>
      </c>
      <c r="C687" s="19" t="s">
        <v>8</v>
      </c>
      <c r="D687" s="14" t="s">
        <v>31</v>
      </c>
      <c r="E687" s="14" t="str">
        <f>_xlfn.XLOOKUP($D687,'Chart of Accounts'!$A:$A,'Chart of Accounts'!B:B,"")</f>
        <v>Retirement Contributions</v>
      </c>
      <c r="F687" s="14" t="str">
        <f>_xlfn.XLOOKUP($D687,'Chart of Accounts'!$A:$A,'Chart of Accounts'!C:C,"")</f>
        <v>Expense</v>
      </c>
      <c r="G687" s="14" t="s">
        <v>365</v>
      </c>
      <c r="H687" s="16">
        <v>299.17680000000001</v>
      </c>
      <c r="I687" s="16"/>
      <c r="J687" s="16">
        <v>299.17680000000001</v>
      </c>
      <c r="K687" s="14" t="s">
        <v>225</v>
      </c>
    </row>
    <row r="688" spans="1:11" ht="15" customHeight="1">
      <c r="A688" s="13">
        <v>45870</v>
      </c>
      <c r="B688" s="14" t="s">
        <v>375</v>
      </c>
      <c r="C688" s="19" t="s">
        <v>10</v>
      </c>
      <c r="D688" s="14" t="s">
        <v>31</v>
      </c>
      <c r="E688" s="14" t="str">
        <f>_xlfn.XLOOKUP($D688,'Chart of Accounts'!$A:$A,'Chart of Accounts'!B:B,"")</f>
        <v>Retirement Contributions</v>
      </c>
      <c r="F688" s="14" t="str">
        <f>_xlfn.XLOOKUP($D688,'Chart of Accounts'!$A:$A,'Chart of Accounts'!C:C,"")</f>
        <v>Expense</v>
      </c>
      <c r="G688" s="14" t="s">
        <v>365</v>
      </c>
      <c r="H688" s="16">
        <v>299.17680000000001</v>
      </c>
      <c r="I688" s="16"/>
      <c r="J688" s="16">
        <v>299.17680000000001</v>
      </c>
      <c r="K688" s="14" t="s">
        <v>225</v>
      </c>
    </row>
    <row r="689" spans="1:11" ht="15" customHeight="1">
      <c r="A689" s="13">
        <v>45870</v>
      </c>
      <c r="B689" s="14" t="s">
        <v>375</v>
      </c>
      <c r="C689" s="19" t="s">
        <v>12</v>
      </c>
      <c r="D689" s="14" t="s">
        <v>31</v>
      </c>
      <c r="E689" s="14" t="str">
        <f>_xlfn.XLOOKUP($D689,'Chart of Accounts'!$A:$A,'Chart of Accounts'!B:B,"")</f>
        <v>Retirement Contributions</v>
      </c>
      <c r="F689" s="14" t="str">
        <f>_xlfn.XLOOKUP($D689,'Chart of Accounts'!$A:$A,'Chart of Accounts'!C:C,"")</f>
        <v>Expense</v>
      </c>
      <c r="G689" s="14" t="s">
        <v>365</v>
      </c>
      <c r="H689" s="16">
        <v>523.55939999999998</v>
      </c>
      <c r="I689" s="16"/>
      <c r="J689" s="16">
        <v>523.55939999999998</v>
      </c>
      <c r="K689" s="14" t="s">
        <v>225</v>
      </c>
    </row>
    <row r="690" spans="1:11" ht="15" customHeight="1">
      <c r="A690" s="13">
        <v>45870</v>
      </c>
      <c r="B690" s="14" t="s">
        <v>375</v>
      </c>
      <c r="C690" s="19" t="s">
        <v>14</v>
      </c>
      <c r="D690" s="14" t="s">
        <v>31</v>
      </c>
      <c r="E690" s="14" t="str">
        <f>_xlfn.XLOOKUP($D690,'Chart of Accounts'!$A:$A,'Chart of Accounts'!B:B,"")</f>
        <v>Retirement Contributions</v>
      </c>
      <c r="F690" s="14" t="str">
        <f>_xlfn.XLOOKUP($D690,'Chart of Accounts'!$A:$A,'Chart of Accounts'!C:C,"")</f>
        <v>Expense</v>
      </c>
      <c r="G690" s="14" t="s">
        <v>365</v>
      </c>
      <c r="H690" s="16">
        <v>448.76519999999999</v>
      </c>
      <c r="I690" s="16"/>
      <c r="J690" s="16">
        <v>448.76519999999999</v>
      </c>
      <c r="K690" s="14" t="s">
        <v>225</v>
      </c>
    </row>
    <row r="691" spans="1:11" ht="15" customHeight="1">
      <c r="A691" s="13">
        <v>45870</v>
      </c>
      <c r="B691" s="14" t="s">
        <v>375</v>
      </c>
      <c r="C691" s="19" t="s">
        <v>16</v>
      </c>
      <c r="D691" s="14" t="s">
        <v>31</v>
      </c>
      <c r="E691" s="14" t="str">
        <f>_xlfn.XLOOKUP($D691,'Chart of Accounts'!$A:$A,'Chart of Accounts'!B:B,"")</f>
        <v>Retirement Contributions</v>
      </c>
      <c r="F691" s="14" t="str">
        <f>_xlfn.XLOOKUP($D691,'Chart of Accounts'!$A:$A,'Chart of Accounts'!C:C,"")</f>
        <v>Expense</v>
      </c>
      <c r="G691" s="14" t="s">
        <v>365</v>
      </c>
      <c r="H691" s="16">
        <v>448.76519999999999</v>
      </c>
      <c r="I691" s="16"/>
      <c r="J691" s="16">
        <v>448.76519999999999</v>
      </c>
      <c r="K691" s="14" t="s">
        <v>225</v>
      </c>
    </row>
    <row r="692" spans="1:11" ht="15" customHeight="1">
      <c r="A692" s="13">
        <v>45870</v>
      </c>
      <c r="B692" s="14" t="s">
        <v>375</v>
      </c>
      <c r="C692" s="19" t="s">
        <v>18</v>
      </c>
      <c r="D692" s="14" t="s">
        <v>31</v>
      </c>
      <c r="E692" s="14" t="str">
        <f>_xlfn.XLOOKUP($D692,'Chart of Accounts'!$A:$A,'Chart of Accounts'!B:B,"")</f>
        <v>Retirement Contributions</v>
      </c>
      <c r="F692" s="14" t="str">
        <f>_xlfn.XLOOKUP($D692,'Chart of Accounts'!$A:$A,'Chart of Accounts'!C:C,"")</f>
        <v>Expense</v>
      </c>
      <c r="G692" s="14" t="s">
        <v>365</v>
      </c>
      <c r="H692" s="16">
        <v>598.35360000000003</v>
      </c>
      <c r="I692" s="16"/>
      <c r="J692" s="16">
        <v>598.35360000000003</v>
      </c>
      <c r="K692" s="14" t="s">
        <v>225</v>
      </c>
    </row>
    <row r="693" spans="1:11" ht="15" customHeight="1">
      <c r="A693" s="13">
        <v>45870</v>
      </c>
      <c r="B693" s="14" t="s">
        <v>375</v>
      </c>
      <c r="C693" s="19" t="s">
        <v>20</v>
      </c>
      <c r="D693" s="14" t="s">
        <v>31</v>
      </c>
      <c r="E693" s="14" t="str">
        <f>_xlfn.XLOOKUP($D693,'Chart of Accounts'!$A:$A,'Chart of Accounts'!B:B,"")</f>
        <v>Retirement Contributions</v>
      </c>
      <c r="F693" s="14" t="str">
        <f>_xlfn.XLOOKUP($D693,'Chart of Accounts'!$A:$A,'Chart of Accounts'!C:C,"")</f>
        <v>Expense</v>
      </c>
      <c r="G693" s="14" t="s">
        <v>365</v>
      </c>
      <c r="H693" s="16">
        <v>598.35360000000003</v>
      </c>
      <c r="I693" s="16"/>
      <c r="J693" s="16">
        <v>598.35360000000003</v>
      </c>
      <c r="K693" s="14" t="s">
        <v>225</v>
      </c>
    </row>
    <row r="694" spans="1:11" ht="15" customHeight="1">
      <c r="A694" s="13">
        <v>45839</v>
      </c>
      <c r="B694" s="14" t="s">
        <v>376</v>
      </c>
      <c r="C694" s="19" t="s">
        <v>4</v>
      </c>
      <c r="D694" s="14" t="s">
        <v>31</v>
      </c>
      <c r="E694" s="14" t="str">
        <f>_xlfn.XLOOKUP($D694,'Chart of Accounts'!$A:$A,'Chart of Accounts'!B:B,"")</f>
        <v>Retirement Contributions</v>
      </c>
      <c r="F694" s="14" t="str">
        <f>_xlfn.XLOOKUP($D694,'Chart of Accounts'!$A:$A,'Chart of Accounts'!C:C,"")</f>
        <v>Expense</v>
      </c>
      <c r="G694" s="14" t="s">
        <v>365</v>
      </c>
      <c r="H694" s="16">
        <v>220.75980000000001</v>
      </c>
      <c r="I694" s="16"/>
      <c r="J694" s="16">
        <v>220.75980000000001</v>
      </c>
      <c r="K694" s="14" t="s">
        <v>225</v>
      </c>
    </row>
    <row r="695" spans="1:11" ht="15" customHeight="1">
      <c r="A695" s="13">
        <v>45839</v>
      </c>
      <c r="B695" s="14" t="s">
        <v>376</v>
      </c>
      <c r="C695" s="19" t="s">
        <v>6</v>
      </c>
      <c r="D695" s="14" t="s">
        <v>31</v>
      </c>
      <c r="E695" s="14" t="str">
        <f>_xlfn.XLOOKUP($D695,'Chart of Accounts'!$A:$A,'Chart of Accounts'!B:B,"")</f>
        <v>Retirement Contributions</v>
      </c>
      <c r="F695" s="14" t="str">
        <f>_xlfn.XLOOKUP($D695,'Chart of Accounts'!$A:$A,'Chart of Accounts'!C:C,"")</f>
        <v>Expense</v>
      </c>
      <c r="G695" s="14" t="s">
        <v>365</v>
      </c>
      <c r="H695" s="16">
        <v>294.34640000000002</v>
      </c>
      <c r="I695" s="16"/>
      <c r="J695" s="16">
        <v>294.34640000000002</v>
      </c>
      <c r="K695" s="14" t="s">
        <v>225</v>
      </c>
    </row>
    <row r="696" spans="1:11" ht="15" customHeight="1">
      <c r="A696" s="13">
        <v>45839</v>
      </c>
      <c r="B696" s="14" t="s">
        <v>376</v>
      </c>
      <c r="C696" s="19" t="s">
        <v>8</v>
      </c>
      <c r="D696" s="14" t="s">
        <v>31</v>
      </c>
      <c r="E696" s="14" t="str">
        <f>_xlfn.XLOOKUP($D696,'Chart of Accounts'!$A:$A,'Chart of Accounts'!B:B,"")</f>
        <v>Retirement Contributions</v>
      </c>
      <c r="F696" s="14" t="str">
        <f>_xlfn.XLOOKUP($D696,'Chart of Accounts'!$A:$A,'Chart of Accounts'!C:C,"")</f>
        <v>Expense</v>
      </c>
      <c r="G696" s="14" t="s">
        <v>365</v>
      </c>
      <c r="H696" s="16">
        <v>294.34640000000002</v>
      </c>
      <c r="I696" s="16"/>
      <c r="J696" s="16">
        <v>294.34640000000002</v>
      </c>
      <c r="K696" s="14" t="s">
        <v>225</v>
      </c>
    </row>
    <row r="697" spans="1:11" ht="15" customHeight="1">
      <c r="A697" s="13">
        <v>45839</v>
      </c>
      <c r="B697" s="14" t="s">
        <v>376</v>
      </c>
      <c r="C697" s="19" t="s">
        <v>10</v>
      </c>
      <c r="D697" s="14" t="s">
        <v>31</v>
      </c>
      <c r="E697" s="14" t="str">
        <f>_xlfn.XLOOKUP($D697,'Chart of Accounts'!$A:$A,'Chart of Accounts'!B:B,"")</f>
        <v>Retirement Contributions</v>
      </c>
      <c r="F697" s="14" t="str">
        <f>_xlfn.XLOOKUP($D697,'Chart of Accounts'!$A:$A,'Chart of Accounts'!C:C,"")</f>
        <v>Expense</v>
      </c>
      <c r="G697" s="14" t="s">
        <v>365</v>
      </c>
      <c r="H697" s="16">
        <v>294.34640000000002</v>
      </c>
      <c r="I697" s="16"/>
      <c r="J697" s="16">
        <v>294.34640000000002</v>
      </c>
      <c r="K697" s="14" t="s">
        <v>225</v>
      </c>
    </row>
    <row r="698" spans="1:11" ht="15" customHeight="1">
      <c r="A698" s="13">
        <v>45839</v>
      </c>
      <c r="B698" s="14" t="s">
        <v>376</v>
      </c>
      <c r="C698" s="19" t="s">
        <v>12</v>
      </c>
      <c r="D698" s="14" t="s">
        <v>31</v>
      </c>
      <c r="E698" s="14" t="str">
        <f>_xlfn.XLOOKUP($D698,'Chart of Accounts'!$A:$A,'Chart of Accounts'!B:B,"")</f>
        <v>Retirement Contributions</v>
      </c>
      <c r="F698" s="14" t="str">
        <f>_xlfn.XLOOKUP($D698,'Chart of Accounts'!$A:$A,'Chart of Accounts'!C:C,"")</f>
        <v>Expense</v>
      </c>
      <c r="G698" s="14" t="s">
        <v>365</v>
      </c>
      <c r="H698" s="16">
        <v>515.10619999999994</v>
      </c>
      <c r="I698" s="16"/>
      <c r="J698" s="16">
        <v>515.10619999999994</v>
      </c>
      <c r="K698" s="14" t="s">
        <v>225</v>
      </c>
    </row>
    <row r="699" spans="1:11" ht="15" customHeight="1">
      <c r="A699" s="13">
        <v>45839</v>
      </c>
      <c r="B699" s="14" t="s">
        <v>376</v>
      </c>
      <c r="C699" s="19" t="s">
        <v>14</v>
      </c>
      <c r="D699" s="14" t="s">
        <v>31</v>
      </c>
      <c r="E699" s="14" t="str">
        <f>_xlfn.XLOOKUP($D699,'Chart of Accounts'!$A:$A,'Chart of Accounts'!B:B,"")</f>
        <v>Retirement Contributions</v>
      </c>
      <c r="F699" s="14" t="str">
        <f>_xlfn.XLOOKUP($D699,'Chart of Accounts'!$A:$A,'Chart of Accounts'!C:C,"")</f>
        <v>Expense</v>
      </c>
      <c r="G699" s="14" t="s">
        <v>365</v>
      </c>
      <c r="H699" s="16">
        <v>441.51960000000003</v>
      </c>
      <c r="I699" s="16"/>
      <c r="J699" s="16">
        <v>441.51960000000003</v>
      </c>
      <c r="K699" s="14" t="s">
        <v>225</v>
      </c>
    </row>
    <row r="700" spans="1:11" ht="15" customHeight="1">
      <c r="A700" s="13">
        <v>45839</v>
      </c>
      <c r="B700" s="14" t="s">
        <v>376</v>
      </c>
      <c r="C700" s="19" t="s">
        <v>16</v>
      </c>
      <c r="D700" s="14" t="s">
        <v>31</v>
      </c>
      <c r="E700" s="14" t="str">
        <f>_xlfn.XLOOKUP($D700,'Chart of Accounts'!$A:$A,'Chart of Accounts'!B:B,"")</f>
        <v>Retirement Contributions</v>
      </c>
      <c r="F700" s="14" t="str">
        <f>_xlfn.XLOOKUP($D700,'Chart of Accounts'!$A:$A,'Chart of Accounts'!C:C,"")</f>
        <v>Expense</v>
      </c>
      <c r="G700" s="14" t="s">
        <v>365</v>
      </c>
      <c r="H700" s="16">
        <v>441.51960000000003</v>
      </c>
      <c r="I700" s="16"/>
      <c r="J700" s="16">
        <v>441.51960000000003</v>
      </c>
      <c r="K700" s="14" t="s">
        <v>225</v>
      </c>
    </row>
    <row r="701" spans="1:11" ht="15" customHeight="1">
      <c r="A701" s="13">
        <v>45839</v>
      </c>
      <c r="B701" s="14" t="s">
        <v>376</v>
      </c>
      <c r="C701" s="19" t="s">
        <v>18</v>
      </c>
      <c r="D701" s="14" t="s">
        <v>31</v>
      </c>
      <c r="E701" s="14" t="str">
        <f>_xlfn.XLOOKUP($D701,'Chart of Accounts'!$A:$A,'Chart of Accounts'!B:B,"")</f>
        <v>Retirement Contributions</v>
      </c>
      <c r="F701" s="14" t="str">
        <f>_xlfn.XLOOKUP($D701,'Chart of Accounts'!$A:$A,'Chart of Accounts'!C:C,"")</f>
        <v>Expense</v>
      </c>
      <c r="G701" s="14" t="s">
        <v>365</v>
      </c>
      <c r="H701" s="16">
        <v>588.69280000000003</v>
      </c>
      <c r="I701" s="16"/>
      <c r="J701" s="16">
        <v>588.69280000000003</v>
      </c>
      <c r="K701" s="14" t="s">
        <v>225</v>
      </c>
    </row>
    <row r="702" spans="1:11" ht="15" customHeight="1">
      <c r="A702" s="13">
        <v>45839</v>
      </c>
      <c r="B702" s="14" t="s">
        <v>376</v>
      </c>
      <c r="C702" s="19" t="s">
        <v>20</v>
      </c>
      <c r="D702" s="14" t="s">
        <v>31</v>
      </c>
      <c r="E702" s="14" t="str">
        <f>_xlfn.XLOOKUP($D702,'Chart of Accounts'!$A:$A,'Chart of Accounts'!B:B,"")</f>
        <v>Retirement Contributions</v>
      </c>
      <c r="F702" s="14" t="str">
        <f>_xlfn.XLOOKUP($D702,'Chart of Accounts'!$A:$A,'Chart of Accounts'!C:C,"")</f>
        <v>Expense</v>
      </c>
      <c r="G702" s="14" t="s">
        <v>365</v>
      </c>
      <c r="H702" s="16">
        <v>588.69280000000003</v>
      </c>
      <c r="I702" s="16"/>
      <c r="J702" s="16">
        <v>588.69280000000003</v>
      </c>
      <c r="K702" s="14" t="s">
        <v>225</v>
      </c>
    </row>
    <row r="703" spans="1:11" ht="15" customHeight="1">
      <c r="A703" s="13">
        <v>46174</v>
      </c>
      <c r="B703" s="14" t="s">
        <v>377</v>
      </c>
      <c r="C703" s="19" t="s">
        <v>4</v>
      </c>
      <c r="D703" s="14" t="s">
        <v>30</v>
      </c>
      <c r="E703" s="14" t="str">
        <f>_xlfn.XLOOKUP($D703,'Chart of Accounts'!$A:$A,'Chart of Accounts'!B:B,"")</f>
        <v>Employee Benefits</v>
      </c>
      <c r="F703" s="14" t="str">
        <f>_xlfn.XLOOKUP($D703,'Chart of Accounts'!$A:$A,'Chart of Accounts'!C:C,"")</f>
        <v>Expense</v>
      </c>
      <c r="G703" s="14" t="s">
        <v>365</v>
      </c>
      <c r="H703" s="16">
        <v>789.32423076923101</v>
      </c>
      <c r="I703" s="16"/>
      <c r="J703" s="16">
        <v>789.32423076923101</v>
      </c>
      <c r="K703" s="14" t="s">
        <v>225</v>
      </c>
    </row>
    <row r="704" spans="1:11" ht="15" customHeight="1">
      <c r="A704" s="13">
        <v>46174</v>
      </c>
      <c r="B704" s="14" t="s">
        <v>377</v>
      </c>
      <c r="C704" s="19" t="s">
        <v>6</v>
      </c>
      <c r="D704" s="14" t="s">
        <v>30</v>
      </c>
      <c r="E704" s="14" t="str">
        <f>_xlfn.XLOOKUP($D704,'Chart of Accounts'!$A:$A,'Chart of Accounts'!B:B,"")</f>
        <v>Employee Benefits</v>
      </c>
      <c r="F704" s="14" t="str">
        <f>_xlfn.XLOOKUP($D704,'Chart of Accounts'!$A:$A,'Chart of Accounts'!C:C,"")</f>
        <v>Expense</v>
      </c>
      <c r="G704" s="14" t="s">
        <v>365</v>
      </c>
      <c r="H704" s="16">
        <v>1052.4323076923099</v>
      </c>
      <c r="I704" s="16"/>
      <c r="J704" s="16">
        <v>1052.4323076923099</v>
      </c>
      <c r="K704" s="14" t="s">
        <v>225</v>
      </c>
    </row>
    <row r="705" spans="1:11" ht="15" customHeight="1">
      <c r="A705" s="13">
        <v>46174</v>
      </c>
      <c r="B705" s="14" t="s">
        <v>377</v>
      </c>
      <c r="C705" s="19" t="s">
        <v>8</v>
      </c>
      <c r="D705" s="14" t="s">
        <v>30</v>
      </c>
      <c r="E705" s="14" t="str">
        <f>_xlfn.XLOOKUP($D705,'Chart of Accounts'!$A:$A,'Chart of Accounts'!B:B,"")</f>
        <v>Employee Benefits</v>
      </c>
      <c r="F705" s="14" t="str">
        <f>_xlfn.XLOOKUP($D705,'Chart of Accounts'!$A:$A,'Chart of Accounts'!C:C,"")</f>
        <v>Expense</v>
      </c>
      <c r="G705" s="14" t="s">
        <v>365</v>
      </c>
      <c r="H705" s="16">
        <v>1578.64846153846</v>
      </c>
      <c r="I705" s="16"/>
      <c r="J705" s="16">
        <v>1578.64846153846</v>
      </c>
      <c r="K705" s="14" t="s">
        <v>225</v>
      </c>
    </row>
    <row r="706" spans="1:11" ht="15" customHeight="1">
      <c r="A706" s="13">
        <v>46174</v>
      </c>
      <c r="B706" s="14" t="s">
        <v>377</v>
      </c>
      <c r="C706" s="19" t="s">
        <v>10</v>
      </c>
      <c r="D706" s="14" t="s">
        <v>30</v>
      </c>
      <c r="E706" s="14" t="str">
        <f>_xlfn.XLOOKUP($D706,'Chart of Accounts'!$A:$A,'Chart of Accounts'!B:B,"")</f>
        <v>Employee Benefits</v>
      </c>
      <c r="F706" s="14" t="str">
        <f>_xlfn.XLOOKUP($D706,'Chart of Accounts'!$A:$A,'Chart of Accounts'!C:C,"")</f>
        <v>Expense</v>
      </c>
      <c r="G706" s="14" t="s">
        <v>365</v>
      </c>
      <c r="H706" s="16">
        <v>526.21615384615404</v>
      </c>
      <c r="I706" s="16"/>
      <c r="J706" s="16">
        <v>526.21615384615404</v>
      </c>
      <c r="K706" s="14" t="s">
        <v>225</v>
      </c>
    </row>
    <row r="707" spans="1:11" ht="15" customHeight="1">
      <c r="A707" s="13">
        <v>46174</v>
      </c>
      <c r="B707" s="14" t="s">
        <v>377</v>
      </c>
      <c r="C707" s="19" t="s">
        <v>12</v>
      </c>
      <c r="D707" s="14" t="s">
        <v>30</v>
      </c>
      <c r="E707" s="14" t="str">
        <f>_xlfn.XLOOKUP($D707,'Chart of Accounts'!$A:$A,'Chart of Accounts'!B:B,"")</f>
        <v>Employee Benefits</v>
      </c>
      <c r="F707" s="14" t="str">
        <f>_xlfn.XLOOKUP($D707,'Chart of Accounts'!$A:$A,'Chart of Accounts'!C:C,"")</f>
        <v>Expense</v>
      </c>
      <c r="G707" s="14" t="s">
        <v>365</v>
      </c>
      <c r="H707" s="16">
        <v>1841.75653846154</v>
      </c>
      <c r="I707" s="16"/>
      <c r="J707" s="16">
        <v>1841.75653846154</v>
      </c>
      <c r="K707" s="14" t="s">
        <v>225</v>
      </c>
    </row>
    <row r="708" spans="1:11" ht="15" customHeight="1">
      <c r="A708" s="13">
        <v>46174</v>
      </c>
      <c r="B708" s="14" t="s">
        <v>377</v>
      </c>
      <c r="C708" s="19" t="s">
        <v>14</v>
      </c>
      <c r="D708" s="14" t="s">
        <v>30</v>
      </c>
      <c r="E708" s="14" t="str">
        <f>_xlfn.XLOOKUP($D708,'Chart of Accounts'!$A:$A,'Chart of Accounts'!B:B,"")</f>
        <v>Employee Benefits</v>
      </c>
      <c r="F708" s="14" t="str">
        <f>_xlfn.XLOOKUP($D708,'Chart of Accounts'!$A:$A,'Chart of Accounts'!C:C,"")</f>
        <v>Expense</v>
      </c>
      <c r="G708" s="14" t="s">
        <v>365</v>
      </c>
      <c r="H708" s="16">
        <v>2104.8646153846198</v>
      </c>
      <c r="I708" s="16"/>
      <c r="J708" s="16">
        <v>2104.8646153846198</v>
      </c>
      <c r="K708" s="14" t="s">
        <v>225</v>
      </c>
    </row>
    <row r="709" spans="1:11" ht="15" customHeight="1">
      <c r="A709" s="13">
        <v>46174</v>
      </c>
      <c r="B709" s="14" t="s">
        <v>377</v>
      </c>
      <c r="C709" s="19" t="s">
        <v>16</v>
      </c>
      <c r="D709" s="14" t="s">
        <v>30</v>
      </c>
      <c r="E709" s="14" t="str">
        <f>_xlfn.XLOOKUP($D709,'Chart of Accounts'!$A:$A,'Chart of Accounts'!B:B,"")</f>
        <v>Employee Benefits</v>
      </c>
      <c r="F709" s="14" t="str">
        <f>_xlfn.XLOOKUP($D709,'Chart of Accounts'!$A:$A,'Chart of Accounts'!C:C,"")</f>
        <v>Expense</v>
      </c>
      <c r="G709" s="14" t="s">
        <v>365</v>
      </c>
      <c r="H709" s="16">
        <v>1052.4323076923099</v>
      </c>
      <c r="I709" s="16"/>
      <c r="J709" s="16">
        <v>1052.4323076923099</v>
      </c>
      <c r="K709" s="14" t="s">
        <v>225</v>
      </c>
    </row>
    <row r="710" spans="1:11" ht="15" customHeight="1">
      <c r="A710" s="13">
        <v>46174</v>
      </c>
      <c r="B710" s="14" t="s">
        <v>377</v>
      </c>
      <c r="C710" s="19" t="s">
        <v>18</v>
      </c>
      <c r="D710" s="14" t="s">
        <v>30</v>
      </c>
      <c r="E710" s="14" t="str">
        <f>_xlfn.XLOOKUP($D710,'Chart of Accounts'!$A:$A,'Chart of Accounts'!B:B,"")</f>
        <v>Employee Benefits</v>
      </c>
      <c r="F710" s="14" t="str">
        <f>_xlfn.XLOOKUP($D710,'Chart of Accounts'!$A:$A,'Chart of Accounts'!C:C,"")</f>
        <v>Expense</v>
      </c>
      <c r="G710" s="14" t="s">
        <v>365</v>
      </c>
      <c r="H710" s="16">
        <v>2104.8646153846198</v>
      </c>
      <c r="I710" s="16"/>
      <c r="J710" s="16">
        <v>2104.8646153846198</v>
      </c>
      <c r="K710" s="14" t="s">
        <v>225</v>
      </c>
    </row>
    <row r="711" spans="1:11" ht="15" customHeight="1">
      <c r="A711" s="13">
        <v>46174</v>
      </c>
      <c r="B711" s="14" t="s">
        <v>377</v>
      </c>
      <c r="C711" s="19" t="s">
        <v>20</v>
      </c>
      <c r="D711" s="14" t="s">
        <v>30</v>
      </c>
      <c r="E711" s="14" t="str">
        <f>_xlfn.XLOOKUP($D711,'Chart of Accounts'!$A:$A,'Chart of Accounts'!B:B,"")</f>
        <v>Employee Benefits</v>
      </c>
      <c r="F711" s="14" t="str">
        <f>_xlfn.XLOOKUP($D711,'Chart of Accounts'!$A:$A,'Chart of Accounts'!C:C,"")</f>
        <v>Expense</v>
      </c>
      <c r="G711" s="14" t="s">
        <v>365</v>
      </c>
      <c r="H711" s="16">
        <v>2631.0807692307699</v>
      </c>
      <c r="I711" s="16"/>
      <c r="J711" s="16">
        <v>2631.0807692307699</v>
      </c>
      <c r="K711" s="14" t="s">
        <v>225</v>
      </c>
    </row>
    <row r="712" spans="1:11" ht="15" customHeight="1">
      <c r="A712" s="13">
        <v>46143</v>
      </c>
      <c r="B712" s="14" t="s">
        <v>378</v>
      </c>
      <c r="C712" s="19" t="s">
        <v>4</v>
      </c>
      <c r="D712" s="14" t="s">
        <v>30</v>
      </c>
      <c r="E712" s="14" t="str">
        <f>_xlfn.XLOOKUP($D712,'Chart of Accounts'!$A:$A,'Chart of Accounts'!B:B,"")</f>
        <v>Employee Benefits</v>
      </c>
      <c r="F712" s="14" t="str">
        <f>_xlfn.XLOOKUP($D712,'Chart of Accounts'!$A:$A,'Chart of Accounts'!C:C,"")</f>
        <v>Expense</v>
      </c>
      <c r="G712" s="14" t="s">
        <v>365</v>
      </c>
      <c r="H712" s="16">
        <v>754.33038461538501</v>
      </c>
      <c r="I712" s="16"/>
      <c r="J712" s="16">
        <v>754.33038461538501</v>
      </c>
      <c r="K712" s="14" t="s">
        <v>225</v>
      </c>
    </row>
    <row r="713" spans="1:11" ht="15" customHeight="1">
      <c r="A713" s="13">
        <v>46143</v>
      </c>
      <c r="B713" s="14" t="s">
        <v>378</v>
      </c>
      <c r="C713" s="19" t="s">
        <v>6</v>
      </c>
      <c r="D713" s="14" t="s">
        <v>30</v>
      </c>
      <c r="E713" s="14" t="str">
        <f>_xlfn.XLOOKUP($D713,'Chart of Accounts'!$A:$A,'Chart of Accounts'!B:B,"")</f>
        <v>Employee Benefits</v>
      </c>
      <c r="F713" s="14" t="str">
        <f>_xlfn.XLOOKUP($D713,'Chart of Accounts'!$A:$A,'Chart of Accounts'!C:C,"")</f>
        <v>Expense</v>
      </c>
      <c r="G713" s="14" t="s">
        <v>365</v>
      </c>
      <c r="H713" s="16">
        <v>1005.7738461538499</v>
      </c>
      <c r="I713" s="16"/>
      <c r="J713" s="16">
        <v>1005.7738461538499</v>
      </c>
      <c r="K713" s="14" t="s">
        <v>225</v>
      </c>
    </row>
    <row r="714" spans="1:11" ht="15" customHeight="1">
      <c r="A714" s="13">
        <v>46143</v>
      </c>
      <c r="B714" s="14" t="s">
        <v>378</v>
      </c>
      <c r="C714" s="19" t="s">
        <v>8</v>
      </c>
      <c r="D714" s="14" t="s">
        <v>30</v>
      </c>
      <c r="E714" s="14" t="str">
        <f>_xlfn.XLOOKUP($D714,'Chart of Accounts'!$A:$A,'Chart of Accounts'!B:B,"")</f>
        <v>Employee Benefits</v>
      </c>
      <c r="F714" s="14" t="str">
        <f>_xlfn.XLOOKUP($D714,'Chart of Accounts'!$A:$A,'Chart of Accounts'!C:C,"")</f>
        <v>Expense</v>
      </c>
      <c r="G714" s="14" t="s">
        <v>365</v>
      </c>
      <c r="H714" s="16">
        <v>1508.66076923077</v>
      </c>
      <c r="I714" s="16"/>
      <c r="J714" s="16">
        <v>1508.66076923077</v>
      </c>
      <c r="K714" s="14" t="s">
        <v>225</v>
      </c>
    </row>
    <row r="715" spans="1:11" ht="15" customHeight="1">
      <c r="A715" s="13">
        <v>46143</v>
      </c>
      <c r="B715" s="14" t="s">
        <v>378</v>
      </c>
      <c r="C715" s="19" t="s">
        <v>10</v>
      </c>
      <c r="D715" s="14" t="s">
        <v>30</v>
      </c>
      <c r="E715" s="14" t="str">
        <f>_xlfn.XLOOKUP($D715,'Chart of Accounts'!$A:$A,'Chart of Accounts'!B:B,"")</f>
        <v>Employee Benefits</v>
      </c>
      <c r="F715" s="14" t="str">
        <f>_xlfn.XLOOKUP($D715,'Chart of Accounts'!$A:$A,'Chart of Accounts'!C:C,"")</f>
        <v>Expense</v>
      </c>
      <c r="G715" s="14" t="s">
        <v>365</v>
      </c>
      <c r="H715" s="16">
        <v>502.88692307692298</v>
      </c>
      <c r="I715" s="16"/>
      <c r="J715" s="16">
        <v>502.88692307692298</v>
      </c>
      <c r="K715" s="14" t="s">
        <v>225</v>
      </c>
    </row>
    <row r="716" spans="1:11" ht="15" customHeight="1">
      <c r="A716" s="13">
        <v>46143</v>
      </c>
      <c r="B716" s="14" t="s">
        <v>378</v>
      </c>
      <c r="C716" s="19" t="s">
        <v>12</v>
      </c>
      <c r="D716" s="14" t="s">
        <v>30</v>
      </c>
      <c r="E716" s="14" t="str">
        <f>_xlfn.XLOOKUP($D716,'Chart of Accounts'!$A:$A,'Chart of Accounts'!B:B,"")</f>
        <v>Employee Benefits</v>
      </c>
      <c r="F716" s="14" t="str">
        <f>_xlfn.XLOOKUP($D716,'Chart of Accounts'!$A:$A,'Chart of Accounts'!C:C,"")</f>
        <v>Expense</v>
      </c>
      <c r="G716" s="14" t="s">
        <v>365</v>
      </c>
      <c r="H716" s="16">
        <v>1760.1042307692301</v>
      </c>
      <c r="I716" s="16"/>
      <c r="J716" s="16">
        <v>1760.1042307692301</v>
      </c>
      <c r="K716" s="14" t="s">
        <v>225</v>
      </c>
    </row>
    <row r="717" spans="1:11" ht="15" customHeight="1">
      <c r="A717" s="13">
        <v>46143</v>
      </c>
      <c r="B717" s="14" t="s">
        <v>378</v>
      </c>
      <c r="C717" s="19" t="s">
        <v>14</v>
      </c>
      <c r="D717" s="14" t="s">
        <v>30</v>
      </c>
      <c r="E717" s="14" t="str">
        <f>_xlfn.XLOOKUP($D717,'Chart of Accounts'!$A:$A,'Chart of Accounts'!B:B,"")</f>
        <v>Employee Benefits</v>
      </c>
      <c r="F717" s="14" t="str">
        <f>_xlfn.XLOOKUP($D717,'Chart of Accounts'!$A:$A,'Chart of Accounts'!C:C,"")</f>
        <v>Expense</v>
      </c>
      <c r="G717" s="14" t="s">
        <v>365</v>
      </c>
      <c r="H717" s="16">
        <v>2011.5476923076901</v>
      </c>
      <c r="I717" s="16"/>
      <c r="J717" s="16">
        <v>2011.5476923076901</v>
      </c>
      <c r="K717" s="14" t="s">
        <v>225</v>
      </c>
    </row>
    <row r="718" spans="1:11" ht="15" customHeight="1">
      <c r="A718" s="13">
        <v>46143</v>
      </c>
      <c r="B718" s="14" t="s">
        <v>378</v>
      </c>
      <c r="C718" s="19" t="s">
        <v>16</v>
      </c>
      <c r="D718" s="14" t="s">
        <v>30</v>
      </c>
      <c r="E718" s="14" t="str">
        <f>_xlfn.XLOOKUP($D718,'Chart of Accounts'!$A:$A,'Chart of Accounts'!B:B,"")</f>
        <v>Employee Benefits</v>
      </c>
      <c r="F718" s="14" t="str">
        <f>_xlfn.XLOOKUP($D718,'Chart of Accounts'!$A:$A,'Chart of Accounts'!C:C,"")</f>
        <v>Expense</v>
      </c>
      <c r="G718" s="14" t="s">
        <v>365</v>
      </c>
      <c r="H718" s="16">
        <v>1005.7738461538499</v>
      </c>
      <c r="I718" s="16"/>
      <c r="J718" s="16">
        <v>1005.7738461538499</v>
      </c>
      <c r="K718" s="14" t="s">
        <v>225</v>
      </c>
    </row>
    <row r="719" spans="1:11" ht="15" customHeight="1">
      <c r="A719" s="13">
        <v>46143</v>
      </c>
      <c r="B719" s="14" t="s">
        <v>378</v>
      </c>
      <c r="C719" s="19" t="s">
        <v>18</v>
      </c>
      <c r="D719" s="14" t="s">
        <v>30</v>
      </c>
      <c r="E719" s="14" t="str">
        <f>_xlfn.XLOOKUP($D719,'Chart of Accounts'!$A:$A,'Chart of Accounts'!B:B,"")</f>
        <v>Employee Benefits</v>
      </c>
      <c r="F719" s="14" t="str">
        <f>_xlfn.XLOOKUP($D719,'Chart of Accounts'!$A:$A,'Chart of Accounts'!C:C,"")</f>
        <v>Expense</v>
      </c>
      <c r="G719" s="14" t="s">
        <v>365</v>
      </c>
      <c r="H719" s="16">
        <v>2011.5476923076901</v>
      </c>
      <c r="I719" s="16"/>
      <c r="J719" s="16">
        <v>2011.5476923076901</v>
      </c>
      <c r="K719" s="14" t="s">
        <v>225</v>
      </c>
    </row>
    <row r="720" spans="1:11" ht="15" customHeight="1">
      <c r="A720" s="13">
        <v>46143</v>
      </c>
      <c r="B720" s="14" t="s">
        <v>378</v>
      </c>
      <c r="C720" s="19" t="s">
        <v>20</v>
      </c>
      <c r="D720" s="14" t="s">
        <v>30</v>
      </c>
      <c r="E720" s="14" t="str">
        <f>_xlfn.XLOOKUP($D720,'Chart of Accounts'!$A:$A,'Chart of Accounts'!B:B,"")</f>
        <v>Employee Benefits</v>
      </c>
      <c r="F720" s="14" t="str">
        <f>_xlfn.XLOOKUP($D720,'Chart of Accounts'!$A:$A,'Chart of Accounts'!C:C,"")</f>
        <v>Expense</v>
      </c>
      <c r="G720" s="14" t="s">
        <v>365</v>
      </c>
      <c r="H720" s="16">
        <v>2514.43461538462</v>
      </c>
      <c r="I720" s="16"/>
      <c r="J720" s="16">
        <v>2514.43461538462</v>
      </c>
      <c r="K720" s="14" t="s">
        <v>225</v>
      </c>
    </row>
    <row r="721" spans="1:11" ht="15" customHeight="1">
      <c r="A721" s="13">
        <v>46113</v>
      </c>
      <c r="B721" s="14" t="s">
        <v>379</v>
      </c>
      <c r="C721" s="19" t="s">
        <v>4</v>
      </c>
      <c r="D721" s="14" t="s">
        <v>30</v>
      </c>
      <c r="E721" s="14" t="str">
        <f>_xlfn.XLOOKUP($D721,'Chart of Accounts'!$A:$A,'Chart of Accounts'!B:B,"")</f>
        <v>Employee Benefits</v>
      </c>
      <c r="F721" s="14" t="str">
        <f>_xlfn.XLOOKUP($D721,'Chart of Accounts'!$A:$A,'Chart of Accounts'!C:C,"")</f>
        <v>Expense</v>
      </c>
      <c r="G721" s="14" t="s">
        <v>365</v>
      </c>
      <c r="H721" s="16">
        <v>807.11769230769198</v>
      </c>
      <c r="I721" s="16"/>
      <c r="J721" s="16">
        <v>807.11769230769198</v>
      </c>
      <c r="K721" s="14" t="s">
        <v>225</v>
      </c>
    </row>
    <row r="722" spans="1:11" ht="15" customHeight="1">
      <c r="A722" s="13">
        <v>46113</v>
      </c>
      <c r="B722" s="14" t="s">
        <v>379</v>
      </c>
      <c r="C722" s="19" t="s">
        <v>6</v>
      </c>
      <c r="D722" s="14" t="s">
        <v>30</v>
      </c>
      <c r="E722" s="14" t="str">
        <f>_xlfn.XLOOKUP($D722,'Chart of Accounts'!$A:$A,'Chart of Accounts'!B:B,"")</f>
        <v>Employee Benefits</v>
      </c>
      <c r="F722" s="14" t="str">
        <f>_xlfn.XLOOKUP($D722,'Chart of Accounts'!$A:$A,'Chart of Accounts'!C:C,"")</f>
        <v>Expense</v>
      </c>
      <c r="G722" s="14" t="s">
        <v>365</v>
      </c>
      <c r="H722" s="16">
        <v>1076.1569230769201</v>
      </c>
      <c r="I722" s="16"/>
      <c r="J722" s="16">
        <v>1076.1569230769201</v>
      </c>
      <c r="K722" s="14" t="s">
        <v>225</v>
      </c>
    </row>
    <row r="723" spans="1:11" ht="15" customHeight="1">
      <c r="A723" s="13">
        <v>46113</v>
      </c>
      <c r="B723" s="14" t="s">
        <v>379</v>
      </c>
      <c r="C723" s="19" t="s">
        <v>8</v>
      </c>
      <c r="D723" s="14" t="s">
        <v>30</v>
      </c>
      <c r="E723" s="14" t="str">
        <f>_xlfn.XLOOKUP($D723,'Chart of Accounts'!$A:$A,'Chart of Accounts'!B:B,"")</f>
        <v>Employee Benefits</v>
      </c>
      <c r="F723" s="14" t="str">
        <f>_xlfn.XLOOKUP($D723,'Chart of Accounts'!$A:$A,'Chart of Accounts'!C:C,"")</f>
        <v>Expense</v>
      </c>
      <c r="G723" s="14" t="s">
        <v>365</v>
      </c>
      <c r="H723" s="16">
        <v>1076.1569230769201</v>
      </c>
      <c r="I723" s="16"/>
      <c r="J723" s="16">
        <v>1076.1569230769201</v>
      </c>
      <c r="K723" s="14" t="s">
        <v>225</v>
      </c>
    </row>
    <row r="724" spans="1:11" ht="15" customHeight="1">
      <c r="A724" s="13">
        <v>46113</v>
      </c>
      <c r="B724" s="14" t="s">
        <v>379</v>
      </c>
      <c r="C724" s="19" t="s">
        <v>10</v>
      </c>
      <c r="D724" s="14" t="s">
        <v>30</v>
      </c>
      <c r="E724" s="14" t="str">
        <f>_xlfn.XLOOKUP($D724,'Chart of Accounts'!$A:$A,'Chart of Accounts'!B:B,"")</f>
        <v>Employee Benefits</v>
      </c>
      <c r="F724" s="14" t="str">
        <f>_xlfn.XLOOKUP($D724,'Chart of Accounts'!$A:$A,'Chart of Accounts'!C:C,"")</f>
        <v>Expense</v>
      </c>
      <c r="G724" s="14" t="s">
        <v>365</v>
      </c>
      <c r="H724" s="16">
        <v>538.07846153846197</v>
      </c>
      <c r="I724" s="16"/>
      <c r="J724" s="16">
        <v>538.07846153846197</v>
      </c>
      <c r="K724" s="14" t="s">
        <v>225</v>
      </c>
    </row>
    <row r="725" spans="1:11" ht="15" customHeight="1">
      <c r="A725" s="13">
        <v>46113</v>
      </c>
      <c r="B725" s="14" t="s">
        <v>379</v>
      </c>
      <c r="C725" s="19" t="s">
        <v>12</v>
      </c>
      <c r="D725" s="14" t="s">
        <v>30</v>
      </c>
      <c r="E725" s="14" t="str">
        <f>_xlfn.XLOOKUP($D725,'Chart of Accounts'!$A:$A,'Chart of Accounts'!B:B,"")</f>
        <v>Employee Benefits</v>
      </c>
      <c r="F725" s="14" t="str">
        <f>_xlfn.XLOOKUP($D725,'Chart of Accounts'!$A:$A,'Chart of Accounts'!C:C,"")</f>
        <v>Expense</v>
      </c>
      <c r="G725" s="14" t="s">
        <v>365</v>
      </c>
      <c r="H725" s="16">
        <v>1883.2746153846199</v>
      </c>
      <c r="I725" s="16"/>
      <c r="J725" s="16">
        <v>1883.2746153846199</v>
      </c>
      <c r="K725" s="14" t="s">
        <v>225</v>
      </c>
    </row>
    <row r="726" spans="1:11" ht="15" customHeight="1">
      <c r="A726" s="13">
        <v>46113</v>
      </c>
      <c r="B726" s="14" t="s">
        <v>379</v>
      </c>
      <c r="C726" s="19" t="s">
        <v>14</v>
      </c>
      <c r="D726" s="14" t="s">
        <v>30</v>
      </c>
      <c r="E726" s="14" t="str">
        <f>_xlfn.XLOOKUP($D726,'Chart of Accounts'!$A:$A,'Chart of Accounts'!B:B,"")</f>
        <v>Employee Benefits</v>
      </c>
      <c r="F726" s="14" t="str">
        <f>_xlfn.XLOOKUP($D726,'Chart of Accounts'!$A:$A,'Chart of Accounts'!C:C,"")</f>
        <v>Expense</v>
      </c>
      <c r="G726" s="14" t="s">
        <v>365</v>
      </c>
      <c r="H726" s="16">
        <v>2152.3138461538501</v>
      </c>
      <c r="I726" s="16"/>
      <c r="J726" s="16">
        <v>2152.3138461538501</v>
      </c>
      <c r="K726" s="14" t="s">
        <v>225</v>
      </c>
    </row>
    <row r="727" spans="1:11" ht="15" customHeight="1">
      <c r="A727" s="13">
        <v>46113</v>
      </c>
      <c r="B727" s="14" t="s">
        <v>379</v>
      </c>
      <c r="C727" s="19" t="s">
        <v>16</v>
      </c>
      <c r="D727" s="14" t="s">
        <v>30</v>
      </c>
      <c r="E727" s="14" t="str">
        <f>_xlfn.XLOOKUP($D727,'Chart of Accounts'!$A:$A,'Chart of Accounts'!B:B,"")</f>
        <v>Employee Benefits</v>
      </c>
      <c r="F727" s="14" t="str">
        <f>_xlfn.XLOOKUP($D727,'Chart of Accounts'!$A:$A,'Chart of Accounts'!C:C,"")</f>
        <v>Expense</v>
      </c>
      <c r="G727" s="14" t="s">
        <v>365</v>
      </c>
      <c r="H727" s="16">
        <v>1614.2353846153901</v>
      </c>
      <c r="I727" s="16"/>
      <c r="J727" s="16">
        <v>1614.2353846153901</v>
      </c>
      <c r="K727" s="14" t="s">
        <v>225</v>
      </c>
    </row>
    <row r="728" spans="1:11" ht="15" customHeight="1">
      <c r="A728" s="13">
        <v>46113</v>
      </c>
      <c r="B728" s="14" t="s">
        <v>379</v>
      </c>
      <c r="C728" s="19" t="s">
        <v>18</v>
      </c>
      <c r="D728" s="14" t="s">
        <v>30</v>
      </c>
      <c r="E728" s="14" t="str">
        <f>_xlfn.XLOOKUP($D728,'Chart of Accounts'!$A:$A,'Chart of Accounts'!B:B,"")</f>
        <v>Employee Benefits</v>
      </c>
      <c r="F728" s="14" t="str">
        <f>_xlfn.XLOOKUP($D728,'Chart of Accounts'!$A:$A,'Chart of Accounts'!C:C,"")</f>
        <v>Expense</v>
      </c>
      <c r="G728" s="14" t="s">
        <v>365</v>
      </c>
      <c r="H728" s="16">
        <v>2152.3138461538501</v>
      </c>
      <c r="I728" s="16"/>
      <c r="J728" s="16">
        <v>2152.3138461538501</v>
      </c>
      <c r="K728" s="14" t="s">
        <v>225</v>
      </c>
    </row>
    <row r="729" spans="1:11" ht="15" customHeight="1">
      <c r="A729" s="13">
        <v>46113</v>
      </c>
      <c r="B729" s="14" t="s">
        <v>379</v>
      </c>
      <c r="C729" s="19" t="s">
        <v>20</v>
      </c>
      <c r="D729" s="14" t="s">
        <v>30</v>
      </c>
      <c r="E729" s="14" t="str">
        <f>_xlfn.XLOOKUP($D729,'Chart of Accounts'!$A:$A,'Chart of Accounts'!B:B,"")</f>
        <v>Employee Benefits</v>
      </c>
      <c r="F729" s="14" t="str">
        <f>_xlfn.XLOOKUP($D729,'Chart of Accounts'!$A:$A,'Chart of Accounts'!C:C,"")</f>
        <v>Expense</v>
      </c>
      <c r="G729" s="14" t="s">
        <v>365</v>
      </c>
      <c r="H729" s="16">
        <v>2690.3923076923102</v>
      </c>
      <c r="I729" s="16"/>
      <c r="J729" s="16">
        <v>2690.3923076923102</v>
      </c>
      <c r="K729" s="14" t="s">
        <v>225</v>
      </c>
    </row>
    <row r="730" spans="1:11" ht="15" customHeight="1">
      <c r="A730" s="13">
        <v>46082</v>
      </c>
      <c r="B730" s="14" t="s">
        <v>380</v>
      </c>
      <c r="C730" s="19" t="s">
        <v>4</v>
      </c>
      <c r="D730" s="14" t="s">
        <v>30</v>
      </c>
      <c r="E730" s="14" t="str">
        <f>_xlfn.XLOOKUP($D730,'Chart of Accounts'!$A:$A,'Chart of Accounts'!B:B,"")</f>
        <v>Employee Benefits</v>
      </c>
      <c r="F730" s="14" t="str">
        <f>_xlfn.XLOOKUP($D730,'Chart of Accounts'!$A:$A,'Chart of Accounts'!C:C,"")</f>
        <v>Expense</v>
      </c>
      <c r="G730" s="14" t="s">
        <v>365</v>
      </c>
      <c r="H730" s="16">
        <v>800.56788461538497</v>
      </c>
      <c r="I730" s="16"/>
      <c r="J730" s="16">
        <v>800.56788461538497</v>
      </c>
      <c r="K730" s="14" t="s">
        <v>225</v>
      </c>
    </row>
    <row r="731" spans="1:11" ht="15" customHeight="1">
      <c r="A731" s="13">
        <v>46082</v>
      </c>
      <c r="B731" s="14" t="s">
        <v>380</v>
      </c>
      <c r="C731" s="19" t="s">
        <v>6</v>
      </c>
      <c r="D731" s="14" t="s">
        <v>30</v>
      </c>
      <c r="E731" s="14" t="str">
        <f>_xlfn.XLOOKUP($D731,'Chart of Accounts'!$A:$A,'Chart of Accounts'!B:B,"")</f>
        <v>Employee Benefits</v>
      </c>
      <c r="F731" s="14" t="str">
        <f>_xlfn.XLOOKUP($D731,'Chart of Accounts'!$A:$A,'Chart of Accounts'!C:C,"")</f>
        <v>Expense</v>
      </c>
      <c r="G731" s="14" t="s">
        <v>365</v>
      </c>
      <c r="H731" s="16">
        <v>1067.42384615385</v>
      </c>
      <c r="I731" s="16"/>
      <c r="J731" s="16">
        <v>1067.42384615385</v>
      </c>
      <c r="K731" s="14" t="s">
        <v>225</v>
      </c>
    </row>
    <row r="732" spans="1:11" ht="15" customHeight="1">
      <c r="A732" s="13">
        <v>46082</v>
      </c>
      <c r="B732" s="14" t="s">
        <v>380</v>
      </c>
      <c r="C732" s="19" t="s">
        <v>8</v>
      </c>
      <c r="D732" s="14" t="s">
        <v>30</v>
      </c>
      <c r="E732" s="14" t="str">
        <f>_xlfn.XLOOKUP($D732,'Chart of Accounts'!$A:$A,'Chart of Accounts'!B:B,"")</f>
        <v>Employee Benefits</v>
      </c>
      <c r="F732" s="14" t="str">
        <f>_xlfn.XLOOKUP($D732,'Chart of Accounts'!$A:$A,'Chart of Accounts'!C:C,"")</f>
        <v>Expense</v>
      </c>
      <c r="G732" s="14" t="s">
        <v>365</v>
      </c>
      <c r="H732" s="16">
        <v>1067.42384615385</v>
      </c>
      <c r="I732" s="16"/>
      <c r="J732" s="16">
        <v>1067.42384615385</v>
      </c>
      <c r="K732" s="14" t="s">
        <v>225</v>
      </c>
    </row>
    <row r="733" spans="1:11" ht="15" customHeight="1">
      <c r="A733" s="13">
        <v>46082</v>
      </c>
      <c r="B733" s="14" t="s">
        <v>380</v>
      </c>
      <c r="C733" s="19" t="s">
        <v>10</v>
      </c>
      <c r="D733" s="14" t="s">
        <v>30</v>
      </c>
      <c r="E733" s="14" t="str">
        <f>_xlfn.XLOOKUP($D733,'Chart of Accounts'!$A:$A,'Chart of Accounts'!B:B,"")</f>
        <v>Employee Benefits</v>
      </c>
      <c r="F733" s="14" t="str">
        <f>_xlfn.XLOOKUP($D733,'Chart of Accounts'!$A:$A,'Chart of Accounts'!C:C,"")</f>
        <v>Expense</v>
      </c>
      <c r="G733" s="14" t="s">
        <v>365</v>
      </c>
      <c r="H733" s="16">
        <v>533.71192307692297</v>
      </c>
      <c r="I733" s="16"/>
      <c r="J733" s="16">
        <v>533.71192307692297</v>
      </c>
      <c r="K733" s="14" t="s">
        <v>225</v>
      </c>
    </row>
    <row r="734" spans="1:11" ht="15" customHeight="1">
      <c r="A734" s="13">
        <v>46082</v>
      </c>
      <c r="B734" s="14" t="s">
        <v>380</v>
      </c>
      <c r="C734" s="19" t="s">
        <v>12</v>
      </c>
      <c r="D734" s="14" t="s">
        <v>30</v>
      </c>
      <c r="E734" s="14" t="str">
        <f>_xlfn.XLOOKUP($D734,'Chart of Accounts'!$A:$A,'Chart of Accounts'!B:B,"")</f>
        <v>Employee Benefits</v>
      </c>
      <c r="F734" s="14" t="str">
        <f>_xlfn.XLOOKUP($D734,'Chart of Accounts'!$A:$A,'Chart of Accounts'!C:C,"")</f>
        <v>Expense</v>
      </c>
      <c r="G734" s="14" t="s">
        <v>365</v>
      </c>
      <c r="H734" s="16">
        <v>1867.9917307692299</v>
      </c>
      <c r="I734" s="16"/>
      <c r="J734" s="16">
        <v>1867.9917307692299</v>
      </c>
      <c r="K734" s="14" t="s">
        <v>225</v>
      </c>
    </row>
    <row r="735" spans="1:11" ht="15" customHeight="1">
      <c r="A735" s="13">
        <v>46082</v>
      </c>
      <c r="B735" s="14" t="s">
        <v>380</v>
      </c>
      <c r="C735" s="19" t="s">
        <v>14</v>
      </c>
      <c r="D735" s="14" t="s">
        <v>30</v>
      </c>
      <c r="E735" s="14" t="str">
        <f>_xlfn.XLOOKUP($D735,'Chart of Accounts'!$A:$A,'Chart of Accounts'!B:B,"")</f>
        <v>Employee Benefits</v>
      </c>
      <c r="F735" s="14" t="str">
        <f>_xlfn.XLOOKUP($D735,'Chart of Accounts'!$A:$A,'Chart of Accounts'!C:C,"")</f>
        <v>Expense</v>
      </c>
      <c r="G735" s="14" t="s">
        <v>365</v>
      </c>
      <c r="H735" s="16">
        <v>2134.8476923076901</v>
      </c>
      <c r="I735" s="16"/>
      <c r="J735" s="16">
        <v>2134.8476923076901</v>
      </c>
      <c r="K735" s="14" t="s">
        <v>225</v>
      </c>
    </row>
    <row r="736" spans="1:11" ht="15" customHeight="1">
      <c r="A736" s="13">
        <v>46082</v>
      </c>
      <c r="B736" s="14" t="s">
        <v>380</v>
      </c>
      <c r="C736" s="19" t="s">
        <v>16</v>
      </c>
      <c r="D736" s="14" t="s">
        <v>30</v>
      </c>
      <c r="E736" s="14" t="str">
        <f>_xlfn.XLOOKUP($D736,'Chart of Accounts'!$A:$A,'Chart of Accounts'!B:B,"")</f>
        <v>Employee Benefits</v>
      </c>
      <c r="F736" s="14" t="str">
        <f>_xlfn.XLOOKUP($D736,'Chart of Accounts'!$A:$A,'Chart of Accounts'!C:C,"")</f>
        <v>Expense</v>
      </c>
      <c r="G736" s="14" t="s">
        <v>365</v>
      </c>
      <c r="H736" s="16">
        <v>1601.1357692307699</v>
      </c>
      <c r="I736" s="16"/>
      <c r="J736" s="16">
        <v>1601.1357692307699</v>
      </c>
      <c r="K736" s="14" t="s">
        <v>225</v>
      </c>
    </row>
    <row r="737" spans="1:11" ht="15" customHeight="1">
      <c r="A737" s="13">
        <v>46082</v>
      </c>
      <c r="B737" s="14" t="s">
        <v>380</v>
      </c>
      <c r="C737" s="19" t="s">
        <v>18</v>
      </c>
      <c r="D737" s="14" t="s">
        <v>30</v>
      </c>
      <c r="E737" s="14" t="str">
        <f>_xlfn.XLOOKUP($D737,'Chart of Accounts'!$A:$A,'Chart of Accounts'!B:B,"")</f>
        <v>Employee Benefits</v>
      </c>
      <c r="F737" s="14" t="str">
        <f>_xlfn.XLOOKUP($D737,'Chart of Accounts'!$A:$A,'Chart of Accounts'!C:C,"")</f>
        <v>Expense</v>
      </c>
      <c r="G737" s="14" t="s">
        <v>365</v>
      </c>
      <c r="H737" s="16">
        <v>2134.8476923076901</v>
      </c>
      <c r="I737" s="16"/>
      <c r="J737" s="16">
        <v>2134.8476923076901</v>
      </c>
      <c r="K737" s="14" t="s">
        <v>225</v>
      </c>
    </row>
    <row r="738" spans="1:11" ht="15" customHeight="1">
      <c r="A738" s="13">
        <v>46082</v>
      </c>
      <c r="B738" s="14" t="s">
        <v>380</v>
      </c>
      <c r="C738" s="19" t="s">
        <v>20</v>
      </c>
      <c r="D738" s="14" t="s">
        <v>30</v>
      </c>
      <c r="E738" s="14" t="str">
        <f>_xlfn.XLOOKUP($D738,'Chart of Accounts'!$A:$A,'Chart of Accounts'!B:B,"")</f>
        <v>Employee Benefits</v>
      </c>
      <c r="F738" s="14" t="str">
        <f>_xlfn.XLOOKUP($D738,'Chart of Accounts'!$A:$A,'Chart of Accounts'!C:C,"")</f>
        <v>Expense</v>
      </c>
      <c r="G738" s="14" t="s">
        <v>365</v>
      </c>
      <c r="H738" s="16">
        <v>2668.55961538462</v>
      </c>
      <c r="I738" s="16"/>
      <c r="J738" s="16">
        <v>2668.55961538462</v>
      </c>
      <c r="K738" s="14" t="s">
        <v>225</v>
      </c>
    </row>
    <row r="739" spans="1:11" ht="15" customHeight="1">
      <c r="A739" s="13">
        <v>46054</v>
      </c>
      <c r="B739" s="14" t="s">
        <v>381</v>
      </c>
      <c r="C739" s="19" t="s">
        <v>4</v>
      </c>
      <c r="D739" s="14" t="s">
        <v>30</v>
      </c>
      <c r="E739" s="14" t="str">
        <f>_xlfn.XLOOKUP($D739,'Chart of Accounts'!$A:$A,'Chart of Accounts'!B:B,"")</f>
        <v>Employee Benefits</v>
      </c>
      <c r="F739" s="14" t="str">
        <f>_xlfn.XLOOKUP($D739,'Chart of Accounts'!$A:$A,'Chart of Accounts'!C:C,"")</f>
        <v>Expense</v>
      </c>
      <c r="G739" s="14" t="s">
        <v>365</v>
      </c>
      <c r="H739" s="16">
        <v>817.06326923076904</v>
      </c>
      <c r="I739" s="16"/>
      <c r="J739" s="16">
        <v>817.06326923076904</v>
      </c>
      <c r="K739" s="14" t="s">
        <v>225</v>
      </c>
    </row>
    <row r="740" spans="1:11" ht="15" customHeight="1">
      <c r="A740" s="13">
        <v>46054</v>
      </c>
      <c r="B740" s="14" t="s">
        <v>381</v>
      </c>
      <c r="C740" s="19" t="s">
        <v>6</v>
      </c>
      <c r="D740" s="14" t="s">
        <v>30</v>
      </c>
      <c r="E740" s="14" t="str">
        <f>_xlfn.XLOOKUP($D740,'Chart of Accounts'!$A:$A,'Chart of Accounts'!B:B,"")</f>
        <v>Employee Benefits</v>
      </c>
      <c r="F740" s="14" t="str">
        <f>_xlfn.XLOOKUP($D740,'Chart of Accounts'!$A:$A,'Chart of Accounts'!C:C,"")</f>
        <v>Expense</v>
      </c>
      <c r="G740" s="14" t="s">
        <v>365</v>
      </c>
      <c r="H740" s="16">
        <v>1089.41769230769</v>
      </c>
      <c r="I740" s="16"/>
      <c r="J740" s="16">
        <v>1089.41769230769</v>
      </c>
      <c r="K740" s="14" t="s">
        <v>225</v>
      </c>
    </row>
    <row r="741" spans="1:11" ht="15" customHeight="1">
      <c r="A741" s="13">
        <v>46054</v>
      </c>
      <c r="B741" s="14" t="s">
        <v>381</v>
      </c>
      <c r="C741" s="19" t="s">
        <v>8</v>
      </c>
      <c r="D741" s="14" t="s">
        <v>30</v>
      </c>
      <c r="E741" s="14" t="str">
        <f>_xlfn.XLOOKUP($D741,'Chart of Accounts'!$A:$A,'Chart of Accounts'!B:B,"")</f>
        <v>Employee Benefits</v>
      </c>
      <c r="F741" s="14" t="str">
        <f>_xlfn.XLOOKUP($D741,'Chart of Accounts'!$A:$A,'Chart of Accounts'!C:C,"")</f>
        <v>Expense</v>
      </c>
      <c r="G741" s="14" t="s">
        <v>365</v>
      </c>
      <c r="H741" s="16">
        <v>1089.41769230769</v>
      </c>
      <c r="I741" s="16"/>
      <c r="J741" s="16">
        <v>1089.41769230769</v>
      </c>
      <c r="K741" s="14" t="s">
        <v>225</v>
      </c>
    </row>
    <row r="742" spans="1:11" ht="15" customHeight="1">
      <c r="A742" s="13">
        <v>46054</v>
      </c>
      <c r="B742" s="14" t="s">
        <v>381</v>
      </c>
      <c r="C742" s="19" t="s">
        <v>10</v>
      </c>
      <c r="D742" s="14" t="s">
        <v>30</v>
      </c>
      <c r="E742" s="14" t="str">
        <f>_xlfn.XLOOKUP($D742,'Chart of Accounts'!$A:$A,'Chart of Accounts'!B:B,"")</f>
        <v>Employee Benefits</v>
      </c>
      <c r="F742" s="14" t="str">
        <f>_xlfn.XLOOKUP($D742,'Chart of Accounts'!$A:$A,'Chart of Accounts'!C:C,"")</f>
        <v>Expense</v>
      </c>
      <c r="G742" s="14" t="s">
        <v>365</v>
      </c>
      <c r="H742" s="16">
        <v>1089.41769230769</v>
      </c>
      <c r="I742" s="16"/>
      <c r="J742" s="16">
        <v>1089.41769230769</v>
      </c>
      <c r="K742" s="14" t="s">
        <v>225</v>
      </c>
    </row>
    <row r="743" spans="1:11" ht="15" customHeight="1">
      <c r="A743" s="13">
        <v>46054</v>
      </c>
      <c r="B743" s="14" t="s">
        <v>381</v>
      </c>
      <c r="C743" s="19" t="s">
        <v>12</v>
      </c>
      <c r="D743" s="14" t="s">
        <v>30</v>
      </c>
      <c r="E743" s="14" t="str">
        <f>_xlfn.XLOOKUP($D743,'Chart of Accounts'!$A:$A,'Chart of Accounts'!B:B,"")</f>
        <v>Employee Benefits</v>
      </c>
      <c r="F743" s="14" t="str">
        <f>_xlfn.XLOOKUP($D743,'Chart of Accounts'!$A:$A,'Chart of Accounts'!C:C,"")</f>
        <v>Expense</v>
      </c>
      <c r="G743" s="14" t="s">
        <v>365</v>
      </c>
      <c r="H743" s="16">
        <v>1906.48096153846</v>
      </c>
      <c r="I743" s="16"/>
      <c r="J743" s="16">
        <v>1906.48096153846</v>
      </c>
      <c r="K743" s="14" t="s">
        <v>225</v>
      </c>
    </row>
    <row r="744" spans="1:11" ht="15" customHeight="1">
      <c r="A744" s="13">
        <v>46054</v>
      </c>
      <c r="B744" s="14" t="s">
        <v>381</v>
      </c>
      <c r="C744" s="19" t="s">
        <v>14</v>
      </c>
      <c r="D744" s="14" t="s">
        <v>30</v>
      </c>
      <c r="E744" s="14" t="str">
        <f>_xlfn.XLOOKUP($D744,'Chart of Accounts'!$A:$A,'Chart of Accounts'!B:B,"")</f>
        <v>Employee Benefits</v>
      </c>
      <c r="F744" s="14" t="str">
        <f>_xlfn.XLOOKUP($D744,'Chart of Accounts'!$A:$A,'Chart of Accounts'!C:C,"")</f>
        <v>Expense</v>
      </c>
      <c r="G744" s="14" t="s">
        <v>365</v>
      </c>
      <c r="H744" s="16">
        <v>2178.83538461539</v>
      </c>
      <c r="I744" s="16"/>
      <c r="J744" s="16">
        <v>2178.83538461539</v>
      </c>
      <c r="K744" s="14" t="s">
        <v>225</v>
      </c>
    </row>
    <row r="745" spans="1:11" ht="15" customHeight="1">
      <c r="A745" s="13">
        <v>46054</v>
      </c>
      <c r="B745" s="14" t="s">
        <v>381</v>
      </c>
      <c r="C745" s="19" t="s">
        <v>16</v>
      </c>
      <c r="D745" s="14" t="s">
        <v>30</v>
      </c>
      <c r="E745" s="14" t="str">
        <f>_xlfn.XLOOKUP($D745,'Chart of Accounts'!$A:$A,'Chart of Accounts'!B:B,"")</f>
        <v>Employee Benefits</v>
      </c>
      <c r="F745" s="14" t="str">
        <f>_xlfn.XLOOKUP($D745,'Chart of Accounts'!$A:$A,'Chart of Accounts'!C:C,"")</f>
        <v>Expense</v>
      </c>
      <c r="G745" s="14" t="s">
        <v>365</v>
      </c>
      <c r="H745" s="16">
        <v>1634.1265384615399</v>
      </c>
      <c r="I745" s="16"/>
      <c r="J745" s="16">
        <v>1634.1265384615399</v>
      </c>
      <c r="K745" s="14" t="s">
        <v>225</v>
      </c>
    </row>
    <row r="746" spans="1:11" ht="15" customHeight="1">
      <c r="A746" s="13">
        <v>46054</v>
      </c>
      <c r="B746" s="14" t="s">
        <v>381</v>
      </c>
      <c r="C746" s="19" t="s">
        <v>18</v>
      </c>
      <c r="D746" s="14" t="s">
        <v>30</v>
      </c>
      <c r="E746" s="14" t="str">
        <f>_xlfn.XLOOKUP($D746,'Chart of Accounts'!$A:$A,'Chart of Accounts'!B:B,"")</f>
        <v>Employee Benefits</v>
      </c>
      <c r="F746" s="14" t="str">
        <f>_xlfn.XLOOKUP($D746,'Chart of Accounts'!$A:$A,'Chart of Accounts'!C:C,"")</f>
        <v>Expense</v>
      </c>
      <c r="G746" s="14" t="s">
        <v>365</v>
      </c>
      <c r="H746" s="16">
        <v>2178.83538461539</v>
      </c>
      <c r="I746" s="16"/>
      <c r="J746" s="16">
        <v>2178.83538461539</v>
      </c>
      <c r="K746" s="14" t="s">
        <v>225</v>
      </c>
    </row>
    <row r="747" spans="1:11" ht="15" customHeight="1">
      <c r="A747" s="13">
        <v>46054</v>
      </c>
      <c r="B747" s="14" t="s">
        <v>381</v>
      </c>
      <c r="C747" s="19" t="s">
        <v>20</v>
      </c>
      <c r="D747" s="14" t="s">
        <v>30</v>
      </c>
      <c r="E747" s="14" t="str">
        <f>_xlfn.XLOOKUP($D747,'Chart of Accounts'!$A:$A,'Chart of Accounts'!B:B,"")</f>
        <v>Employee Benefits</v>
      </c>
      <c r="F747" s="14" t="str">
        <f>_xlfn.XLOOKUP($D747,'Chart of Accounts'!$A:$A,'Chart of Accounts'!C:C,"")</f>
        <v>Expense</v>
      </c>
      <c r="G747" s="14" t="s">
        <v>365</v>
      </c>
      <c r="H747" s="16">
        <v>2178.83538461539</v>
      </c>
      <c r="I747" s="16"/>
      <c r="J747" s="16">
        <v>2178.83538461539</v>
      </c>
      <c r="K747" s="14" t="s">
        <v>225</v>
      </c>
    </row>
    <row r="748" spans="1:11" ht="15" customHeight="1">
      <c r="A748" s="13">
        <v>46023</v>
      </c>
      <c r="B748" s="14" t="s">
        <v>382</v>
      </c>
      <c r="C748" s="19" t="s">
        <v>4</v>
      </c>
      <c r="D748" s="14" t="s">
        <v>30</v>
      </c>
      <c r="E748" s="14" t="str">
        <f>_xlfn.XLOOKUP($D748,'Chart of Accounts'!$A:$A,'Chart of Accounts'!B:B,"")</f>
        <v>Employee Benefits</v>
      </c>
      <c r="F748" s="14" t="str">
        <f>_xlfn.XLOOKUP($D748,'Chart of Accounts'!$A:$A,'Chart of Accounts'!C:C,"")</f>
        <v>Expense</v>
      </c>
      <c r="G748" s="14" t="s">
        <v>365</v>
      </c>
      <c r="H748" s="16">
        <v>828.67439999999999</v>
      </c>
      <c r="I748" s="16"/>
      <c r="J748" s="16">
        <v>828.67439999999999</v>
      </c>
      <c r="K748" s="14" t="s">
        <v>225</v>
      </c>
    </row>
    <row r="749" spans="1:11" ht="15" customHeight="1">
      <c r="A749" s="13">
        <v>46023</v>
      </c>
      <c r="B749" s="14" t="s">
        <v>382</v>
      </c>
      <c r="C749" s="19" t="s">
        <v>6</v>
      </c>
      <c r="D749" s="14" t="s">
        <v>30</v>
      </c>
      <c r="E749" s="14" t="str">
        <f>_xlfn.XLOOKUP($D749,'Chart of Accounts'!$A:$A,'Chart of Accounts'!B:B,"")</f>
        <v>Employee Benefits</v>
      </c>
      <c r="F749" s="14" t="str">
        <f>_xlfn.XLOOKUP($D749,'Chart of Accounts'!$A:$A,'Chart of Accounts'!C:C,"")</f>
        <v>Expense</v>
      </c>
      <c r="G749" s="14" t="s">
        <v>365</v>
      </c>
      <c r="H749" s="16">
        <v>1104.8992000000001</v>
      </c>
      <c r="I749" s="16"/>
      <c r="J749" s="16">
        <v>1104.8992000000001</v>
      </c>
      <c r="K749" s="14" t="s">
        <v>225</v>
      </c>
    </row>
    <row r="750" spans="1:11" ht="15" customHeight="1">
      <c r="A750" s="13">
        <v>46023</v>
      </c>
      <c r="B750" s="14" t="s">
        <v>382</v>
      </c>
      <c r="C750" s="19" t="s">
        <v>8</v>
      </c>
      <c r="D750" s="14" t="s">
        <v>30</v>
      </c>
      <c r="E750" s="14" t="str">
        <f>_xlfn.XLOOKUP($D750,'Chart of Accounts'!$A:$A,'Chart of Accounts'!B:B,"")</f>
        <v>Employee Benefits</v>
      </c>
      <c r="F750" s="14" t="str">
        <f>_xlfn.XLOOKUP($D750,'Chart of Accounts'!$A:$A,'Chart of Accounts'!C:C,"")</f>
        <v>Expense</v>
      </c>
      <c r="G750" s="14" t="s">
        <v>365</v>
      </c>
      <c r="H750" s="16">
        <v>1104.8992000000001</v>
      </c>
      <c r="I750" s="16"/>
      <c r="J750" s="16">
        <v>1104.8992000000001</v>
      </c>
      <c r="K750" s="14" t="s">
        <v>225</v>
      </c>
    </row>
    <row r="751" spans="1:11" ht="15" customHeight="1">
      <c r="A751" s="13">
        <v>46023</v>
      </c>
      <c r="B751" s="14" t="s">
        <v>382</v>
      </c>
      <c r="C751" s="19" t="s">
        <v>10</v>
      </c>
      <c r="D751" s="14" t="s">
        <v>30</v>
      </c>
      <c r="E751" s="14" t="str">
        <f>_xlfn.XLOOKUP($D751,'Chart of Accounts'!$A:$A,'Chart of Accounts'!B:B,"")</f>
        <v>Employee Benefits</v>
      </c>
      <c r="F751" s="14" t="str">
        <f>_xlfn.XLOOKUP($D751,'Chart of Accounts'!$A:$A,'Chart of Accounts'!C:C,"")</f>
        <v>Expense</v>
      </c>
      <c r="G751" s="14" t="s">
        <v>365</v>
      </c>
      <c r="H751" s="16">
        <v>1104.8992000000001</v>
      </c>
      <c r="I751" s="16"/>
      <c r="J751" s="16">
        <v>1104.8992000000001</v>
      </c>
      <c r="K751" s="14" t="s">
        <v>225</v>
      </c>
    </row>
    <row r="752" spans="1:11" ht="15" customHeight="1">
      <c r="A752" s="13">
        <v>46023</v>
      </c>
      <c r="B752" s="14" t="s">
        <v>382</v>
      </c>
      <c r="C752" s="19" t="s">
        <v>12</v>
      </c>
      <c r="D752" s="14" t="s">
        <v>30</v>
      </c>
      <c r="E752" s="14" t="str">
        <f>_xlfn.XLOOKUP($D752,'Chart of Accounts'!$A:$A,'Chart of Accounts'!B:B,"")</f>
        <v>Employee Benefits</v>
      </c>
      <c r="F752" s="14" t="str">
        <f>_xlfn.XLOOKUP($D752,'Chart of Accounts'!$A:$A,'Chart of Accounts'!C:C,"")</f>
        <v>Expense</v>
      </c>
      <c r="G752" s="14" t="s">
        <v>365</v>
      </c>
      <c r="H752" s="16">
        <v>1933.5735999999999</v>
      </c>
      <c r="I752" s="16"/>
      <c r="J752" s="16">
        <v>1933.5735999999999</v>
      </c>
      <c r="K752" s="14" t="s">
        <v>225</v>
      </c>
    </row>
    <row r="753" spans="1:11" ht="15" customHeight="1">
      <c r="A753" s="13">
        <v>46023</v>
      </c>
      <c r="B753" s="14" t="s">
        <v>382</v>
      </c>
      <c r="C753" s="19" t="s">
        <v>14</v>
      </c>
      <c r="D753" s="14" t="s">
        <v>30</v>
      </c>
      <c r="E753" s="14" t="str">
        <f>_xlfn.XLOOKUP($D753,'Chart of Accounts'!$A:$A,'Chart of Accounts'!B:B,"")</f>
        <v>Employee Benefits</v>
      </c>
      <c r="F753" s="14" t="str">
        <f>_xlfn.XLOOKUP($D753,'Chart of Accounts'!$A:$A,'Chart of Accounts'!C:C,"")</f>
        <v>Expense</v>
      </c>
      <c r="G753" s="14" t="s">
        <v>365</v>
      </c>
      <c r="H753" s="16">
        <v>2209.7984000000001</v>
      </c>
      <c r="I753" s="16"/>
      <c r="J753" s="16">
        <v>2209.7984000000001</v>
      </c>
      <c r="K753" s="14" t="s">
        <v>225</v>
      </c>
    </row>
    <row r="754" spans="1:11" ht="15" customHeight="1">
      <c r="A754" s="13">
        <v>46023</v>
      </c>
      <c r="B754" s="14" t="s">
        <v>382</v>
      </c>
      <c r="C754" s="19" t="s">
        <v>16</v>
      </c>
      <c r="D754" s="14" t="s">
        <v>30</v>
      </c>
      <c r="E754" s="14" t="str">
        <f>_xlfn.XLOOKUP($D754,'Chart of Accounts'!$A:$A,'Chart of Accounts'!B:B,"")</f>
        <v>Employee Benefits</v>
      </c>
      <c r="F754" s="14" t="str">
        <f>_xlfn.XLOOKUP($D754,'Chart of Accounts'!$A:$A,'Chart of Accounts'!C:C,"")</f>
        <v>Expense</v>
      </c>
      <c r="G754" s="14" t="s">
        <v>365</v>
      </c>
      <c r="H754" s="16">
        <v>1657.3488</v>
      </c>
      <c r="I754" s="16"/>
      <c r="J754" s="16">
        <v>1657.3488</v>
      </c>
      <c r="K754" s="14" t="s">
        <v>225</v>
      </c>
    </row>
    <row r="755" spans="1:11" ht="15" customHeight="1">
      <c r="A755" s="13">
        <v>46023</v>
      </c>
      <c r="B755" s="14" t="s">
        <v>382</v>
      </c>
      <c r="C755" s="19" t="s">
        <v>18</v>
      </c>
      <c r="D755" s="14" t="s">
        <v>30</v>
      </c>
      <c r="E755" s="14" t="str">
        <f>_xlfn.XLOOKUP($D755,'Chart of Accounts'!$A:$A,'Chart of Accounts'!B:B,"")</f>
        <v>Employee Benefits</v>
      </c>
      <c r="F755" s="14" t="str">
        <f>_xlfn.XLOOKUP($D755,'Chart of Accounts'!$A:$A,'Chart of Accounts'!C:C,"")</f>
        <v>Expense</v>
      </c>
      <c r="G755" s="14" t="s">
        <v>365</v>
      </c>
      <c r="H755" s="16">
        <v>1657.3488</v>
      </c>
      <c r="I755" s="16"/>
      <c r="J755" s="16">
        <v>1657.3488</v>
      </c>
      <c r="K755" s="14" t="s">
        <v>225</v>
      </c>
    </row>
    <row r="756" spans="1:11" ht="15" customHeight="1">
      <c r="A756" s="13">
        <v>46023</v>
      </c>
      <c r="B756" s="14" t="s">
        <v>382</v>
      </c>
      <c r="C756" s="19" t="s">
        <v>20</v>
      </c>
      <c r="D756" s="14" t="s">
        <v>30</v>
      </c>
      <c r="E756" s="14" t="str">
        <f>_xlfn.XLOOKUP($D756,'Chart of Accounts'!$A:$A,'Chart of Accounts'!B:B,"")</f>
        <v>Employee Benefits</v>
      </c>
      <c r="F756" s="14" t="str">
        <f>_xlfn.XLOOKUP($D756,'Chart of Accounts'!$A:$A,'Chart of Accounts'!C:C,"")</f>
        <v>Expense</v>
      </c>
      <c r="G756" s="14" t="s">
        <v>365</v>
      </c>
      <c r="H756" s="16">
        <v>2209.7984000000001</v>
      </c>
      <c r="I756" s="16"/>
      <c r="J756" s="16">
        <v>2209.7984000000001</v>
      </c>
      <c r="K756" s="14" t="s">
        <v>225</v>
      </c>
    </row>
    <row r="757" spans="1:11" ht="15" customHeight="1">
      <c r="A757" s="13">
        <v>45992</v>
      </c>
      <c r="B757" s="14" t="s">
        <v>383</v>
      </c>
      <c r="C757" s="19" t="s">
        <v>4</v>
      </c>
      <c r="D757" s="14" t="s">
        <v>30</v>
      </c>
      <c r="E757" s="14" t="str">
        <f>_xlfn.XLOOKUP($D757,'Chart of Accounts'!$A:$A,'Chart of Accounts'!B:B,"")</f>
        <v>Employee Benefits</v>
      </c>
      <c r="F757" s="14" t="str">
        <f>_xlfn.XLOOKUP($D757,'Chart of Accounts'!$A:$A,'Chart of Accounts'!C:C,"")</f>
        <v>Expense</v>
      </c>
      <c r="G757" s="14" t="s">
        <v>365</v>
      </c>
      <c r="H757" s="16">
        <v>805.17173076923098</v>
      </c>
      <c r="I757" s="16"/>
      <c r="J757" s="16">
        <v>805.17173076923098</v>
      </c>
      <c r="K757" s="14" t="s">
        <v>225</v>
      </c>
    </row>
    <row r="758" spans="1:11" ht="15" customHeight="1">
      <c r="A758" s="13">
        <v>45992</v>
      </c>
      <c r="B758" s="14" t="s">
        <v>383</v>
      </c>
      <c r="C758" s="19" t="s">
        <v>6</v>
      </c>
      <c r="D758" s="14" t="s">
        <v>30</v>
      </c>
      <c r="E758" s="14" t="str">
        <f>_xlfn.XLOOKUP($D758,'Chart of Accounts'!$A:$A,'Chart of Accounts'!B:B,"")</f>
        <v>Employee Benefits</v>
      </c>
      <c r="F758" s="14" t="str">
        <f>_xlfn.XLOOKUP($D758,'Chart of Accounts'!$A:$A,'Chart of Accounts'!C:C,"")</f>
        <v>Expense</v>
      </c>
      <c r="G758" s="14" t="s">
        <v>365</v>
      </c>
      <c r="H758" s="16">
        <v>1073.56230769231</v>
      </c>
      <c r="I758" s="16"/>
      <c r="J758" s="16">
        <v>1073.56230769231</v>
      </c>
      <c r="K758" s="14" t="s">
        <v>225</v>
      </c>
    </row>
    <row r="759" spans="1:11" ht="15" customHeight="1">
      <c r="A759" s="13">
        <v>45992</v>
      </c>
      <c r="B759" s="14" t="s">
        <v>383</v>
      </c>
      <c r="C759" s="19" t="s">
        <v>8</v>
      </c>
      <c r="D759" s="14" t="s">
        <v>30</v>
      </c>
      <c r="E759" s="14" t="str">
        <f>_xlfn.XLOOKUP($D759,'Chart of Accounts'!$A:$A,'Chart of Accounts'!B:B,"")</f>
        <v>Employee Benefits</v>
      </c>
      <c r="F759" s="14" t="str">
        <f>_xlfn.XLOOKUP($D759,'Chart of Accounts'!$A:$A,'Chart of Accounts'!C:C,"")</f>
        <v>Expense</v>
      </c>
      <c r="G759" s="14" t="s">
        <v>365</v>
      </c>
      <c r="H759" s="16">
        <v>1073.56230769231</v>
      </c>
      <c r="I759" s="16"/>
      <c r="J759" s="16">
        <v>1073.56230769231</v>
      </c>
      <c r="K759" s="14" t="s">
        <v>225</v>
      </c>
    </row>
    <row r="760" spans="1:11" ht="15" customHeight="1">
      <c r="A760" s="13">
        <v>45992</v>
      </c>
      <c r="B760" s="14" t="s">
        <v>383</v>
      </c>
      <c r="C760" s="19" t="s">
        <v>10</v>
      </c>
      <c r="D760" s="14" t="s">
        <v>30</v>
      </c>
      <c r="E760" s="14" t="str">
        <f>_xlfn.XLOOKUP($D760,'Chart of Accounts'!$A:$A,'Chart of Accounts'!B:B,"")</f>
        <v>Employee Benefits</v>
      </c>
      <c r="F760" s="14" t="str">
        <f>_xlfn.XLOOKUP($D760,'Chart of Accounts'!$A:$A,'Chart of Accounts'!C:C,"")</f>
        <v>Expense</v>
      </c>
      <c r="G760" s="14" t="s">
        <v>365</v>
      </c>
      <c r="H760" s="16">
        <v>1073.56230769231</v>
      </c>
      <c r="I760" s="16"/>
      <c r="J760" s="16">
        <v>1073.56230769231</v>
      </c>
      <c r="K760" s="14" t="s">
        <v>225</v>
      </c>
    </row>
    <row r="761" spans="1:11" ht="15" customHeight="1">
      <c r="A761" s="13">
        <v>45992</v>
      </c>
      <c r="B761" s="14" t="s">
        <v>383</v>
      </c>
      <c r="C761" s="19" t="s">
        <v>12</v>
      </c>
      <c r="D761" s="14" t="s">
        <v>30</v>
      </c>
      <c r="E761" s="14" t="str">
        <f>_xlfn.XLOOKUP($D761,'Chart of Accounts'!$A:$A,'Chart of Accounts'!B:B,"")</f>
        <v>Employee Benefits</v>
      </c>
      <c r="F761" s="14" t="str">
        <f>_xlfn.XLOOKUP($D761,'Chart of Accounts'!$A:$A,'Chart of Accounts'!C:C,"")</f>
        <v>Expense</v>
      </c>
      <c r="G761" s="14" t="s">
        <v>365</v>
      </c>
      <c r="H761" s="16">
        <v>1878.73403846154</v>
      </c>
      <c r="I761" s="16"/>
      <c r="J761" s="16">
        <v>1878.73403846154</v>
      </c>
      <c r="K761" s="14" t="s">
        <v>225</v>
      </c>
    </row>
    <row r="762" spans="1:11" ht="15" customHeight="1">
      <c r="A762" s="13">
        <v>45992</v>
      </c>
      <c r="B762" s="14" t="s">
        <v>383</v>
      </c>
      <c r="C762" s="19" t="s">
        <v>14</v>
      </c>
      <c r="D762" s="14" t="s">
        <v>30</v>
      </c>
      <c r="E762" s="14" t="str">
        <f>_xlfn.XLOOKUP($D762,'Chart of Accounts'!$A:$A,'Chart of Accounts'!B:B,"")</f>
        <v>Employee Benefits</v>
      </c>
      <c r="F762" s="14" t="str">
        <f>_xlfn.XLOOKUP($D762,'Chart of Accounts'!$A:$A,'Chart of Accounts'!C:C,"")</f>
        <v>Expense</v>
      </c>
      <c r="G762" s="14" t="s">
        <v>365</v>
      </c>
      <c r="H762" s="16">
        <v>2147.12461538462</v>
      </c>
      <c r="I762" s="16"/>
      <c r="J762" s="16">
        <v>2147.12461538462</v>
      </c>
      <c r="K762" s="14" t="s">
        <v>225</v>
      </c>
    </row>
    <row r="763" spans="1:11" ht="15" customHeight="1">
      <c r="A763" s="13">
        <v>45992</v>
      </c>
      <c r="B763" s="14" t="s">
        <v>383</v>
      </c>
      <c r="C763" s="19" t="s">
        <v>16</v>
      </c>
      <c r="D763" s="14" t="s">
        <v>30</v>
      </c>
      <c r="E763" s="14" t="str">
        <f>_xlfn.XLOOKUP($D763,'Chart of Accounts'!$A:$A,'Chart of Accounts'!B:B,"")</f>
        <v>Employee Benefits</v>
      </c>
      <c r="F763" s="14" t="str">
        <f>_xlfn.XLOOKUP($D763,'Chart of Accounts'!$A:$A,'Chart of Accounts'!C:C,"")</f>
        <v>Expense</v>
      </c>
      <c r="G763" s="14" t="s">
        <v>365</v>
      </c>
      <c r="H763" s="16">
        <v>1610.3434615384599</v>
      </c>
      <c r="I763" s="16"/>
      <c r="J763" s="16">
        <v>1610.3434615384599</v>
      </c>
      <c r="K763" s="14" t="s">
        <v>225</v>
      </c>
    </row>
    <row r="764" spans="1:11" ht="15" customHeight="1">
      <c r="A764" s="13">
        <v>45992</v>
      </c>
      <c r="B764" s="14" t="s">
        <v>383</v>
      </c>
      <c r="C764" s="19" t="s">
        <v>18</v>
      </c>
      <c r="D764" s="14" t="s">
        <v>30</v>
      </c>
      <c r="E764" s="14" t="str">
        <f>_xlfn.XLOOKUP($D764,'Chart of Accounts'!$A:$A,'Chart of Accounts'!B:B,"")</f>
        <v>Employee Benefits</v>
      </c>
      <c r="F764" s="14" t="str">
        <f>_xlfn.XLOOKUP($D764,'Chart of Accounts'!$A:$A,'Chart of Accounts'!C:C,"")</f>
        <v>Expense</v>
      </c>
      <c r="G764" s="14" t="s">
        <v>365</v>
      </c>
      <c r="H764" s="16">
        <v>2147.12461538462</v>
      </c>
      <c r="I764" s="16"/>
      <c r="J764" s="16">
        <v>2147.12461538462</v>
      </c>
      <c r="K764" s="14" t="s">
        <v>225</v>
      </c>
    </row>
    <row r="765" spans="1:11" ht="15" customHeight="1">
      <c r="A765" s="13">
        <v>45992</v>
      </c>
      <c r="B765" s="14" t="s">
        <v>383</v>
      </c>
      <c r="C765" s="19" t="s">
        <v>20</v>
      </c>
      <c r="D765" s="14" t="s">
        <v>30</v>
      </c>
      <c r="E765" s="14" t="str">
        <f>_xlfn.XLOOKUP($D765,'Chart of Accounts'!$A:$A,'Chart of Accounts'!B:B,"")</f>
        <v>Employee Benefits</v>
      </c>
      <c r="F765" s="14" t="str">
        <f>_xlfn.XLOOKUP($D765,'Chart of Accounts'!$A:$A,'Chart of Accounts'!C:C,"")</f>
        <v>Expense</v>
      </c>
      <c r="G765" s="14" t="s">
        <v>365</v>
      </c>
      <c r="H765" s="16">
        <v>2147.12461538462</v>
      </c>
      <c r="I765" s="16"/>
      <c r="J765" s="16">
        <v>2147.12461538462</v>
      </c>
      <c r="K765" s="14" t="s">
        <v>225</v>
      </c>
    </row>
    <row r="766" spans="1:11" ht="15" customHeight="1">
      <c r="A766" s="13">
        <v>45962</v>
      </c>
      <c r="B766" s="14" t="s">
        <v>384</v>
      </c>
      <c r="C766" s="19" t="s">
        <v>4</v>
      </c>
      <c r="D766" s="14" t="s">
        <v>30</v>
      </c>
      <c r="E766" s="14" t="str">
        <f>_xlfn.XLOOKUP($D766,'Chart of Accounts'!$A:$A,'Chart of Accounts'!B:B,"")</f>
        <v>Employee Benefits</v>
      </c>
      <c r="F766" s="14" t="str">
        <f>_xlfn.XLOOKUP($D766,'Chart of Accounts'!$A:$A,'Chart of Accounts'!C:C,"")</f>
        <v>Expense</v>
      </c>
      <c r="G766" s="14" t="s">
        <v>365</v>
      </c>
      <c r="H766" s="16">
        <v>791.50903846153903</v>
      </c>
      <c r="I766" s="16"/>
      <c r="J766" s="16">
        <v>791.50903846153903</v>
      </c>
      <c r="K766" s="14" t="s">
        <v>225</v>
      </c>
    </row>
    <row r="767" spans="1:11" ht="15" customHeight="1">
      <c r="A767" s="13">
        <v>45962</v>
      </c>
      <c r="B767" s="14" t="s">
        <v>384</v>
      </c>
      <c r="C767" s="19" t="s">
        <v>6</v>
      </c>
      <c r="D767" s="14" t="s">
        <v>30</v>
      </c>
      <c r="E767" s="14" t="str">
        <f>_xlfn.XLOOKUP($D767,'Chart of Accounts'!$A:$A,'Chart of Accounts'!B:B,"")</f>
        <v>Employee Benefits</v>
      </c>
      <c r="F767" s="14" t="str">
        <f>_xlfn.XLOOKUP($D767,'Chart of Accounts'!$A:$A,'Chart of Accounts'!C:C,"")</f>
        <v>Expense</v>
      </c>
      <c r="G767" s="14" t="s">
        <v>365</v>
      </c>
      <c r="H767" s="16">
        <v>1055.34538461539</v>
      </c>
      <c r="I767" s="16"/>
      <c r="J767" s="16">
        <v>1055.34538461539</v>
      </c>
      <c r="K767" s="14" t="s">
        <v>225</v>
      </c>
    </row>
    <row r="768" spans="1:11" ht="15" customHeight="1">
      <c r="A768" s="13">
        <v>45962</v>
      </c>
      <c r="B768" s="14" t="s">
        <v>384</v>
      </c>
      <c r="C768" s="19" t="s">
        <v>8</v>
      </c>
      <c r="D768" s="14" t="s">
        <v>30</v>
      </c>
      <c r="E768" s="14" t="str">
        <f>_xlfn.XLOOKUP($D768,'Chart of Accounts'!$A:$A,'Chart of Accounts'!B:B,"")</f>
        <v>Employee Benefits</v>
      </c>
      <c r="F768" s="14" t="str">
        <f>_xlfn.XLOOKUP($D768,'Chart of Accounts'!$A:$A,'Chart of Accounts'!C:C,"")</f>
        <v>Expense</v>
      </c>
      <c r="G768" s="14" t="s">
        <v>365</v>
      </c>
      <c r="H768" s="16">
        <v>1055.34538461539</v>
      </c>
      <c r="I768" s="16"/>
      <c r="J768" s="16">
        <v>1055.34538461539</v>
      </c>
      <c r="K768" s="14" t="s">
        <v>225</v>
      </c>
    </row>
    <row r="769" spans="1:11" ht="15" customHeight="1">
      <c r="A769" s="13">
        <v>45962</v>
      </c>
      <c r="B769" s="14" t="s">
        <v>384</v>
      </c>
      <c r="C769" s="19" t="s">
        <v>10</v>
      </c>
      <c r="D769" s="14" t="s">
        <v>30</v>
      </c>
      <c r="E769" s="14" t="str">
        <f>_xlfn.XLOOKUP($D769,'Chart of Accounts'!$A:$A,'Chart of Accounts'!B:B,"")</f>
        <v>Employee Benefits</v>
      </c>
      <c r="F769" s="14" t="str">
        <f>_xlfn.XLOOKUP($D769,'Chart of Accounts'!$A:$A,'Chart of Accounts'!C:C,"")</f>
        <v>Expense</v>
      </c>
      <c r="G769" s="14" t="s">
        <v>365</v>
      </c>
      <c r="H769" s="16">
        <v>1055.34538461539</v>
      </c>
      <c r="I769" s="16"/>
      <c r="J769" s="16">
        <v>1055.34538461539</v>
      </c>
      <c r="K769" s="14" t="s">
        <v>225</v>
      </c>
    </row>
    <row r="770" spans="1:11" ht="15" customHeight="1">
      <c r="A770" s="13">
        <v>45962</v>
      </c>
      <c r="B770" s="14" t="s">
        <v>384</v>
      </c>
      <c r="C770" s="19" t="s">
        <v>12</v>
      </c>
      <c r="D770" s="14" t="s">
        <v>30</v>
      </c>
      <c r="E770" s="14" t="str">
        <f>_xlfn.XLOOKUP($D770,'Chart of Accounts'!$A:$A,'Chart of Accounts'!B:B,"")</f>
        <v>Employee Benefits</v>
      </c>
      <c r="F770" s="14" t="str">
        <f>_xlfn.XLOOKUP($D770,'Chart of Accounts'!$A:$A,'Chart of Accounts'!C:C,"")</f>
        <v>Expense</v>
      </c>
      <c r="G770" s="14" t="s">
        <v>365</v>
      </c>
      <c r="H770" s="16">
        <v>1846.8544230769201</v>
      </c>
      <c r="I770" s="16"/>
      <c r="J770" s="16">
        <v>1846.8544230769201</v>
      </c>
      <c r="K770" s="14" t="s">
        <v>225</v>
      </c>
    </row>
    <row r="771" spans="1:11" ht="15" customHeight="1">
      <c r="A771" s="13">
        <v>45962</v>
      </c>
      <c r="B771" s="14" t="s">
        <v>384</v>
      </c>
      <c r="C771" s="19" t="s">
        <v>14</v>
      </c>
      <c r="D771" s="14" t="s">
        <v>30</v>
      </c>
      <c r="E771" s="14" t="str">
        <f>_xlfn.XLOOKUP($D771,'Chart of Accounts'!$A:$A,'Chart of Accounts'!B:B,"")</f>
        <v>Employee Benefits</v>
      </c>
      <c r="F771" s="14" t="str">
        <f>_xlfn.XLOOKUP($D771,'Chart of Accounts'!$A:$A,'Chart of Accounts'!C:C,"")</f>
        <v>Expense</v>
      </c>
      <c r="G771" s="14" t="s">
        <v>365</v>
      </c>
      <c r="H771" s="16">
        <v>2110.69076923077</v>
      </c>
      <c r="I771" s="16"/>
      <c r="J771" s="16">
        <v>2110.69076923077</v>
      </c>
      <c r="K771" s="14" t="s">
        <v>225</v>
      </c>
    </row>
    <row r="772" spans="1:11" ht="15" customHeight="1">
      <c r="A772" s="13">
        <v>45962</v>
      </c>
      <c r="B772" s="14" t="s">
        <v>384</v>
      </c>
      <c r="C772" s="19" t="s">
        <v>16</v>
      </c>
      <c r="D772" s="14" t="s">
        <v>30</v>
      </c>
      <c r="E772" s="14" t="str">
        <f>_xlfn.XLOOKUP($D772,'Chart of Accounts'!$A:$A,'Chart of Accounts'!B:B,"")</f>
        <v>Employee Benefits</v>
      </c>
      <c r="F772" s="14" t="str">
        <f>_xlfn.XLOOKUP($D772,'Chart of Accounts'!$A:$A,'Chart of Accounts'!C:C,"")</f>
        <v>Expense</v>
      </c>
      <c r="G772" s="14" t="s">
        <v>365</v>
      </c>
      <c r="H772" s="16">
        <v>1583.0180769230799</v>
      </c>
      <c r="I772" s="16"/>
      <c r="J772" s="16">
        <v>1583.0180769230799</v>
      </c>
      <c r="K772" s="14" t="s">
        <v>225</v>
      </c>
    </row>
    <row r="773" spans="1:11" ht="15" customHeight="1">
      <c r="A773" s="13">
        <v>45962</v>
      </c>
      <c r="B773" s="14" t="s">
        <v>384</v>
      </c>
      <c r="C773" s="19" t="s">
        <v>18</v>
      </c>
      <c r="D773" s="14" t="s">
        <v>30</v>
      </c>
      <c r="E773" s="14" t="str">
        <f>_xlfn.XLOOKUP($D773,'Chart of Accounts'!$A:$A,'Chart of Accounts'!B:B,"")</f>
        <v>Employee Benefits</v>
      </c>
      <c r="F773" s="14" t="str">
        <f>_xlfn.XLOOKUP($D773,'Chart of Accounts'!$A:$A,'Chart of Accounts'!C:C,"")</f>
        <v>Expense</v>
      </c>
      <c r="G773" s="14" t="s">
        <v>365</v>
      </c>
      <c r="H773" s="16">
        <v>2110.69076923077</v>
      </c>
      <c r="I773" s="16"/>
      <c r="J773" s="16">
        <v>2110.69076923077</v>
      </c>
      <c r="K773" s="14" t="s">
        <v>225</v>
      </c>
    </row>
    <row r="774" spans="1:11" ht="15" customHeight="1">
      <c r="A774" s="13">
        <v>45962</v>
      </c>
      <c r="B774" s="14" t="s">
        <v>384</v>
      </c>
      <c r="C774" s="19" t="s">
        <v>20</v>
      </c>
      <c r="D774" s="14" t="s">
        <v>30</v>
      </c>
      <c r="E774" s="14" t="str">
        <f>_xlfn.XLOOKUP($D774,'Chart of Accounts'!$A:$A,'Chart of Accounts'!B:B,"")</f>
        <v>Employee Benefits</v>
      </c>
      <c r="F774" s="14" t="str">
        <f>_xlfn.XLOOKUP($D774,'Chart of Accounts'!$A:$A,'Chart of Accounts'!C:C,"")</f>
        <v>Expense</v>
      </c>
      <c r="G774" s="14" t="s">
        <v>365</v>
      </c>
      <c r="H774" s="16">
        <v>2110.69076923077</v>
      </c>
      <c r="I774" s="16"/>
      <c r="J774" s="16">
        <v>2110.69076923077</v>
      </c>
      <c r="K774" s="14" t="s">
        <v>225</v>
      </c>
    </row>
    <row r="775" spans="1:11" ht="15" customHeight="1">
      <c r="A775" s="13">
        <v>45931</v>
      </c>
      <c r="B775" s="14" t="s">
        <v>385</v>
      </c>
      <c r="C775" s="19" t="s">
        <v>4</v>
      </c>
      <c r="D775" s="14" t="s">
        <v>30</v>
      </c>
      <c r="E775" s="14" t="str">
        <f>_xlfn.XLOOKUP($D775,'Chart of Accounts'!$A:$A,'Chart of Accounts'!B:B,"")</f>
        <v>Employee Benefits</v>
      </c>
      <c r="F775" s="14" t="str">
        <f>_xlfn.XLOOKUP($D775,'Chart of Accounts'!$A:$A,'Chart of Accounts'!C:C,"")</f>
        <v>Expense</v>
      </c>
      <c r="G775" s="14" t="s">
        <v>365</v>
      </c>
      <c r="H775" s="16">
        <v>852.072</v>
      </c>
      <c r="I775" s="16"/>
      <c r="J775" s="16">
        <v>852.072</v>
      </c>
      <c r="K775" s="14" t="s">
        <v>225</v>
      </c>
    </row>
    <row r="776" spans="1:11" ht="15" customHeight="1">
      <c r="A776" s="13">
        <v>45931</v>
      </c>
      <c r="B776" s="14" t="s">
        <v>385</v>
      </c>
      <c r="C776" s="19" t="s">
        <v>6</v>
      </c>
      <c r="D776" s="14" t="s">
        <v>30</v>
      </c>
      <c r="E776" s="14" t="str">
        <f>_xlfn.XLOOKUP($D776,'Chart of Accounts'!$A:$A,'Chart of Accounts'!B:B,"")</f>
        <v>Employee Benefits</v>
      </c>
      <c r="F776" s="14" t="str">
        <f>_xlfn.XLOOKUP($D776,'Chart of Accounts'!$A:$A,'Chart of Accounts'!C:C,"")</f>
        <v>Expense</v>
      </c>
      <c r="G776" s="14" t="s">
        <v>365</v>
      </c>
      <c r="H776" s="16">
        <v>1136.096</v>
      </c>
      <c r="I776" s="16"/>
      <c r="J776" s="16">
        <v>1136.096</v>
      </c>
      <c r="K776" s="14" t="s">
        <v>225</v>
      </c>
    </row>
    <row r="777" spans="1:11" ht="15" customHeight="1">
      <c r="A777" s="13">
        <v>45931</v>
      </c>
      <c r="B777" s="14" t="s">
        <v>385</v>
      </c>
      <c r="C777" s="19" t="s">
        <v>8</v>
      </c>
      <c r="D777" s="14" t="s">
        <v>30</v>
      </c>
      <c r="E777" s="14" t="str">
        <f>_xlfn.XLOOKUP($D777,'Chart of Accounts'!$A:$A,'Chart of Accounts'!B:B,"")</f>
        <v>Employee Benefits</v>
      </c>
      <c r="F777" s="14" t="str">
        <f>_xlfn.XLOOKUP($D777,'Chart of Accounts'!$A:$A,'Chart of Accounts'!C:C,"")</f>
        <v>Expense</v>
      </c>
      <c r="G777" s="14" t="s">
        <v>365</v>
      </c>
      <c r="H777" s="16">
        <v>1136.096</v>
      </c>
      <c r="I777" s="16"/>
      <c r="J777" s="16">
        <v>1136.096</v>
      </c>
      <c r="K777" s="14" t="s">
        <v>225</v>
      </c>
    </row>
    <row r="778" spans="1:11" ht="15" customHeight="1">
      <c r="A778" s="13">
        <v>45931</v>
      </c>
      <c r="B778" s="14" t="s">
        <v>385</v>
      </c>
      <c r="C778" s="19" t="s">
        <v>10</v>
      </c>
      <c r="D778" s="14" t="s">
        <v>30</v>
      </c>
      <c r="E778" s="14" t="str">
        <f>_xlfn.XLOOKUP($D778,'Chart of Accounts'!$A:$A,'Chart of Accounts'!B:B,"")</f>
        <v>Employee Benefits</v>
      </c>
      <c r="F778" s="14" t="str">
        <f>_xlfn.XLOOKUP($D778,'Chart of Accounts'!$A:$A,'Chart of Accounts'!C:C,"")</f>
        <v>Expense</v>
      </c>
      <c r="G778" s="14" t="s">
        <v>365</v>
      </c>
      <c r="H778" s="16">
        <v>1136.096</v>
      </c>
      <c r="I778" s="16"/>
      <c r="J778" s="16">
        <v>1136.096</v>
      </c>
      <c r="K778" s="14" t="s">
        <v>225</v>
      </c>
    </row>
    <row r="779" spans="1:11" ht="15" customHeight="1">
      <c r="A779" s="13">
        <v>45931</v>
      </c>
      <c r="B779" s="14" t="s">
        <v>385</v>
      </c>
      <c r="C779" s="19" t="s">
        <v>12</v>
      </c>
      <c r="D779" s="14" t="s">
        <v>30</v>
      </c>
      <c r="E779" s="14" t="str">
        <f>_xlfn.XLOOKUP($D779,'Chart of Accounts'!$A:$A,'Chart of Accounts'!B:B,"")</f>
        <v>Employee Benefits</v>
      </c>
      <c r="F779" s="14" t="str">
        <f>_xlfn.XLOOKUP($D779,'Chart of Accounts'!$A:$A,'Chart of Accounts'!C:C,"")</f>
        <v>Expense</v>
      </c>
      <c r="G779" s="14" t="s">
        <v>365</v>
      </c>
      <c r="H779" s="16">
        <v>1420.12</v>
      </c>
      <c r="I779" s="16"/>
      <c r="J779" s="16">
        <v>1420.12</v>
      </c>
      <c r="K779" s="14" t="s">
        <v>225</v>
      </c>
    </row>
    <row r="780" spans="1:11" ht="15" customHeight="1">
      <c r="A780" s="13">
        <v>45931</v>
      </c>
      <c r="B780" s="14" t="s">
        <v>385</v>
      </c>
      <c r="C780" s="19" t="s">
        <v>14</v>
      </c>
      <c r="D780" s="14" t="s">
        <v>30</v>
      </c>
      <c r="E780" s="14" t="str">
        <f>_xlfn.XLOOKUP($D780,'Chart of Accounts'!$A:$A,'Chart of Accounts'!B:B,"")</f>
        <v>Employee Benefits</v>
      </c>
      <c r="F780" s="14" t="str">
        <f>_xlfn.XLOOKUP($D780,'Chart of Accounts'!$A:$A,'Chart of Accounts'!C:C,"")</f>
        <v>Expense</v>
      </c>
      <c r="G780" s="14" t="s">
        <v>365</v>
      </c>
      <c r="H780" s="16">
        <v>2272.192</v>
      </c>
      <c r="I780" s="16"/>
      <c r="J780" s="16">
        <v>2272.192</v>
      </c>
      <c r="K780" s="14" t="s">
        <v>225</v>
      </c>
    </row>
    <row r="781" spans="1:11" ht="15" customHeight="1">
      <c r="A781" s="13">
        <v>45931</v>
      </c>
      <c r="B781" s="14" t="s">
        <v>385</v>
      </c>
      <c r="C781" s="19" t="s">
        <v>16</v>
      </c>
      <c r="D781" s="14" t="s">
        <v>30</v>
      </c>
      <c r="E781" s="14" t="str">
        <f>_xlfn.XLOOKUP($D781,'Chart of Accounts'!$A:$A,'Chart of Accounts'!B:B,"")</f>
        <v>Employee Benefits</v>
      </c>
      <c r="F781" s="14" t="str">
        <f>_xlfn.XLOOKUP($D781,'Chart of Accounts'!$A:$A,'Chart of Accounts'!C:C,"")</f>
        <v>Expense</v>
      </c>
      <c r="G781" s="14" t="s">
        <v>365</v>
      </c>
      <c r="H781" s="16">
        <v>1704.144</v>
      </c>
      <c r="I781" s="16"/>
      <c r="J781" s="16">
        <v>1704.144</v>
      </c>
      <c r="K781" s="14" t="s">
        <v>225</v>
      </c>
    </row>
    <row r="782" spans="1:11" ht="15" customHeight="1">
      <c r="A782" s="13">
        <v>45931</v>
      </c>
      <c r="B782" s="14" t="s">
        <v>385</v>
      </c>
      <c r="C782" s="19" t="s">
        <v>18</v>
      </c>
      <c r="D782" s="14" t="s">
        <v>30</v>
      </c>
      <c r="E782" s="14" t="str">
        <f>_xlfn.XLOOKUP($D782,'Chart of Accounts'!$A:$A,'Chart of Accounts'!B:B,"")</f>
        <v>Employee Benefits</v>
      </c>
      <c r="F782" s="14" t="str">
        <f>_xlfn.XLOOKUP($D782,'Chart of Accounts'!$A:$A,'Chart of Accounts'!C:C,"")</f>
        <v>Expense</v>
      </c>
      <c r="G782" s="14" t="s">
        <v>365</v>
      </c>
      <c r="H782" s="16">
        <v>2272.192</v>
      </c>
      <c r="I782" s="16"/>
      <c r="J782" s="16">
        <v>2272.192</v>
      </c>
      <c r="K782" s="14" t="s">
        <v>225</v>
      </c>
    </row>
    <row r="783" spans="1:11" ht="15" customHeight="1">
      <c r="A783" s="13">
        <v>45931</v>
      </c>
      <c r="B783" s="14" t="s">
        <v>385</v>
      </c>
      <c r="C783" s="19" t="s">
        <v>20</v>
      </c>
      <c r="D783" s="14" t="s">
        <v>30</v>
      </c>
      <c r="E783" s="14" t="str">
        <f>_xlfn.XLOOKUP($D783,'Chart of Accounts'!$A:$A,'Chart of Accounts'!B:B,"")</f>
        <v>Employee Benefits</v>
      </c>
      <c r="F783" s="14" t="str">
        <f>_xlfn.XLOOKUP($D783,'Chart of Accounts'!$A:$A,'Chart of Accounts'!C:C,"")</f>
        <v>Expense</v>
      </c>
      <c r="G783" s="14" t="s">
        <v>365</v>
      </c>
      <c r="H783" s="16">
        <v>2272.192</v>
      </c>
      <c r="I783" s="16"/>
      <c r="J783" s="16">
        <v>2272.192</v>
      </c>
      <c r="K783" s="14" t="s">
        <v>225</v>
      </c>
    </row>
    <row r="784" spans="1:11" ht="15" customHeight="1">
      <c r="A784" s="13">
        <v>45901</v>
      </c>
      <c r="B784" s="14" t="s">
        <v>386</v>
      </c>
      <c r="C784" s="19" t="s">
        <v>4</v>
      </c>
      <c r="D784" s="14" t="s">
        <v>30</v>
      </c>
      <c r="E784" s="14" t="str">
        <f>_xlfn.XLOOKUP($D784,'Chart of Accounts'!$A:$A,'Chart of Accounts'!B:B,"")</f>
        <v>Employee Benefits</v>
      </c>
      <c r="F784" s="14" t="str">
        <f>_xlfn.XLOOKUP($D784,'Chart of Accounts'!$A:$A,'Chart of Accounts'!C:C,"")</f>
        <v>Expense</v>
      </c>
      <c r="G784" s="14" t="s">
        <v>365</v>
      </c>
      <c r="H784" s="16">
        <v>845.04</v>
      </c>
      <c r="I784" s="16"/>
      <c r="J784" s="16">
        <v>845.04</v>
      </c>
      <c r="K784" s="14" t="s">
        <v>225</v>
      </c>
    </row>
    <row r="785" spans="1:11" ht="15" customHeight="1">
      <c r="A785" s="13">
        <v>45901</v>
      </c>
      <c r="B785" s="14" t="s">
        <v>386</v>
      </c>
      <c r="C785" s="19" t="s">
        <v>6</v>
      </c>
      <c r="D785" s="14" t="s">
        <v>30</v>
      </c>
      <c r="E785" s="14" t="str">
        <f>_xlfn.XLOOKUP($D785,'Chart of Accounts'!$A:$A,'Chart of Accounts'!B:B,"")</f>
        <v>Employee Benefits</v>
      </c>
      <c r="F785" s="14" t="str">
        <f>_xlfn.XLOOKUP($D785,'Chart of Accounts'!$A:$A,'Chart of Accounts'!C:C,"")</f>
        <v>Expense</v>
      </c>
      <c r="G785" s="14" t="s">
        <v>365</v>
      </c>
      <c r="H785" s="16">
        <v>1126.72</v>
      </c>
      <c r="I785" s="16"/>
      <c r="J785" s="16">
        <v>1126.72</v>
      </c>
      <c r="K785" s="14" t="s">
        <v>225</v>
      </c>
    </row>
    <row r="786" spans="1:11" ht="15" customHeight="1">
      <c r="A786" s="13">
        <v>45901</v>
      </c>
      <c r="B786" s="14" t="s">
        <v>386</v>
      </c>
      <c r="C786" s="19" t="s">
        <v>8</v>
      </c>
      <c r="D786" s="14" t="s">
        <v>30</v>
      </c>
      <c r="E786" s="14" t="str">
        <f>_xlfn.XLOOKUP($D786,'Chart of Accounts'!$A:$A,'Chart of Accounts'!B:B,"")</f>
        <v>Employee Benefits</v>
      </c>
      <c r="F786" s="14" t="str">
        <f>_xlfn.XLOOKUP($D786,'Chart of Accounts'!$A:$A,'Chart of Accounts'!C:C,"")</f>
        <v>Expense</v>
      </c>
      <c r="G786" s="14" t="s">
        <v>365</v>
      </c>
      <c r="H786" s="16">
        <v>1126.72</v>
      </c>
      <c r="I786" s="16"/>
      <c r="J786" s="16">
        <v>1126.72</v>
      </c>
      <c r="K786" s="14" t="s">
        <v>225</v>
      </c>
    </row>
    <row r="787" spans="1:11" ht="15" customHeight="1">
      <c r="A787" s="13">
        <v>45901</v>
      </c>
      <c r="B787" s="14" t="s">
        <v>386</v>
      </c>
      <c r="C787" s="19" t="s">
        <v>10</v>
      </c>
      <c r="D787" s="14" t="s">
        <v>30</v>
      </c>
      <c r="E787" s="14" t="str">
        <f>_xlfn.XLOOKUP($D787,'Chart of Accounts'!$A:$A,'Chart of Accounts'!B:B,"")</f>
        <v>Employee Benefits</v>
      </c>
      <c r="F787" s="14" t="str">
        <f>_xlfn.XLOOKUP($D787,'Chart of Accounts'!$A:$A,'Chart of Accounts'!C:C,"")</f>
        <v>Expense</v>
      </c>
      <c r="G787" s="14" t="s">
        <v>365</v>
      </c>
      <c r="H787" s="16">
        <v>1126.72</v>
      </c>
      <c r="I787" s="16"/>
      <c r="J787" s="16">
        <v>1126.72</v>
      </c>
      <c r="K787" s="14" t="s">
        <v>225</v>
      </c>
    </row>
    <row r="788" spans="1:11" ht="15" customHeight="1">
      <c r="A788" s="13">
        <v>45901</v>
      </c>
      <c r="B788" s="14" t="s">
        <v>386</v>
      </c>
      <c r="C788" s="19" t="s">
        <v>12</v>
      </c>
      <c r="D788" s="14" t="s">
        <v>30</v>
      </c>
      <c r="E788" s="14" t="str">
        <f>_xlfn.XLOOKUP($D788,'Chart of Accounts'!$A:$A,'Chart of Accounts'!B:B,"")</f>
        <v>Employee Benefits</v>
      </c>
      <c r="F788" s="14" t="str">
        <f>_xlfn.XLOOKUP($D788,'Chart of Accounts'!$A:$A,'Chart of Accounts'!C:C,"")</f>
        <v>Expense</v>
      </c>
      <c r="G788" s="14" t="s">
        <v>365</v>
      </c>
      <c r="H788" s="16">
        <v>1971.76</v>
      </c>
      <c r="I788" s="16"/>
      <c r="J788" s="16">
        <v>1971.76</v>
      </c>
      <c r="K788" s="14" t="s">
        <v>225</v>
      </c>
    </row>
    <row r="789" spans="1:11" ht="15" customHeight="1">
      <c r="A789" s="13">
        <v>45901</v>
      </c>
      <c r="B789" s="14" t="s">
        <v>386</v>
      </c>
      <c r="C789" s="19" t="s">
        <v>14</v>
      </c>
      <c r="D789" s="14" t="s">
        <v>30</v>
      </c>
      <c r="E789" s="14" t="str">
        <f>_xlfn.XLOOKUP($D789,'Chart of Accounts'!$A:$A,'Chart of Accounts'!B:B,"")</f>
        <v>Employee Benefits</v>
      </c>
      <c r="F789" s="14" t="str">
        <f>_xlfn.XLOOKUP($D789,'Chart of Accounts'!$A:$A,'Chart of Accounts'!C:C,"")</f>
        <v>Expense</v>
      </c>
      <c r="G789" s="14" t="s">
        <v>365</v>
      </c>
      <c r="H789" s="16">
        <v>1690.08</v>
      </c>
      <c r="I789" s="16"/>
      <c r="J789" s="16">
        <v>1690.08</v>
      </c>
      <c r="K789" s="14" t="s">
        <v>225</v>
      </c>
    </row>
    <row r="790" spans="1:11" ht="15" customHeight="1">
      <c r="A790" s="13">
        <v>45901</v>
      </c>
      <c r="B790" s="14" t="s">
        <v>386</v>
      </c>
      <c r="C790" s="19" t="s">
        <v>16</v>
      </c>
      <c r="D790" s="14" t="s">
        <v>30</v>
      </c>
      <c r="E790" s="14" t="str">
        <f>_xlfn.XLOOKUP($D790,'Chart of Accounts'!$A:$A,'Chart of Accounts'!B:B,"")</f>
        <v>Employee Benefits</v>
      </c>
      <c r="F790" s="14" t="str">
        <f>_xlfn.XLOOKUP($D790,'Chart of Accounts'!$A:$A,'Chart of Accounts'!C:C,"")</f>
        <v>Expense</v>
      </c>
      <c r="G790" s="14" t="s">
        <v>365</v>
      </c>
      <c r="H790" s="16">
        <v>1690.08</v>
      </c>
      <c r="I790" s="16"/>
      <c r="J790" s="16">
        <v>1690.08</v>
      </c>
      <c r="K790" s="14" t="s">
        <v>225</v>
      </c>
    </row>
    <row r="791" spans="1:11" ht="15" customHeight="1">
      <c r="A791" s="13">
        <v>45901</v>
      </c>
      <c r="B791" s="14" t="s">
        <v>386</v>
      </c>
      <c r="C791" s="19" t="s">
        <v>18</v>
      </c>
      <c r="D791" s="14" t="s">
        <v>30</v>
      </c>
      <c r="E791" s="14" t="str">
        <f>_xlfn.XLOOKUP($D791,'Chart of Accounts'!$A:$A,'Chart of Accounts'!B:B,"")</f>
        <v>Employee Benefits</v>
      </c>
      <c r="F791" s="14" t="str">
        <f>_xlfn.XLOOKUP($D791,'Chart of Accounts'!$A:$A,'Chart of Accounts'!C:C,"")</f>
        <v>Expense</v>
      </c>
      <c r="G791" s="14" t="s">
        <v>365</v>
      </c>
      <c r="H791" s="16">
        <v>2253.44</v>
      </c>
      <c r="I791" s="16"/>
      <c r="J791" s="16">
        <v>2253.44</v>
      </c>
      <c r="K791" s="14" t="s">
        <v>225</v>
      </c>
    </row>
    <row r="792" spans="1:11" ht="15" customHeight="1">
      <c r="A792" s="13">
        <v>45901</v>
      </c>
      <c r="B792" s="14" t="s">
        <v>386</v>
      </c>
      <c r="C792" s="19" t="s">
        <v>20</v>
      </c>
      <c r="D792" s="14" t="s">
        <v>30</v>
      </c>
      <c r="E792" s="14" t="str">
        <f>_xlfn.XLOOKUP($D792,'Chart of Accounts'!$A:$A,'Chart of Accounts'!B:B,"")</f>
        <v>Employee Benefits</v>
      </c>
      <c r="F792" s="14" t="str">
        <f>_xlfn.XLOOKUP($D792,'Chart of Accounts'!$A:$A,'Chart of Accounts'!C:C,"")</f>
        <v>Expense</v>
      </c>
      <c r="G792" s="14" t="s">
        <v>365</v>
      </c>
      <c r="H792" s="16">
        <v>2253.44</v>
      </c>
      <c r="I792" s="16"/>
      <c r="J792" s="16">
        <v>2253.44</v>
      </c>
      <c r="K792" s="14" t="s">
        <v>225</v>
      </c>
    </row>
    <row r="793" spans="1:11" ht="15" customHeight="1">
      <c r="A793" s="13">
        <v>45870</v>
      </c>
      <c r="B793" s="14" t="s">
        <v>387</v>
      </c>
      <c r="C793" s="19" t="s">
        <v>4</v>
      </c>
      <c r="D793" s="14" t="s">
        <v>30</v>
      </c>
      <c r="E793" s="14" t="str">
        <f>_xlfn.XLOOKUP($D793,'Chart of Accounts'!$A:$A,'Chart of Accounts'!B:B,"")</f>
        <v>Employee Benefits</v>
      </c>
      <c r="F793" s="14" t="str">
        <f>_xlfn.XLOOKUP($D793,'Chart of Accounts'!$A:$A,'Chart of Accounts'!C:C,"")</f>
        <v>Expense</v>
      </c>
      <c r="G793" s="14" t="s">
        <v>365</v>
      </c>
      <c r="H793" s="16">
        <v>822.73620000000005</v>
      </c>
      <c r="I793" s="16"/>
      <c r="J793" s="16">
        <v>822.73620000000005</v>
      </c>
      <c r="K793" s="14" t="s">
        <v>225</v>
      </c>
    </row>
    <row r="794" spans="1:11" ht="15" customHeight="1">
      <c r="A794" s="13">
        <v>45870</v>
      </c>
      <c r="B794" s="14" t="s">
        <v>387</v>
      </c>
      <c r="C794" s="19" t="s">
        <v>6</v>
      </c>
      <c r="D794" s="14" t="s">
        <v>30</v>
      </c>
      <c r="E794" s="14" t="str">
        <f>_xlfn.XLOOKUP($D794,'Chart of Accounts'!$A:$A,'Chart of Accounts'!B:B,"")</f>
        <v>Employee Benefits</v>
      </c>
      <c r="F794" s="14" t="str">
        <f>_xlfn.XLOOKUP($D794,'Chart of Accounts'!$A:$A,'Chart of Accounts'!C:C,"")</f>
        <v>Expense</v>
      </c>
      <c r="G794" s="14" t="s">
        <v>365</v>
      </c>
      <c r="H794" s="16">
        <v>1096.9816000000001</v>
      </c>
      <c r="I794" s="16"/>
      <c r="J794" s="16">
        <v>1096.9816000000001</v>
      </c>
      <c r="K794" s="14" t="s">
        <v>225</v>
      </c>
    </row>
    <row r="795" spans="1:11" ht="15" customHeight="1">
      <c r="A795" s="13">
        <v>45870</v>
      </c>
      <c r="B795" s="14" t="s">
        <v>387</v>
      </c>
      <c r="C795" s="19" t="s">
        <v>8</v>
      </c>
      <c r="D795" s="14" t="s">
        <v>30</v>
      </c>
      <c r="E795" s="14" t="str">
        <f>_xlfn.XLOOKUP($D795,'Chart of Accounts'!$A:$A,'Chart of Accounts'!B:B,"")</f>
        <v>Employee Benefits</v>
      </c>
      <c r="F795" s="14" t="str">
        <f>_xlfn.XLOOKUP($D795,'Chart of Accounts'!$A:$A,'Chart of Accounts'!C:C,"")</f>
        <v>Expense</v>
      </c>
      <c r="G795" s="14" t="s">
        <v>365</v>
      </c>
      <c r="H795" s="16">
        <v>1096.9816000000001</v>
      </c>
      <c r="I795" s="16"/>
      <c r="J795" s="16">
        <v>1096.9816000000001</v>
      </c>
      <c r="K795" s="14" t="s">
        <v>225</v>
      </c>
    </row>
    <row r="796" spans="1:11" ht="15" customHeight="1">
      <c r="A796" s="13">
        <v>45870</v>
      </c>
      <c r="B796" s="14" t="s">
        <v>387</v>
      </c>
      <c r="C796" s="19" t="s">
        <v>10</v>
      </c>
      <c r="D796" s="14" t="s">
        <v>30</v>
      </c>
      <c r="E796" s="14" t="str">
        <f>_xlfn.XLOOKUP($D796,'Chart of Accounts'!$A:$A,'Chart of Accounts'!B:B,"")</f>
        <v>Employee Benefits</v>
      </c>
      <c r="F796" s="14" t="str">
        <f>_xlfn.XLOOKUP($D796,'Chart of Accounts'!$A:$A,'Chart of Accounts'!C:C,"")</f>
        <v>Expense</v>
      </c>
      <c r="G796" s="14" t="s">
        <v>365</v>
      </c>
      <c r="H796" s="16">
        <v>1096.9816000000001</v>
      </c>
      <c r="I796" s="16"/>
      <c r="J796" s="16">
        <v>1096.9816000000001</v>
      </c>
      <c r="K796" s="14" t="s">
        <v>225</v>
      </c>
    </row>
    <row r="797" spans="1:11" ht="15" customHeight="1">
      <c r="A797" s="13">
        <v>45870</v>
      </c>
      <c r="B797" s="14" t="s">
        <v>387</v>
      </c>
      <c r="C797" s="19" t="s">
        <v>12</v>
      </c>
      <c r="D797" s="14" t="s">
        <v>30</v>
      </c>
      <c r="E797" s="14" t="str">
        <f>_xlfn.XLOOKUP($D797,'Chart of Accounts'!$A:$A,'Chart of Accounts'!B:B,"")</f>
        <v>Employee Benefits</v>
      </c>
      <c r="F797" s="14" t="str">
        <f>_xlfn.XLOOKUP($D797,'Chart of Accounts'!$A:$A,'Chart of Accounts'!C:C,"")</f>
        <v>Expense</v>
      </c>
      <c r="G797" s="14" t="s">
        <v>365</v>
      </c>
      <c r="H797" s="16">
        <v>1919.7177999999999</v>
      </c>
      <c r="I797" s="16"/>
      <c r="J797" s="16">
        <v>1919.7177999999999</v>
      </c>
      <c r="K797" s="14" t="s">
        <v>225</v>
      </c>
    </row>
    <row r="798" spans="1:11" ht="15" customHeight="1">
      <c r="A798" s="13">
        <v>45870</v>
      </c>
      <c r="B798" s="14" t="s">
        <v>387</v>
      </c>
      <c r="C798" s="19" t="s">
        <v>14</v>
      </c>
      <c r="D798" s="14" t="s">
        <v>30</v>
      </c>
      <c r="E798" s="14" t="str">
        <f>_xlfn.XLOOKUP($D798,'Chart of Accounts'!$A:$A,'Chart of Accounts'!B:B,"")</f>
        <v>Employee Benefits</v>
      </c>
      <c r="F798" s="14" t="str">
        <f>_xlfn.XLOOKUP($D798,'Chart of Accounts'!$A:$A,'Chart of Accounts'!C:C,"")</f>
        <v>Expense</v>
      </c>
      <c r="G798" s="14" t="s">
        <v>365</v>
      </c>
      <c r="H798" s="16">
        <v>1645.4724000000001</v>
      </c>
      <c r="I798" s="16"/>
      <c r="J798" s="16">
        <v>1645.4724000000001</v>
      </c>
      <c r="K798" s="14" t="s">
        <v>225</v>
      </c>
    </row>
    <row r="799" spans="1:11" ht="15" customHeight="1">
      <c r="A799" s="13">
        <v>45870</v>
      </c>
      <c r="B799" s="14" t="s">
        <v>387</v>
      </c>
      <c r="C799" s="19" t="s">
        <v>16</v>
      </c>
      <c r="D799" s="14" t="s">
        <v>30</v>
      </c>
      <c r="E799" s="14" t="str">
        <f>_xlfn.XLOOKUP($D799,'Chart of Accounts'!$A:$A,'Chart of Accounts'!B:B,"")</f>
        <v>Employee Benefits</v>
      </c>
      <c r="F799" s="14" t="str">
        <f>_xlfn.XLOOKUP($D799,'Chart of Accounts'!$A:$A,'Chart of Accounts'!C:C,"")</f>
        <v>Expense</v>
      </c>
      <c r="G799" s="14" t="s">
        <v>365</v>
      </c>
      <c r="H799" s="16">
        <v>1645.4724000000001</v>
      </c>
      <c r="I799" s="16"/>
      <c r="J799" s="16">
        <v>1645.4724000000001</v>
      </c>
      <c r="K799" s="14" t="s">
        <v>225</v>
      </c>
    </row>
    <row r="800" spans="1:11" ht="15" customHeight="1">
      <c r="A800" s="13">
        <v>45870</v>
      </c>
      <c r="B800" s="14" t="s">
        <v>387</v>
      </c>
      <c r="C800" s="19" t="s">
        <v>18</v>
      </c>
      <c r="D800" s="14" t="s">
        <v>30</v>
      </c>
      <c r="E800" s="14" t="str">
        <f>_xlfn.XLOOKUP($D800,'Chart of Accounts'!$A:$A,'Chart of Accounts'!B:B,"")</f>
        <v>Employee Benefits</v>
      </c>
      <c r="F800" s="14" t="str">
        <f>_xlfn.XLOOKUP($D800,'Chart of Accounts'!$A:$A,'Chart of Accounts'!C:C,"")</f>
        <v>Expense</v>
      </c>
      <c r="G800" s="14" t="s">
        <v>365</v>
      </c>
      <c r="H800" s="16">
        <v>2193.9632000000001</v>
      </c>
      <c r="I800" s="16"/>
      <c r="J800" s="16">
        <v>2193.9632000000001</v>
      </c>
      <c r="K800" s="14" t="s">
        <v>225</v>
      </c>
    </row>
    <row r="801" spans="1:11" ht="15" customHeight="1">
      <c r="A801" s="13">
        <v>45870</v>
      </c>
      <c r="B801" s="14" t="s">
        <v>387</v>
      </c>
      <c r="C801" s="19" t="s">
        <v>20</v>
      </c>
      <c r="D801" s="14" t="s">
        <v>30</v>
      </c>
      <c r="E801" s="14" t="str">
        <f>_xlfn.XLOOKUP($D801,'Chart of Accounts'!$A:$A,'Chart of Accounts'!B:B,"")</f>
        <v>Employee Benefits</v>
      </c>
      <c r="F801" s="14" t="str">
        <f>_xlfn.XLOOKUP($D801,'Chart of Accounts'!$A:$A,'Chart of Accounts'!C:C,"")</f>
        <v>Expense</v>
      </c>
      <c r="G801" s="14" t="s">
        <v>365</v>
      </c>
      <c r="H801" s="16">
        <v>2193.9632000000001</v>
      </c>
      <c r="I801" s="16"/>
      <c r="J801" s="16">
        <v>2193.9632000000001</v>
      </c>
      <c r="K801" s="14" t="s">
        <v>225</v>
      </c>
    </row>
    <row r="802" spans="1:11" ht="15" customHeight="1">
      <c r="A802" s="13">
        <v>45839</v>
      </c>
      <c r="B802" s="14" t="s">
        <v>388</v>
      </c>
      <c r="C802" s="19" t="s">
        <v>4</v>
      </c>
      <c r="D802" s="14" t="s">
        <v>30</v>
      </c>
      <c r="E802" s="14" t="str">
        <f>_xlfn.XLOOKUP($D802,'Chart of Accounts'!$A:$A,'Chart of Accounts'!B:B,"")</f>
        <v>Employee Benefits</v>
      </c>
      <c r="F802" s="14" t="str">
        <f>_xlfn.XLOOKUP($D802,'Chart of Accounts'!$A:$A,'Chart of Accounts'!C:C,"")</f>
        <v>Expense</v>
      </c>
      <c r="G802" s="14" t="s">
        <v>365</v>
      </c>
      <c r="H802" s="16">
        <v>809.45280000000002</v>
      </c>
      <c r="I802" s="16"/>
      <c r="J802" s="16">
        <v>809.45280000000002</v>
      </c>
      <c r="K802" s="14" t="s">
        <v>225</v>
      </c>
    </row>
    <row r="803" spans="1:11" ht="15" customHeight="1">
      <c r="A803" s="13">
        <v>45839</v>
      </c>
      <c r="B803" s="14" t="s">
        <v>388</v>
      </c>
      <c r="C803" s="19" t="s">
        <v>6</v>
      </c>
      <c r="D803" s="14" t="s">
        <v>30</v>
      </c>
      <c r="E803" s="14" t="str">
        <f>_xlfn.XLOOKUP($D803,'Chart of Accounts'!$A:$A,'Chart of Accounts'!B:B,"")</f>
        <v>Employee Benefits</v>
      </c>
      <c r="F803" s="14" t="str">
        <f>_xlfn.XLOOKUP($D803,'Chart of Accounts'!$A:$A,'Chart of Accounts'!C:C,"")</f>
        <v>Expense</v>
      </c>
      <c r="G803" s="14" t="s">
        <v>365</v>
      </c>
      <c r="H803" s="16">
        <v>1079.2704000000001</v>
      </c>
      <c r="I803" s="16"/>
      <c r="J803" s="16">
        <v>1079.2704000000001</v>
      </c>
      <c r="K803" s="14" t="s">
        <v>225</v>
      </c>
    </row>
    <row r="804" spans="1:11" ht="15" customHeight="1">
      <c r="A804" s="13">
        <v>45839</v>
      </c>
      <c r="B804" s="14" t="s">
        <v>388</v>
      </c>
      <c r="C804" s="19" t="s">
        <v>8</v>
      </c>
      <c r="D804" s="14" t="s">
        <v>30</v>
      </c>
      <c r="E804" s="14" t="str">
        <f>_xlfn.XLOOKUP($D804,'Chart of Accounts'!$A:$A,'Chart of Accounts'!B:B,"")</f>
        <v>Employee Benefits</v>
      </c>
      <c r="F804" s="14" t="str">
        <f>_xlfn.XLOOKUP($D804,'Chart of Accounts'!$A:$A,'Chart of Accounts'!C:C,"")</f>
        <v>Expense</v>
      </c>
      <c r="G804" s="14" t="s">
        <v>365</v>
      </c>
      <c r="H804" s="16">
        <v>1079.2704000000001</v>
      </c>
      <c r="I804" s="16"/>
      <c r="J804" s="16">
        <v>1079.2704000000001</v>
      </c>
      <c r="K804" s="14" t="s">
        <v>225</v>
      </c>
    </row>
    <row r="805" spans="1:11" ht="15" customHeight="1">
      <c r="A805" s="13">
        <v>45839</v>
      </c>
      <c r="B805" s="14" t="s">
        <v>388</v>
      </c>
      <c r="C805" s="19" t="s">
        <v>10</v>
      </c>
      <c r="D805" s="14" t="s">
        <v>30</v>
      </c>
      <c r="E805" s="14" t="str">
        <f>_xlfn.XLOOKUP($D805,'Chart of Accounts'!$A:$A,'Chart of Accounts'!B:B,"")</f>
        <v>Employee Benefits</v>
      </c>
      <c r="F805" s="14" t="str">
        <f>_xlfn.XLOOKUP($D805,'Chart of Accounts'!$A:$A,'Chart of Accounts'!C:C,"")</f>
        <v>Expense</v>
      </c>
      <c r="G805" s="14" t="s">
        <v>365</v>
      </c>
      <c r="H805" s="16">
        <v>1079.2704000000001</v>
      </c>
      <c r="I805" s="16"/>
      <c r="J805" s="16">
        <v>1079.2704000000001</v>
      </c>
      <c r="K805" s="14" t="s">
        <v>225</v>
      </c>
    </row>
    <row r="806" spans="1:11" ht="15" customHeight="1">
      <c r="A806" s="13">
        <v>45839</v>
      </c>
      <c r="B806" s="14" t="s">
        <v>388</v>
      </c>
      <c r="C806" s="19" t="s">
        <v>12</v>
      </c>
      <c r="D806" s="14" t="s">
        <v>30</v>
      </c>
      <c r="E806" s="14" t="str">
        <f>_xlfn.XLOOKUP($D806,'Chart of Accounts'!$A:$A,'Chart of Accounts'!B:B,"")</f>
        <v>Employee Benefits</v>
      </c>
      <c r="F806" s="14" t="str">
        <f>_xlfn.XLOOKUP($D806,'Chart of Accounts'!$A:$A,'Chart of Accounts'!C:C,"")</f>
        <v>Expense</v>
      </c>
      <c r="G806" s="14" t="s">
        <v>365</v>
      </c>
      <c r="H806" s="16">
        <v>1888.7231999999999</v>
      </c>
      <c r="I806" s="16"/>
      <c r="J806" s="16">
        <v>1888.7231999999999</v>
      </c>
      <c r="K806" s="14" t="s">
        <v>225</v>
      </c>
    </row>
    <row r="807" spans="1:11" ht="15" customHeight="1">
      <c r="A807" s="13">
        <v>45839</v>
      </c>
      <c r="B807" s="14" t="s">
        <v>388</v>
      </c>
      <c r="C807" s="19" t="s">
        <v>14</v>
      </c>
      <c r="D807" s="14" t="s">
        <v>30</v>
      </c>
      <c r="E807" s="14" t="str">
        <f>_xlfn.XLOOKUP($D807,'Chart of Accounts'!$A:$A,'Chart of Accounts'!B:B,"")</f>
        <v>Employee Benefits</v>
      </c>
      <c r="F807" s="14" t="str">
        <f>_xlfn.XLOOKUP($D807,'Chart of Accounts'!$A:$A,'Chart of Accounts'!C:C,"")</f>
        <v>Expense</v>
      </c>
      <c r="G807" s="14" t="s">
        <v>365</v>
      </c>
      <c r="H807" s="16">
        <v>1618.9056</v>
      </c>
      <c r="I807" s="16"/>
      <c r="J807" s="16">
        <v>1618.9056</v>
      </c>
      <c r="K807" s="14" t="s">
        <v>225</v>
      </c>
    </row>
    <row r="808" spans="1:11" ht="15" customHeight="1">
      <c r="A808" s="13">
        <v>45839</v>
      </c>
      <c r="B808" s="14" t="s">
        <v>388</v>
      </c>
      <c r="C808" s="19" t="s">
        <v>16</v>
      </c>
      <c r="D808" s="14" t="s">
        <v>30</v>
      </c>
      <c r="E808" s="14" t="str">
        <f>_xlfn.XLOOKUP($D808,'Chart of Accounts'!$A:$A,'Chart of Accounts'!B:B,"")</f>
        <v>Employee Benefits</v>
      </c>
      <c r="F808" s="14" t="str">
        <f>_xlfn.XLOOKUP($D808,'Chart of Accounts'!$A:$A,'Chart of Accounts'!C:C,"")</f>
        <v>Expense</v>
      </c>
      <c r="G808" s="14" t="s">
        <v>365</v>
      </c>
      <c r="H808" s="16">
        <v>1618.9056</v>
      </c>
      <c r="I808" s="16"/>
      <c r="J808" s="16">
        <v>1618.9056</v>
      </c>
      <c r="K808" s="14" t="s">
        <v>225</v>
      </c>
    </row>
    <row r="809" spans="1:11" ht="15" customHeight="1">
      <c r="A809" s="13">
        <v>45839</v>
      </c>
      <c r="B809" s="14" t="s">
        <v>388</v>
      </c>
      <c r="C809" s="19" t="s">
        <v>18</v>
      </c>
      <c r="D809" s="14" t="s">
        <v>30</v>
      </c>
      <c r="E809" s="14" t="str">
        <f>_xlfn.XLOOKUP($D809,'Chart of Accounts'!$A:$A,'Chart of Accounts'!B:B,"")</f>
        <v>Employee Benefits</v>
      </c>
      <c r="F809" s="14" t="str">
        <f>_xlfn.XLOOKUP($D809,'Chart of Accounts'!$A:$A,'Chart of Accounts'!C:C,"")</f>
        <v>Expense</v>
      </c>
      <c r="G809" s="14" t="s">
        <v>365</v>
      </c>
      <c r="H809" s="16">
        <v>2158.5408000000002</v>
      </c>
      <c r="I809" s="16"/>
      <c r="J809" s="16">
        <v>2158.5408000000002</v>
      </c>
      <c r="K809" s="14" t="s">
        <v>225</v>
      </c>
    </row>
    <row r="810" spans="1:11" ht="15" customHeight="1">
      <c r="A810" s="13">
        <v>45839</v>
      </c>
      <c r="B810" s="14" t="s">
        <v>388</v>
      </c>
      <c r="C810" s="19" t="s">
        <v>20</v>
      </c>
      <c r="D810" s="14" t="s">
        <v>30</v>
      </c>
      <c r="E810" s="14" t="str">
        <f>_xlfn.XLOOKUP($D810,'Chart of Accounts'!$A:$A,'Chart of Accounts'!B:B,"")</f>
        <v>Employee Benefits</v>
      </c>
      <c r="F810" s="14" t="str">
        <f>_xlfn.XLOOKUP($D810,'Chart of Accounts'!$A:$A,'Chart of Accounts'!C:C,"")</f>
        <v>Expense</v>
      </c>
      <c r="G810" s="14" t="s">
        <v>365</v>
      </c>
      <c r="H810" s="16">
        <v>2158.5408000000002</v>
      </c>
      <c r="I810" s="16"/>
      <c r="J810" s="16">
        <v>2158.5408000000002</v>
      </c>
      <c r="K810" s="14" t="s">
        <v>225</v>
      </c>
    </row>
    <row r="811" spans="1:11" ht="15" customHeight="1">
      <c r="A811" s="13">
        <v>46174</v>
      </c>
      <c r="B811" s="14" t="s">
        <v>389</v>
      </c>
      <c r="C811" s="19" t="s">
        <v>4</v>
      </c>
      <c r="D811" s="14" t="s">
        <v>29</v>
      </c>
      <c r="E811" s="14" t="str">
        <f>_xlfn.XLOOKUP($D811,'Chart of Accounts'!$A:$A,'Chart of Accounts'!B:B,"")</f>
        <v>Payroll Taxes</v>
      </c>
      <c r="F811" s="14" t="str">
        <f>_xlfn.XLOOKUP($D811,'Chart of Accounts'!$A:$A,'Chart of Accounts'!C:C,"")</f>
        <v>Expense</v>
      </c>
      <c r="G811" s="14" t="s">
        <v>365</v>
      </c>
      <c r="H811" s="16">
        <v>548.93884615384604</v>
      </c>
      <c r="I811" s="16"/>
      <c r="J811" s="16">
        <v>548.93884615384604</v>
      </c>
      <c r="K811" s="14" t="s">
        <v>225</v>
      </c>
    </row>
    <row r="812" spans="1:11" ht="15" customHeight="1">
      <c r="A812" s="13">
        <v>46174</v>
      </c>
      <c r="B812" s="14" t="s">
        <v>389</v>
      </c>
      <c r="C812" s="19" t="s">
        <v>6</v>
      </c>
      <c r="D812" s="14" t="s">
        <v>29</v>
      </c>
      <c r="E812" s="14" t="str">
        <f>_xlfn.XLOOKUP($D812,'Chart of Accounts'!$A:$A,'Chart of Accounts'!B:B,"")</f>
        <v>Payroll Taxes</v>
      </c>
      <c r="F812" s="14" t="str">
        <f>_xlfn.XLOOKUP($D812,'Chart of Accounts'!$A:$A,'Chart of Accounts'!C:C,"")</f>
        <v>Expense</v>
      </c>
      <c r="G812" s="14" t="s">
        <v>365</v>
      </c>
      <c r="H812" s="16">
        <v>731.91846153846097</v>
      </c>
      <c r="I812" s="16"/>
      <c r="J812" s="16">
        <v>731.91846153846097</v>
      </c>
      <c r="K812" s="14" t="s">
        <v>225</v>
      </c>
    </row>
    <row r="813" spans="1:11" ht="15" customHeight="1">
      <c r="A813" s="13">
        <v>46174</v>
      </c>
      <c r="B813" s="14" t="s">
        <v>389</v>
      </c>
      <c r="C813" s="19" t="s">
        <v>8</v>
      </c>
      <c r="D813" s="14" t="s">
        <v>29</v>
      </c>
      <c r="E813" s="14" t="str">
        <f>_xlfn.XLOOKUP($D813,'Chart of Accounts'!$A:$A,'Chart of Accounts'!B:B,"")</f>
        <v>Payroll Taxes</v>
      </c>
      <c r="F813" s="14" t="str">
        <f>_xlfn.XLOOKUP($D813,'Chart of Accounts'!$A:$A,'Chart of Accounts'!C:C,"")</f>
        <v>Expense</v>
      </c>
      <c r="G813" s="14" t="s">
        <v>365</v>
      </c>
      <c r="H813" s="16">
        <v>1097.87769230769</v>
      </c>
      <c r="I813" s="16"/>
      <c r="J813" s="16">
        <v>1097.87769230769</v>
      </c>
      <c r="K813" s="14" t="s">
        <v>225</v>
      </c>
    </row>
    <row r="814" spans="1:11" ht="15" customHeight="1">
      <c r="A814" s="13">
        <v>46174</v>
      </c>
      <c r="B814" s="14" t="s">
        <v>389</v>
      </c>
      <c r="C814" s="19" t="s">
        <v>10</v>
      </c>
      <c r="D814" s="14" t="s">
        <v>29</v>
      </c>
      <c r="E814" s="14" t="str">
        <f>_xlfn.XLOOKUP($D814,'Chart of Accounts'!$A:$A,'Chart of Accounts'!B:B,"")</f>
        <v>Payroll Taxes</v>
      </c>
      <c r="F814" s="14" t="str">
        <f>_xlfn.XLOOKUP($D814,'Chart of Accounts'!$A:$A,'Chart of Accounts'!C:C,"")</f>
        <v>Expense</v>
      </c>
      <c r="G814" s="14" t="s">
        <v>365</v>
      </c>
      <c r="H814" s="16">
        <v>365.959230769231</v>
      </c>
      <c r="I814" s="16"/>
      <c r="J814" s="16">
        <v>365.959230769231</v>
      </c>
      <c r="K814" s="14" t="s">
        <v>225</v>
      </c>
    </row>
    <row r="815" spans="1:11" ht="15" customHeight="1">
      <c r="A815" s="13">
        <v>46174</v>
      </c>
      <c r="B815" s="14" t="s">
        <v>389</v>
      </c>
      <c r="C815" s="19" t="s">
        <v>12</v>
      </c>
      <c r="D815" s="14" t="s">
        <v>29</v>
      </c>
      <c r="E815" s="14" t="str">
        <f>_xlfn.XLOOKUP($D815,'Chart of Accounts'!$A:$A,'Chart of Accounts'!B:B,"")</f>
        <v>Payroll Taxes</v>
      </c>
      <c r="F815" s="14" t="str">
        <f>_xlfn.XLOOKUP($D815,'Chart of Accounts'!$A:$A,'Chart of Accounts'!C:C,"")</f>
        <v>Expense</v>
      </c>
      <c r="G815" s="14" t="s">
        <v>365</v>
      </c>
      <c r="H815" s="16">
        <v>1280.8573076923101</v>
      </c>
      <c r="I815" s="16"/>
      <c r="J815" s="16">
        <v>1280.8573076923101</v>
      </c>
      <c r="K815" s="14" t="s">
        <v>225</v>
      </c>
    </row>
    <row r="816" spans="1:11" ht="15" customHeight="1">
      <c r="A816" s="13">
        <v>46174</v>
      </c>
      <c r="B816" s="14" t="s">
        <v>389</v>
      </c>
      <c r="C816" s="19" t="s">
        <v>14</v>
      </c>
      <c r="D816" s="14" t="s">
        <v>29</v>
      </c>
      <c r="E816" s="14" t="str">
        <f>_xlfn.XLOOKUP($D816,'Chart of Accounts'!$A:$A,'Chart of Accounts'!B:B,"")</f>
        <v>Payroll Taxes</v>
      </c>
      <c r="F816" s="14" t="str">
        <f>_xlfn.XLOOKUP($D816,'Chart of Accounts'!$A:$A,'Chart of Accounts'!C:C,"")</f>
        <v>Expense</v>
      </c>
      <c r="G816" s="14" t="s">
        <v>365</v>
      </c>
      <c r="H816" s="16">
        <v>1463.8369230769199</v>
      </c>
      <c r="I816" s="16"/>
      <c r="J816" s="16">
        <v>1463.8369230769199</v>
      </c>
      <c r="K816" s="14" t="s">
        <v>225</v>
      </c>
    </row>
    <row r="817" spans="1:11" ht="15" customHeight="1">
      <c r="A817" s="13">
        <v>46174</v>
      </c>
      <c r="B817" s="14" t="s">
        <v>389</v>
      </c>
      <c r="C817" s="19" t="s">
        <v>16</v>
      </c>
      <c r="D817" s="14" t="s">
        <v>29</v>
      </c>
      <c r="E817" s="14" t="str">
        <f>_xlfn.XLOOKUP($D817,'Chart of Accounts'!$A:$A,'Chart of Accounts'!B:B,"")</f>
        <v>Payroll Taxes</v>
      </c>
      <c r="F817" s="14" t="str">
        <f>_xlfn.XLOOKUP($D817,'Chart of Accounts'!$A:$A,'Chart of Accounts'!C:C,"")</f>
        <v>Expense</v>
      </c>
      <c r="G817" s="14" t="s">
        <v>365</v>
      </c>
      <c r="H817" s="16">
        <v>731.91846153846097</v>
      </c>
      <c r="I817" s="16"/>
      <c r="J817" s="16">
        <v>731.91846153846097</v>
      </c>
      <c r="K817" s="14" t="s">
        <v>225</v>
      </c>
    </row>
    <row r="818" spans="1:11" ht="15" customHeight="1">
      <c r="A818" s="13">
        <v>46174</v>
      </c>
      <c r="B818" s="14" t="s">
        <v>389</v>
      </c>
      <c r="C818" s="19" t="s">
        <v>18</v>
      </c>
      <c r="D818" s="14" t="s">
        <v>29</v>
      </c>
      <c r="E818" s="14" t="str">
        <f>_xlfn.XLOOKUP($D818,'Chart of Accounts'!$A:$A,'Chart of Accounts'!B:B,"")</f>
        <v>Payroll Taxes</v>
      </c>
      <c r="F818" s="14" t="str">
        <f>_xlfn.XLOOKUP($D818,'Chart of Accounts'!$A:$A,'Chart of Accounts'!C:C,"")</f>
        <v>Expense</v>
      </c>
      <c r="G818" s="14" t="s">
        <v>365</v>
      </c>
      <c r="H818" s="16">
        <v>1463.8369230769199</v>
      </c>
      <c r="I818" s="16"/>
      <c r="J818" s="16">
        <v>1463.8369230769199</v>
      </c>
      <c r="K818" s="14" t="s">
        <v>225</v>
      </c>
    </row>
    <row r="819" spans="1:11" ht="15" customHeight="1">
      <c r="A819" s="13">
        <v>46174</v>
      </c>
      <c r="B819" s="14" t="s">
        <v>389</v>
      </c>
      <c r="C819" s="19" t="s">
        <v>20</v>
      </c>
      <c r="D819" s="14" t="s">
        <v>29</v>
      </c>
      <c r="E819" s="14" t="str">
        <f>_xlfn.XLOOKUP($D819,'Chart of Accounts'!$A:$A,'Chart of Accounts'!B:B,"")</f>
        <v>Payroll Taxes</v>
      </c>
      <c r="F819" s="14" t="str">
        <f>_xlfn.XLOOKUP($D819,'Chart of Accounts'!$A:$A,'Chart of Accounts'!C:C,"")</f>
        <v>Expense</v>
      </c>
      <c r="G819" s="14" t="s">
        <v>365</v>
      </c>
      <c r="H819" s="16">
        <v>1829.79615384615</v>
      </c>
      <c r="I819" s="16"/>
      <c r="J819" s="16">
        <v>1829.79615384615</v>
      </c>
      <c r="K819" s="14" t="s">
        <v>225</v>
      </c>
    </row>
    <row r="820" spans="1:11" ht="15" customHeight="1">
      <c r="A820" s="13">
        <v>46143</v>
      </c>
      <c r="B820" s="14" t="s">
        <v>390</v>
      </c>
      <c r="C820" s="19" t="s">
        <v>4</v>
      </c>
      <c r="D820" s="14" t="s">
        <v>29</v>
      </c>
      <c r="E820" s="14" t="str">
        <f>_xlfn.XLOOKUP($D820,'Chart of Accounts'!$A:$A,'Chart of Accounts'!B:B,"")</f>
        <v>Payroll Taxes</v>
      </c>
      <c r="F820" s="14" t="str">
        <f>_xlfn.XLOOKUP($D820,'Chart of Accounts'!$A:$A,'Chart of Accounts'!C:C,"")</f>
        <v>Expense</v>
      </c>
      <c r="G820" s="14" t="s">
        <v>365</v>
      </c>
      <c r="H820" s="16">
        <v>524.60192307692296</v>
      </c>
      <c r="I820" s="16"/>
      <c r="J820" s="16">
        <v>524.60192307692296</v>
      </c>
      <c r="K820" s="14" t="s">
        <v>225</v>
      </c>
    </row>
    <row r="821" spans="1:11" ht="15" customHeight="1">
      <c r="A821" s="13">
        <v>46143</v>
      </c>
      <c r="B821" s="14" t="s">
        <v>390</v>
      </c>
      <c r="C821" s="19" t="s">
        <v>6</v>
      </c>
      <c r="D821" s="14" t="s">
        <v>29</v>
      </c>
      <c r="E821" s="14" t="str">
        <f>_xlfn.XLOOKUP($D821,'Chart of Accounts'!$A:$A,'Chart of Accounts'!B:B,"")</f>
        <v>Payroll Taxes</v>
      </c>
      <c r="F821" s="14" t="str">
        <f>_xlfn.XLOOKUP($D821,'Chart of Accounts'!$A:$A,'Chart of Accounts'!C:C,"")</f>
        <v>Expense</v>
      </c>
      <c r="G821" s="14" t="s">
        <v>365</v>
      </c>
      <c r="H821" s="16">
        <v>699.46923076923099</v>
      </c>
      <c r="I821" s="16"/>
      <c r="J821" s="16">
        <v>699.46923076923099</v>
      </c>
      <c r="K821" s="14" t="s">
        <v>225</v>
      </c>
    </row>
    <row r="822" spans="1:11" ht="15" customHeight="1">
      <c r="A822" s="13">
        <v>46143</v>
      </c>
      <c r="B822" s="14" t="s">
        <v>390</v>
      </c>
      <c r="C822" s="19" t="s">
        <v>8</v>
      </c>
      <c r="D822" s="14" t="s">
        <v>29</v>
      </c>
      <c r="E822" s="14" t="str">
        <f>_xlfn.XLOOKUP($D822,'Chart of Accounts'!$A:$A,'Chart of Accounts'!B:B,"")</f>
        <v>Payroll Taxes</v>
      </c>
      <c r="F822" s="14" t="str">
        <f>_xlfn.XLOOKUP($D822,'Chart of Accounts'!$A:$A,'Chart of Accounts'!C:C,"")</f>
        <v>Expense</v>
      </c>
      <c r="G822" s="14" t="s">
        <v>365</v>
      </c>
      <c r="H822" s="16">
        <v>1049.20384615385</v>
      </c>
      <c r="I822" s="16"/>
      <c r="J822" s="16">
        <v>1049.20384615385</v>
      </c>
      <c r="K822" s="14" t="s">
        <v>225</v>
      </c>
    </row>
    <row r="823" spans="1:11" ht="15" customHeight="1">
      <c r="A823" s="13">
        <v>46143</v>
      </c>
      <c r="B823" s="14" t="s">
        <v>390</v>
      </c>
      <c r="C823" s="19" t="s">
        <v>10</v>
      </c>
      <c r="D823" s="14" t="s">
        <v>29</v>
      </c>
      <c r="E823" s="14" t="str">
        <f>_xlfn.XLOOKUP($D823,'Chart of Accounts'!$A:$A,'Chart of Accounts'!B:B,"")</f>
        <v>Payroll Taxes</v>
      </c>
      <c r="F823" s="14" t="str">
        <f>_xlfn.XLOOKUP($D823,'Chart of Accounts'!$A:$A,'Chart of Accounts'!C:C,"")</f>
        <v>Expense</v>
      </c>
      <c r="G823" s="14" t="s">
        <v>365</v>
      </c>
      <c r="H823" s="16">
        <v>349.73461538461498</v>
      </c>
      <c r="I823" s="16"/>
      <c r="J823" s="16">
        <v>349.73461538461498</v>
      </c>
      <c r="K823" s="14" t="s">
        <v>225</v>
      </c>
    </row>
    <row r="824" spans="1:11" ht="15" customHeight="1">
      <c r="A824" s="13">
        <v>46143</v>
      </c>
      <c r="B824" s="14" t="s">
        <v>390</v>
      </c>
      <c r="C824" s="19" t="s">
        <v>12</v>
      </c>
      <c r="D824" s="14" t="s">
        <v>29</v>
      </c>
      <c r="E824" s="14" t="str">
        <f>_xlfn.XLOOKUP($D824,'Chart of Accounts'!$A:$A,'Chart of Accounts'!B:B,"")</f>
        <v>Payroll Taxes</v>
      </c>
      <c r="F824" s="14" t="str">
        <f>_xlfn.XLOOKUP($D824,'Chart of Accounts'!$A:$A,'Chart of Accounts'!C:C,"")</f>
        <v>Expense</v>
      </c>
      <c r="G824" s="14" t="s">
        <v>365</v>
      </c>
      <c r="H824" s="16">
        <v>1224.0711538461501</v>
      </c>
      <c r="I824" s="16"/>
      <c r="J824" s="16">
        <v>1224.0711538461501</v>
      </c>
      <c r="K824" s="14" t="s">
        <v>225</v>
      </c>
    </row>
    <row r="825" spans="1:11" ht="15" customHeight="1">
      <c r="A825" s="13">
        <v>46143</v>
      </c>
      <c r="B825" s="14" t="s">
        <v>390</v>
      </c>
      <c r="C825" s="19" t="s">
        <v>14</v>
      </c>
      <c r="D825" s="14" t="s">
        <v>29</v>
      </c>
      <c r="E825" s="14" t="str">
        <f>_xlfn.XLOOKUP($D825,'Chart of Accounts'!$A:$A,'Chart of Accounts'!B:B,"")</f>
        <v>Payroll Taxes</v>
      </c>
      <c r="F825" s="14" t="str">
        <f>_xlfn.XLOOKUP($D825,'Chart of Accounts'!$A:$A,'Chart of Accounts'!C:C,"")</f>
        <v>Expense</v>
      </c>
      <c r="G825" s="14" t="s">
        <v>365</v>
      </c>
      <c r="H825" s="16">
        <v>1398.9384615384599</v>
      </c>
      <c r="I825" s="16"/>
      <c r="J825" s="16">
        <v>1398.9384615384599</v>
      </c>
      <c r="K825" s="14" t="s">
        <v>225</v>
      </c>
    </row>
    <row r="826" spans="1:11" ht="15" customHeight="1">
      <c r="A826" s="13">
        <v>46143</v>
      </c>
      <c r="B826" s="14" t="s">
        <v>390</v>
      </c>
      <c r="C826" s="19" t="s">
        <v>16</v>
      </c>
      <c r="D826" s="14" t="s">
        <v>29</v>
      </c>
      <c r="E826" s="14" t="str">
        <f>_xlfn.XLOOKUP($D826,'Chart of Accounts'!$A:$A,'Chart of Accounts'!B:B,"")</f>
        <v>Payroll Taxes</v>
      </c>
      <c r="F826" s="14" t="str">
        <f>_xlfn.XLOOKUP($D826,'Chart of Accounts'!$A:$A,'Chart of Accounts'!C:C,"")</f>
        <v>Expense</v>
      </c>
      <c r="G826" s="14" t="s">
        <v>365</v>
      </c>
      <c r="H826" s="16">
        <v>699.46923076923099</v>
      </c>
      <c r="I826" s="16"/>
      <c r="J826" s="16">
        <v>699.46923076923099</v>
      </c>
      <c r="K826" s="14" t="s">
        <v>225</v>
      </c>
    </row>
    <row r="827" spans="1:11" ht="15" customHeight="1">
      <c r="A827" s="13">
        <v>46143</v>
      </c>
      <c r="B827" s="14" t="s">
        <v>390</v>
      </c>
      <c r="C827" s="19" t="s">
        <v>18</v>
      </c>
      <c r="D827" s="14" t="s">
        <v>29</v>
      </c>
      <c r="E827" s="14" t="str">
        <f>_xlfn.XLOOKUP($D827,'Chart of Accounts'!$A:$A,'Chart of Accounts'!B:B,"")</f>
        <v>Payroll Taxes</v>
      </c>
      <c r="F827" s="14" t="str">
        <f>_xlfn.XLOOKUP($D827,'Chart of Accounts'!$A:$A,'Chart of Accounts'!C:C,"")</f>
        <v>Expense</v>
      </c>
      <c r="G827" s="14" t="s">
        <v>365</v>
      </c>
      <c r="H827" s="16">
        <v>1398.9384615384599</v>
      </c>
      <c r="I827" s="16"/>
      <c r="J827" s="16">
        <v>1398.9384615384599</v>
      </c>
      <c r="K827" s="14" t="s">
        <v>225</v>
      </c>
    </row>
    <row r="828" spans="1:11" ht="15" customHeight="1">
      <c r="A828" s="13">
        <v>46143</v>
      </c>
      <c r="B828" s="14" t="s">
        <v>390</v>
      </c>
      <c r="C828" s="19" t="s">
        <v>20</v>
      </c>
      <c r="D828" s="14" t="s">
        <v>29</v>
      </c>
      <c r="E828" s="14" t="str">
        <f>_xlfn.XLOOKUP($D828,'Chart of Accounts'!$A:$A,'Chart of Accounts'!B:B,"")</f>
        <v>Payroll Taxes</v>
      </c>
      <c r="F828" s="14" t="str">
        <f>_xlfn.XLOOKUP($D828,'Chart of Accounts'!$A:$A,'Chart of Accounts'!C:C,"")</f>
        <v>Expense</v>
      </c>
      <c r="G828" s="14" t="s">
        <v>365</v>
      </c>
      <c r="H828" s="16">
        <v>1748.6730769230801</v>
      </c>
      <c r="I828" s="16"/>
      <c r="J828" s="16">
        <v>1748.6730769230801</v>
      </c>
      <c r="K828" s="14" t="s">
        <v>225</v>
      </c>
    </row>
    <row r="829" spans="1:11" ht="15" customHeight="1">
      <c r="A829" s="13">
        <v>46113</v>
      </c>
      <c r="B829" s="14" t="s">
        <v>391</v>
      </c>
      <c r="C829" s="19" t="s">
        <v>4</v>
      </c>
      <c r="D829" s="14" t="s">
        <v>29</v>
      </c>
      <c r="E829" s="14" t="str">
        <f>_xlfn.XLOOKUP($D829,'Chart of Accounts'!$A:$A,'Chart of Accounts'!B:B,"")</f>
        <v>Payroll Taxes</v>
      </c>
      <c r="F829" s="14" t="str">
        <f>_xlfn.XLOOKUP($D829,'Chart of Accounts'!$A:$A,'Chart of Accounts'!C:C,"")</f>
        <v>Expense</v>
      </c>
      <c r="G829" s="14" t="s">
        <v>365</v>
      </c>
      <c r="H829" s="16">
        <v>561.31384615384604</v>
      </c>
      <c r="I829" s="16"/>
      <c r="J829" s="16">
        <v>561.31384615384604</v>
      </c>
      <c r="K829" s="14" t="s">
        <v>225</v>
      </c>
    </row>
    <row r="830" spans="1:11" ht="15" customHeight="1">
      <c r="A830" s="13">
        <v>46113</v>
      </c>
      <c r="B830" s="14" t="s">
        <v>391</v>
      </c>
      <c r="C830" s="19" t="s">
        <v>6</v>
      </c>
      <c r="D830" s="14" t="s">
        <v>29</v>
      </c>
      <c r="E830" s="14" t="str">
        <f>_xlfn.XLOOKUP($D830,'Chart of Accounts'!$A:$A,'Chart of Accounts'!B:B,"")</f>
        <v>Payroll Taxes</v>
      </c>
      <c r="F830" s="14" t="str">
        <f>_xlfn.XLOOKUP($D830,'Chart of Accounts'!$A:$A,'Chart of Accounts'!C:C,"")</f>
        <v>Expense</v>
      </c>
      <c r="G830" s="14" t="s">
        <v>365</v>
      </c>
      <c r="H830" s="16">
        <v>748.41846153846097</v>
      </c>
      <c r="I830" s="16"/>
      <c r="J830" s="16">
        <v>748.41846153846097</v>
      </c>
      <c r="K830" s="14" t="s">
        <v>225</v>
      </c>
    </row>
    <row r="831" spans="1:11" ht="15" customHeight="1">
      <c r="A831" s="13">
        <v>46113</v>
      </c>
      <c r="B831" s="14" t="s">
        <v>391</v>
      </c>
      <c r="C831" s="19" t="s">
        <v>8</v>
      </c>
      <c r="D831" s="14" t="s">
        <v>29</v>
      </c>
      <c r="E831" s="14" t="str">
        <f>_xlfn.XLOOKUP($D831,'Chart of Accounts'!$A:$A,'Chart of Accounts'!B:B,"")</f>
        <v>Payroll Taxes</v>
      </c>
      <c r="F831" s="14" t="str">
        <f>_xlfn.XLOOKUP($D831,'Chart of Accounts'!$A:$A,'Chart of Accounts'!C:C,"")</f>
        <v>Expense</v>
      </c>
      <c r="G831" s="14" t="s">
        <v>365</v>
      </c>
      <c r="H831" s="16">
        <v>748.41846153846097</v>
      </c>
      <c r="I831" s="16"/>
      <c r="J831" s="16">
        <v>748.41846153846097</v>
      </c>
      <c r="K831" s="14" t="s">
        <v>225</v>
      </c>
    </row>
    <row r="832" spans="1:11" ht="15" customHeight="1">
      <c r="A832" s="13">
        <v>46113</v>
      </c>
      <c r="B832" s="14" t="s">
        <v>391</v>
      </c>
      <c r="C832" s="19" t="s">
        <v>10</v>
      </c>
      <c r="D832" s="14" t="s">
        <v>29</v>
      </c>
      <c r="E832" s="14" t="str">
        <f>_xlfn.XLOOKUP($D832,'Chart of Accounts'!$A:$A,'Chart of Accounts'!B:B,"")</f>
        <v>Payroll Taxes</v>
      </c>
      <c r="F832" s="14" t="str">
        <f>_xlfn.XLOOKUP($D832,'Chart of Accounts'!$A:$A,'Chart of Accounts'!C:C,"")</f>
        <v>Expense</v>
      </c>
      <c r="G832" s="14" t="s">
        <v>365</v>
      </c>
      <c r="H832" s="16">
        <v>374.209230769231</v>
      </c>
      <c r="I832" s="16"/>
      <c r="J832" s="16">
        <v>374.209230769231</v>
      </c>
      <c r="K832" s="14" t="s">
        <v>225</v>
      </c>
    </row>
    <row r="833" spans="1:11" ht="15" customHeight="1">
      <c r="A833" s="13">
        <v>46113</v>
      </c>
      <c r="B833" s="14" t="s">
        <v>391</v>
      </c>
      <c r="C833" s="19" t="s">
        <v>12</v>
      </c>
      <c r="D833" s="14" t="s">
        <v>29</v>
      </c>
      <c r="E833" s="14" t="str">
        <f>_xlfn.XLOOKUP($D833,'Chart of Accounts'!$A:$A,'Chart of Accounts'!B:B,"")</f>
        <v>Payroll Taxes</v>
      </c>
      <c r="F833" s="14" t="str">
        <f>_xlfn.XLOOKUP($D833,'Chart of Accounts'!$A:$A,'Chart of Accounts'!C:C,"")</f>
        <v>Expense</v>
      </c>
      <c r="G833" s="14" t="s">
        <v>365</v>
      </c>
      <c r="H833" s="16">
        <v>1309.7323076923101</v>
      </c>
      <c r="I833" s="16"/>
      <c r="J833" s="16">
        <v>1309.7323076923101</v>
      </c>
      <c r="K833" s="14" t="s">
        <v>225</v>
      </c>
    </row>
    <row r="834" spans="1:11" ht="15" customHeight="1">
      <c r="A834" s="13">
        <v>46113</v>
      </c>
      <c r="B834" s="14" t="s">
        <v>391</v>
      </c>
      <c r="C834" s="19" t="s">
        <v>14</v>
      </c>
      <c r="D834" s="14" t="s">
        <v>29</v>
      </c>
      <c r="E834" s="14" t="str">
        <f>_xlfn.XLOOKUP($D834,'Chart of Accounts'!$A:$A,'Chart of Accounts'!B:B,"")</f>
        <v>Payroll Taxes</v>
      </c>
      <c r="F834" s="14" t="str">
        <f>_xlfn.XLOOKUP($D834,'Chart of Accounts'!$A:$A,'Chart of Accounts'!C:C,"")</f>
        <v>Expense</v>
      </c>
      <c r="G834" s="14" t="s">
        <v>365</v>
      </c>
      <c r="H834" s="16">
        <v>1496.8369230769199</v>
      </c>
      <c r="I834" s="16"/>
      <c r="J834" s="16">
        <v>1496.8369230769199</v>
      </c>
      <c r="K834" s="14" t="s">
        <v>225</v>
      </c>
    </row>
    <row r="835" spans="1:11" ht="15" customHeight="1">
      <c r="A835" s="13">
        <v>46113</v>
      </c>
      <c r="B835" s="14" t="s">
        <v>391</v>
      </c>
      <c r="C835" s="19" t="s">
        <v>16</v>
      </c>
      <c r="D835" s="14" t="s">
        <v>29</v>
      </c>
      <c r="E835" s="14" t="str">
        <f>_xlfn.XLOOKUP($D835,'Chart of Accounts'!$A:$A,'Chart of Accounts'!B:B,"")</f>
        <v>Payroll Taxes</v>
      </c>
      <c r="F835" s="14" t="str">
        <f>_xlfn.XLOOKUP($D835,'Chart of Accounts'!$A:$A,'Chart of Accounts'!C:C,"")</f>
        <v>Expense</v>
      </c>
      <c r="G835" s="14" t="s">
        <v>365</v>
      </c>
      <c r="H835" s="16">
        <v>1122.62769230769</v>
      </c>
      <c r="I835" s="16"/>
      <c r="J835" s="16">
        <v>1122.62769230769</v>
      </c>
      <c r="K835" s="14" t="s">
        <v>225</v>
      </c>
    </row>
    <row r="836" spans="1:11" ht="15" customHeight="1">
      <c r="A836" s="13">
        <v>46113</v>
      </c>
      <c r="B836" s="14" t="s">
        <v>391</v>
      </c>
      <c r="C836" s="19" t="s">
        <v>18</v>
      </c>
      <c r="D836" s="14" t="s">
        <v>29</v>
      </c>
      <c r="E836" s="14" t="str">
        <f>_xlfn.XLOOKUP($D836,'Chart of Accounts'!$A:$A,'Chart of Accounts'!B:B,"")</f>
        <v>Payroll Taxes</v>
      </c>
      <c r="F836" s="14" t="str">
        <f>_xlfn.XLOOKUP($D836,'Chart of Accounts'!$A:$A,'Chart of Accounts'!C:C,"")</f>
        <v>Expense</v>
      </c>
      <c r="G836" s="14" t="s">
        <v>365</v>
      </c>
      <c r="H836" s="16">
        <v>1496.8369230769199</v>
      </c>
      <c r="I836" s="16"/>
      <c r="J836" s="16">
        <v>1496.8369230769199</v>
      </c>
      <c r="K836" s="14" t="s">
        <v>225</v>
      </c>
    </row>
    <row r="837" spans="1:11" ht="15" customHeight="1">
      <c r="A837" s="13">
        <v>46113</v>
      </c>
      <c r="B837" s="14" t="s">
        <v>391</v>
      </c>
      <c r="C837" s="19" t="s">
        <v>20</v>
      </c>
      <c r="D837" s="14" t="s">
        <v>29</v>
      </c>
      <c r="E837" s="14" t="str">
        <f>_xlfn.XLOOKUP($D837,'Chart of Accounts'!$A:$A,'Chart of Accounts'!B:B,"")</f>
        <v>Payroll Taxes</v>
      </c>
      <c r="F837" s="14" t="str">
        <f>_xlfn.XLOOKUP($D837,'Chart of Accounts'!$A:$A,'Chart of Accounts'!C:C,"")</f>
        <v>Expense</v>
      </c>
      <c r="G837" s="14" t="s">
        <v>365</v>
      </c>
      <c r="H837" s="16">
        <v>1871.04615384615</v>
      </c>
      <c r="I837" s="16"/>
      <c r="J837" s="16">
        <v>1871.04615384615</v>
      </c>
      <c r="K837" s="14" t="s">
        <v>225</v>
      </c>
    </row>
    <row r="838" spans="1:11" ht="15" customHeight="1">
      <c r="A838" s="13">
        <v>46082</v>
      </c>
      <c r="B838" s="14" t="s">
        <v>392</v>
      </c>
      <c r="C838" s="19" t="s">
        <v>4</v>
      </c>
      <c r="D838" s="14" t="s">
        <v>29</v>
      </c>
      <c r="E838" s="14" t="str">
        <f>_xlfn.XLOOKUP($D838,'Chart of Accounts'!$A:$A,'Chart of Accounts'!B:B,"")</f>
        <v>Payroll Taxes</v>
      </c>
      <c r="F838" s="14" t="str">
        <f>_xlfn.XLOOKUP($D838,'Chart of Accounts'!$A:$A,'Chart of Accounts'!C:C,"")</f>
        <v>Expense</v>
      </c>
      <c r="G838" s="14" t="s">
        <v>365</v>
      </c>
      <c r="H838" s="16">
        <v>556.75846153846203</v>
      </c>
      <c r="I838" s="16"/>
      <c r="J838" s="16">
        <v>556.75846153846203</v>
      </c>
      <c r="K838" s="14" t="s">
        <v>225</v>
      </c>
    </row>
    <row r="839" spans="1:11" ht="15" customHeight="1">
      <c r="A839" s="13">
        <v>46082</v>
      </c>
      <c r="B839" s="14" t="s">
        <v>392</v>
      </c>
      <c r="C839" s="19" t="s">
        <v>6</v>
      </c>
      <c r="D839" s="14" t="s">
        <v>29</v>
      </c>
      <c r="E839" s="14" t="str">
        <f>_xlfn.XLOOKUP($D839,'Chart of Accounts'!$A:$A,'Chart of Accounts'!B:B,"")</f>
        <v>Payroll Taxes</v>
      </c>
      <c r="F839" s="14" t="str">
        <f>_xlfn.XLOOKUP($D839,'Chart of Accounts'!$A:$A,'Chart of Accounts'!C:C,"")</f>
        <v>Expense</v>
      </c>
      <c r="G839" s="14" t="s">
        <v>365</v>
      </c>
      <c r="H839" s="16">
        <v>742.34461538461505</v>
      </c>
      <c r="I839" s="16"/>
      <c r="J839" s="16">
        <v>742.34461538461505</v>
      </c>
      <c r="K839" s="14" t="s">
        <v>225</v>
      </c>
    </row>
    <row r="840" spans="1:11" ht="15" customHeight="1">
      <c r="A840" s="13">
        <v>46082</v>
      </c>
      <c r="B840" s="14" t="s">
        <v>392</v>
      </c>
      <c r="C840" s="19" t="s">
        <v>8</v>
      </c>
      <c r="D840" s="14" t="s">
        <v>29</v>
      </c>
      <c r="E840" s="14" t="str">
        <f>_xlfn.XLOOKUP($D840,'Chart of Accounts'!$A:$A,'Chart of Accounts'!B:B,"")</f>
        <v>Payroll Taxes</v>
      </c>
      <c r="F840" s="14" t="str">
        <f>_xlfn.XLOOKUP($D840,'Chart of Accounts'!$A:$A,'Chart of Accounts'!C:C,"")</f>
        <v>Expense</v>
      </c>
      <c r="G840" s="14" t="s">
        <v>365</v>
      </c>
      <c r="H840" s="16">
        <v>742.34461538461505</v>
      </c>
      <c r="I840" s="16"/>
      <c r="J840" s="16">
        <v>742.34461538461505</v>
      </c>
      <c r="K840" s="14" t="s">
        <v>225</v>
      </c>
    </row>
    <row r="841" spans="1:11" ht="15" customHeight="1">
      <c r="A841" s="13">
        <v>46082</v>
      </c>
      <c r="B841" s="14" t="s">
        <v>392</v>
      </c>
      <c r="C841" s="19" t="s">
        <v>10</v>
      </c>
      <c r="D841" s="14" t="s">
        <v>29</v>
      </c>
      <c r="E841" s="14" t="str">
        <f>_xlfn.XLOOKUP($D841,'Chart of Accounts'!$A:$A,'Chart of Accounts'!B:B,"")</f>
        <v>Payroll Taxes</v>
      </c>
      <c r="F841" s="14" t="str">
        <f>_xlfn.XLOOKUP($D841,'Chart of Accounts'!$A:$A,'Chart of Accounts'!C:C,"")</f>
        <v>Expense</v>
      </c>
      <c r="G841" s="14" t="s">
        <v>365</v>
      </c>
      <c r="H841" s="16">
        <v>371.17230769230798</v>
      </c>
      <c r="I841" s="16"/>
      <c r="J841" s="16">
        <v>371.17230769230798</v>
      </c>
      <c r="K841" s="14" t="s">
        <v>225</v>
      </c>
    </row>
    <row r="842" spans="1:11" ht="15" customHeight="1">
      <c r="A842" s="13">
        <v>46082</v>
      </c>
      <c r="B842" s="14" t="s">
        <v>392</v>
      </c>
      <c r="C842" s="19" t="s">
        <v>12</v>
      </c>
      <c r="D842" s="14" t="s">
        <v>29</v>
      </c>
      <c r="E842" s="14" t="str">
        <f>_xlfn.XLOOKUP($D842,'Chart of Accounts'!$A:$A,'Chart of Accounts'!B:B,"")</f>
        <v>Payroll Taxes</v>
      </c>
      <c r="F842" s="14" t="str">
        <f>_xlfn.XLOOKUP($D842,'Chart of Accounts'!$A:$A,'Chart of Accounts'!C:C,"")</f>
        <v>Expense</v>
      </c>
      <c r="G842" s="14" t="s">
        <v>365</v>
      </c>
      <c r="H842" s="16">
        <v>1299.1030769230799</v>
      </c>
      <c r="I842" s="16"/>
      <c r="J842" s="16">
        <v>1299.1030769230799</v>
      </c>
      <c r="K842" s="14" t="s">
        <v>225</v>
      </c>
    </row>
    <row r="843" spans="1:11" ht="15" customHeight="1">
      <c r="A843" s="13">
        <v>46082</v>
      </c>
      <c r="B843" s="14" t="s">
        <v>392</v>
      </c>
      <c r="C843" s="19" t="s">
        <v>14</v>
      </c>
      <c r="D843" s="14" t="s">
        <v>29</v>
      </c>
      <c r="E843" s="14" t="str">
        <f>_xlfn.XLOOKUP($D843,'Chart of Accounts'!$A:$A,'Chart of Accounts'!B:B,"")</f>
        <v>Payroll Taxes</v>
      </c>
      <c r="F843" s="14" t="str">
        <f>_xlfn.XLOOKUP($D843,'Chart of Accounts'!$A:$A,'Chart of Accounts'!C:C,"")</f>
        <v>Expense</v>
      </c>
      <c r="G843" s="14" t="s">
        <v>365</v>
      </c>
      <c r="H843" s="16">
        <v>1484.6892307692301</v>
      </c>
      <c r="I843" s="16"/>
      <c r="J843" s="16">
        <v>1484.6892307692301</v>
      </c>
      <c r="K843" s="14" t="s">
        <v>225</v>
      </c>
    </row>
    <row r="844" spans="1:11" ht="15" customHeight="1">
      <c r="A844" s="13">
        <v>46082</v>
      </c>
      <c r="B844" s="14" t="s">
        <v>392</v>
      </c>
      <c r="C844" s="19" t="s">
        <v>16</v>
      </c>
      <c r="D844" s="14" t="s">
        <v>29</v>
      </c>
      <c r="E844" s="14" t="str">
        <f>_xlfn.XLOOKUP($D844,'Chart of Accounts'!$A:$A,'Chart of Accounts'!B:B,"")</f>
        <v>Payroll Taxes</v>
      </c>
      <c r="F844" s="14" t="str">
        <f>_xlfn.XLOOKUP($D844,'Chart of Accounts'!$A:$A,'Chart of Accounts'!C:C,"")</f>
        <v>Expense</v>
      </c>
      <c r="G844" s="14" t="s">
        <v>365</v>
      </c>
      <c r="H844" s="16">
        <v>1113.51692307692</v>
      </c>
      <c r="I844" s="16"/>
      <c r="J844" s="16">
        <v>1113.51692307692</v>
      </c>
      <c r="K844" s="14" t="s">
        <v>225</v>
      </c>
    </row>
    <row r="845" spans="1:11" ht="15" customHeight="1">
      <c r="A845" s="13">
        <v>46082</v>
      </c>
      <c r="B845" s="14" t="s">
        <v>392</v>
      </c>
      <c r="C845" s="19" t="s">
        <v>18</v>
      </c>
      <c r="D845" s="14" t="s">
        <v>29</v>
      </c>
      <c r="E845" s="14" t="str">
        <f>_xlfn.XLOOKUP($D845,'Chart of Accounts'!$A:$A,'Chart of Accounts'!B:B,"")</f>
        <v>Payroll Taxes</v>
      </c>
      <c r="F845" s="14" t="str">
        <f>_xlfn.XLOOKUP($D845,'Chart of Accounts'!$A:$A,'Chart of Accounts'!C:C,"")</f>
        <v>Expense</v>
      </c>
      <c r="G845" s="14" t="s">
        <v>365</v>
      </c>
      <c r="H845" s="16">
        <v>1484.6892307692301</v>
      </c>
      <c r="I845" s="16"/>
      <c r="J845" s="16">
        <v>1484.6892307692301</v>
      </c>
      <c r="K845" s="14" t="s">
        <v>225</v>
      </c>
    </row>
    <row r="846" spans="1:11" ht="15" customHeight="1">
      <c r="A846" s="13">
        <v>46082</v>
      </c>
      <c r="B846" s="14" t="s">
        <v>392</v>
      </c>
      <c r="C846" s="19" t="s">
        <v>20</v>
      </c>
      <c r="D846" s="14" t="s">
        <v>29</v>
      </c>
      <c r="E846" s="14" t="str">
        <f>_xlfn.XLOOKUP($D846,'Chart of Accounts'!$A:$A,'Chart of Accounts'!B:B,"")</f>
        <v>Payroll Taxes</v>
      </c>
      <c r="F846" s="14" t="str">
        <f>_xlfn.XLOOKUP($D846,'Chart of Accounts'!$A:$A,'Chart of Accounts'!C:C,"")</f>
        <v>Expense</v>
      </c>
      <c r="G846" s="14" t="s">
        <v>365</v>
      </c>
      <c r="H846" s="16">
        <v>1855.86153846154</v>
      </c>
      <c r="I846" s="16"/>
      <c r="J846" s="16">
        <v>1855.86153846154</v>
      </c>
      <c r="K846" s="14" t="s">
        <v>225</v>
      </c>
    </row>
    <row r="847" spans="1:11" ht="15" customHeight="1">
      <c r="A847" s="13">
        <v>46054</v>
      </c>
      <c r="B847" s="14" t="s">
        <v>393</v>
      </c>
      <c r="C847" s="19" t="s">
        <v>4</v>
      </c>
      <c r="D847" s="14" t="s">
        <v>29</v>
      </c>
      <c r="E847" s="14" t="str">
        <f>_xlfn.XLOOKUP($D847,'Chart of Accounts'!$A:$A,'Chart of Accounts'!B:B,"")</f>
        <v>Payroll Taxes</v>
      </c>
      <c r="F847" s="14" t="str">
        <f>_xlfn.XLOOKUP($D847,'Chart of Accounts'!$A:$A,'Chart of Accounts'!C:C,"")</f>
        <v>Expense</v>
      </c>
      <c r="G847" s="14" t="s">
        <v>365</v>
      </c>
      <c r="H847" s="16">
        <v>568.23057692307702</v>
      </c>
      <c r="I847" s="16"/>
      <c r="J847" s="16">
        <v>568.23057692307702</v>
      </c>
      <c r="K847" s="14" t="s">
        <v>225</v>
      </c>
    </row>
    <row r="848" spans="1:11" ht="15" customHeight="1">
      <c r="A848" s="13">
        <v>46054</v>
      </c>
      <c r="B848" s="14" t="s">
        <v>393</v>
      </c>
      <c r="C848" s="19" t="s">
        <v>6</v>
      </c>
      <c r="D848" s="14" t="s">
        <v>29</v>
      </c>
      <c r="E848" s="14" t="str">
        <f>_xlfn.XLOOKUP($D848,'Chart of Accounts'!$A:$A,'Chart of Accounts'!B:B,"")</f>
        <v>Payroll Taxes</v>
      </c>
      <c r="F848" s="14" t="str">
        <f>_xlfn.XLOOKUP($D848,'Chart of Accounts'!$A:$A,'Chart of Accounts'!C:C,"")</f>
        <v>Expense</v>
      </c>
      <c r="G848" s="14" t="s">
        <v>365</v>
      </c>
      <c r="H848" s="16">
        <v>757.64076923076902</v>
      </c>
      <c r="I848" s="16"/>
      <c r="J848" s="16">
        <v>757.64076923076902</v>
      </c>
      <c r="K848" s="14" t="s">
        <v>225</v>
      </c>
    </row>
    <row r="849" spans="1:11" ht="15" customHeight="1">
      <c r="A849" s="13">
        <v>46054</v>
      </c>
      <c r="B849" s="14" t="s">
        <v>393</v>
      </c>
      <c r="C849" s="19" t="s">
        <v>8</v>
      </c>
      <c r="D849" s="14" t="s">
        <v>29</v>
      </c>
      <c r="E849" s="14" t="str">
        <f>_xlfn.XLOOKUP($D849,'Chart of Accounts'!$A:$A,'Chart of Accounts'!B:B,"")</f>
        <v>Payroll Taxes</v>
      </c>
      <c r="F849" s="14" t="str">
        <f>_xlfn.XLOOKUP($D849,'Chart of Accounts'!$A:$A,'Chart of Accounts'!C:C,"")</f>
        <v>Expense</v>
      </c>
      <c r="G849" s="14" t="s">
        <v>365</v>
      </c>
      <c r="H849" s="16">
        <v>757.64076923076902</v>
      </c>
      <c r="I849" s="16"/>
      <c r="J849" s="16">
        <v>757.64076923076902</v>
      </c>
      <c r="K849" s="14" t="s">
        <v>225</v>
      </c>
    </row>
    <row r="850" spans="1:11" ht="15" customHeight="1">
      <c r="A850" s="13">
        <v>46054</v>
      </c>
      <c r="B850" s="14" t="s">
        <v>393</v>
      </c>
      <c r="C850" s="19" t="s">
        <v>10</v>
      </c>
      <c r="D850" s="14" t="s">
        <v>29</v>
      </c>
      <c r="E850" s="14" t="str">
        <f>_xlfn.XLOOKUP($D850,'Chart of Accounts'!$A:$A,'Chart of Accounts'!B:B,"")</f>
        <v>Payroll Taxes</v>
      </c>
      <c r="F850" s="14" t="str">
        <f>_xlfn.XLOOKUP($D850,'Chart of Accounts'!$A:$A,'Chart of Accounts'!C:C,"")</f>
        <v>Expense</v>
      </c>
      <c r="G850" s="14" t="s">
        <v>365</v>
      </c>
      <c r="H850" s="16">
        <v>757.64076923076902</v>
      </c>
      <c r="I850" s="16"/>
      <c r="J850" s="16">
        <v>757.64076923076902</v>
      </c>
      <c r="K850" s="14" t="s">
        <v>225</v>
      </c>
    </row>
    <row r="851" spans="1:11" ht="15" customHeight="1">
      <c r="A851" s="13">
        <v>46054</v>
      </c>
      <c r="B851" s="14" t="s">
        <v>393</v>
      </c>
      <c r="C851" s="19" t="s">
        <v>12</v>
      </c>
      <c r="D851" s="14" t="s">
        <v>29</v>
      </c>
      <c r="E851" s="14" t="str">
        <f>_xlfn.XLOOKUP($D851,'Chart of Accounts'!$A:$A,'Chart of Accounts'!B:B,"")</f>
        <v>Payroll Taxes</v>
      </c>
      <c r="F851" s="14" t="str">
        <f>_xlfn.XLOOKUP($D851,'Chart of Accounts'!$A:$A,'Chart of Accounts'!C:C,"")</f>
        <v>Expense</v>
      </c>
      <c r="G851" s="14" t="s">
        <v>365</v>
      </c>
      <c r="H851" s="16">
        <v>1325.87134615385</v>
      </c>
      <c r="I851" s="16"/>
      <c r="J851" s="16">
        <v>1325.87134615385</v>
      </c>
      <c r="K851" s="14" t="s">
        <v>225</v>
      </c>
    </row>
    <row r="852" spans="1:11" ht="15" customHeight="1">
      <c r="A852" s="13">
        <v>46054</v>
      </c>
      <c r="B852" s="14" t="s">
        <v>393</v>
      </c>
      <c r="C852" s="19" t="s">
        <v>14</v>
      </c>
      <c r="D852" s="14" t="s">
        <v>29</v>
      </c>
      <c r="E852" s="14" t="str">
        <f>_xlfn.XLOOKUP($D852,'Chart of Accounts'!$A:$A,'Chart of Accounts'!B:B,"")</f>
        <v>Payroll Taxes</v>
      </c>
      <c r="F852" s="14" t="str">
        <f>_xlfn.XLOOKUP($D852,'Chart of Accounts'!$A:$A,'Chart of Accounts'!C:C,"")</f>
        <v>Expense</v>
      </c>
      <c r="G852" s="14" t="s">
        <v>365</v>
      </c>
      <c r="H852" s="16">
        <v>1515.2815384615401</v>
      </c>
      <c r="I852" s="16"/>
      <c r="J852" s="16">
        <v>1515.2815384615401</v>
      </c>
      <c r="K852" s="14" t="s">
        <v>225</v>
      </c>
    </row>
    <row r="853" spans="1:11" ht="15" customHeight="1">
      <c r="A853" s="13">
        <v>46054</v>
      </c>
      <c r="B853" s="14" t="s">
        <v>393</v>
      </c>
      <c r="C853" s="19" t="s">
        <v>16</v>
      </c>
      <c r="D853" s="14" t="s">
        <v>29</v>
      </c>
      <c r="E853" s="14" t="str">
        <f>_xlfn.XLOOKUP($D853,'Chart of Accounts'!$A:$A,'Chart of Accounts'!B:B,"")</f>
        <v>Payroll Taxes</v>
      </c>
      <c r="F853" s="14" t="str">
        <f>_xlfn.XLOOKUP($D853,'Chart of Accounts'!$A:$A,'Chart of Accounts'!C:C,"")</f>
        <v>Expense</v>
      </c>
      <c r="G853" s="14" t="s">
        <v>365</v>
      </c>
      <c r="H853" s="16">
        <v>1136.46115384615</v>
      </c>
      <c r="I853" s="16"/>
      <c r="J853" s="16">
        <v>1136.46115384615</v>
      </c>
      <c r="K853" s="14" t="s">
        <v>225</v>
      </c>
    </row>
    <row r="854" spans="1:11" ht="15" customHeight="1">
      <c r="A854" s="13">
        <v>46054</v>
      </c>
      <c r="B854" s="14" t="s">
        <v>393</v>
      </c>
      <c r="C854" s="19" t="s">
        <v>18</v>
      </c>
      <c r="D854" s="14" t="s">
        <v>29</v>
      </c>
      <c r="E854" s="14" t="str">
        <f>_xlfn.XLOOKUP($D854,'Chart of Accounts'!$A:$A,'Chart of Accounts'!B:B,"")</f>
        <v>Payroll Taxes</v>
      </c>
      <c r="F854" s="14" t="str">
        <f>_xlfn.XLOOKUP($D854,'Chart of Accounts'!$A:$A,'Chart of Accounts'!C:C,"")</f>
        <v>Expense</v>
      </c>
      <c r="G854" s="14" t="s">
        <v>365</v>
      </c>
      <c r="H854" s="16">
        <v>1515.2815384615401</v>
      </c>
      <c r="I854" s="16"/>
      <c r="J854" s="16">
        <v>1515.2815384615401</v>
      </c>
      <c r="K854" s="14" t="s">
        <v>225</v>
      </c>
    </row>
    <row r="855" spans="1:11" ht="15" customHeight="1">
      <c r="A855" s="13">
        <v>46054</v>
      </c>
      <c r="B855" s="14" t="s">
        <v>393</v>
      </c>
      <c r="C855" s="19" t="s">
        <v>20</v>
      </c>
      <c r="D855" s="14" t="s">
        <v>29</v>
      </c>
      <c r="E855" s="14" t="str">
        <f>_xlfn.XLOOKUP($D855,'Chart of Accounts'!$A:$A,'Chart of Accounts'!B:B,"")</f>
        <v>Payroll Taxes</v>
      </c>
      <c r="F855" s="14" t="str">
        <f>_xlfn.XLOOKUP($D855,'Chart of Accounts'!$A:$A,'Chart of Accounts'!C:C,"")</f>
        <v>Expense</v>
      </c>
      <c r="G855" s="14" t="s">
        <v>365</v>
      </c>
      <c r="H855" s="16">
        <v>1515.2815384615401</v>
      </c>
      <c r="I855" s="16"/>
      <c r="J855" s="16">
        <v>1515.2815384615401</v>
      </c>
      <c r="K855" s="14" t="s">
        <v>225</v>
      </c>
    </row>
    <row r="856" spans="1:11" ht="15" customHeight="1">
      <c r="A856" s="13">
        <v>46023</v>
      </c>
      <c r="B856" s="14" t="s">
        <v>394</v>
      </c>
      <c r="C856" s="19" t="s">
        <v>4</v>
      </c>
      <c r="D856" s="14" t="s">
        <v>29</v>
      </c>
      <c r="E856" s="14" t="str">
        <f>_xlfn.XLOOKUP($D856,'Chart of Accounts'!$A:$A,'Chart of Accounts'!B:B,"")</f>
        <v>Payroll Taxes</v>
      </c>
      <c r="F856" s="14" t="str">
        <f>_xlfn.XLOOKUP($D856,'Chart of Accounts'!$A:$A,'Chart of Accounts'!C:C,"")</f>
        <v>Expense</v>
      </c>
      <c r="G856" s="14" t="s">
        <v>365</v>
      </c>
      <c r="H856" s="16">
        <v>576.30600000000004</v>
      </c>
      <c r="I856" s="16"/>
      <c r="J856" s="16">
        <v>576.30600000000004</v>
      </c>
      <c r="K856" s="14" t="s">
        <v>225</v>
      </c>
    </row>
    <row r="857" spans="1:11" ht="15" customHeight="1">
      <c r="A857" s="13">
        <v>46023</v>
      </c>
      <c r="B857" s="14" t="s">
        <v>394</v>
      </c>
      <c r="C857" s="19" t="s">
        <v>6</v>
      </c>
      <c r="D857" s="14" t="s">
        <v>29</v>
      </c>
      <c r="E857" s="14" t="str">
        <f>_xlfn.XLOOKUP($D857,'Chart of Accounts'!$A:$A,'Chart of Accounts'!B:B,"")</f>
        <v>Payroll Taxes</v>
      </c>
      <c r="F857" s="14" t="str">
        <f>_xlfn.XLOOKUP($D857,'Chart of Accounts'!$A:$A,'Chart of Accounts'!C:C,"")</f>
        <v>Expense</v>
      </c>
      <c r="G857" s="14" t="s">
        <v>365</v>
      </c>
      <c r="H857" s="16">
        <v>768.40800000000002</v>
      </c>
      <c r="I857" s="16"/>
      <c r="J857" s="16">
        <v>768.40800000000002</v>
      </c>
      <c r="K857" s="14" t="s">
        <v>225</v>
      </c>
    </row>
    <row r="858" spans="1:11" ht="15" customHeight="1">
      <c r="A858" s="13">
        <v>46023</v>
      </c>
      <c r="B858" s="14" t="s">
        <v>394</v>
      </c>
      <c r="C858" s="19" t="s">
        <v>8</v>
      </c>
      <c r="D858" s="14" t="s">
        <v>29</v>
      </c>
      <c r="E858" s="14" t="str">
        <f>_xlfn.XLOOKUP($D858,'Chart of Accounts'!$A:$A,'Chart of Accounts'!B:B,"")</f>
        <v>Payroll Taxes</v>
      </c>
      <c r="F858" s="14" t="str">
        <f>_xlfn.XLOOKUP($D858,'Chart of Accounts'!$A:$A,'Chart of Accounts'!C:C,"")</f>
        <v>Expense</v>
      </c>
      <c r="G858" s="14" t="s">
        <v>365</v>
      </c>
      <c r="H858" s="16">
        <v>768.40800000000002</v>
      </c>
      <c r="I858" s="16"/>
      <c r="J858" s="16">
        <v>768.40800000000002</v>
      </c>
      <c r="K858" s="14" t="s">
        <v>225</v>
      </c>
    </row>
    <row r="859" spans="1:11" ht="15" customHeight="1">
      <c r="A859" s="13">
        <v>46023</v>
      </c>
      <c r="B859" s="14" t="s">
        <v>394</v>
      </c>
      <c r="C859" s="19" t="s">
        <v>10</v>
      </c>
      <c r="D859" s="14" t="s">
        <v>29</v>
      </c>
      <c r="E859" s="14" t="str">
        <f>_xlfn.XLOOKUP($D859,'Chart of Accounts'!$A:$A,'Chart of Accounts'!B:B,"")</f>
        <v>Payroll Taxes</v>
      </c>
      <c r="F859" s="14" t="str">
        <f>_xlfn.XLOOKUP($D859,'Chart of Accounts'!$A:$A,'Chart of Accounts'!C:C,"")</f>
        <v>Expense</v>
      </c>
      <c r="G859" s="14" t="s">
        <v>365</v>
      </c>
      <c r="H859" s="16">
        <v>768.40800000000002</v>
      </c>
      <c r="I859" s="16"/>
      <c r="J859" s="16">
        <v>768.40800000000002</v>
      </c>
      <c r="K859" s="14" t="s">
        <v>225</v>
      </c>
    </row>
    <row r="860" spans="1:11" ht="15" customHeight="1">
      <c r="A860" s="13">
        <v>46023</v>
      </c>
      <c r="B860" s="14" t="s">
        <v>394</v>
      </c>
      <c r="C860" s="19" t="s">
        <v>12</v>
      </c>
      <c r="D860" s="14" t="s">
        <v>29</v>
      </c>
      <c r="E860" s="14" t="str">
        <f>_xlfn.XLOOKUP($D860,'Chart of Accounts'!$A:$A,'Chart of Accounts'!B:B,"")</f>
        <v>Payroll Taxes</v>
      </c>
      <c r="F860" s="14" t="str">
        <f>_xlfn.XLOOKUP($D860,'Chart of Accounts'!$A:$A,'Chart of Accounts'!C:C,"")</f>
        <v>Expense</v>
      </c>
      <c r="G860" s="14" t="s">
        <v>365</v>
      </c>
      <c r="H860" s="16">
        <v>1344.7139999999999</v>
      </c>
      <c r="I860" s="16"/>
      <c r="J860" s="16">
        <v>1344.7139999999999</v>
      </c>
      <c r="K860" s="14" t="s">
        <v>225</v>
      </c>
    </row>
    <row r="861" spans="1:11" ht="15" customHeight="1">
      <c r="A861" s="13">
        <v>46023</v>
      </c>
      <c r="B861" s="14" t="s">
        <v>394</v>
      </c>
      <c r="C861" s="19" t="s">
        <v>14</v>
      </c>
      <c r="D861" s="14" t="s">
        <v>29</v>
      </c>
      <c r="E861" s="14" t="str">
        <f>_xlfn.XLOOKUP($D861,'Chart of Accounts'!$A:$A,'Chart of Accounts'!B:B,"")</f>
        <v>Payroll Taxes</v>
      </c>
      <c r="F861" s="14" t="str">
        <f>_xlfn.XLOOKUP($D861,'Chart of Accounts'!$A:$A,'Chart of Accounts'!C:C,"")</f>
        <v>Expense</v>
      </c>
      <c r="G861" s="14" t="s">
        <v>365</v>
      </c>
      <c r="H861" s="16">
        <v>1536.816</v>
      </c>
      <c r="I861" s="16"/>
      <c r="J861" s="16">
        <v>1536.816</v>
      </c>
      <c r="K861" s="14" t="s">
        <v>225</v>
      </c>
    </row>
    <row r="862" spans="1:11" ht="15" customHeight="1">
      <c r="A862" s="13">
        <v>46023</v>
      </c>
      <c r="B862" s="14" t="s">
        <v>394</v>
      </c>
      <c r="C862" s="19" t="s">
        <v>16</v>
      </c>
      <c r="D862" s="14" t="s">
        <v>29</v>
      </c>
      <c r="E862" s="14" t="str">
        <f>_xlfn.XLOOKUP($D862,'Chart of Accounts'!$A:$A,'Chart of Accounts'!B:B,"")</f>
        <v>Payroll Taxes</v>
      </c>
      <c r="F862" s="14" t="str">
        <f>_xlfn.XLOOKUP($D862,'Chart of Accounts'!$A:$A,'Chart of Accounts'!C:C,"")</f>
        <v>Expense</v>
      </c>
      <c r="G862" s="14" t="s">
        <v>365</v>
      </c>
      <c r="H862" s="16">
        <v>1152.6120000000001</v>
      </c>
      <c r="I862" s="16"/>
      <c r="J862" s="16">
        <v>1152.6120000000001</v>
      </c>
      <c r="K862" s="14" t="s">
        <v>225</v>
      </c>
    </row>
    <row r="863" spans="1:11" ht="15" customHeight="1">
      <c r="A863" s="13">
        <v>46023</v>
      </c>
      <c r="B863" s="14" t="s">
        <v>394</v>
      </c>
      <c r="C863" s="19" t="s">
        <v>18</v>
      </c>
      <c r="D863" s="14" t="s">
        <v>29</v>
      </c>
      <c r="E863" s="14" t="str">
        <f>_xlfn.XLOOKUP($D863,'Chart of Accounts'!$A:$A,'Chart of Accounts'!B:B,"")</f>
        <v>Payroll Taxes</v>
      </c>
      <c r="F863" s="14" t="str">
        <f>_xlfn.XLOOKUP($D863,'Chart of Accounts'!$A:$A,'Chart of Accounts'!C:C,"")</f>
        <v>Expense</v>
      </c>
      <c r="G863" s="14" t="s">
        <v>365</v>
      </c>
      <c r="H863" s="16">
        <v>1152.6120000000001</v>
      </c>
      <c r="I863" s="16"/>
      <c r="J863" s="16">
        <v>1152.6120000000001</v>
      </c>
      <c r="K863" s="14" t="s">
        <v>225</v>
      </c>
    </row>
    <row r="864" spans="1:11" ht="15" customHeight="1">
      <c r="A864" s="13">
        <v>46023</v>
      </c>
      <c r="B864" s="14" t="s">
        <v>394</v>
      </c>
      <c r="C864" s="19" t="s">
        <v>20</v>
      </c>
      <c r="D864" s="14" t="s">
        <v>29</v>
      </c>
      <c r="E864" s="14" t="str">
        <f>_xlfn.XLOOKUP($D864,'Chart of Accounts'!$A:$A,'Chart of Accounts'!B:B,"")</f>
        <v>Payroll Taxes</v>
      </c>
      <c r="F864" s="14" t="str">
        <f>_xlfn.XLOOKUP($D864,'Chart of Accounts'!$A:$A,'Chart of Accounts'!C:C,"")</f>
        <v>Expense</v>
      </c>
      <c r="G864" s="14" t="s">
        <v>365</v>
      </c>
      <c r="H864" s="16">
        <v>1536.816</v>
      </c>
      <c r="I864" s="16"/>
      <c r="J864" s="16">
        <v>1536.816</v>
      </c>
      <c r="K864" s="14" t="s">
        <v>225</v>
      </c>
    </row>
    <row r="865" spans="1:11" ht="15" customHeight="1">
      <c r="A865" s="13">
        <v>45992</v>
      </c>
      <c r="B865" s="14" t="s">
        <v>395</v>
      </c>
      <c r="C865" s="19" t="s">
        <v>4</v>
      </c>
      <c r="D865" s="14" t="s">
        <v>29</v>
      </c>
      <c r="E865" s="14" t="str">
        <f>_xlfn.XLOOKUP($D865,'Chart of Accounts'!$A:$A,'Chart of Accounts'!B:B,"")</f>
        <v>Payroll Taxes</v>
      </c>
      <c r="F865" s="14" t="str">
        <f>_xlfn.XLOOKUP($D865,'Chart of Accounts'!$A:$A,'Chart of Accounts'!C:C,"")</f>
        <v>Expense</v>
      </c>
      <c r="G865" s="14" t="s">
        <v>365</v>
      </c>
      <c r="H865" s="16">
        <v>559.959807692308</v>
      </c>
      <c r="I865" s="16"/>
      <c r="J865" s="16">
        <v>559.959807692308</v>
      </c>
      <c r="K865" s="14" t="s">
        <v>225</v>
      </c>
    </row>
    <row r="866" spans="1:11" ht="15" customHeight="1">
      <c r="A866" s="13">
        <v>45992</v>
      </c>
      <c r="B866" s="14" t="s">
        <v>395</v>
      </c>
      <c r="C866" s="19" t="s">
        <v>6</v>
      </c>
      <c r="D866" s="14" t="s">
        <v>29</v>
      </c>
      <c r="E866" s="14" t="str">
        <f>_xlfn.XLOOKUP($D866,'Chart of Accounts'!$A:$A,'Chart of Accounts'!B:B,"")</f>
        <v>Payroll Taxes</v>
      </c>
      <c r="F866" s="14" t="str">
        <f>_xlfn.XLOOKUP($D866,'Chart of Accounts'!$A:$A,'Chart of Accounts'!C:C,"")</f>
        <v>Expense</v>
      </c>
      <c r="G866" s="14" t="s">
        <v>365</v>
      </c>
      <c r="H866" s="16">
        <v>746.61307692307696</v>
      </c>
      <c r="I866" s="16"/>
      <c r="J866" s="16">
        <v>746.61307692307696</v>
      </c>
      <c r="K866" s="14" t="s">
        <v>225</v>
      </c>
    </row>
    <row r="867" spans="1:11" ht="15" customHeight="1">
      <c r="A867" s="13">
        <v>45992</v>
      </c>
      <c r="B867" s="14" t="s">
        <v>395</v>
      </c>
      <c r="C867" s="19" t="s">
        <v>8</v>
      </c>
      <c r="D867" s="14" t="s">
        <v>29</v>
      </c>
      <c r="E867" s="14" t="str">
        <f>_xlfn.XLOOKUP($D867,'Chart of Accounts'!$A:$A,'Chart of Accounts'!B:B,"")</f>
        <v>Payroll Taxes</v>
      </c>
      <c r="F867" s="14" t="str">
        <f>_xlfn.XLOOKUP($D867,'Chart of Accounts'!$A:$A,'Chart of Accounts'!C:C,"")</f>
        <v>Expense</v>
      </c>
      <c r="G867" s="14" t="s">
        <v>365</v>
      </c>
      <c r="H867" s="16">
        <v>746.61307692307696</v>
      </c>
      <c r="I867" s="16"/>
      <c r="J867" s="16">
        <v>746.61307692307696</v>
      </c>
      <c r="K867" s="14" t="s">
        <v>225</v>
      </c>
    </row>
    <row r="868" spans="1:11" ht="15" customHeight="1">
      <c r="A868" s="13">
        <v>45992</v>
      </c>
      <c r="B868" s="14" t="s">
        <v>395</v>
      </c>
      <c r="C868" s="19" t="s">
        <v>10</v>
      </c>
      <c r="D868" s="14" t="s">
        <v>29</v>
      </c>
      <c r="E868" s="14" t="str">
        <f>_xlfn.XLOOKUP($D868,'Chart of Accounts'!$A:$A,'Chart of Accounts'!B:B,"")</f>
        <v>Payroll Taxes</v>
      </c>
      <c r="F868" s="14" t="str">
        <f>_xlfn.XLOOKUP($D868,'Chart of Accounts'!$A:$A,'Chart of Accounts'!C:C,"")</f>
        <v>Expense</v>
      </c>
      <c r="G868" s="14" t="s">
        <v>365</v>
      </c>
      <c r="H868" s="16">
        <v>746.61307692307696</v>
      </c>
      <c r="I868" s="16"/>
      <c r="J868" s="16">
        <v>746.61307692307696</v>
      </c>
      <c r="K868" s="14" t="s">
        <v>225</v>
      </c>
    </row>
    <row r="869" spans="1:11" ht="15" customHeight="1">
      <c r="A869" s="13">
        <v>45992</v>
      </c>
      <c r="B869" s="14" t="s">
        <v>395</v>
      </c>
      <c r="C869" s="19" t="s">
        <v>12</v>
      </c>
      <c r="D869" s="14" t="s">
        <v>29</v>
      </c>
      <c r="E869" s="14" t="str">
        <f>_xlfn.XLOOKUP($D869,'Chart of Accounts'!$A:$A,'Chart of Accounts'!B:B,"")</f>
        <v>Payroll Taxes</v>
      </c>
      <c r="F869" s="14" t="str">
        <f>_xlfn.XLOOKUP($D869,'Chart of Accounts'!$A:$A,'Chart of Accounts'!C:C,"")</f>
        <v>Expense</v>
      </c>
      <c r="G869" s="14" t="s">
        <v>365</v>
      </c>
      <c r="H869" s="16">
        <v>1306.57288461539</v>
      </c>
      <c r="I869" s="16"/>
      <c r="J869" s="16">
        <v>1306.57288461539</v>
      </c>
      <c r="K869" s="14" t="s">
        <v>225</v>
      </c>
    </row>
    <row r="870" spans="1:11" ht="15" customHeight="1">
      <c r="A870" s="13">
        <v>45992</v>
      </c>
      <c r="B870" s="14" t="s">
        <v>395</v>
      </c>
      <c r="C870" s="19" t="s">
        <v>14</v>
      </c>
      <c r="D870" s="14" t="s">
        <v>29</v>
      </c>
      <c r="E870" s="14" t="str">
        <f>_xlfn.XLOOKUP($D870,'Chart of Accounts'!$A:$A,'Chart of Accounts'!B:B,"")</f>
        <v>Payroll Taxes</v>
      </c>
      <c r="F870" s="14" t="str">
        <f>_xlfn.XLOOKUP($D870,'Chart of Accounts'!$A:$A,'Chart of Accounts'!C:C,"")</f>
        <v>Expense</v>
      </c>
      <c r="G870" s="14" t="s">
        <v>365</v>
      </c>
      <c r="H870" s="16">
        <v>1493.2261538461501</v>
      </c>
      <c r="I870" s="16"/>
      <c r="J870" s="16">
        <v>1493.2261538461501</v>
      </c>
      <c r="K870" s="14" t="s">
        <v>225</v>
      </c>
    </row>
    <row r="871" spans="1:11" ht="15" customHeight="1">
      <c r="A871" s="13">
        <v>45992</v>
      </c>
      <c r="B871" s="14" t="s">
        <v>395</v>
      </c>
      <c r="C871" s="19" t="s">
        <v>16</v>
      </c>
      <c r="D871" s="14" t="s">
        <v>29</v>
      </c>
      <c r="E871" s="14" t="str">
        <f>_xlfn.XLOOKUP($D871,'Chart of Accounts'!$A:$A,'Chart of Accounts'!B:B,"")</f>
        <v>Payroll Taxes</v>
      </c>
      <c r="F871" s="14" t="str">
        <f>_xlfn.XLOOKUP($D871,'Chart of Accounts'!$A:$A,'Chart of Accounts'!C:C,"")</f>
        <v>Expense</v>
      </c>
      <c r="G871" s="14" t="s">
        <v>365</v>
      </c>
      <c r="H871" s="16">
        <v>1119.9196153846201</v>
      </c>
      <c r="I871" s="16"/>
      <c r="J871" s="16">
        <v>1119.9196153846201</v>
      </c>
      <c r="K871" s="14" t="s">
        <v>225</v>
      </c>
    </row>
    <row r="872" spans="1:11" ht="15" customHeight="1">
      <c r="A872" s="13">
        <v>45992</v>
      </c>
      <c r="B872" s="14" t="s">
        <v>395</v>
      </c>
      <c r="C872" s="19" t="s">
        <v>18</v>
      </c>
      <c r="D872" s="14" t="s">
        <v>29</v>
      </c>
      <c r="E872" s="14" t="str">
        <f>_xlfn.XLOOKUP($D872,'Chart of Accounts'!$A:$A,'Chart of Accounts'!B:B,"")</f>
        <v>Payroll Taxes</v>
      </c>
      <c r="F872" s="14" t="str">
        <f>_xlfn.XLOOKUP($D872,'Chart of Accounts'!$A:$A,'Chart of Accounts'!C:C,"")</f>
        <v>Expense</v>
      </c>
      <c r="G872" s="14" t="s">
        <v>365</v>
      </c>
      <c r="H872" s="16">
        <v>1493.2261538461501</v>
      </c>
      <c r="I872" s="16"/>
      <c r="J872" s="16">
        <v>1493.2261538461501</v>
      </c>
      <c r="K872" s="14" t="s">
        <v>225</v>
      </c>
    </row>
    <row r="873" spans="1:11" ht="15" customHeight="1">
      <c r="A873" s="13">
        <v>45992</v>
      </c>
      <c r="B873" s="14" t="s">
        <v>395</v>
      </c>
      <c r="C873" s="19" t="s">
        <v>20</v>
      </c>
      <c r="D873" s="14" t="s">
        <v>29</v>
      </c>
      <c r="E873" s="14" t="str">
        <f>_xlfn.XLOOKUP($D873,'Chart of Accounts'!$A:$A,'Chart of Accounts'!B:B,"")</f>
        <v>Payroll Taxes</v>
      </c>
      <c r="F873" s="14" t="str">
        <f>_xlfn.XLOOKUP($D873,'Chart of Accounts'!$A:$A,'Chart of Accounts'!C:C,"")</f>
        <v>Expense</v>
      </c>
      <c r="G873" s="14" t="s">
        <v>365</v>
      </c>
      <c r="H873" s="16">
        <v>1493.2261538461501</v>
      </c>
      <c r="I873" s="16"/>
      <c r="J873" s="16">
        <v>1493.2261538461501</v>
      </c>
      <c r="K873" s="14" t="s">
        <v>225</v>
      </c>
    </row>
    <row r="874" spans="1:11" ht="15" customHeight="1">
      <c r="A874" s="13">
        <v>45962</v>
      </c>
      <c r="B874" s="14" t="s">
        <v>396</v>
      </c>
      <c r="C874" s="19" t="s">
        <v>4</v>
      </c>
      <c r="D874" s="14" t="s">
        <v>29</v>
      </c>
      <c r="E874" s="14" t="str">
        <f>_xlfn.XLOOKUP($D874,'Chart of Accounts'!$A:$A,'Chart of Accounts'!B:B,"")</f>
        <v>Payroll Taxes</v>
      </c>
      <c r="F874" s="14" t="str">
        <f>_xlfn.XLOOKUP($D874,'Chart of Accounts'!$A:$A,'Chart of Accounts'!C:C,"")</f>
        <v>Expense</v>
      </c>
      <c r="G874" s="14" t="s">
        <v>365</v>
      </c>
      <c r="H874" s="16">
        <v>550.45846153846196</v>
      </c>
      <c r="I874" s="16"/>
      <c r="J874" s="16">
        <v>550.45846153846196</v>
      </c>
      <c r="K874" s="14" t="s">
        <v>225</v>
      </c>
    </row>
    <row r="875" spans="1:11" ht="15" customHeight="1">
      <c r="A875" s="13">
        <v>45962</v>
      </c>
      <c r="B875" s="14" t="s">
        <v>396</v>
      </c>
      <c r="C875" s="19" t="s">
        <v>6</v>
      </c>
      <c r="D875" s="14" t="s">
        <v>29</v>
      </c>
      <c r="E875" s="14" t="str">
        <f>_xlfn.XLOOKUP($D875,'Chart of Accounts'!$A:$A,'Chart of Accounts'!B:B,"")</f>
        <v>Payroll Taxes</v>
      </c>
      <c r="F875" s="14" t="str">
        <f>_xlfn.XLOOKUP($D875,'Chart of Accounts'!$A:$A,'Chart of Accounts'!C:C,"")</f>
        <v>Expense</v>
      </c>
      <c r="G875" s="14" t="s">
        <v>365</v>
      </c>
      <c r="H875" s="16">
        <v>733.94461538461496</v>
      </c>
      <c r="I875" s="16"/>
      <c r="J875" s="16">
        <v>733.94461538461496</v>
      </c>
      <c r="K875" s="14" t="s">
        <v>225</v>
      </c>
    </row>
    <row r="876" spans="1:11" ht="15" customHeight="1">
      <c r="A876" s="13">
        <v>45962</v>
      </c>
      <c r="B876" s="14" t="s">
        <v>396</v>
      </c>
      <c r="C876" s="19" t="s">
        <v>8</v>
      </c>
      <c r="D876" s="14" t="s">
        <v>29</v>
      </c>
      <c r="E876" s="14" t="str">
        <f>_xlfn.XLOOKUP($D876,'Chart of Accounts'!$A:$A,'Chart of Accounts'!B:B,"")</f>
        <v>Payroll Taxes</v>
      </c>
      <c r="F876" s="14" t="str">
        <f>_xlfn.XLOOKUP($D876,'Chart of Accounts'!$A:$A,'Chart of Accounts'!C:C,"")</f>
        <v>Expense</v>
      </c>
      <c r="G876" s="14" t="s">
        <v>365</v>
      </c>
      <c r="H876" s="16">
        <v>733.94461538461496</v>
      </c>
      <c r="I876" s="16"/>
      <c r="J876" s="16">
        <v>733.94461538461496</v>
      </c>
      <c r="K876" s="14" t="s">
        <v>225</v>
      </c>
    </row>
    <row r="877" spans="1:11" ht="15" customHeight="1">
      <c r="A877" s="13">
        <v>45962</v>
      </c>
      <c r="B877" s="14" t="s">
        <v>396</v>
      </c>
      <c r="C877" s="19" t="s">
        <v>10</v>
      </c>
      <c r="D877" s="14" t="s">
        <v>29</v>
      </c>
      <c r="E877" s="14" t="str">
        <f>_xlfn.XLOOKUP($D877,'Chart of Accounts'!$A:$A,'Chart of Accounts'!B:B,"")</f>
        <v>Payroll Taxes</v>
      </c>
      <c r="F877" s="14" t="str">
        <f>_xlfn.XLOOKUP($D877,'Chart of Accounts'!$A:$A,'Chart of Accounts'!C:C,"")</f>
        <v>Expense</v>
      </c>
      <c r="G877" s="14" t="s">
        <v>365</v>
      </c>
      <c r="H877" s="16">
        <v>733.94461538461496</v>
      </c>
      <c r="I877" s="16"/>
      <c r="J877" s="16">
        <v>733.94461538461496</v>
      </c>
      <c r="K877" s="14" t="s">
        <v>225</v>
      </c>
    </row>
    <row r="878" spans="1:11" ht="15" customHeight="1">
      <c r="A878" s="13">
        <v>45962</v>
      </c>
      <c r="B878" s="14" t="s">
        <v>396</v>
      </c>
      <c r="C878" s="19" t="s">
        <v>12</v>
      </c>
      <c r="D878" s="14" t="s">
        <v>29</v>
      </c>
      <c r="E878" s="14" t="str">
        <f>_xlfn.XLOOKUP($D878,'Chart of Accounts'!$A:$A,'Chart of Accounts'!B:B,"")</f>
        <v>Payroll Taxes</v>
      </c>
      <c r="F878" s="14" t="str">
        <f>_xlfn.XLOOKUP($D878,'Chart of Accounts'!$A:$A,'Chart of Accounts'!C:C,"")</f>
        <v>Expense</v>
      </c>
      <c r="G878" s="14" t="s">
        <v>365</v>
      </c>
      <c r="H878" s="16">
        <v>1284.4030769230801</v>
      </c>
      <c r="I878" s="16"/>
      <c r="J878" s="16">
        <v>1284.4030769230801</v>
      </c>
      <c r="K878" s="14" t="s">
        <v>225</v>
      </c>
    </row>
    <row r="879" spans="1:11" ht="15" customHeight="1">
      <c r="A879" s="13">
        <v>45962</v>
      </c>
      <c r="B879" s="14" t="s">
        <v>396</v>
      </c>
      <c r="C879" s="19" t="s">
        <v>14</v>
      </c>
      <c r="D879" s="14" t="s">
        <v>29</v>
      </c>
      <c r="E879" s="14" t="str">
        <f>_xlfn.XLOOKUP($D879,'Chart of Accounts'!$A:$A,'Chart of Accounts'!B:B,"")</f>
        <v>Payroll Taxes</v>
      </c>
      <c r="F879" s="14" t="str">
        <f>_xlfn.XLOOKUP($D879,'Chart of Accounts'!$A:$A,'Chart of Accounts'!C:C,"")</f>
        <v>Expense</v>
      </c>
      <c r="G879" s="14" t="s">
        <v>365</v>
      </c>
      <c r="H879" s="16">
        <v>1467.8892307692299</v>
      </c>
      <c r="I879" s="16"/>
      <c r="J879" s="16">
        <v>1467.8892307692299</v>
      </c>
      <c r="K879" s="14" t="s">
        <v>225</v>
      </c>
    </row>
    <row r="880" spans="1:11" ht="15" customHeight="1">
      <c r="A880" s="13">
        <v>45962</v>
      </c>
      <c r="B880" s="14" t="s">
        <v>396</v>
      </c>
      <c r="C880" s="19" t="s">
        <v>16</v>
      </c>
      <c r="D880" s="14" t="s">
        <v>29</v>
      </c>
      <c r="E880" s="14" t="str">
        <f>_xlfn.XLOOKUP($D880,'Chart of Accounts'!$A:$A,'Chart of Accounts'!B:B,"")</f>
        <v>Payroll Taxes</v>
      </c>
      <c r="F880" s="14" t="str">
        <f>_xlfn.XLOOKUP($D880,'Chart of Accounts'!$A:$A,'Chart of Accounts'!C:C,"")</f>
        <v>Expense</v>
      </c>
      <c r="G880" s="14" t="s">
        <v>365</v>
      </c>
      <c r="H880" s="16">
        <v>1100.9169230769201</v>
      </c>
      <c r="I880" s="16"/>
      <c r="J880" s="16">
        <v>1100.9169230769201</v>
      </c>
      <c r="K880" s="14" t="s">
        <v>225</v>
      </c>
    </row>
    <row r="881" spans="1:11" ht="15" customHeight="1">
      <c r="A881" s="13">
        <v>45962</v>
      </c>
      <c r="B881" s="14" t="s">
        <v>396</v>
      </c>
      <c r="C881" s="19" t="s">
        <v>18</v>
      </c>
      <c r="D881" s="14" t="s">
        <v>29</v>
      </c>
      <c r="E881" s="14" t="str">
        <f>_xlfn.XLOOKUP($D881,'Chart of Accounts'!$A:$A,'Chart of Accounts'!B:B,"")</f>
        <v>Payroll Taxes</v>
      </c>
      <c r="F881" s="14" t="str">
        <f>_xlfn.XLOOKUP($D881,'Chart of Accounts'!$A:$A,'Chart of Accounts'!C:C,"")</f>
        <v>Expense</v>
      </c>
      <c r="G881" s="14" t="s">
        <v>365</v>
      </c>
      <c r="H881" s="16">
        <v>1467.8892307692299</v>
      </c>
      <c r="I881" s="16"/>
      <c r="J881" s="16">
        <v>1467.8892307692299</v>
      </c>
      <c r="K881" s="14" t="s">
        <v>225</v>
      </c>
    </row>
    <row r="882" spans="1:11" ht="15" customHeight="1">
      <c r="A882" s="13">
        <v>45962</v>
      </c>
      <c r="B882" s="14" t="s">
        <v>396</v>
      </c>
      <c r="C882" s="19" t="s">
        <v>20</v>
      </c>
      <c r="D882" s="14" t="s">
        <v>29</v>
      </c>
      <c r="E882" s="14" t="str">
        <f>_xlfn.XLOOKUP($D882,'Chart of Accounts'!$A:$A,'Chart of Accounts'!B:B,"")</f>
        <v>Payroll Taxes</v>
      </c>
      <c r="F882" s="14" t="str">
        <f>_xlfn.XLOOKUP($D882,'Chart of Accounts'!$A:$A,'Chart of Accounts'!C:C,"")</f>
        <v>Expense</v>
      </c>
      <c r="G882" s="14" t="s">
        <v>365</v>
      </c>
      <c r="H882" s="16">
        <v>1467.8892307692299</v>
      </c>
      <c r="I882" s="16"/>
      <c r="J882" s="16">
        <v>1467.8892307692299</v>
      </c>
      <c r="K882" s="14" t="s">
        <v>225</v>
      </c>
    </row>
    <row r="883" spans="1:11" ht="15" customHeight="1">
      <c r="A883" s="13">
        <v>45931</v>
      </c>
      <c r="B883" s="14" t="s">
        <v>397</v>
      </c>
      <c r="C883" s="19" t="s">
        <v>4</v>
      </c>
      <c r="D883" s="14" t="s">
        <v>29</v>
      </c>
      <c r="E883" s="14" t="str">
        <f>_xlfn.XLOOKUP($D883,'Chart of Accounts'!$A:$A,'Chart of Accounts'!B:B,"")</f>
        <v>Payroll Taxes</v>
      </c>
      <c r="F883" s="14" t="str">
        <f>_xlfn.XLOOKUP($D883,'Chart of Accounts'!$A:$A,'Chart of Accounts'!C:C,"")</f>
        <v>Expense</v>
      </c>
      <c r="G883" s="14" t="s">
        <v>365</v>
      </c>
      <c r="H883" s="16">
        <v>592.57740000000001</v>
      </c>
      <c r="I883" s="16"/>
      <c r="J883" s="16">
        <v>592.57740000000001</v>
      </c>
      <c r="K883" s="14" t="s">
        <v>225</v>
      </c>
    </row>
    <row r="884" spans="1:11" ht="15" customHeight="1">
      <c r="A884" s="13">
        <v>45931</v>
      </c>
      <c r="B884" s="14" t="s">
        <v>397</v>
      </c>
      <c r="C884" s="19" t="s">
        <v>6</v>
      </c>
      <c r="D884" s="14" t="s">
        <v>29</v>
      </c>
      <c r="E884" s="14" t="str">
        <f>_xlfn.XLOOKUP($D884,'Chart of Accounts'!$A:$A,'Chart of Accounts'!B:B,"")</f>
        <v>Payroll Taxes</v>
      </c>
      <c r="F884" s="14" t="str">
        <f>_xlfn.XLOOKUP($D884,'Chart of Accounts'!$A:$A,'Chart of Accounts'!C:C,"")</f>
        <v>Expense</v>
      </c>
      <c r="G884" s="14" t="s">
        <v>365</v>
      </c>
      <c r="H884" s="16">
        <v>790.10320000000002</v>
      </c>
      <c r="I884" s="16"/>
      <c r="J884" s="16">
        <v>790.10320000000002</v>
      </c>
      <c r="K884" s="14" t="s">
        <v>225</v>
      </c>
    </row>
    <row r="885" spans="1:11" ht="15" customHeight="1">
      <c r="A885" s="13">
        <v>45931</v>
      </c>
      <c r="B885" s="14" t="s">
        <v>397</v>
      </c>
      <c r="C885" s="19" t="s">
        <v>8</v>
      </c>
      <c r="D885" s="14" t="s">
        <v>29</v>
      </c>
      <c r="E885" s="14" t="str">
        <f>_xlfn.XLOOKUP($D885,'Chart of Accounts'!$A:$A,'Chart of Accounts'!B:B,"")</f>
        <v>Payroll Taxes</v>
      </c>
      <c r="F885" s="14" t="str">
        <f>_xlfn.XLOOKUP($D885,'Chart of Accounts'!$A:$A,'Chart of Accounts'!C:C,"")</f>
        <v>Expense</v>
      </c>
      <c r="G885" s="14" t="s">
        <v>365</v>
      </c>
      <c r="H885" s="16">
        <v>790.10320000000002</v>
      </c>
      <c r="I885" s="16"/>
      <c r="J885" s="16">
        <v>790.10320000000002</v>
      </c>
      <c r="K885" s="14" t="s">
        <v>225</v>
      </c>
    </row>
    <row r="886" spans="1:11" ht="15" customHeight="1">
      <c r="A886" s="13">
        <v>45931</v>
      </c>
      <c r="B886" s="14" t="s">
        <v>397</v>
      </c>
      <c r="C886" s="19" t="s">
        <v>10</v>
      </c>
      <c r="D886" s="14" t="s">
        <v>29</v>
      </c>
      <c r="E886" s="14" t="str">
        <f>_xlfn.XLOOKUP($D886,'Chart of Accounts'!$A:$A,'Chart of Accounts'!B:B,"")</f>
        <v>Payroll Taxes</v>
      </c>
      <c r="F886" s="14" t="str">
        <f>_xlfn.XLOOKUP($D886,'Chart of Accounts'!$A:$A,'Chart of Accounts'!C:C,"")</f>
        <v>Expense</v>
      </c>
      <c r="G886" s="14" t="s">
        <v>365</v>
      </c>
      <c r="H886" s="16">
        <v>790.10320000000002</v>
      </c>
      <c r="I886" s="16"/>
      <c r="J886" s="16">
        <v>790.10320000000002</v>
      </c>
      <c r="K886" s="14" t="s">
        <v>225</v>
      </c>
    </row>
    <row r="887" spans="1:11" ht="15" customHeight="1">
      <c r="A887" s="13">
        <v>45931</v>
      </c>
      <c r="B887" s="14" t="s">
        <v>397</v>
      </c>
      <c r="C887" s="19" t="s">
        <v>12</v>
      </c>
      <c r="D887" s="14" t="s">
        <v>29</v>
      </c>
      <c r="E887" s="14" t="str">
        <f>_xlfn.XLOOKUP($D887,'Chart of Accounts'!$A:$A,'Chart of Accounts'!B:B,"")</f>
        <v>Payroll Taxes</v>
      </c>
      <c r="F887" s="14" t="str">
        <f>_xlfn.XLOOKUP($D887,'Chart of Accounts'!$A:$A,'Chart of Accounts'!C:C,"")</f>
        <v>Expense</v>
      </c>
      <c r="G887" s="14" t="s">
        <v>365</v>
      </c>
      <c r="H887" s="16">
        <v>987.62900000000002</v>
      </c>
      <c r="I887" s="16"/>
      <c r="J887" s="16">
        <v>987.62900000000002</v>
      </c>
      <c r="K887" s="14" t="s">
        <v>225</v>
      </c>
    </row>
    <row r="888" spans="1:11" ht="15" customHeight="1">
      <c r="A888" s="13">
        <v>45931</v>
      </c>
      <c r="B888" s="14" t="s">
        <v>397</v>
      </c>
      <c r="C888" s="19" t="s">
        <v>14</v>
      </c>
      <c r="D888" s="14" t="s">
        <v>29</v>
      </c>
      <c r="E888" s="14" t="str">
        <f>_xlfn.XLOOKUP($D888,'Chart of Accounts'!$A:$A,'Chart of Accounts'!B:B,"")</f>
        <v>Payroll Taxes</v>
      </c>
      <c r="F888" s="14" t="str">
        <f>_xlfn.XLOOKUP($D888,'Chart of Accounts'!$A:$A,'Chart of Accounts'!C:C,"")</f>
        <v>Expense</v>
      </c>
      <c r="G888" s="14" t="s">
        <v>365</v>
      </c>
      <c r="H888" s="16">
        <v>1580.2064</v>
      </c>
      <c r="I888" s="16"/>
      <c r="J888" s="16">
        <v>1580.2064</v>
      </c>
      <c r="K888" s="14" t="s">
        <v>225</v>
      </c>
    </row>
    <row r="889" spans="1:11" ht="15" customHeight="1">
      <c r="A889" s="13">
        <v>45931</v>
      </c>
      <c r="B889" s="14" t="s">
        <v>397</v>
      </c>
      <c r="C889" s="19" t="s">
        <v>16</v>
      </c>
      <c r="D889" s="14" t="s">
        <v>29</v>
      </c>
      <c r="E889" s="14" t="str">
        <f>_xlfn.XLOOKUP($D889,'Chart of Accounts'!$A:$A,'Chart of Accounts'!B:B,"")</f>
        <v>Payroll Taxes</v>
      </c>
      <c r="F889" s="14" t="str">
        <f>_xlfn.XLOOKUP($D889,'Chart of Accounts'!$A:$A,'Chart of Accounts'!C:C,"")</f>
        <v>Expense</v>
      </c>
      <c r="G889" s="14" t="s">
        <v>365</v>
      </c>
      <c r="H889" s="16">
        <v>1185.1548</v>
      </c>
      <c r="I889" s="16"/>
      <c r="J889" s="16">
        <v>1185.1548</v>
      </c>
      <c r="K889" s="14" t="s">
        <v>225</v>
      </c>
    </row>
    <row r="890" spans="1:11" ht="15" customHeight="1">
      <c r="A890" s="13">
        <v>45931</v>
      </c>
      <c r="B890" s="14" t="s">
        <v>397</v>
      </c>
      <c r="C890" s="19" t="s">
        <v>18</v>
      </c>
      <c r="D890" s="14" t="s">
        <v>29</v>
      </c>
      <c r="E890" s="14" t="str">
        <f>_xlfn.XLOOKUP($D890,'Chart of Accounts'!$A:$A,'Chart of Accounts'!B:B,"")</f>
        <v>Payroll Taxes</v>
      </c>
      <c r="F890" s="14" t="str">
        <f>_xlfn.XLOOKUP($D890,'Chart of Accounts'!$A:$A,'Chart of Accounts'!C:C,"")</f>
        <v>Expense</v>
      </c>
      <c r="G890" s="14" t="s">
        <v>365</v>
      </c>
      <c r="H890" s="16">
        <v>1580.2064</v>
      </c>
      <c r="I890" s="16"/>
      <c r="J890" s="16">
        <v>1580.2064</v>
      </c>
      <c r="K890" s="14" t="s">
        <v>225</v>
      </c>
    </row>
    <row r="891" spans="1:11" ht="15" customHeight="1">
      <c r="A891" s="13">
        <v>45931</v>
      </c>
      <c r="B891" s="14" t="s">
        <v>397</v>
      </c>
      <c r="C891" s="19" t="s">
        <v>20</v>
      </c>
      <c r="D891" s="14" t="s">
        <v>29</v>
      </c>
      <c r="E891" s="14" t="str">
        <f>_xlfn.XLOOKUP($D891,'Chart of Accounts'!$A:$A,'Chart of Accounts'!B:B,"")</f>
        <v>Payroll Taxes</v>
      </c>
      <c r="F891" s="14" t="str">
        <f>_xlfn.XLOOKUP($D891,'Chart of Accounts'!$A:$A,'Chart of Accounts'!C:C,"")</f>
        <v>Expense</v>
      </c>
      <c r="G891" s="14" t="s">
        <v>365</v>
      </c>
      <c r="H891" s="16">
        <v>1580.2064</v>
      </c>
      <c r="I891" s="16"/>
      <c r="J891" s="16">
        <v>1580.2064</v>
      </c>
      <c r="K891" s="14" t="s">
        <v>225</v>
      </c>
    </row>
    <row r="892" spans="1:11" ht="15" customHeight="1">
      <c r="A892" s="13">
        <v>45901</v>
      </c>
      <c r="B892" s="14" t="s">
        <v>398</v>
      </c>
      <c r="C892" s="19" t="s">
        <v>4</v>
      </c>
      <c r="D892" s="14" t="s">
        <v>29</v>
      </c>
      <c r="E892" s="14" t="str">
        <f>_xlfn.XLOOKUP($D892,'Chart of Accounts'!$A:$A,'Chart of Accounts'!B:B,"")</f>
        <v>Payroll Taxes</v>
      </c>
      <c r="F892" s="14" t="str">
        <f>_xlfn.XLOOKUP($D892,'Chart of Accounts'!$A:$A,'Chart of Accounts'!C:C,"")</f>
        <v>Expense</v>
      </c>
      <c r="G892" s="14" t="s">
        <v>365</v>
      </c>
      <c r="H892" s="16">
        <v>587.68679999999995</v>
      </c>
      <c r="I892" s="16"/>
      <c r="J892" s="16">
        <v>587.68679999999995</v>
      </c>
      <c r="K892" s="14" t="s">
        <v>225</v>
      </c>
    </row>
    <row r="893" spans="1:11" ht="15" customHeight="1">
      <c r="A893" s="13">
        <v>45901</v>
      </c>
      <c r="B893" s="14" t="s">
        <v>398</v>
      </c>
      <c r="C893" s="19" t="s">
        <v>6</v>
      </c>
      <c r="D893" s="14" t="s">
        <v>29</v>
      </c>
      <c r="E893" s="14" t="str">
        <f>_xlfn.XLOOKUP($D893,'Chart of Accounts'!$A:$A,'Chart of Accounts'!B:B,"")</f>
        <v>Payroll Taxes</v>
      </c>
      <c r="F893" s="14" t="str">
        <f>_xlfn.XLOOKUP($D893,'Chart of Accounts'!$A:$A,'Chart of Accounts'!C:C,"")</f>
        <v>Expense</v>
      </c>
      <c r="G893" s="14" t="s">
        <v>365</v>
      </c>
      <c r="H893" s="16">
        <v>783.58240000000001</v>
      </c>
      <c r="I893" s="16"/>
      <c r="J893" s="16">
        <v>783.58240000000001</v>
      </c>
      <c r="K893" s="14" t="s">
        <v>225</v>
      </c>
    </row>
    <row r="894" spans="1:11" ht="15" customHeight="1">
      <c r="A894" s="13">
        <v>45901</v>
      </c>
      <c r="B894" s="14" t="s">
        <v>398</v>
      </c>
      <c r="C894" s="19" t="s">
        <v>8</v>
      </c>
      <c r="D894" s="14" t="s">
        <v>29</v>
      </c>
      <c r="E894" s="14" t="str">
        <f>_xlfn.XLOOKUP($D894,'Chart of Accounts'!$A:$A,'Chart of Accounts'!B:B,"")</f>
        <v>Payroll Taxes</v>
      </c>
      <c r="F894" s="14" t="str">
        <f>_xlfn.XLOOKUP($D894,'Chart of Accounts'!$A:$A,'Chart of Accounts'!C:C,"")</f>
        <v>Expense</v>
      </c>
      <c r="G894" s="14" t="s">
        <v>365</v>
      </c>
      <c r="H894" s="16">
        <v>783.58240000000001</v>
      </c>
      <c r="I894" s="16"/>
      <c r="J894" s="16">
        <v>783.58240000000001</v>
      </c>
      <c r="K894" s="14" t="s">
        <v>225</v>
      </c>
    </row>
    <row r="895" spans="1:11" ht="15" customHeight="1">
      <c r="A895" s="13">
        <v>45901</v>
      </c>
      <c r="B895" s="14" t="s">
        <v>398</v>
      </c>
      <c r="C895" s="19" t="s">
        <v>10</v>
      </c>
      <c r="D895" s="14" t="s">
        <v>29</v>
      </c>
      <c r="E895" s="14" t="str">
        <f>_xlfn.XLOOKUP($D895,'Chart of Accounts'!$A:$A,'Chart of Accounts'!B:B,"")</f>
        <v>Payroll Taxes</v>
      </c>
      <c r="F895" s="14" t="str">
        <f>_xlfn.XLOOKUP($D895,'Chart of Accounts'!$A:$A,'Chart of Accounts'!C:C,"")</f>
        <v>Expense</v>
      </c>
      <c r="G895" s="14" t="s">
        <v>365</v>
      </c>
      <c r="H895" s="16">
        <v>783.58240000000001</v>
      </c>
      <c r="I895" s="16"/>
      <c r="J895" s="16">
        <v>783.58240000000001</v>
      </c>
      <c r="K895" s="14" t="s">
        <v>225</v>
      </c>
    </row>
    <row r="896" spans="1:11" ht="15" customHeight="1">
      <c r="A896" s="13">
        <v>45901</v>
      </c>
      <c r="B896" s="14" t="s">
        <v>398</v>
      </c>
      <c r="C896" s="19" t="s">
        <v>12</v>
      </c>
      <c r="D896" s="14" t="s">
        <v>29</v>
      </c>
      <c r="E896" s="14" t="str">
        <f>_xlfn.XLOOKUP($D896,'Chart of Accounts'!$A:$A,'Chart of Accounts'!B:B,"")</f>
        <v>Payroll Taxes</v>
      </c>
      <c r="F896" s="14" t="str">
        <f>_xlfn.XLOOKUP($D896,'Chart of Accounts'!$A:$A,'Chart of Accounts'!C:C,"")</f>
        <v>Expense</v>
      </c>
      <c r="G896" s="14" t="s">
        <v>365</v>
      </c>
      <c r="H896" s="16">
        <v>1371.2692</v>
      </c>
      <c r="I896" s="16"/>
      <c r="J896" s="16">
        <v>1371.2692</v>
      </c>
      <c r="K896" s="14" t="s">
        <v>225</v>
      </c>
    </row>
    <row r="897" spans="1:11" ht="15" customHeight="1">
      <c r="A897" s="13">
        <v>45901</v>
      </c>
      <c r="B897" s="14" t="s">
        <v>398</v>
      </c>
      <c r="C897" s="19" t="s">
        <v>14</v>
      </c>
      <c r="D897" s="14" t="s">
        <v>29</v>
      </c>
      <c r="E897" s="14" t="str">
        <f>_xlfn.XLOOKUP($D897,'Chart of Accounts'!$A:$A,'Chart of Accounts'!B:B,"")</f>
        <v>Payroll Taxes</v>
      </c>
      <c r="F897" s="14" t="str">
        <f>_xlfn.XLOOKUP($D897,'Chart of Accounts'!$A:$A,'Chart of Accounts'!C:C,"")</f>
        <v>Expense</v>
      </c>
      <c r="G897" s="14" t="s">
        <v>365</v>
      </c>
      <c r="H897" s="16">
        <v>1175.3735999999999</v>
      </c>
      <c r="I897" s="16"/>
      <c r="J897" s="16">
        <v>1175.3735999999999</v>
      </c>
      <c r="K897" s="14" t="s">
        <v>225</v>
      </c>
    </row>
    <row r="898" spans="1:11" ht="15" customHeight="1">
      <c r="A898" s="13">
        <v>45901</v>
      </c>
      <c r="B898" s="14" t="s">
        <v>398</v>
      </c>
      <c r="C898" s="19" t="s">
        <v>16</v>
      </c>
      <c r="D898" s="14" t="s">
        <v>29</v>
      </c>
      <c r="E898" s="14" t="str">
        <f>_xlfn.XLOOKUP($D898,'Chart of Accounts'!$A:$A,'Chart of Accounts'!B:B,"")</f>
        <v>Payroll Taxes</v>
      </c>
      <c r="F898" s="14" t="str">
        <f>_xlfn.XLOOKUP($D898,'Chart of Accounts'!$A:$A,'Chart of Accounts'!C:C,"")</f>
        <v>Expense</v>
      </c>
      <c r="G898" s="14" t="s">
        <v>365</v>
      </c>
      <c r="H898" s="16">
        <v>1175.3735999999999</v>
      </c>
      <c r="I898" s="16"/>
      <c r="J898" s="16">
        <v>1175.3735999999999</v>
      </c>
      <c r="K898" s="14" t="s">
        <v>225</v>
      </c>
    </row>
    <row r="899" spans="1:11" ht="15" customHeight="1">
      <c r="A899" s="13">
        <v>45901</v>
      </c>
      <c r="B899" s="14" t="s">
        <v>398</v>
      </c>
      <c r="C899" s="19" t="s">
        <v>18</v>
      </c>
      <c r="D899" s="14" t="s">
        <v>29</v>
      </c>
      <c r="E899" s="14" t="str">
        <f>_xlfn.XLOOKUP($D899,'Chart of Accounts'!$A:$A,'Chart of Accounts'!B:B,"")</f>
        <v>Payroll Taxes</v>
      </c>
      <c r="F899" s="14" t="str">
        <f>_xlfn.XLOOKUP($D899,'Chart of Accounts'!$A:$A,'Chart of Accounts'!C:C,"")</f>
        <v>Expense</v>
      </c>
      <c r="G899" s="14" t="s">
        <v>365</v>
      </c>
      <c r="H899" s="16">
        <v>1567.1648</v>
      </c>
      <c r="I899" s="16"/>
      <c r="J899" s="16">
        <v>1567.1648</v>
      </c>
      <c r="K899" s="14" t="s">
        <v>225</v>
      </c>
    </row>
    <row r="900" spans="1:11" ht="15" customHeight="1">
      <c r="A900" s="13">
        <v>45901</v>
      </c>
      <c r="B900" s="14" t="s">
        <v>398</v>
      </c>
      <c r="C900" s="19" t="s">
        <v>20</v>
      </c>
      <c r="D900" s="14" t="s">
        <v>29</v>
      </c>
      <c r="E900" s="14" t="str">
        <f>_xlfn.XLOOKUP($D900,'Chart of Accounts'!$A:$A,'Chart of Accounts'!B:B,"")</f>
        <v>Payroll Taxes</v>
      </c>
      <c r="F900" s="14" t="str">
        <f>_xlfn.XLOOKUP($D900,'Chart of Accounts'!$A:$A,'Chart of Accounts'!C:C,"")</f>
        <v>Expense</v>
      </c>
      <c r="G900" s="14" t="s">
        <v>365</v>
      </c>
      <c r="H900" s="16">
        <v>1567.1648</v>
      </c>
      <c r="I900" s="16"/>
      <c r="J900" s="16">
        <v>1567.1648</v>
      </c>
      <c r="K900" s="14" t="s">
        <v>225</v>
      </c>
    </row>
    <row r="901" spans="1:11" ht="15" customHeight="1">
      <c r="A901" s="13">
        <v>45870</v>
      </c>
      <c r="B901" s="14" t="s">
        <v>399</v>
      </c>
      <c r="C901" s="19" t="s">
        <v>4</v>
      </c>
      <c r="D901" s="14" t="s">
        <v>29</v>
      </c>
      <c r="E901" s="14" t="str">
        <f>_xlfn.XLOOKUP($D901,'Chart of Accounts'!$A:$A,'Chart of Accounts'!B:B,"")</f>
        <v>Payroll Taxes</v>
      </c>
      <c r="F901" s="14" t="str">
        <f>_xlfn.XLOOKUP($D901,'Chart of Accounts'!$A:$A,'Chart of Accounts'!C:C,"")</f>
        <v>Expense</v>
      </c>
      <c r="G901" s="14" t="s">
        <v>365</v>
      </c>
      <c r="H901" s="16">
        <v>572.17560000000003</v>
      </c>
      <c r="I901" s="16"/>
      <c r="J901" s="16">
        <v>572.17560000000003</v>
      </c>
      <c r="K901" s="14" t="s">
        <v>225</v>
      </c>
    </row>
    <row r="902" spans="1:11" ht="15" customHeight="1">
      <c r="A902" s="13">
        <v>45870</v>
      </c>
      <c r="B902" s="14" t="s">
        <v>399</v>
      </c>
      <c r="C902" s="19" t="s">
        <v>6</v>
      </c>
      <c r="D902" s="14" t="s">
        <v>29</v>
      </c>
      <c r="E902" s="14" t="str">
        <f>_xlfn.XLOOKUP($D902,'Chart of Accounts'!$A:$A,'Chart of Accounts'!B:B,"")</f>
        <v>Payroll Taxes</v>
      </c>
      <c r="F902" s="14" t="str">
        <f>_xlfn.XLOOKUP($D902,'Chart of Accounts'!$A:$A,'Chart of Accounts'!C:C,"")</f>
        <v>Expense</v>
      </c>
      <c r="G902" s="14" t="s">
        <v>365</v>
      </c>
      <c r="H902" s="16">
        <v>762.9008</v>
      </c>
      <c r="I902" s="16"/>
      <c r="J902" s="16">
        <v>762.9008</v>
      </c>
      <c r="K902" s="14" t="s">
        <v>225</v>
      </c>
    </row>
    <row r="903" spans="1:11" ht="15" customHeight="1">
      <c r="A903" s="13">
        <v>45870</v>
      </c>
      <c r="B903" s="14" t="s">
        <v>399</v>
      </c>
      <c r="C903" s="19" t="s">
        <v>8</v>
      </c>
      <c r="D903" s="14" t="s">
        <v>29</v>
      </c>
      <c r="E903" s="14" t="str">
        <f>_xlfn.XLOOKUP($D903,'Chart of Accounts'!$A:$A,'Chart of Accounts'!B:B,"")</f>
        <v>Payroll Taxes</v>
      </c>
      <c r="F903" s="14" t="str">
        <f>_xlfn.XLOOKUP($D903,'Chart of Accounts'!$A:$A,'Chart of Accounts'!C:C,"")</f>
        <v>Expense</v>
      </c>
      <c r="G903" s="14" t="s">
        <v>365</v>
      </c>
      <c r="H903" s="16">
        <v>762.9008</v>
      </c>
      <c r="I903" s="16"/>
      <c r="J903" s="16">
        <v>762.9008</v>
      </c>
      <c r="K903" s="14" t="s">
        <v>225</v>
      </c>
    </row>
    <row r="904" spans="1:11" ht="15" customHeight="1">
      <c r="A904" s="13">
        <v>45870</v>
      </c>
      <c r="B904" s="14" t="s">
        <v>399</v>
      </c>
      <c r="C904" s="19" t="s">
        <v>10</v>
      </c>
      <c r="D904" s="14" t="s">
        <v>29</v>
      </c>
      <c r="E904" s="14" t="str">
        <f>_xlfn.XLOOKUP($D904,'Chart of Accounts'!$A:$A,'Chart of Accounts'!B:B,"")</f>
        <v>Payroll Taxes</v>
      </c>
      <c r="F904" s="14" t="str">
        <f>_xlfn.XLOOKUP($D904,'Chart of Accounts'!$A:$A,'Chart of Accounts'!C:C,"")</f>
        <v>Expense</v>
      </c>
      <c r="G904" s="14" t="s">
        <v>365</v>
      </c>
      <c r="H904" s="16">
        <v>762.9008</v>
      </c>
      <c r="I904" s="16"/>
      <c r="J904" s="16">
        <v>762.9008</v>
      </c>
      <c r="K904" s="14" t="s">
        <v>225</v>
      </c>
    </row>
    <row r="905" spans="1:11" ht="15" customHeight="1">
      <c r="A905" s="13">
        <v>45870</v>
      </c>
      <c r="B905" s="14" t="s">
        <v>399</v>
      </c>
      <c r="C905" s="19" t="s">
        <v>12</v>
      </c>
      <c r="D905" s="14" t="s">
        <v>29</v>
      </c>
      <c r="E905" s="14" t="str">
        <f>_xlfn.XLOOKUP($D905,'Chart of Accounts'!$A:$A,'Chart of Accounts'!B:B,"")</f>
        <v>Payroll Taxes</v>
      </c>
      <c r="F905" s="14" t="str">
        <f>_xlfn.XLOOKUP($D905,'Chart of Accounts'!$A:$A,'Chart of Accounts'!C:C,"")</f>
        <v>Expense</v>
      </c>
      <c r="G905" s="14" t="s">
        <v>365</v>
      </c>
      <c r="H905" s="16">
        <v>1335.0763999999999</v>
      </c>
      <c r="I905" s="16"/>
      <c r="J905" s="16">
        <v>1335.0763999999999</v>
      </c>
      <c r="K905" s="14" t="s">
        <v>225</v>
      </c>
    </row>
    <row r="906" spans="1:11" ht="15" customHeight="1">
      <c r="A906" s="13">
        <v>45870</v>
      </c>
      <c r="B906" s="14" t="s">
        <v>399</v>
      </c>
      <c r="C906" s="19" t="s">
        <v>14</v>
      </c>
      <c r="D906" s="14" t="s">
        <v>29</v>
      </c>
      <c r="E906" s="14" t="str">
        <f>_xlfn.XLOOKUP($D906,'Chart of Accounts'!$A:$A,'Chart of Accounts'!B:B,"")</f>
        <v>Payroll Taxes</v>
      </c>
      <c r="F906" s="14" t="str">
        <f>_xlfn.XLOOKUP($D906,'Chart of Accounts'!$A:$A,'Chart of Accounts'!C:C,"")</f>
        <v>Expense</v>
      </c>
      <c r="G906" s="14" t="s">
        <v>365</v>
      </c>
      <c r="H906" s="16">
        <v>1144.3512000000001</v>
      </c>
      <c r="I906" s="16"/>
      <c r="J906" s="16">
        <v>1144.3512000000001</v>
      </c>
      <c r="K906" s="14" t="s">
        <v>225</v>
      </c>
    </row>
    <row r="907" spans="1:11" ht="15" customHeight="1">
      <c r="A907" s="13">
        <v>45870</v>
      </c>
      <c r="B907" s="14" t="s">
        <v>399</v>
      </c>
      <c r="C907" s="19" t="s">
        <v>16</v>
      </c>
      <c r="D907" s="14" t="s">
        <v>29</v>
      </c>
      <c r="E907" s="14" t="str">
        <f>_xlfn.XLOOKUP($D907,'Chart of Accounts'!$A:$A,'Chart of Accounts'!B:B,"")</f>
        <v>Payroll Taxes</v>
      </c>
      <c r="F907" s="14" t="str">
        <f>_xlfn.XLOOKUP($D907,'Chart of Accounts'!$A:$A,'Chart of Accounts'!C:C,"")</f>
        <v>Expense</v>
      </c>
      <c r="G907" s="14" t="s">
        <v>365</v>
      </c>
      <c r="H907" s="16">
        <v>1144.3512000000001</v>
      </c>
      <c r="I907" s="16"/>
      <c r="J907" s="16">
        <v>1144.3512000000001</v>
      </c>
      <c r="K907" s="14" t="s">
        <v>225</v>
      </c>
    </row>
    <row r="908" spans="1:11" ht="15" customHeight="1">
      <c r="A908" s="13">
        <v>45870</v>
      </c>
      <c r="B908" s="14" t="s">
        <v>399</v>
      </c>
      <c r="C908" s="19" t="s">
        <v>18</v>
      </c>
      <c r="D908" s="14" t="s">
        <v>29</v>
      </c>
      <c r="E908" s="14" t="str">
        <f>_xlfn.XLOOKUP($D908,'Chart of Accounts'!$A:$A,'Chart of Accounts'!B:B,"")</f>
        <v>Payroll Taxes</v>
      </c>
      <c r="F908" s="14" t="str">
        <f>_xlfn.XLOOKUP($D908,'Chart of Accounts'!$A:$A,'Chart of Accounts'!C:C,"")</f>
        <v>Expense</v>
      </c>
      <c r="G908" s="14" t="s">
        <v>365</v>
      </c>
      <c r="H908" s="16">
        <v>1525.8016</v>
      </c>
      <c r="I908" s="16"/>
      <c r="J908" s="16">
        <v>1525.8016</v>
      </c>
      <c r="K908" s="14" t="s">
        <v>225</v>
      </c>
    </row>
    <row r="909" spans="1:11" ht="15" customHeight="1">
      <c r="A909" s="13">
        <v>45870</v>
      </c>
      <c r="B909" s="14" t="s">
        <v>399</v>
      </c>
      <c r="C909" s="19" t="s">
        <v>20</v>
      </c>
      <c r="D909" s="14" t="s">
        <v>29</v>
      </c>
      <c r="E909" s="14" t="str">
        <f>_xlfn.XLOOKUP($D909,'Chart of Accounts'!$A:$A,'Chart of Accounts'!B:B,"")</f>
        <v>Payroll Taxes</v>
      </c>
      <c r="F909" s="14" t="str">
        <f>_xlfn.XLOOKUP($D909,'Chart of Accounts'!$A:$A,'Chart of Accounts'!C:C,"")</f>
        <v>Expense</v>
      </c>
      <c r="G909" s="14" t="s">
        <v>365</v>
      </c>
      <c r="H909" s="16">
        <v>1525.8016</v>
      </c>
      <c r="I909" s="16"/>
      <c r="J909" s="16">
        <v>1525.8016</v>
      </c>
      <c r="K909" s="14" t="s">
        <v>225</v>
      </c>
    </row>
    <row r="910" spans="1:11" ht="15" customHeight="1">
      <c r="A910" s="13">
        <v>45839</v>
      </c>
      <c r="B910" s="14" t="s">
        <v>400</v>
      </c>
      <c r="C910" s="19" t="s">
        <v>4</v>
      </c>
      <c r="D910" s="14" t="s">
        <v>29</v>
      </c>
      <c r="E910" s="14" t="str">
        <f>_xlfn.XLOOKUP($D910,'Chart of Accounts'!$A:$A,'Chart of Accounts'!B:B,"")</f>
        <v>Payroll Taxes</v>
      </c>
      <c r="F910" s="14" t="str">
        <f>_xlfn.XLOOKUP($D910,'Chart of Accounts'!$A:$A,'Chart of Accounts'!C:C,"")</f>
        <v>Expense</v>
      </c>
      <c r="G910" s="14" t="s">
        <v>365</v>
      </c>
      <c r="H910" s="16">
        <v>562.93740000000003</v>
      </c>
      <c r="I910" s="16"/>
      <c r="J910" s="16">
        <v>562.93740000000003</v>
      </c>
      <c r="K910" s="14" t="s">
        <v>225</v>
      </c>
    </row>
    <row r="911" spans="1:11" ht="15" customHeight="1">
      <c r="A911" s="13">
        <v>45839</v>
      </c>
      <c r="B911" s="14" t="s">
        <v>400</v>
      </c>
      <c r="C911" s="19" t="s">
        <v>6</v>
      </c>
      <c r="D911" s="14" t="s">
        <v>29</v>
      </c>
      <c r="E911" s="14" t="str">
        <f>_xlfn.XLOOKUP($D911,'Chart of Accounts'!$A:$A,'Chart of Accounts'!B:B,"")</f>
        <v>Payroll Taxes</v>
      </c>
      <c r="F911" s="14" t="str">
        <f>_xlfn.XLOOKUP($D911,'Chart of Accounts'!$A:$A,'Chart of Accounts'!C:C,"")</f>
        <v>Expense</v>
      </c>
      <c r="G911" s="14" t="s">
        <v>365</v>
      </c>
      <c r="H911" s="16">
        <v>750.58320000000003</v>
      </c>
      <c r="I911" s="16"/>
      <c r="J911" s="16">
        <v>750.58320000000003</v>
      </c>
      <c r="K911" s="14" t="s">
        <v>225</v>
      </c>
    </row>
    <row r="912" spans="1:11" ht="15" customHeight="1">
      <c r="A912" s="13">
        <v>45839</v>
      </c>
      <c r="B912" s="14" t="s">
        <v>400</v>
      </c>
      <c r="C912" s="19" t="s">
        <v>8</v>
      </c>
      <c r="D912" s="14" t="s">
        <v>29</v>
      </c>
      <c r="E912" s="14" t="str">
        <f>_xlfn.XLOOKUP($D912,'Chart of Accounts'!$A:$A,'Chart of Accounts'!B:B,"")</f>
        <v>Payroll Taxes</v>
      </c>
      <c r="F912" s="14" t="str">
        <f>_xlfn.XLOOKUP($D912,'Chart of Accounts'!$A:$A,'Chart of Accounts'!C:C,"")</f>
        <v>Expense</v>
      </c>
      <c r="G912" s="14" t="s">
        <v>365</v>
      </c>
      <c r="H912" s="16">
        <v>750.58320000000003</v>
      </c>
      <c r="I912" s="16"/>
      <c r="J912" s="16">
        <v>750.58320000000003</v>
      </c>
      <c r="K912" s="14" t="s">
        <v>225</v>
      </c>
    </row>
    <row r="913" spans="1:11" ht="15" customHeight="1">
      <c r="A913" s="13">
        <v>45839</v>
      </c>
      <c r="B913" s="14" t="s">
        <v>400</v>
      </c>
      <c r="C913" s="19" t="s">
        <v>10</v>
      </c>
      <c r="D913" s="14" t="s">
        <v>29</v>
      </c>
      <c r="E913" s="14" t="str">
        <f>_xlfn.XLOOKUP($D913,'Chart of Accounts'!$A:$A,'Chart of Accounts'!B:B,"")</f>
        <v>Payroll Taxes</v>
      </c>
      <c r="F913" s="14" t="str">
        <f>_xlfn.XLOOKUP($D913,'Chart of Accounts'!$A:$A,'Chart of Accounts'!C:C,"")</f>
        <v>Expense</v>
      </c>
      <c r="G913" s="14" t="s">
        <v>365</v>
      </c>
      <c r="H913" s="16">
        <v>750.58320000000003</v>
      </c>
      <c r="I913" s="16"/>
      <c r="J913" s="16">
        <v>750.58320000000003</v>
      </c>
      <c r="K913" s="14" t="s">
        <v>225</v>
      </c>
    </row>
    <row r="914" spans="1:11" ht="15" customHeight="1">
      <c r="A914" s="13">
        <v>45839</v>
      </c>
      <c r="B914" s="14" t="s">
        <v>400</v>
      </c>
      <c r="C914" s="19" t="s">
        <v>12</v>
      </c>
      <c r="D914" s="14" t="s">
        <v>29</v>
      </c>
      <c r="E914" s="14" t="str">
        <f>_xlfn.XLOOKUP($D914,'Chart of Accounts'!$A:$A,'Chart of Accounts'!B:B,"")</f>
        <v>Payroll Taxes</v>
      </c>
      <c r="F914" s="14" t="str">
        <f>_xlfn.XLOOKUP($D914,'Chart of Accounts'!$A:$A,'Chart of Accounts'!C:C,"")</f>
        <v>Expense</v>
      </c>
      <c r="G914" s="14" t="s">
        <v>365</v>
      </c>
      <c r="H914" s="16">
        <v>1313.5206000000001</v>
      </c>
      <c r="I914" s="16"/>
      <c r="J914" s="16">
        <v>1313.5206000000001</v>
      </c>
      <c r="K914" s="14" t="s">
        <v>225</v>
      </c>
    </row>
    <row r="915" spans="1:11" ht="15" customHeight="1">
      <c r="A915" s="13">
        <v>45839</v>
      </c>
      <c r="B915" s="14" t="s">
        <v>400</v>
      </c>
      <c r="C915" s="19" t="s">
        <v>14</v>
      </c>
      <c r="D915" s="14" t="s">
        <v>29</v>
      </c>
      <c r="E915" s="14" t="str">
        <f>_xlfn.XLOOKUP($D915,'Chart of Accounts'!$A:$A,'Chart of Accounts'!B:B,"")</f>
        <v>Payroll Taxes</v>
      </c>
      <c r="F915" s="14" t="str">
        <f>_xlfn.XLOOKUP($D915,'Chart of Accounts'!$A:$A,'Chart of Accounts'!C:C,"")</f>
        <v>Expense</v>
      </c>
      <c r="G915" s="14" t="s">
        <v>365</v>
      </c>
      <c r="H915" s="16">
        <v>1125.8748000000001</v>
      </c>
      <c r="I915" s="16"/>
      <c r="J915" s="16">
        <v>1125.8748000000001</v>
      </c>
      <c r="K915" s="14" t="s">
        <v>225</v>
      </c>
    </row>
    <row r="916" spans="1:11" ht="15" customHeight="1">
      <c r="A916" s="13">
        <v>45839</v>
      </c>
      <c r="B916" s="14" t="s">
        <v>400</v>
      </c>
      <c r="C916" s="19" t="s">
        <v>16</v>
      </c>
      <c r="D916" s="14" t="s">
        <v>29</v>
      </c>
      <c r="E916" s="14" t="str">
        <f>_xlfn.XLOOKUP($D916,'Chart of Accounts'!$A:$A,'Chart of Accounts'!B:B,"")</f>
        <v>Payroll Taxes</v>
      </c>
      <c r="F916" s="14" t="str">
        <f>_xlfn.XLOOKUP($D916,'Chart of Accounts'!$A:$A,'Chart of Accounts'!C:C,"")</f>
        <v>Expense</v>
      </c>
      <c r="G916" s="14" t="s">
        <v>365</v>
      </c>
      <c r="H916" s="16">
        <v>1125.8748000000001</v>
      </c>
      <c r="I916" s="16"/>
      <c r="J916" s="16">
        <v>1125.8748000000001</v>
      </c>
      <c r="K916" s="14" t="s">
        <v>225</v>
      </c>
    </row>
    <row r="917" spans="1:11" ht="15" customHeight="1">
      <c r="A917" s="13">
        <v>45839</v>
      </c>
      <c r="B917" s="14" t="s">
        <v>400</v>
      </c>
      <c r="C917" s="19" t="s">
        <v>18</v>
      </c>
      <c r="D917" s="14" t="s">
        <v>29</v>
      </c>
      <c r="E917" s="14" t="str">
        <f>_xlfn.XLOOKUP($D917,'Chart of Accounts'!$A:$A,'Chart of Accounts'!B:B,"")</f>
        <v>Payroll Taxes</v>
      </c>
      <c r="F917" s="14" t="str">
        <f>_xlfn.XLOOKUP($D917,'Chart of Accounts'!$A:$A,'Chart of Accounts'!C:C,"")</f>
        <v>Expense</v>
      </c>
      <c r="G917" s="14" t="s">
        <v>365</v>
      </c>
      <c r="H917" s="16">
        <v>1501.1664000000001</v>
      </c>
      <c r="I917" s="16"/>
      <c r="J917" s="16">
        <v>1501.1664000000001</v>
      </c>
      <c r="K917" s="14" t="s">
        <v>225</v>
      </c>
    </row>
    <row r="918" spans="1:11" ht="15" customHeight="1">
      <c r="A918" s="13">
        <v>45839</v>
      </c>
      <c r="B918" s="14" t="s">
        <v>400</v>
      </c>
      <c r="C918" s="19" t="s">
        <v>20</v>
      </c>
      <c r="D918" s="14" t="s">
        <v>29</v>
      </c>
      <c r="E918" s="14" t="str">
        <f>_xlfn.XLOOKUP($D918,'Chart of Accounts'!$A:$A,'Chart of Accounts'!B:B,"")</f>
        <v>Payroll Taxes</v>
      </c>
      <c r="F918" s="14" t="str">
        <f>_xlfn.XLOOKUP($D918,'Chart of Accounts'!$A:$A,'Chart of Accounts'!C:C,"")</f>
        <v>Expense</v>
      </c>
      <c r="G918" s="14" t="s">
        <v>365</v>
      </c>
      <c r="H918" s="16">
        <v>1501.1664000000001</v>
      </c>
      <c r="I918" s="16"/>
      <c r="J918" s="16">
        <v>1501.1664000000001</v>
      </c>
      <c r="K918" s="14" t="s">
        <v>225</v>
      </c>
    </row>
    <row r="919" spans="1:11" ht="15" customHeight="1">
      <c r="A919" s="13">
        <v>46174</v>
      </c>
      <c r="B919" s="14" t="s">
        <v>401</v>
      </c>
      <c r="C919" s="19" t="s">
        <v>4</v>
      </c>
      <c r="D919" s="14" t="s">
        <v>28</v>
      </c>
      <c r="E919" s="14" t="str">
        <f>_xlfn.XLOOKUP($D919,'Chart of Accounts'!$A:$A,'Chart of Accounts'!B:B,"")</f>
        <v>Salaries and Wages</v>
      </c>
      <c r="F919" s="14" t="str">
        <f>_xlfn.XLOOKUP($D919,'Chart of Accounts'!$A:$A,'Chart of Accounts'!C:C,"")</f>
        <v>Expense</v>
      </c>
      <c r="G919" s="14" t="s">
        <v>365</v>
      </c>
      <c r="H919" s="16">
        <v>7175.6740384615396</v>
      </c>
      <c r="I919" s="16"/>
      <c r="J919" s="16">
        <v>7175.6740384615396</v>
      </c>
      <c r="K919" s="14" t="s">
        <v>225</v>
      </c>
    </row>
    <row r="920" spans="1:11" ht="15" customHeight="1">
      <c r="A920" s="13">
        <v>46174</v>
      </c>
      <c r="B920" s="14" t="s">
        <v>401</v>
      </c>
      <c r="C920" s="19" t="s">
        <v>6</v>
      </c>
      <c r="D920" s="14" t="s">
        <v>28</v>
      </c>
      <c r="E920" s="14" t="str">
        <f>_xlfn.XLOOKUP($D920,'Chart of Accounts'!$A:$A,'Chart of Accounts'!B:B,"")</f>
        <v>Salaries and Wages</v>
      </c>
      <c r="F920" s="14" t="str">
        <f>_xlfn.XLOOKUP($D920,'Chart of Accounts'!$A:$A,'Chart of Accounts'!C:C,"")</f>
        <v>Expense</v>
      </c>
      <c r="G920" s="14" t="s">
        <v>365</v>
      </c>
      <c r="H920" s="16">
        <v>9567.5653846153891</v>
      </c>
      <c r="I920" s="16"/>
      <c r="J920" s="16">
        <v>9567.5653846153891</v>
      </c>
      <c r="K920" s="14" t="s">
        <v>225</v>
      </c>
    </row>
    <row r="921" spans="1:11" ht="15" customHeight="1">
      <c r="A921" s="13">
        <v>46174</v>
      </c>
      <c r="B921" s="14" t="s">
        <v>401</v>
      </c>
      <c r="C921" s="19" t="s">
        <v>8</v>
      </c>
      <c r="D921" s="14" t="s">
        <v>28</v>
      </c>
      <c r="E921" s="14" t="str">
        <f>_xlfn.XLOOKUP($D921,'Chart of Accounts'!$A:$A,'Chart of Accounts'!B:B,"")</f>
        <v>Salaries and Wages</v>
      </c>
      <c r="F921" s="14" t="str">
        <f>_xlfn.XLOOKUP($D921,'Chart of Accounts'!$A:$A,'Chart of Accounts'!C:C,"")</f>
        <v>Expense</v>
      </c>
      <c r="G921" s="14" t="s">
        <v>365</v>
      </c>
      <c r="H921" s="16">
        <v>14351.348076923099</v>
      </c>
      <c r="I921" s="16"/>
      <c r="J921" s="16">
        <v>14351.348076923099</v>
      </c>
      <c r="K921" s="14" t="s">
        <v>225</v>
      </c>
    </row>
    <row r="922" spans="1:11" ht="15" customHeight="1">
      <c r="A922" s="13">
        <v>46174</v>
      </c>
      <c r="B922" s="14" t="s">
        <v>401</v>
      </c>
      <c r="C922" s="19" t="s">
        <v>10</v>
      </c>
      <c r="D922" s="14" t="s">
        <v>28</v>
      </c>
      <c r="E922" s="14" t="str">
        <f>_xlfn.XLOOKUP($D922,'Chart of Accounts'!$A:$A,'Chart of Accounts'!B:B,"")</f>
        <v>Salaries and Wages</v>
      </c>
      <c r="F922" s="14" t="str">
        <f>_xlfn.XLOOKUP($D922,'Chart of Accounts'!$A:$A,'Chart of Accounts'!C:C,"")</f>
        <v>Expense</v>
      </c>
      <c r="G922" s="14" t="s">
        <v>365</v>
      </c>
      <c r="H922" s="16">
        <v>4783.78269230769</v>
      </c>
      <c r="I922" s="16"/>
      <c r="J922" s="16">
        <v>4783.78269230769</v>
      </c>
      <c r="K922" s="14" t="s">
        <v>225</v>
      </c>
    </row>
    <row r="923" spans="1:11" ht="15" customHeight="1">
      <c r="A923" s="13">
        <v>46174</v>
      </c>
      <c r="B923" s="14" t="s">
        <v>401</v>
      </c>
      <c r="C923" s="19" t="s">
        <v>12</v>
      </c>
      <c r="D923" s="14" t="s">
        <v>28</v>
      </c>
      <c r="E923" s="14" t="str">
        <f>_xlfn.XLOOKUP($D923,'Chart of Accounts'!$A:$A,'Chart of Accounts'!B:B,"")</f>
        <v>Salaries and Wages</v>
      </c>
      <c r="F923" s="14" t="str">
        <f>_xlfn.XLOOKUP($D923,'Chart of Accounts'!$A:$A,'Chart of Accounts'!C:C,"")</f>
        <v>Expense</v>
      </c>
      <c r="G923" s="14" t="s">
        <v>365</v>
      </c>
      <c r="H923" s="16">
        <v>16743.239423076899</v>
      </c>
      <c r="I923" s="16"/>
      <c r="J923" s="16">
        <v>16743.239423076899</v>
      </c>
      <c r="K923" s="14" t="s">
        <v>225</v>
      </c>
    </row>
    <row r="924" spans="1:11" ht="15" customHeight="1">
      <c r="A924" s="13">
        <v>46174</v>
      </c>
      <c r="B924" s="14" t="s">
        <v>401</v>
      </c>
      <c r="C924" s="19" t="s">
        <v>14</v>
      </c>
      <c r="D924" s="14" t="s">
        <v>28</v>
      </c>
      <c r="E924" s="14" t="str">
        <f>_xlfn.XLOOKUP($D924,'Chart of Accounts'!$A:$A,'Chart of Accounts'!B:B,"")</f>
        <v>Salaries and Wages</v>
      </c>
      <c r="F924" s="14" t="str">
        <f>_xlfn.XLOOKUP($D924,'Chart of Accounts'!$A:$A,'Chart of Accounts'!C:C,"")</f>
        <v>Expense</v>
      </c>
      <c r="G924" s="14" t="s">
        <v>365</v>
      </c>
      <c r="H924" s="16">
        <v>19135.1307692308</v>
      </c>
      <c r="I924" s="16"/>
      <c r="J924" s="16">
        <v>19135.1307692308</v>
      </c>
      <c r="K924" s="14" t="s">
        <v>225</v>
      </c>
    </row>
    <row r="925" spans="1:11" ht="15" customHeight="1">
      <c r="A925" s="13">
        <v>46174</v>
      </c>
      <c r="B925" s="14" t="s">
        <v>401</v>
      </c>
      <c r="C925" s="19" t="s">
        <v>16</v>
      </c>
      <c r="D925" s="14" t="s">
        <v>28</v>
      </c>
      <c r="E925" s="14" t="str">
        <f>_xlfn.XLOOKUP($D925,'Chart of Accounts'!$A:$A,'Chart of Accounts'!B:B,"")</f>
        <v>Salaries and Wages</v>
      </c>
      <c r="F925" s="14" t="str">
        <f>_xlfn.XLOOKUP($D925,'Chart of Accounts'!$A:$A,'Chart of Accounts'!C:C,"")</f>
        <v>Expense</v>
      </c>
      <c r="G925" s="14" t="s">
        <v>365</v>
      </c>
      <c r="H925" s="16">
        <v>9567.5653846153891</v>
      </c>
      <c r="I925" s="16"/>
      <c r="J925" s="16">
        <v>9567.5653846153891</v>
      </c>
      <c r="K925" s="14" t="s">
        <v>225</v>
      </c>
    </row>
    <row r="926" spans="1:11" ht="15" customHeight="1">
      <c r="A926" s="13">
        <v>46174</v>
      </c>
      <c r="B926" s="14" t="s">
        <v>401</v>
      </c>
      <c r="C926" s="19" t="s">
        <v>18</v>
      </c>
      <c r="D926" s="14" t="s">
        <v>28</v>
      </c>
      <c r="E926" s="14" t="str">
        <f>_xlfn.XLOOKUP($D926,'Chart of Accounts'!$A:$A,'Chart of Accounts'!B:B,"")</f>
        <v>Salaries and Wages</v>
      </c>
      <c r="F926" s="14" t="str">
        <f>_xlfn.XLOOKUP($D926,'Chart of Accounts'!$A:$A,'Chart of Accounts'!C:C,"")</f>
        <v>Expense</v>
      </c>
      <c r="G926" s="14" t="s">
        <v>365</v>
      </c>
      <c r="H926" s="16">
        <v>19135.1307692308</v>
      </c>
      <c r="I926" s="16"/>
      <c r="J926" s="16">
        <v>19135.1307692308</v>
      </c>
      <c r="K926" s="14" t="s">
        <v>225</v>
      </c>
    </row>
    <row r="927" spans="1:11" ht="15" customHeight="1">
      <c r="A927" s="13">
        <v>46174</v>
      </c>
      <c r="B927" s="14" t="s">
        <v>401</v>
      </c>
      <c r="C927" s="19" t="s">
        <v>20</v>
      </c>
      <c r="D927" s="14" t="s">
        <v>28</v>
      </c>
      <c r="E927" s="14" t="str">
        <f>_xlfn.XLOOKUP($D927,'Chart of Accounts'!$A:$A,'Chart of Accounts'!B:B,"")</f>
        <v>Salaries and Wages</v>
      </c>
      <c r="F927" s="14" t="str">
        <f>_xlfn.XLOOKUP($D927,'Chart of Accounts'!$A:$A,'Chart of Accounts'!C:C,"")</f>
        <v>Expense</v>
      </c>
      <c r="G927" s="14" t="s">
        <v>365</v>
      </c>
      <c r="H927" s="16">
        <v>23918.913461538501</v>
      </c>
      <c r="I927" s="16"/>
      <c r="J927" s="16">
        <v>23918.913461538501</v>
      </c>
      <c r="K927" s="14" t="s">
        <v>225</v>
      </c>
    </row>
    <row r="928" spans="1:11" ht="15" customHeight="1">
      <c r="A928" s="13">
        <v>46143</v>
      </c>
      <c r="B928" s="14" t="s">
        <v>402</v>
      </c>
      <c r="C928" s="19" t="s">
        <v>4</v>
      </c>
      <c r="D928" s="14" t="s">
        <v>28</v>
      </c>
      <c r="E928" s="14" t="str">
        <f>_xlfn.XLOOKUP($D928,'Chart of Accounts'!$A:$A,'Chart of Accounts'!B:B,"")</f>
        <v>Salaries and Wages</v>
      </c>
      <c r="F928" s="14" t="str">
        <f>_xlfn.XLOOKUP($D928,'Chart of Accounts'!$A:$A,'Chart of Accounts'!C:C,"")</f>
        <v>Expense</v>
      </c>
      <c r="G928" s="14" t="s">
        <v>365</v>
      </c>
      <c r="H928" s="16">
        <v>6857.5471153846202</v>
      </c>
      <c r="I928" s="16"/>
      <c r="J928" s="16">
        <v>6857.5471153846202</v>
      </c>
      <c r="K928" s="14" t="s">
        <v>225</v>
      </c>
    </row>
    <row r="929" spans="1:11" ht="15" customHeight="1">
      <c r="A929" s="13">
        <v>46143</v>
      </c>
      <c r="B929" s="14" t="s">
        <v>402</v>
      </c>
      <c r="C929" s="19" t="s">
        <v>6</v>
      </c>
      <c r="D929" s="14" t="s">
        <v>28</v>
      </c>
      <c r="E929" s="14" t="str">
        <f>_xlfn.XLOOKUP($D929,'Chart of Accounts'!$A:$A,'Chart of Accounts'!B:B,"")</f>
        <v>Salaries and Wages</v>
      </c>
      <c r="F929" s="14" t="str">
        <f>_xlfn.XLOOKUP($D929,'Chart of Accounts'!$A:$A,'Chart of Accounts'!C:C,"")</f>
        <v>Expense</v>
      </c>
      <c r="G929" s="14" t="s">
        <v>365</v>
      </c>
      <c r="H929" s="16">
        <v>9143.3961538461499</v>
      </c>
      <c r="I929" s="16"/>
      <c r="J929" s="16">
        <v>9143.3961538461499</v>
      </c>
      <c r="K929" s="14" t="s">
        <v>225</v>
      </c>
    </row>
    <row r="930" spans="1:11" ht="15" customHeight="1">
      <c r="A930" s="13">
        <v>46143</v>
      </c>
      <c r="B930" s="14" t="s">
        <v>402</v>
      </c>
      <c r="C930" s="19" t="s">
        <v>8</v>
      </c>
      <c r="D930" s="14" t="s">
        <v>28</v>
      </c>
      <c r="E930" s="14" t="str">
        <f>_xlfn.XLOOKUP($D930,'Chart of Accounts'!$A:$A,'Chart of Accounts'!B:B,"")</f>
        <v>Salaries and Wages</v>
      </c>
      <c r="F930" s="14" t="str">
        <f>_xlfn.XLOOKUP($D930,'Chart of Accounts'!$A:$A,'Chart of Accounts'!C:C,"")</f>
        <v>Expense</v>
      </c>
      <c r="G930" s="14" t="s">
        <v>365</v>
      </c>
      <c r="H930" s="16">
        <v>13715.0942307692</v>
      </c>
      <c r="I930" s="16"/>
      <c r="J930" s="16">
        <v>13715.0942307692</v>
      </c>
      <c r="K930" s="14" t="s">
        <v>225</v>
      </c>
    </row>
    <row r="931" spans="1:11" ht="15" customHeight="1">
      <c r="A931" s="13">
        <v>46143</v>
      </c>
      <c r="B931" s="14" t="s">
        <v>402</v>
      </c>
      <c r="C931" s="19" t="s">
        <v>10</v>
      </c>
      <c r="D931" s="14" t="s">
        <v>28</v>
      </c>
      <c r="E931" s="14" t="str">
        <f>_xlfn.XLOOKUP($D931,'Chart of Accounts'!$A:$A,'Chart of Accounts'!B:B,"")</f>
        <v>Salaries and Wages</v>
      </c>
      <c r="F931" s="14" t="str">
        <f>_xlfn.XLOOKUP($D931,'Chart of Accounts'!$A:$A,'Chart of Accounts'!C:C,"")</f>
        <v>Expense</v>
      </c>
      <c r="G931" s="14" t="s">
        <v>365</v>
      </c>
      <c r="H931" s="16">
        <v>4571.6980769230804</v>
      </c>
      <c r="I931" s="16"/>
      <c r="J931" s="16">
        <v>4571.6980769230804</v>
      </c>
      <c r="K931" s="14" t="s">
        <v>225</v>
      </c>
    </row>
    <row r="932" spans="1:11" ht="15" customHeight="1">
      <c r="A932" s="13">
        <v>46143</v>
      </c>
      <c r="B932" s="14" t="s">
        <v>402</v>
      </c>
      <c r="C932" s="19" t="s">
        <v>12</v>
      </c>
      <c r="D932" s="14" t="s">
        <v>28</v>
      </c>
      <c r="E932" s="14" t="str">
        <f>_xlfn.XLOOKUP($D932,'Chart of Accounts'!$A:$A,'Chart of Accounts'!B:B,"")</f>
        <v>Salaries and Wages</v>
      </c>
      <c r="F932" s="14" t="str">
        <f>_xlfn.XLOOKUP($D932,'Chart of Accounts'!$A:$A,'Chart of Accounts'!C:C,"")</f>
        <v>Expense</v>
      </c>
      <c r="G932" s="14" t="s">
        <v>365</v>
      </c>
      <c r="H932" s="16">
        <v>16000.9432692308</v>
      </c>
      <c r="I932" s="16"/>
      <c r="J932" s="16">
        <v>16000.9432692308</v>
      </c>
      <c r="K932" s="14" t="s">
        <v>225</v>
      </c>
    </row>
    <row r="933" spans="1:11" ht="15" customHeight="1">
      <c r="A933" s="13">
        <v>46143</v>
      </c>
      <c r="B933" s="14" t="s">
        <v>402</v>
      </c>
      <c r="C933" s="19" t="s">
        <v>14</v>
      </c>
      <c r="D933" s="14" t="s">
        <v>28</v>
      </c>
      <c r="E933" s="14" t="str">
        <f>_xlfn.XLOOKUP($D933,'Chart of Accounts'!$A:$A,'Chart of Accounts'!B:B,"")</f>
        <v>Salaries and Wages</v>
      </c>
      <c r="F933" s="14" t="str">
        <f>_xlfn.XLOOKUP($D933,'Chart of Accounts'!$A:$A,'Chart of Accounts'!C:C,"")</f>
        <v>Expense</v>
      </c>
      <c r="G933" s="14" t="s">
        <v>365</v>
      </c>
      <c r="H933" s="16">
        <v>18286.7923076923</v>
      </c>
      <c r="I933" s="16"/>
      <c r="J933" s="16">
        <v>18286.7923076923</v>
      </c>
      <c r="K933" s="14" t="s">
        <v>225</v>
      </c>
    </row>
    <row r="934" spans="1:11" ht="15" customHeight="1">
      <c r="A934" s="13">
        <v>46143</v>
      </c>
      <c r="B934" s="14" t="s">
        <v>402</v>
      </c>
      <c r="C934" s="19" t="s">
        <v>16</v>
      </c>
      <c r="D934" s="14" t="s">
        <v>28</v>
      </c>
      <c r="E934" s="14" t="str">
        <f>_xlfn.XLOOKUP($D934,'Chart of Accounts'!$A:$A,'Chart of Accounts'!B:B,"")</f>
        <v>Salaries and Wages</v>
      </c>
      <c r="F934" s="14" t="str">
        <f>_xlfn.XLOOKUP($D934,'Chart of Accounts'!$A:$A,'Chart of Accounts'!C:C,"")</f>
        <v>Expense</v>
      </c>
      <c r="G934" s="14" t="s">
        <v>365</v>
      </c>
      <c r="H934" s="16">
        <v>9143.3961538461499</v>
      </c>
      <c r="I934" s="16"/>
      <c r="J934" s="16">
        <v>9143.3961538461499</v>
      </c>
      <c r="K934" s="14" t="s">
        <v>225</v>
      </c>
    </row>
    <row r="935" spans="1:11" ht="15" customHeight="1">
      <c r="A935" s="13">
        <v>46143</v>
      </c>
      <c r="B935" s="14" t="s">
        <v>402</v>
      </c>
      <c r="C935" s="19" t="s">
        <v>18</v>
      </c>
      <c r="D935" s="14" t="s">
        <v>28</v>
      </c>
      <c r="E935" s="14" t="str">
        <f>_xlfn.XLOOKUP($D935,'Chart of Accounts'!$A:$A,'Chart of Accounts'!B:B,"")</f>
        <v>Salaries and Wages</v>
      </c>
      <c r="F935" s="14" t="str">
        <f>_xlfn.XLOOKUP($D935,'Chart of Accounts'!$A:$A,'Chart of Accounts'!C:C,"")</f>
        <v>Expense</v>
      </c>
      <c r="G935" s="14" t="s">
        <v>365</v>
      </c>
      <c r="H935" s="16">
        <v>18286.7923076923</v>
      </c>
      <c r="I935" s="16"/>
      <c r="J935" s="16">
        <v>18286.7923076923</v>
      </c>
      <c r="K935" s="14" t="s">
        <v>225</v>
      </c>
    </row>
    <row r="936" spans="1:11" ht="15" customHeight="1">
      <c r="A936" s="13">
        <v>46143</v>
      </c>
      <c r="B936" s="14" t="s">
        <v>402</v>
      </c>
      <c r="C936" s="19" t="s">
        <v>20</v>
      </c>
      <c r="D936" s="14" t="s">
        <v>28</v>
      </c>
      <c r="E936" s="14" t="str">
        <f>_xlfn.XLOOKUP($D936,'Chart of Accounts'!$A:$A,'Chart of Accounts'!B:B,"")</f>
        <v>Salaries and Wages</v>
      </c>
      <c r="F936" s="14" t="str">
        <f>_xlfn.XLOOKUP($D936,'Chart of Accounts'!$A:$A,'Chart of Accounts'!C:C,"")</f>
        <v>Expense</v>
      </c>
      <c r="G936" s="14" t="s">
        <v>365</v>
      </c>
      <c r="H936" s="16">
        <v>22858.490384615401</v>
      </c>
      <c r="I936" s="16"/>
      <c r="J936" s="16">
        <v>22858.490384615401</v>
      </c>
      <c r="K936" s="14" t="s">
        <v>225</v>
      </c>
    </row>
    <row r="937" spans="1:11" ht="15" customHeight="1">
      <c r="A937" s="13">
        <v>46113</v>
      </c>
      <c r="B937" s="14" t="s">
        <v>403</v>
      </c>
      <c r="C937" s="19" t="s">
        <v>4</v>
      </c>
      <c r="D937" s="14" t="s">
        <v>28</v>
      </c>
      <c r="E937" s="14" t="str">
        <f>_xlfn.XLOOKUP($D937,'Chart of Accounts'!$A:$A,'Chart of Accounts'!B:B,"")</f>
        <v>Salaries and Wages</v>
      </c>
      <c r="F937" s="14" t="str">
        <f>_xlfn.XLOOKUP($D937,'Chart of Accounts'!$A:$A,'Chart of Accounts'!C:C,"")</f>
        <v>Expense</v>
      </c>
      <c r="G937" s="14" t="s">
        <v>365</v>
      </c>
      <c r="H937" s="16">
        <v>7337.43</v>
      </c>
      <c r="I937" s="16"/>
      <c r="J937" s="16">
        <v>7337.43</v>
      </c>
      <c r="K937" s="14" t="s">
        <v>225</v>
      </c>
    </row>
    <row r="938" spans="1:11" ht="15" customHeight="1">
      <c r="A938" s="13">
        <v>46113</v>
      </c>
      <c r="B938" s="14" t="s">
        <v>403</v>
      </c>
      <c r="C938" s="19" t="s">
        <v>6</v>
      </c>
      <c r="D938" s="14" t="s">
        <v>28</v>
      </c>
      <c r="E938" s="14" t="str">
        <f>_xlfn.XLOOKUP($D938,'Chart of Accounts'!$A:$A,'Chart of Accounts'!B:B,"")</f>
        <v>Salaries and Wages</v>
      </c>
      <c r="F938" s="14" t="str">
        <f>_xlfn.XLOOKUP($D938,'Chart of Accounts'!$A:$A,'Chart of Accounts'!C:C,"")</f>
        <v>Expense</v>
      </c>
      <c r="G938" s="14" t="s">
        <v>365</v>
      </c>
      <c r="H938" s="16">
        <v>9783.24</v>
      </c>
      <c r="I938" s="16"/>
      <c r="J938" s="16">
        <v>9783.24</v>
      </c>
      <c r="K938" s="14" t="s">
        <v>225</v>
      </c>
    </row>
    <row r="939" spans="1:11" ht="15" customHeight="1">
      <c r="A939" s="13">
        <v>46113</v>
      </c>
      <c r="B939" s="14" t="s">
        <v>403</v>
      </c>
      <c r="C939" s="19" t="s">
        <v>8</v>
      </c>
      <c r="D939" s="14" t="s">
        <v>28</v>
      </c>
      <c r="E939" s="14" t="str">
        <f>_xlfn.XLOOKUP($D939,'Chart of Accounts'!$A:$A,'Chart of Accounts'!B:B,"")</f>
        <v>Salaries and Wages</v>
      </c>
      <c r="F939" s="14" t="str">
        <f>_xlfn.XLOOKUP($D939,'Chart of Accounts'!$A:$A,'Chart of Accounts'!C:C,"")</f>
        <v>Expense</v>
      </c>
      <c r="G939" s="14" t="s">
        <v>365</v>
      </c>
      <c r="H939" s="16">
        <v>9783.24</v>
      </c>
      <c r="I939" s="16"/>
      <c r="J939" s="16">
        <v>9783.24</v>
      </c>
      <c r="K939" s="14" t="s">
        <v>225</v>
      </c>
    </row>
    <row r="940" spans="1:11" ht="15" customHeight="1">
      <c r="A940" s="13">
        <v>46113</v>
      </c>
      <c r="B940" s="14" t="s">
        <v>403</v>
      </c>
      <c r="C940" s="19" t="s">
        <v>10</v>
      </c>
      <c r="D940" s="14" t="s">
        <v>28</v>
      </c>
      <c r="E940" s="14" t="str">
        <f>_xlfn.XLOOKUP($D940,'Chart of Accounts'!$A:$A,'Chart of Accounts'!B:B,"")</f>
        <v>Salaries and Wages</v>
      </c>
      <c r="F940" s="14" t="str">
        <f>_xlfn.XLOOKUP($D940,'Chart of Accounts'!$A:$A,'Chart of Accounts'!C:C,"")</f>
        <v>Expense</v>
      </c>
      <c r="G940" s="14" t="s">
        <v>365</v>
      </c>
      <c r="H940" s="16">
        <v>4891.62</v>
      </c>
      <c r="I940" s="16"/>
      <c r="J940" s="16">
        <v>4891.62</v>
      </c>
      <c r="K940" s="14" t="s">
        <v>225</v>
      </c>
    </row>
    <row r="941" spans="1:11" ht="15" customHeight="1">
      <c r="A941" s="13">
        <v>46113</v>
      </c>
      <c r="B941" s="14" t="s">
        <v>403</v>
      </c>
      <c r="C941" s="19" t="s">
        <v>12</v>
      </c>
      <c r="D941" s="14" t="s">
        <v>28</v>
      </c>
      <c r="E941" s="14" t="str">
        <f>_xlfn.XLOOKUP($D941,'Chart of Accounts'!$A:$A,'Chart of Accounts'!B:B,"")</f>
        <v>Salaries and Wages</v>
      </c>
      <c r="F941" s="14" t="str">
        <f>_xlfn.XLOOKUP($D941,'Chart of Accounts'!$A:$A,'Chart of Accounts'!C:C,"")</f>
        <v>Expense</v>
      </c>
      <c r="G941" s="14" t="s">
        <v>365</v>
      </c>
      <c r="H941" s="16">
        <v>17120.669999999998</v>
      </c>
      <c r="I941" s="16"/>
      <c r="J941" s="16">
        <v>17120.669999999998</v>
      </c>
      <c r="K941" s="14" t="s">
        <v>225</v>
      </c>
    </row>
    <row r="942" spans="1:11" ht="15" customHeight="1">
      <c r="A942" s="13">
        <v>46113</v>
      </c>
      <c r="B942" s="14" t="s">
        <v>403</v>
      </c>
      <c r="C942" s="19" t="s">
        <v>14</v>
      </c>
      <c r="D942" s="14" t="s">
        <v>28</v>
      </c>
      <c r="E942" s="14" t="str">
        <f>_xlfn.XLOOKUP($D942,'Chart of Accounts'!$A:$A,'Chart of Accounts'!B:B,"")</f>
        <v>Salaries and Wages</v>
      </c>
      <c r="F942" s="14" t="str">
        <f>_xlfn.XLOOKUP($D942,'Chart of Accounts'!$A:$A,'Chart of Accounts'!C:C,"")</f>
        <v>Expense</v>
      </c>
      <c r="G942" s="14" t="s">
        <v>365</v>
      </c>
      <c r="H942" s="16">
        <v>19566.48</v>
      </c>
      <c r="I942" s="16"/>
      <c r="J942" s="16">
        <v>19566.48</v>
      </c>
      <c r="K942" s="14" t="s">
        <v>225</v>
      </c>
    </row>
    <row r="943" spans="1:11" ht="15" customHeight="1">
      <c r="A943" s="13">
        <v>46113</v>
      </c>
      <c r="B943" s="14" t="s">
        <v>403</v>
      </c>
      <c r="C943" s="19" t="s">
        <v>16</v>
      </c>
      <c r="D943" s="14" t="s">
        <v>28</v>
      </c>
      <c r="E943" s="14" t="str">
        <f>_xlfn.XLOOKUP($D943,'Chart of Accounts'!$A:$A,'Chart of Accounts'!B:B,"")</f>
        <v>Salaries and Wages</v>
      </c>
      <c r="F943" s="14" t="str">
        <f>_xlfn.XLOOKUP($D943,'Chart of Accounts'!$A:$A,'Chart of Accounts'!C:C,"")</f>
        <v>Expense</v>
      </c>
      <c r="G943" s="14" t="s">
        <v>365</v>
      </c>
      <c r="H943" s="16">
        <v>14674.86</v>
      </c>
      <c r="I943" s="16"/>
      <c r="J943" s="16">
        <v>14674.86</v>
      </c>
      <c r="K943" s="14" t="s">
        <v>225</v>
      </c>
    </row>
    <row r="944" spans="1:11" ht="15" customHeight="1">
      <c r="A944" s="13">
        <v>46113</v>
      </c>
      <c r="B944" s="14" t="s">
        <v>403</v>
      </c>
      <c r="C944" s="19" t="s">
        <v>18</v>
      </c>
      <c r="D944" s="14" t="s">
        <v>28</v>
      </c>
      <c r="E944" s="14" t="str">
        <f>_xlfn.XLOOKUP($D944,'Chart of Accounts'!$A:$A,'Chart of Accounts'!B:B,"")</f>
        <v>Salaries and Wages</v>
      </c>
      <c r="F944" s="14" t="str">
        <f>_xlfn.XLOOKUP($D944,'Chart of Accounts'!$A:$A,'Chart of Accounts'!C:C,"")</f>
        <v>Expense</v>
      </c>
      <c r="G944" s="14" t="s">
        <v>365</v>
      </c>
      <c r="H944" s="16">
        <v>19566.48</v>
      </c>
      <c r="I944" s="16"/>
      <c r="J944" s="16">
        <v>19566.48</v>
      </c>
      <c r="K944" s="14" t="s">
        <v>225</v>
      </c>
    </row>
    <row r="945" spans="1:11" ht="15" customHeight="1">
      <c r="A945" s="13">
        <v>46113</v>
      </c>
      <c r="B945" s="14" t="s">
        <v>403</v>
      </c>
      <c r="C945" s="19" t="s">
        <v>20</v>
      </c>
      <c r="D945" s="14" t="s">
        <v>28</v>
      </c>
      <c r="E945" s="14" t="str">
        <f>_xlfn.XLOOKUP($D945,'Chart of Accounts'!$A:$A,'Chart of Accounts'!B:B,"")</f>
        <v>Salaries and Wages</v>
      </c>
      <c r="F945" s="14" t="str">
        <f>_xlfn.XLOOKUP($D945,'Chart of Accounts'!$A:$A,'Chart of Accounts'!C:C,"")</f>
        <v>Expense</v>
      </c>
      <c r="G945" s="14" t="s">
        <v>365</v>
      </c>
      <c r="H945" s="16">
        <v>24458.1</v>
      </c>
      <c r="I945" s="16"/>
      <c r="J945" s="16">
        <v>24458.1</v>
      </c>
      <c r="K945" s="14" t="s">
        <v>225</v>
      </c>
    </row>
    <row r="946" spans="1:11" ht="15" customHeight="1">
      <c r="A946" s="13">
        <v>46082</v>
      </c>
      <c r="B946" s="14" t="s">
        <v>404</v>
      </c>
      <c r="C946" s="19" t="s">
        <v>4</v>
      </c>
      <c r="D946" s="14" t="s">
        <v>28</v>
      </c>
      <c r="E946" s="14" t="str">
        <f>_xlfn.XLOOKUP($D946,'Chart of Accounts'!$A:$A,'Chart of Accounts'!B:B,"")</f>
        <v>Salaries and Wages</v>
      </c>
      <c r="F946" s="14" t="str">
        <f>_xlfn.XLOOKUP($D946,'Chart of Accounts'!$A:$A,'Chart of Accounts'!C:C,"")</f>
        <v>Expense</v>
      </c>
      <c r="G946" s="14" t="s">
        <v>365</v>
      </c>
      <c r="H946" s="16">
        <v>7277.8886538461602</v>
      </c>
      <c r="I946" s="16"/>
      <c r="J946" s="16">
        <v>7277.8886538461602</v>
      </c>
      <c r="K946" s="14" t="s">
        <v>225</v>
      </c>
    </row>
    <row r="947" spans="1:11" ht="15" customHeight="1">
      <c r="A947" s="13">
        <v>46082</v>
      </c>
      <c r="B947" s="14" t="s">
        <v>404</v>
      </c>
      <c r="C947" s="19" t="s">
        <v>6</v>
      </c>
      <c r="D947" s="14" t="s">
        <v>28</v>
      </c>
      <c r="E947" s="14" t="str">
        <f>_xlfn.XLOOKUP($D947,'Chart of Accounts'!$A:$A,'Chart of Accounts'!B:B,"")</f>
        <v>Salaries and Wages</v>
      </c>
      <c r="F947" s="14" t="str">
        <f>_xlfn.XLOOKUP($D947,'Chart of Accounts'!$A:$A,'Chart of Accounts'!C:C,"")</f>
        <v>Expense</v>
      </c>
      <c r="G947" s="14" t="s">
        <v>365</v>
      </c>
      <c r="H947" s="16">
        <v>9703.8515384615403</v>
      </c>
      <c r="I947" s="16"/>
      <c r="J947" s="16">
        <v>9703.8515384615403</v>
      </c>
      <c r="K947" s="14" t="s">
        <v>225</v>
      </c>
    </row>
    <row r="948" spans="1:11" ht="15" customHeight="1">
      <c r="A948" s="13">
        <v>46082</v>
      </c>
      <c r="B948" s="14" t="s">
        <v>404</v>
      </c>
      <c r="C948" s="19" t="s">
        <v>8</v>
      </c>
      <c r="D948" s="14" t="s">
        <v>28</v>
      </c>
      <c r="E948" s="14" t="str">
        <f>_xlfn.XLOOKUP($D948,'Chart of Accounts'!$A:$A,'Chart of Accounts'!B:B,"")</f>
        <v>Salaries and Wages</v>
      </c>
      <c r="F948" s="14" t="str">
        <f>_xlfn.XLOOKUP($D948,'Chart of Accounts'!$A:$A,'Chart of Accounts'!C:C,"")</f>
        <v>Expense</v>
      </c>
      <c r="G948" s="14" t="s">
        <v>365</v>
      </c>
      <c r="H948" s="16">
        <v>9703.8515384615403</v>
      </c>
      <c r="I948" s="16"/>
      <c r="J948" s="16">
        <v>9703.8515384615403</v>
      </c>
      <c r="K948" s="14" t="s">
        <v>225</v>
      </c>
    </row>
    <row r="949" spans="1:11" ht="15" customHeight="1">
      <c r="A949" s="13">
        <v>46082</v>
      </c>
      <c r="B949" s="14" t="s">
        <v>404</v>
      </c>
      <c r="C949" s="19" t="s">
        <v>10</v>
      </c>
      <c r="D949" s="14" t="s">
        <v>28</v>
      </c>
      <c r="E949" s="14" t="str">
        <f>_xlfn.XLOOKUP($D949,'Chart of Accounts'!$A:$A,'Chart of Accounts'!B:B,"")</f>
        <v>Salaries and Wages</v>
      </c>
      <c r="F949" s="14" t="str">
        <f>_xlfn.XLOOKUP($D949,'Chart of Accounts'!$A:$A,'Chart of Accounts'!C:C,"")</f>
        <v>Expense</v>
      </c>
      <c r="G949" s="14" t="s">
        <v>365</v>
      </c>
      <c r="H949" s="16">
        <v>4851.9257692307701</v>
      </c>
      <c r="I949" s="16"/>
      <c r="J949" s="16">
        <v>4851.9257692307701</v>
      </c>
      <c r="K949" s="14" t="s">
        <v>225</v>
      </c>
    </row>
    <row r="950" spans="1:11" ht="15" customHeight="1">
      <c r="A950" s="13">
        <v>46082</v>
      </c>
      <c r="B950" s="14" t="s">
        <v>404</v>
      </c>
      <c r="C950" s="19" t="s">
        <v>12</v>
      </c>
      <c r="D950" s="14" t="s">
        <v>28</v>
      </c>
      <c r="E950" s="14" t="str">
        <f>_xlfn.XLOOKUP($D950,'Chart of Accounts'!$A:$A,'Chart of Accounts'!B:B,"")</f>
        <v>Salaries and Wages</v>
      </c>
      <c r="F950" s="14" t="str">
        <f>_xlfn.XLOOKUP($D950,'Chart of Accounts'!$A:$A,'Chart of Accounts'!C:C,"")</f>
        <v>Expense</v>
      </c>
      <c r="G950" s="14" t="s">
        <v>365</v>
      </c>
      <c r="H950" s="16">
        <v>16981.740192307701</v>
      </c>
      <c r="I950" s="16"/>
      <c r="J950" s="16">
        <v>16981.740192307701</v>
      </c>
      <c r="K950" s="14" t="s">
        <v>225</v>
      </c>
    </row>
    <row r="951" spans="1:11" ht="15" customHeight="1">
      <c r="A951" s="13">
        <v>46082</v>
      </c>
      <c r="B951" s="14" t="s">
        <v>404</v>
      </c>
      <c r="C951" s="19" t="s">
        <v>14</v>
      </c>
      <c r="D951" s="14" t="s">
        <v>28</v>
      </c>
      <c r="E951" s="14" t="str">
        <f>_xlfn.XLOOKUP($D951,'Chart of Accounts'!$A:$A,'Chart of Accounts'!B:B,"")</f>
        <v>Salaries and Wages</v>
      </c>
      <c r="F951" s="14" t="str">
        <f>_xlfn.XLOOKUP($D951,'Chart of Accounts'!$A:$A,'Chart of Accounts'!C:C,"")</f>
        <v>Expense</v>
      </c>
      <c r="G951" s="14" t="s">
        <v>365</v>
      </c>
      <c r="H951" s="16">
        <v>19407.703076923099</v>
      </c>
      <c r="I951" s="16"/>
      <c r="J951" s="16">
        <v>19407.703076923099</v>
      </c>
      <c r="K951" s="14" t="s">
        <v>225</v>
      </c>
    </row>
    <row r="952" spans="1:11" ht="15" customHeight="1">
      <c r="A952" s="13">
        <v>46082</v>
      </c>
      <c r="B952" s="14" t="s">
        <v>404</v>
      </c>
      <c r="C952" s="19" t="s">
        <v>16</v>
      </c>
      <c r="D952" s="14" t="s">
        <v>28</v>
      </c>
      <c r="E952" s="14" t="str">
        <f>_xlfn.XLOOKUP($D952,'Chart of Accounts'!$A:$A,'Chart of Accounts'!B:B,"")</f>
        <v>Salaries and Wages</v>
      </c>
      <c r="F952" s="14" t="str">
        <f>_xlfn.XLOOKUP($D952,'Chart of Accounts'!$A:$A,'Chart of Accounts'!C:C,"")</f>
        <v>Expense</v>
      </c>
      <c r="G952" s="14" t="s">
        <v>365</v>
      </c>
      <c r="H952" s="16">
        <v>14555.7773076923</v>
      </c>
      <c r="I952" s="16"/>
      <c r="J952" s="16">
        <v>14555.7773076923</v>
      </c>
      <c r="K952" s="14" t="s">
        <v>225</v>
      </c>
    </row>
    <row r="953" spans="1:11" ht="15" customHeight="1">
      <c r="A953" s="13">
        <v>46082</v>
      </c>
      <c r="B953" s="14" t="s">
        <v>404</v>
      </c>
      <c r="C953" s="19" t="s">
        <v>18</v>
      </c>
      <c r="D953" s="14" t="s">
        <v>28</v>
      </c>
      <c r="E953" s="14" t="str">
        <f>_xlfn.XLOOKUP($D953,'Chart of Accounts'!$A:$A,'Chart of Accounts'!B:B,"")</f>
        <v>Salaries and Wages</v>
      </c>
      <c r="F953" s="14" t="str">
        <f>_xlfn.XLOOKUP($D953,'Chart of Accounts'!$A:$A,'Chart of Accounts'!C:C,"")</f>
        <v>Expense</v>
      </c>
      <c r="G953" s="14" t="s">
        <v>365</v>
      </c>
      <c r="H953" s="16">
        <v>19407.703076923099</v>
      </c>
      <c r="I953" s="16"/>
      <c r="J953" s="16">
        <v>19407.703076923099</v>
      </c>
      <c r="K953" s="14" t="s">
        <v>225</v>
      </c>
    </row>
    <row r="954" spans="1:11" ht="15" customHeight="1">
      <c r="A954" s="13">
        <v>46082</v>
      </c>
      <c r="B954" s="14" t="s">
        <v>404</v>
      </c>
      <c r="C954" s="19" t="s">
        <v>20</v>
      </c>
      <c r="D954" s="14" t="s">
        <v>28</v>
      </c>
      <c r="E954" s="14" t="str">
        <f>_xlfn.XLOOKUP($D954,'Chart of Accounts'!$A:$A,'Chart of Accounts'!B:B,"")</f>
        <v>Salaries and Wages</v>
      </c>
      <c r="F954" s="14" t="str">
        <f>_xlfn.XLOOKUP($D954,'Chart of Accounts'!$A:$A,'Chart of Accounts'!C:C,"")</f>
        <v>Expense</v>
      </c>
      <c r="G954" s="14" t="s">
        <v>365</v>
      </c>
      <c r="H954" s="16">
        <v>24259.628846153901</v>
      </c>
      <c r="I954" s="16"/>
      <c r="J954" s="16">
        <v>24259.628846153901</v>
      </c>
      <c r="K954" s="14" t="s">
        <v>225</v>
      </c>
    </row>
    <row r="955" spans="1:11" ht="15" customHeight="1">
      <c r="A955" s="13">
        <v>46054</v>
      </c>
      <c r="B955" s="14" t="s">
        <v>405</v>
      </c>
      <c r="C955" s="19" t="s">
        <v>4</v>
      </c>
      <c r="D955" s="14" t="s">
        <v>28</v>
      </c>
      <c r="E955" s="14" t="str">
        <f>_xlfn.XLOOKUP($D955,'Chart of Accounts'!$A:$A,'Chart of Accounts'!B:B,"")</f>
        <v>Salaries and Wages</v>
      </c>
      <c r="F955" s="14" t="str">
        <f>_xlfn.XLOOKUP($D955,'Chart of Accounts'!$A:$A,'Chart of Accounts'!C:C,"")</f>
        <v>Expense</v>
      </c>
      <c r="G955" s="14" t="s">
        <v>365</v>
      </c>
      <c r="H955" s="16">
        <v>7427.8494230769202</v>
      </c>
      <c r="I955" s="16"/>
      <c r="J955" s="16">
        <v>7427.8494230769202</v>
      </c>
      <c r="K955" s="14" t="s">
        <v>225</v>
      </c>
    </row>
    <row r="956" spans="1:11" ht="15" customHeight="1">
      <c r="A956" s="13">
        <v>46054</v>
      </c>
      <c r="B956" s="14" t="s">
        <v>405</v>
      </c>
      <c r="C956" s="19" t="s">
        <v>6</v>
      </c>
      <c r="D956" s="14" t="s">
        <v>28</v>
      </c>
      <c r="E956" s="14" t="str">
        <f>_xlfn.XLOOKUP($D956,'Chart of Accounts'!$A:$A,'Chart of Accounts'!B:B,"")</f>
        <v>Salaries and Wages</v>
      </c>
      <c r="F956" s="14" t="str">
        <f>_xlfn.XLOOKUP($D956,'Chart of Accounts'!$A:$A,'Chart of Accounts'!C:C,"")</f>
        <v>Expense</v>
      </c>
      <c r="G956" s="14" t="s">
        <v>365</v>
      </c>
      <c r="H956" s="16">
        <v>9903.7992307692293</v>
      </c>
      <c r="I956" s="16"/>
      <c r="J956" s="16">
        <v>9903.7992307692293</v>
      </c>
      <c r="K956" s="14" t="s">
        <v>225</v>
      </c>
    </row>
    <row r="957" spans="1:11" ht="15" customHeight="1">
      <c r="A957" s="13">
        <v>46054</v>
      </c>
      <c r="B957" s="14" t="s">
        <v>405</v>
      </c>
      <c r="C957" s="19" t="s">
        <v>8</v>
      </c>
      <c r="D957" s="14" t="s">
        <v>28</v>
      </c>
      <c r="E957" s="14" t="str">
        <f>_xlfn.XLOOKUP($D957,'Chart of Accounts'!$A:$A,'Chart of Accounts'!B:B,"")</f>
        <v>Salaries and Wages</v>
      </c>
      <c r="F957" s="14" t="str">
        <f>_xlfn.XLOOKUP($D957,'Chart of Accounts'!$A:$A,'Chart of Accounts'!C:C,"")</f>
        <v>Expense</v>
      </c>
      <c r="G957" s="14" t="s">
        <v>365</v>
      </c>
      <c r="H957" s="16">
        <v>9903.7992307692293</v>
      </c>
      <c r="I957" s="16"/>
      <c r="J957" s="16">
        <v>9903.7992307692293</v>
      </c>
      <c r="K957" s="14" t="s">
        <v>225</v>
      </c>
    </row>
    <row r="958" spans="1:11" ht="15" customHeight="1">
      <c r="A958" s="13">
        <v>46054</v>
      </c>
      <c r="B958" s="14" t="s">
        <v>405</v>
      </c>
      <c r="C958" s="19" t="s">
        <v>10</v>
      </c>
      <c r="D958" s="14" t="s">
        <v>28</v>
      </c>
      <c r="E958" s="14" t="str">
        <f>_xlfn.XLOOKUP($D958,'Chart of Accounts'!$A:$A,'Chart of Accounts'!B:B,"")</f>
        <v>Salaries and Wages</v>
      </c>
      <c r="F958" s="14" t="str">
        <f>_xlfn.XLOOKUP($D958,'Chart of Accounts'!$A:$A,'Chart of Accounts'!C:C,"")</f>
        <v>Expense</v>
      </c>
      <c r="G958" s="14" t="s">
        <v>365</v>
      </c>
      <c r="H958" s="16">
        <v>9903.7992307692293</v>
      </c>
      <c r="I958" s="16"/>
      <c r="J958" s="16">
        <v>9903.7992307692293</v>
      </c>
      <c r="K958" s="14" t="s">
        <v>225</v>
      </c>
    </row>
    <row r="959" spans="1:11" ht="15" customHeight="1">
      <c r="A959" s="13">
        <v>46054</v>
      </c>
      <c r="B959" s="14" t="s">
        <v>405</v>
      </c>
      <c r="C959" s="19" t="s">
        <v>12</v>
      </c>
      <c r="D959" s="14" t="s">
        <v>28</v>
      </c>
      <c r="E959" s="14" t="str">
        <f>_xlfn.XLOOKUP($D959,'Chart of Accounts'!$A:$A,'Chart of Accounts'!B:B,"")</f>
        <v>Salaries and Wages</v>
      </c>
      <c r="F959" s="14" t="str">
        <f>_xlfn.XLOOKUP($D959,'Chart of Accounts'!$A:$A,'Chart of Accounts'!C:C,"")</f>
        <v>Expense</v>
      </c>
      <c r="G959" s="14" t="s">
        <v>365</v>
      </c>
      <c r="H959" s="16">
        <v>17331.648653846201</v>
      </c>
      <c r="I959" s="16"/>
      <c r="J959" s="16">
        <v>17331.648653846201</v>
      </c>
      <c r="K959" s="14" t="s">
        <v>225</v>
      </c>
    </row>
    <row r="960" spans="1:11" ht="15" customHeight="1">
      <c r="A960" s="13">
        <v>46054</v>
      </c>
      <c r="B960" s="14" t="s">
        <v>405</v>
      </c>
      <c r="C960" s="19" t="s">
        <v>14</v>
      </c>
      <c r="D960" s="14" t="s">
        <v>28</v>
      </c>
      <c r="E960" s="14" t="str">
        <f>_xlfn.XLOOKUP($D960,'Chart of Accounts'!$A:$A,'Chart of Accounts'!B:B,"")</f>
        <v>Salaries and Wages</v>
      </c>
      <c r="F960" s="14" t="str">
        <f>_xlfn.XLOOKUP($D960,'Chart of Accounts'!$A:$A,'Chart of Accounts'!C:C,"")</f>
        <v>Expense</v>
      </c>
      <c r="G960" s="14" t="s">
        <v>365</v>
      </c>
      <c r="H960" s="16">
        <v>19807.598461538499</v>
      </c>
      <c r="I960" s="16"/>
      <c r="J960" s="16">
        <v>19807.598461538499</v>
      </c>
      <c r="K960" s="14" t="s">
        <v>225</v>
      </c>
    </row>
    <row r="961" spans="1:11" ht="15" customHeight="1">
      <c r="A961" s="13">
        <v>46054</v>
      </c>
      <c r="B961" s="14" t="s">
        <v>405</v>
      </c>
      <c r="C961" s="19" t="s">
        <v>16</v>
      </c>
      <c r="D961" s="14" t="s">
        <v>28</v>
      </c>
      <c r="E961" s="14" t="str">
        <f>_xlfn.XLOOKUP($D961,'Chart of Accounts'!$A:$A,'Chart of Accounts'!B:B,"")</f>
        <v>Salaries and Wages</v>
      </c>
      <c r="F961" s="14" t="str">
        <f>_xlfn.XLOOKUP($D961,'Chart of Accounts'!$A:$A,'Chart of Accounts'!C:C,"")</f>
        <v>Expense</v>
      </c>
      <c r="G961" s="14" t="s">
        <v>365</v>
      </c>
      <c r="H961" s="16">
        <v>14855.6988461539</v>
      </c>
      <c r="I961" s="16"/>
      <c r="J961" s="16">
        <v>14855.6988461539</v>
      </c>
      <c r="K961" s="14" t="s">
        <v>225</v>
      </c>
    </row>
    <row r="962" spans="1:11" ht="15" customHeight="1">
      <c r="A962" s="13">
        <v>46054</v>
      </c>
      <c r="B962" s="14" t="s">
        <v>405</v>
      </c>
      <c r="C962" s="19" t="s">
        <v>18</v>
      </c>
      <c r="D962" s="14" t="s">
        <v>28</v>
      </c>
      <c r="E962" s="14" t="str">
        <f>_xlfn.XLOOKUP($D962,'Chart of Accounts'!$A:$A,'Chart of Accounts'!B:B,"")</f>
        <v>Salaries and Wages</v>
      </c>
      <c r="F962" s="14" t="str">
        <f>_xlfn.XLOOKUP($D962,'Chart of Accounts'!$A:$A,'Chart of Accounts'!C:C,"")</f>
        <v>Expense</v>
      </c>
      <c r="G962" s="14" t="s">
        <v>365</v>
      </c>
      <c r="H962" s="16">
        <v>19807.598461538499</v>
      </c>
      <c r="I962" s="16"/>
      <c r="J962" s="16">
        <v>19807.598461538499</v>
      </c>
      <c r="K962" s="14" t="s">
        <v>225</v>
      </c>
    </row>
    <row r="963" spans="1:11" ht="15" customHeight="1">
      <c r="A963" s="13">
        <v>46054</v>
      </c>
      <c r="B963" s="14" t="s">
        <v>405</v>
      </c>
      <c r="C963" s="19" t="s">
        <v>20</v>
      </c>
      <c r="D963" s="14" t="s">
        <v>28</v>
      </c>
      <c r="E963" s="14" t="str">
        <f>_xlfn.XLOOKUP($D963,'Chart of Accounts'!$A:$A,'Chart of Accounts'!B:B,"")</f>
        <v>Salaries and Wages</v>
      </c>
      <c r="F963" s="14" t="str">
        <f>_xlfn.XLOOKUP($D963,'Chart of Accounts'!$A:$A,'Chart of Accounts'!C:C,"")</f>
        <v>Expense</v>
      </c>
      <c r="G963" s="14" t="s">
        <v>365</v>
      </c>
      <c r="H963" s="16">
        <v>19807.598461538499</v>
      </c>
      <c r="I963" s="16"/>
      <c r="J963" s="16">
        <v>19807.598461538499</v>
      </c>
      <c r="K963" s="14" t="s">
        <v>225</v>
      </c>
    </row>
    <row r="964" spans="1:11" ht="15" customHeight="1">
      <c r="A964" s="13">
        <v>46023</v>
      </c>
      <c r="B964" s="14" t="s">
        <v>406</v>
      </c>
      <c r="C964" s="19" t="s">
        <v>4</v>
      </c>
      <c r="D964" s="14" t="s">
        <v>28</v>
      </c>
      <c r="E964" s="14" t="str">
        <f>_xlfn.XLOOKUP($D964,'Chart of Accounts'!$A:$A,'Chart of Accounts'!B:B,"")</f>
        <v>Salaries and Wages</v>
      </c>
      <c r="F964" s="14" t="str">
        <f>_xlfn.XLOOKUP($D964,'Chart of Accounts'!$A:$A,'Chart of Accounts'!C:C,"")</f>
        <v>Expense</v>
      </c>
      <c r="G964" s="14" t="s">
        <v>365</v>
      </c>
      <c r="H964" s="16">
        <v>7533.4056</v>
      </c>
      <c r="I964" s="16"/>
      <c r="J964" s="16">
        <v>7533.4056</v>
      </c>
      <c r="K964" s="14" t="s">
        <v>225</v>
      </c>
    </row>
    <row r="965" spans="1:11" ht="15" customHeight="1">
      <c r="A965" s="13">
        <v>46023</v>
      </c>
      <c r="B965" s="14" t="s">
        <v>406</v>
      </c>
      <c r="C965" s="19" t="s">
        <v>6</v>
      </c>
      <c r="D965" s="14" t="s">
        <v>28</v>
      </c>
      <c r="E965" s="14" t="str">
        <f>_xlfn.XLOOKUP($D965,'Chart of Accounts'!$A:$A,'Chart of Accounts'!B:B,"")</f>
        <v>Salaries and Wages</v>
      </c>
      <c r="F965" s="14" t="str">
        <f>_xlfn.XLOOKUP($D965,'Chart of Accounts'!$A:$A,'Chart of Accounts'!C:C,"")</f>
        <v>Expense</v>
      </c>
      <c r="G965" s="14" t="s">
        <v>365</v>
      </c>
      <c r="H965" s="16">
        <v>10044.540800000001</v>
      </c>
      <c r="I965" s="16"/>
      <c r="J965" s="16">
        <v>10044.540800000001</v>
      </c>
      <c r="K965" s="14" t="s">
        <v>225</v>
      </c>
    </row>
    <row r="966" spans="1:11" ht="15" customHeight="1">
      <c r="A966" s="13">
        <v>46023</v>
      </c>
      <c r="B966" s="14" t="s">
        <v>406</v>
      </c>
      <c r="C966" s="19" t="s">
        <v>8</v>
      </c>
      <c r="D966" s="14" t="s">
        <v>28</v>
      </c>
      <c r="E966" s="14" t="str">
        <f>_xlfn.XLOOKUP($D966,'Chart of Accounts'!$A:$A,'Chart of Accounts'!B:B,"")</f>
        <v>Salaries and Wages</v>
      </c>
      <c r="F966" s="14" t="str">
        <f>_xlfn.XLOOKUP($D966,'Chart of Accounts'!$A:$A,'Chart of Accounts'!C:C,"")</f>
        <v>Expense</v>
      </c>
      <c r="G966" s="14" t="s">
        <v>365</v>
      </c>
      <c r="H966" s="16">
        <v>10044.540800000001</v>
      </c>
      <c r="I966" s="16"/>
      <c r="J966" s="16">
        <v>10044.540800000001</v>
      </c>
      <c r="K966" s="14" t="s">
        <v>225</v>
      </c>
    </row>
    <row r="967" spans="1:11" ht="15" customHeight="1">
      <c r="A967" s="13">
        <v>46023</v>
      </c>
      <c r="B967" s="14" t="s">
        <v>406</v>
      </c>
      <c r="C967" s="19" t="s">
        <v>10</v>
      </c>
      <c r="D967" s="14" t="s">
        <v>28</v>
      </c>
      <c r="E967" s="14" t="str">
        <f>_xlfn.XLOOKUP($D967,'Chart of Accounts'!$A:$A,'Chart of Accounts'!B:B,"")</f>
        <v>Salaries and Wages</v>
      </c>
      <c r="F967" s="14" t="str">
        <f>_xlfn.XLOOKUP($D967,'Chart of Accounts'!$A:$A,'Chart of Accounts'!C:C,"")</f>
        <v>Expense</v>
      </c>
      <c r="G967" s="14" t="s">
        <v>365</v>
      </c>
      <c r="H967" s="16">
        <v>10044.540800000001</v>
      </c>
      <c r="I967" s="16"/>
      <c r="J967" s="16">
        <v>10044.540800000001</v>
      </c>
      <c r="K967" s="14" t="s">
        <v>225</v>
      </c>
    </row>
    <row r="968" spans="1:11" ht="15" customHeight="1">
      <c r="A968" s="13">
        <v>46023</v>
      </c>
      <c r="B968" s="14" t="s">
        <v>406</v>
      </c>
      <c r="C968" s="19" t="s">
        <v>12</v>
      </c>
      <c r="D968" s="14" t="s">
        <v>28</v>
      </c>
      <c r="E968" s="14" t="str">
        <f>_xlfn.XLOOKUP($D968,'Chart of Accounts'!$A:$A,'Chart of Accounts'!B:B,"")</f>
        <v>Salaries and Wages</v>
      </c>
      <c r="F968" s="14" t="str">
        <f>_xlfn.XLOOKUP($D968,'Chart of Accounts'!$A:$A,'Chart of Accounts'!C:C,"")</f>
        <v>Expense</v>
      </c>
      <c r="G968" s="14" t="s">
        <v>365</v>
      </c>
      <c r="H968" s="16">
        <v>17577.946400000001</v>
      </c>
      <c r="I968" s="16"/>
      <c r="J968" s="16">
        <v>17577.946400000001</v>
      </c>
      <c r="K968" s="14" t="s">
        <v>225</v>
      </c>
    </row>
    <row r="969" spans="1:11" ht="15" customHeight="1">
      <c r="A969" s="13">
        <v>46023</v>
      </c>
      <c r="B969" s="14" t="s">
        <v>406</v>
      </c>
      <c r="C969" s="19" t="s">
        <v>14</v>
      </c>
      <c r="D969" s="14" t="s">
        <v>28</v>
      </c>
      <c r="E969" s="14" t="str">
        <f>_xlfn.XLOOKUP($D969,'Chart of Accounts'!$A:$A,'Chart of Accounts'!B:B,"")</f>
        <v>Salaries and Wages</v>
      </c>
      <c r="F969" s="14" t="str">
        <f>_xlfn.XLOOKUP($D969,'Chart of Accounts'!$A:$A,'Chart of Accounts'!C:C,"")</f>
        <v>Expense</v>
      </c>
      <c r="G969" s="14" t="s">
        <v>365</v>
      </c>
      <c r="H969" s="16">
        <v>20089.081600000001</v>
      </c>
      <c r="I969" s="16"/>
      <c r="J969" s="16">
        <v>20089.081600000001</v>
      </c>
      <c r="K969" s="14" t="s">
        <v>225</v>
      </c>
    </row>
    <row r="970" spans="1:11" ht="15" customHeight="1">
      <c r="A970" s="13">
        <v>46023</v>
      </c>
      <c r="B970" s="14" t="s">
        <v>406</v>
      </c>
      <c r="C970" s="19" t="s">
        <v>16</v>
      </c>
      <c r="D970" s="14" t="s">
        <v>28</v>
      </c>
      <c r="E970" s="14" t="str">
        <f>_xlfn.XLOOKUP($D970,'Chart of Accounts'!$A:$A,'Chart of Accounts'!B:B,"")</f>
        <v>Salaries and Wages</v>
      </c>
      <c r="F970" s="14" t="str">
        <f>_xlfn.XLOOKUP($D970,'Chart of Accounts'!$A:$A,'Chart of Accounts'!C:C,"")</f>
        <v>Expense</v>
      </c>
      <c r="G970" s="14" t="s">
        <v>365</v>
      </c>
      <c r="H970" s="16">
        <v>15066.8112</v>
      </c>
      <c r="I970" s="16"/>
      <c r="J970" s="16">
        <v>15066.8112</v>
      </c>
      <c r="K970" s="14" t="s">
        <v>225</v>
      </c>
    </row>
    <row r="971" spans="1:11" ht="15" customHeight="1">
      <c r="A971" s="13">
        <v>46023</v>
      </c>
      <c r="B971" s="14" t="s">
        <v>406</v>
      </c>
      <c r="C971" s="19" t="s">
        <v>18</v>
      </c>
      <c r="D971" s="14" t="s">
        <v>28</v>
      </c>
      <c r="E971" s="14" t="str">
        <f>_xlfn.XLOOKUP($D971,'Chart of Accounts'!$A:$A,'Chart of Accounts'!B:B,"")</f>
        <v>Salaries and Wages</v>
      </c>
      <c r="F971" s="14" t="str">
        <f>_xlfn.XLOOKUP($D971,'Chart of Accounts'!$A:$A,'Chart of Accounts'!C:C,"")</f>
        <v>Expense</v>
      </c>
      <c r="G971" s="14" t="s">
        <v>365</v>
      </c>
      <c r="H971" s="16">
        <v>15066.8112</v>
      </c>
      <c r="I971" s="16"/>
      <c r="J971" s="16">
        <v>15066.8112</v>
      </c>
      <c r="K971" s="14" t="s">
        <v>225</v>
      </c>
    </row>
    <row r="972" spans="1:11" ht="15" customHeight="1">
      <c r="A972" s="13">
        <v>46023</v>
      </c>
      <c r="B972" s="14" t="s">
        <v>406</v>
      </c>
      <c r="C972" s="19" t="s">
        <v>20</v>
      </c>
      <c r="D972" s="14" t="s">
        <v>28</v>
      </c>
      <c r="E972" s="14" t="str">
        <f>_xlfn.XLOOKUP($D972,'Chart of Accounts'!$A:$A,'Chart of Accounts'!B:B,"")</f>
        <v>Salaries and Wages</v>
      </c>
      <c r="F972" s="14" t="str">
        <f>_xlfn.XLOOKUP($D972,'Chart of Accounts'!$A:$A,'Chart of Accounts'!C:C,"")</f>
        <v>Expense</v>
      </c>
      <c r="G972" s="14" t="s">
        <v>365</v>
      </c>
      <c r="H972" s="16">
        <v>20089.081600000001</v>
      </c>
      <c r="I972" s="16"/>
      <c r="J972" s="16">
        <v>20089.081600000001</v>
      </c>
      <c r="K972" s="14" t="s">
        <v>225</v>
      </c>
    </row>
    <row r="973" spans="1:11" ht="15" customHeight="1">
      <c r="A973" s="13">
        <v>45992</v>
      </c>
      <c r="B973" s="14" t="s">
        <v>407</v>
      </c>
      <c r="C973" s="19" t="s">
        <v>4</v>
      </c>
      <c r="D973" s="14" t="s">
        <v>28</v>
      </c>
      <c r="E973" s="14" t="str">
        <f>_xlfn.XLOOKUP($D973,'Chart of Accounts'!$A:$A,'Chart of Accounts'!B:B,"")</f>
        <v>Salaries and Wages</v>
      </c>
      <c r="F973" s="14" t="str">
        <f>_xlfn.XLOOKUP($D973,'Chart of Accounts'!$A:$A,'Chart of Accounts'!C:C,"")</f>
        <v>Expense</v>
      </c>
      <c r="G973" s="14" t="s">
        <v>365</v>
      </c>
      <c r="H973" s="16">
        <v>7319.7409615384604</v>
      </c>
      <c r="I973" s="16"/>
      <c r="J973" s="16">
        <v>7319.7409615384604</v>
      </c>
      <c r="K973" s="14" t="s">
        <v>225</v>
      </c>
    </row>
    <row r="974" spans="1:11" ht="15" customHeight="1">
      <c r="A974" s="13">
        <v>45992</v>
      </c>
      <c r="B974" s="14" t="s">
        <v>407</v>
      </c>
      <c r="C974" s="19" t="s">
        <v>6</v>
      </c>
      <c r="D974" s="14" t="s">
        <v>28</v>
      </c>
      <c r="E974" s="14" t="str">
        <f>_xlfn.XLOOKUP($D974,'Chart of Accounts'!$A:$A,'Chart of Accounts'!B:B,"")</f>
        <v>Salaries and Wages</v>
      </c>
      <c r="F974" s="14" t="str">
        <f>_xlfn.XLOOKUP($D974,'Chart of Accounts'!$A:$A,'Chart of Accounts'!C:C,"")</f>
        <v>Expense</v>
      </c>
      <c r="G974" s="14" t="s">
        <v>365</v>
      </c>
      <c r="H974" s="16">
        <v>9759.6546153846193</v>
      </c>
      <c r="I974" s="16"/>
      <c r="J974" s="16">
        <v>9759.6546153846193</v>
      </c>
      <c r="K974" s="14" t="s">
        <v>225</v>
      </c>
    </row>
    <row r="975" spans="1:11" ht="15" customHeight="1">
      <c r="A975" s="13">
        <v>45992</v>
      </c>
      <c r="B975" s="14" t="s">
        <v>407</v>
      </c>
      <c r="C975" s="19" t="s">
        <v>8</v>
      </c>
      <c r="D975" s="14" t="s">
        <v>28</v>
      </c>
      <c r="E975" s="14" t="str">
        <f>_xlfn.XLOOKUP($D975,'Chart of Accounts'!$A:$A,'Chart of Accounts'!B:B,"")</f>
        <v>Salaries and Wages</v>
      </c>
      <c r="F975" s="14" t="str">
        <f>_xlfn.XLOOKUP($D975,'Chart of Accounts'!$A:$A,'Chart of Accounts'!C:C,"")</f>
        <v>Expense</v>
      </c>
      <c r="G975" s="14" t="s">
        <v>365</v>
      </c>
      <c r="H975" s="16">
        <v>9759.6546153846193</v>
      </c>
      <c r="I975" s="16"/>
      <c r="J975" s="16">
        <v>9759.6546153846193</v>
      </c>
      <c r="K975" s="14" t="s">
        <v>225</v>
      </c>
    </row>
    <row r="976" spans="1:11" ht="15" customHeight="1">
      <c r="A976" s="13">
        <v>45992</v>
      </c>
      <c r="B976" s="14" t="s">
        <v>407</v>
      </c>
      <c r="C976" s="19" t="s">
        <v>10</v>
      </c>
      <c r="D976" s="14" t="s">
        <v>28</v>
      </c>
      <c r="E976" s="14" t="str">
        <f>_xlfn.XLOOKUP($D976,'Chart of Accounts'!$A:$A,'Chart of Accounts'!B:B,"")</f>
        <v>Salaries and Wages</v>
      </c>
      <c r="F976" s="14" t="str">
        <f>_xlfn.XLOOKUP($D976,'Chart of Accounts'!$A:$A,'Chart of Accounts'!C:C,"")</f>
        <v>Expense</v>
      </c>
      <c r="G976" s="14" t="s">
        <v>365</v>
      </c>
      <c r="H976" s="16">
        <v>9759.6546153846193</v>
      </c>
      <c r="I976" s="16"/>
      <c r="J976" s="16">
        <v>9759.6546153846193</v>
      </c>
      <c r="K976" s="14" t="s">
        <v>225</v>
      </c>
    </row>
    <row r="977" spans="1:11" ht="15" customHeight="1">
      <c r="A977" s="13">
        <v>45992</v>
      </c>
      <c r="B977" s="14" t="s">
        <v>407</v>
      </c>
      <c r="C977" s="19" t="s">
        <v>12</v>
      </c>
      <c r="D977" s="14" t="s">
        <v>28</v>
      </c>
      <c r="E977" s="14" t="str">
        <f>_xlfn.XLOOKUP($D977,'Chart of Accounts'!$A:$A,'Chart of Accounts'!B:B,"")</f>
        <v>Salaries and Wages</v>
      </c>
      <c r="F977" s="14" t="str">
        <f>_xlfn.XLOOKUP($D977,'Chart of Accounts'!$A:$A,'Chart of Accounts'!C:C,"")</f>
        <v>Expense</v>
      </c>
      <c r="G977" s="14" t="s">
        <v>365</v>
      </c>
      <c r="H977" s="16">
        <v>17079.3955769231</v>
      </c>
      <c r="I977" s="16"/>
      <c r="J977" s="16">
        <v>17079.3955769231</v>
      </c>
      <c r="K977" s="14" t="s">
        <v>225</v>
      </c>
    </row>
    <row r="978" spans="1:11" ht="15" customHeight="1">
      <c r="A978" s="13">
        <v>45992</v>
      </c>
      <c r="B978" s="14" t="s">
        <v>407</v>
      </c>
      <c r="C978" s="19" t="s">
        <v>14</v>
      </c>
      <c r="D978" s="14" t="s">
        <v>28</v>
      </c>
      <c r="E978" s="14" t="str">
        <f>_xlfn.XLOOKUP($D978,'Chart of Accounts'!$A:$A,'Chart of Accounts'!B:B,"")</f>
        <v>Salaries and Wages</v>
      </c>
      <c r="F978" s="14" t="str">
        <f>_xlfn.XLOOKUP($D978,'Chart of Accounts'!$A:$A,'Chart of Accounts'!C:C,"")</f>
        <v>Expense</v>
      </c>
      <c r="G978" s="14" t="s">
        <v>365</v>
      </c>
      <c r="H978" s="16">
        <v>19519.309230769199</v>
      </c>
      <c r="I978" s="16"/>
      <c r="J978" s="16">
        <v>19519.309230769199</v>
      </c>
      <c r="K978" s="14" t="s">
        <v>225</v>
      </c>
    </row>
    <row r="979" spans="1:11" ht="15" customHeight="1">
      <c r="A979" s="13">
        <v>45992</v>
      </c>
      <c r="B979" s="14" t="s">
        <v>407</v>
      </c>
      <c r="C979" s="19" t="s">
        <v>16</v>
      </c>
      <c r="D979" s="14" t="s">
        <v>28</v>
      </c>
      <c r="E979" s="14" t="str">
        <f>_xlfn.XLOOKUP($D979,'Chart of Accounts'!$A:$A,'Chart of Accounts'!B:B,"")</f>
        <v>Salaries and Wages</v>
      </c>
      <c r="F979" s="14" t="str">
        <f>_xlfn.XLOOKUP($D979,'Chart of Accounts'!$A:$A,'Chart of Accounts'!C:C,"")</f>
        <v>Expense</v>
      </c>
      <c r="G979" s="14" t="s">
        <v>365</v>
      </c>
      <c r="H979" s="16">
        <v>14639.481923076901</v>
      </c>
      <c r="I979" s="16"/>
      <c r="J979" s="16">
        <v>14639.481923076901</v>
      </c>
      <c r="K979" s="14" t="s">
        <v>225</v>
      </c>
    </row>
    <row r="980" spans="1:11" ht="15" customHeight="1">
      <c r="A980" s="13">
        <v>45992</v>
      </c>
      <c r="B980" s="14" t="s">
        <v>407</v>
      </c>
      <c r="C980" s="19" t="s">
        <v>18</v>
      </c>
      <c r="D980" s="14" t="s">
        <v>28</v>
      </c>
      <c r="E980" s="14" t="str">
        <f>_xlfn.XLOOKUP($D980,'Chart of Accounts'!$A:$A,'Chart of Accounts'!B:B,"")</f>
        <v>Salaries and Wages</v>
      </c>
      <c r="F980" s="14" t="str">
        <f>_xlfn.XLOOKUP($D980,'Chart of Accounts'!$A:$A,'Chart of Accounts'!C:C,"")</f>
        <v>Expense</v>
      </c>
      <c r="G980" s="14" t="s">
        <v>365</v>
      </c>
      <c r="H980" s="16">
        <v>19519.309230769199</v>
      </c>
      <c r="I980" s="16"/>
      <c r="J980" s="16">
        <v>19519.309230769199</v>
      </c>
      <c r="K980" s="14" t="s">
        <v>225</v>
      </c>
    </row>
    <row r="981" spans="1:11" ht="15" customHeight="1">
      <c r="A981" s="13">
        <v>45992</v>
      </c>
      <c r="B981" s="14" t="s">
        <v>407</v>
      </c>
      <c r="C981" s="19" t="s">
        <v>20</v>
      </c>
      <c r="D981" s="14" t="s">
        <v>28</v>
      </c>
      <c r="E981" s="14" t="str">
        <f>_xlfn.XLOOKUP($D981,'Chart of Accounts'!$A:$A,'Chart of Accounts'!B:B,"")</f>
        <v>Salaries and Wages</v>
      </c>
      <c r="F981" s="14" t="str">
        <f>_xlfn.XLOOKUP($D981,'Chart of Accounts'!$A:$A,'Chart of Accounts'!C:C,"")</f>
        <v>Expense</v>
      </c>
      <c r="G981" s="14" t="s">
        <v>365</v>
      </c>
      <c r="H981" s="16">
        <v>19519.309230769199</v>
      </c>
      <c r="I981" s="16"/>
      <c r="J981" s="16">
        <v>19519.309230769199</v>
      </c>
      <c r="K981" s="14" t="s">
        <v>225</v>
      </c>
    </row>
    <row r="982" spans="1:11" ht="15" customHeight="1">
      <c r="A982" s="13">
        <v>45962</v>
      </c>
      <c r="B982" s="14" t="s">
        <v>408</v>
      </c>
      <c r="C982" s="19" t="s">
        <v>4</v>
      </c>
      <c r="D982" s="14" t="s">
        <v>28</v>
      </c>
      <c r="E982" s="14" t="str">
        <f>_xlfn.XLOOKUP($D982,'Chart of Accounts'!$A:$A,'Chart of Accounts'!B:B,"")</f>
        <v>Salaries and Wages</v>
      </c>
      <c r="F982" s="14" t="str">
        <f>_xlfn.XLOOKUP($D982,'Chart of Accounts'!$A:$A,'Chart of Accounts'!C:C,"")</f>
        <v>Expense</v>
      </c>
      <c r="G982" s="14" t="s">
        <v>365</v>
      </c>
      <c r="H982" s="16">
        <v>7195.5351923076896</v>
      </c>
      <c r="I982" s="16"/>
      <c r="J982" s="16">
        <v>7195.5351923076896</v>
      </c>
      <c r="K982" s="14" t="s">
        <v>225</v>
      </c>
    </row>
    <row r="983" spans="1:11" ht="15" customHeight="1">
      <c r="A983" s="13">
        <v>45962</v>
      </c>
      <c r="B983" s="14" t="s">
        <v>408</v>
      </c>
      <c r="C983" s="19" t="s">
        <v>6</v>
      </c>
      <c r="D983" s="14" t="s">
        <v>28</v>
      </c>
      <c r="E983" s="14" t="str">
        <f>_xlfn.XLOOKUP($D983,'Chart of Accounts'!$A:$A,'Chart of Accounts'!B:B,"")</f>
        <v>Salaries and Wages</v>
      </c>
      <c r="F983" s="14" t="str">
        <f>_xlfn.XLOOKUP($D983,'Chart of Accounts'!$A:$A,'Chart of Accounts'!C:C,"")</f>
        <v>Expense</v>
      </c>
      <c r="G983" s="14" t="s">
        <v>365</v>
      </c>
      <c r="H983" s="16">
        <v>9594.0469230769195</v>
      </c>
      <c r="I983" s="16"/>
      <c r="J983" s="16">
        <v>9594.0469230769195</v>
      </c>
      <c r="K983" s="14" t="s">
        <v>225</v>
      </c>
    </row>
    <row r="984" spans="1:11" ht="15" customHeight="1">
      <c r="A984" s="13">
        <v>45962</v>
      </c>
      <c r="B984" s="14" t="s">
        <v>408</v>
      </c>
      <c r="C984" s="19" t="s">
        <v>8</v>
      </c>
      <c r="D984" s="14" t="s">
        <v>28</v>
      </c>
      <c r="E984" s="14" t="str">
        <f>_xlfn.XLOOKUP($D984,'Chart of Accounts'!$A:$A,'Chart of Accounts'!B:B,"")</f>
        <v>Salaries and Wages</v>
      </c>
      <c r="F984" s="14" t="str">
        <f>_xlfn.XLOOKUP($D984,'Chart of Accounts'!$A:$A,'Chart of Accounts'!C:C,"")</f>
        <v>Expense</v>
      </c>
      <c r="G984" s="14" t="s">
        <v>365</v>
      </c>
      <c r="H984" s="16">
        <v>9594.0469230769195</v>
      </c>
      <c r="I984" s="16"/>
      <c r="J984" s="16">
        <v>9594.0469230769195</v>
      </c>
      <c r="K984" s="14" t="s">
        <v>225</v>
      </c>
    </row>
    <row r="985" spans="1:11" ht="15" customHeight="1">
      <c r="A985" s="13">
        <v>45962</v>
      </c>
      <c r="B985" s="14" t="s">
        <v>408</v>
      </c>
      <c r="C985" s="19" t="s">
        <v>10</v>
      </c>
      <c r="D985" s="14" t="s">
        <v>28</v>
      </c>
      <c r="E985" s="14" t="str">
        <f>_xlfn.XLOOKUP($D985,'Chart of Accounts'!$A:$A,'Chart of Accounts'!B:B,"")</f>
        <v>Salaries and Wages</v>
      </c>
      <c r="F985" s="14" t="str">
        <f>_xlfn.XLOOKUP($D985,'Chart of Accounts'!$A:$A,'Chart of Accounts'!C:C,"")</f>
        <v>Expense</v>
      </c>
      <c r="G985" s="14" t="s">
        <v>365</v>
      </c>
      <c r="H985" s="16">
        <v>9594.0469230769195</v>
      </c>
      <c r="I985" s="16"/>
      <c r="J985" s="16">
        <v>9594.0469230769195</v>
      </c>
      <c r="K985" s="14" t="s">
        <v>225</v>
      </c>
    </row>
    <row r="986" spans="1:11" ht="15" customHeight="1">
      <c r="A986" s="13">
        <v>45962</v>
      </c>
      <c r="B986" s="14" t="s">
        <v>408</v>
      </c>
      <c r="C986" s="19" t="s">
        <v>12</v>
      </c>
      <c r="D986" s="14" t="s">
        <v>28</v>
      </c>
      <c r="E986" s="14" t="str">
        <f>_xlfn.XLOOKUP($D986,'Chart of Accounts'!$A:$A,'Chart of Accounts'!B:B,"")</f>
        <v>Salaries and Wages</v>
      </c>
      <c r="F986" s="14" t="str">
        <f>_xlfn.XLOOKUP($D986,'Chart of Accounts'!$A:$A,'Chart of Accounts'!C:C,"")</f>
        <v>Expense</v>
      </c>
      <c r="G986" s="14" t="s">
        <v>365</v>
      </c>
      <c r="H986" s="16">
        <v>16789.582115384601</v>
      </c>
      <c r="I986" s="16"/>
      <c r="J986" s="16">
        <v>16789.582115384601</v>
      </c>
      <c r="K986" s="14" t="s">
        <v>225</v>
      </c>
    </row>
    <row r="987" spans="1:11" ht="15" customHeight="1">
      <c r="A987" s="13">
        <v>45962</v>
      </c>
      <c r="B987" s="14" t="s">
        <v>408</v>
      </c>
      <c r="C987" s="19" t="s">
        <v>14</v>
      </c>
      <c r="D987" s="14" t="s">
        <v>28</v>
      </c>
      <c r="E987" s="14" t="str">
        <f>_xlfn.XLOOKUP($D987,'Chart of Accounts'!$A:$A,'Chart of Accounts'!B:B,"")</f>
        <v>Salaries and Wages</v>
      </c>
      <c r="F987" s="14" t="str">
        <f>_xlfn.XLOOKUP($D987,'Chart of Accounts'!$A:$A,'Chart of Accounts'!C:C,"")</f>
        <v>Expense</v>
      </c>
      <c r="G987" s="14" t="s">
        <v>365</v>
      </c>
      <c r="H987" s="16">
        <v>19188.093846153901</v>
      </c>
      <c r="I987" s="16"/>
      <c r="J987" s="16">
        <v>19188.093846153901</v>
      </c>
      <c r="K987" s="14" t="s">
        <v>225</v>
      </c>
    </row>
    <row r="988" spans="1:11" ht="15" customHeight="1">
      <c r="A988" s="13">
        <v>45962</v>
      </c>
      <c r="B988" s="14" t="s">
        <v>408</v>
      </c>
      <c r="C988" s="19" t="s">
        <v>16</v>
      </c>
      <c r="D988" s="14" t="s">
        <v>28</v>
      </c>
      <c r="E988" s="14" t="str">
        <f>_xlfn.XLOOKUP($D988,'Chart of Accounts'!$A:$A,'Chart of Accounts'!B:B,"")</f>
        <v>Salaries and Wages</v>
      </c>
      <c r="F988" s="14" t="str">
        <f>_xlfn.XLOOKUP($D988,'Chart of Accounts'!$A:$A,'Chart of Accounts'!C:C,"")</f>
        <v>Expense</v>
      </c>
      <c r="G988" s="14" t="s">
        <v>365</v>
      </c>
      <c r="H988" s="16">
        <v>14391.070384615399</v>
      </c>
      <c r="I988" s="16"/>
      <c r="J988" s="16">
        <v>14391.070384615399</v>
      </c>
      <c r="K988" s="14" t="s">
        <v>225</v>
      </c>
    </row>
    <row r="989" spans="1:11" ht="15" customHeight="1">
      <c r="A989" s="13">
        <v>45962</v>
      </c>
      <c r="B989" s="14" t="s">
        <v>408</v>
      </c>
      <c r="C989" s="19" t="s">
        <v>18</v>
      </c>
      <c r="D989" s="14" t="s">
        <v>28</v>
      </c>
      <c r="E989" s="14" t="str">
        <f>_xlfn.XLOOKUP($D989,'Chart of Accounts'!$A:$A,'Chart of Accounts'!B:B,"")</f>
        <v>Salaries and Wages</v>
      </c>
      <c r="F989" s="14" t="str">
        <f>_xlfn.XLOOKUP($D989,'Chart of Accounts'!$A:$A,'Chart of Accounts'!C:C,"")</f>
        <v>Expense</v>
      </c>
      <c r="G989" s="14" t="s">
        <v>365</v>
      </c>
      <c r="H989" s="16">
        <v>19188.093846153901</v>
      </c>
      <c r="I989" s="16"/>
      <c r="J989" s="16">
        <v>19188.093846153901</v>
      </c>
      <c r="K989" s="14" t="s">
        <v>225</v>
      </c>
    </row>
    <row r="990" spans="1:11" ht="15" customHeight="1">
      <c r="A990" s="13">
        <v>45962</v>
      </c>
      <c r="B990" s="14" t="s">
        <v>408</v>
      </c>
      <c r="C990" s="19" t="s">
        <v>20</v>
      </c>
      <c r="D990" s="14" t="s">
        <v>28</v>
      </c>
      <c r="E990" s="14" t="str">
        <f>_xlfn.XLOOKUP($D990,'Chart of Accounts'!$A:$A,'Chart of Accounts'!B:B,"")</f>
        <v>Salaries and Wages</v>
      </c>
      <c r="F990" s="14" t="str">
        <f>_xlfn.XLOOKUP($D990,'Chart of Accounts'!$A:$A,'Chart of Accounts'!C:C,"")</f>
        <v>Expense</v>
      </c>
      <c r="G990" s="14" t="s">
        <v>365</v>
      </c>
      <c r="H990" s="16">
        <v>19188.093846153901</v>
      </c>
      <c r="I990" s="16"/>
      <c r="J990" s="16">
        <v>19188.093846153901</v>
      </c>
      <c r="K990" s="14" t="s">
        <v>225</v>
      </c>
    </row>
    <row r="991" spans="1:11" ht="15" customHeight="1">
      <c r="A991" s="13">
        <v>45931</v>
      </c>
      <c r="B991" s="14" t="s">
        <v>409</v>
      </c>
      <c r="C991" s="19" t="s">
        <v>4</v>
      </c>
      <c r="D991" s="14" t="s">
        <v>28</v>
      </c>
      <c r="E991" s="14" t="str">
        <f>_xlfn.XLOOKUP($D991,'Chart of Accounts'!$A:$A,'Chart of Accounts'!B:B,"")</f>
        <v>Salaries and Wages</v>
      </c>
      <c r="F991" s="14" t="str">
        <f>_xlfn.XLOOKUP($D991,'Chart of Accounts'!$A:$A,'Chart of Accounts'!C:C,"")</f>
        <v>Expense</v>
      </c>
      <c r="G991" s="14" t="s">
        <v>365</v>
      </c>
      <c r="H991" s="16">
        <v>7746.1080000000002</v>
      </c>
      <c r="I991" s="16"/>
      <c r="J991" s="16">
        <v>7746.1080000000002</v>
      </c>
      <c r="K991" s="14" t="s">
        <v>225</v>
      </c>
    </row>
    <row r="992" spans="1:11" ht="15" customHeight="1">
      <c r="A992" s="13">
        <v>45931</v>
      </c>
      <c r="B992" s="14" t="s">
        <v>409</v>
      </c>
      <c r="C992" s="19" t="s">
        <v>6</v>
      </c>
      <c r="D992" s="14" t="s">
        <v>28</v>
      </c>
      <c r="E992" s="14" t="str">
        <f>_xlfn.XLOOKUP($D992,'Chart of Accounts'!$A:$A,'Chart of Accounts'!B:B,"")</f>
        <v>Salaries and Wages</v>
      </c>
      <c r="F992" s="14" t="str">
        <f>_xlfn.XLOOKUP($D992,'Chart of Accounts'!$A:$A,'Chart of Accounts'!C:C,"")</f>
        <v>Expense</v>
      </c>
      <c r="G992" s="14" t="s">
        <v>365</v>
      </c>
      <c r="H992" s="16">
        <v>10328.144</v>
      </c>
      <c r="I992" s="16"/>
      <c r="J992" s="16">
        <v>10328.144</v>
      </c>
      <c r="K992" s="14" t="s">
        <v>225</v>
      </c>
    </row>
    <row r="993" spans="1:11" ht="15" customHeight="1">
      <c r="A993" s="13">
        <v>45931</v>
      </c>
      <c r="B993" s="14" t="s">
        <v>409</v>
      </c>
      <c r="C993" s="19" t="s">
        <v>8</v>
      </c>
      <c r="D993" s="14" t="s">
        <v>28</v>
      </c>
      <c r="E993" s="14" t="str">
        <f>_xlfn.XLOOKUP($D993,'Chart of Accounts'!$A:$A,'Chart of Accounts'!B:B,"")</f>
        <v>Salaries and Wages</v>
      </c>
      <c r="F993" s="14" t="str">
        <f>_xlfn.XLOOKUP($D993,'Chart of Accounts'!$A:$A,'Chart of Accounts'!C:C,"")</f>
        <v>Expense</v>
      </c>
      <c r="G993" s="14" t="s">
        <v>365</v>
      </c>
      <c r="H993" s="16">
        <v>10328.144</v>
      </c>
      <c r="I993" s="16"/>
      <c r="J993" s="16">
        <v>10328.144</v>
      </c>
      <c r="K993" s="14" t="s">
        <v>225</v>
      </c>
    </row>
    <row r="994" spans="1:11" ht="15" customHeight="1">
      <c r="A994" s="13">
        <v>45931</v>
      </c>
      <c r="B994" s="14" t="s">
        <v>409</v>
      </c>
      <c r="C994" s="19" t="s">
        <v>10</v>
      </c>
      <c r="D994" s="14" t="s">
        <v>28</v>
      </c>
      <c r="E994" s="14" t="str">
        <f>_xlfn.XLOOKUP($D994,'Chart of Accounts'!$A:$A,'Chart of Accounts'!B:B,"")</f>
        <v>Salaries and Wages</v>
      </c>
      <c r="F994" s="14" t="str">
        <f>_xlfn.XLOOKUP($D994,'Chart of Accounts'!$A:$A,'Chart of Accounts'!C:C,"")</f>
        <v>Expense</v>
      </c>
      <c r="G994" s="14" t="s">
        <v>365</v>
      </c>
      <c r="H994" s="16">
        <v>10328.144</v>
      </c>
      <c r="I994" s="16"/>
      <c r="J994" s="16">
        <v>10328.144</v>
      </c>
      <c r="K994" s="14" t="s">
        <v>225</v>
      </c>
    </row>
    <row r="995" spans="1:11" ht="15" customHeight="1">
      <c r="A995" s="13">
        <v>45931</v>
      </c>
      <c r="B995" s="14" t="s">
        <v>409</v>
      </c>
      <c r="C995" s="19" t="s">
        <v>12</v>
      </c>
      <c r="D995" s="14" t="s">
        <v>28</v>
      </c>
      <c r="E995" s="14" t="str">
        <f>_xlfn.XLOOKUP($D995,'Chart of Accounts'!$A:$A,'Chart of Accounts'!B:B,"")</f>
        <v>Salaries and Wages</v>
      </c>
      <c r="F995" s="14" t="str">
        <f>_xlfn.XLOOKUP($D995,'Chart of Accounts'!$A:$A,'Chart of Accounts'!C:C,"")</f>
        <v>Expense</v>
      </c>
      <c r="G995" s="14" t="s">
        <v>365</v>
      </c>
      <c r="H995" s="16">
        <v>12910.18</v>
      </c>
      <c r="I995" s="16"/>
      <c r="J995" s="16">
        <v>12910.18</v>
      </c>
      <c r="K995" s="14" t="s">
        <v>225</v>
      </c>
    </row>
    <row r="996" spans="1:11" ht="15" customHeight="1">
      <c r="A996" s="13">
        <v>45931</v>
      </c>
      <c r="B996" s="14" t="s">
        <v>409</v>
      </c>
      <c r="C996" s="19" t="s">
        <v>14</v>
      </c>
      <c r="D996" s="14" t="s">
        <v>28</v>
      </c>
      <c r="E996" s="14" t="str">
        <f>_xlfn.XLOOKUP($D996,'Chart of Accounts'!$A:$A,'Chart of Accounts'!B:B,"")</f>
        <v>Salaries and Wages</v>
      </c>
      <c r="F996" s="14" t="str">
        <f>_xlfn.XLOOKUP($D996,'Chart of Accounts'!$A:$A,'Chart of Accounts'!C:C,"")</f>
        <v>Expense</v>
      </c>
      <c r="G996" s="14" t="s">
        <v>365</v>
      </c>
      <c r="H996" s="16">
        <v>20656.288</v>
      </c>
      <c r="I996" s="16"/>
      <c r="J996" s="16">
        <v>20656.288</v>
      </c>
      <c r="K996" s="14" t="s">
        <v>225</v>
      </c>
    </row>
    <row r="997" spans="1:11" ht="15" customHeight="1">
      <c r="A997" s="13">
        <v>45931</v>
      </c>
      <c r="B997" s="14" t="s">
        <v>409</v>
      </c>
      <c r="C997" s="19" t="s">
        <v>16</v>
      </c>
      <c r="D997" s="14" t="s">
        <v>28</v>
      </c>
      <c r="E997" s="14" t="str">
        <f>_xlfn.XLOOKUP($D997,'Chart of Accounts'!$A:$A,'Chart of Accounts'!B:B,"")</f>
        <v>Salaries and Wages</v>
      </c>
      <c r="F997" s="14" t="str">
        <f>_xlfn.XLOOKUP($D997,'Chart of Accounts'!$A:$A,'Chart of Accounts'!C:C,"")</f>
        <v>Expense</v>
      </c>
      <c r="G997" s="14" t="s">
        <v>365</v>
      </c>
      <c r="H997" s="16">
        <v>15492.216</v>
      </c>
      <c r="I997" s="16"/>
      <c r="J997" s="16">
        <v>15492.216</v>
      </c>
      <c r="K997" s="14" t="s">
        <v>225</v>
      </c>
    </row>
    <row r="998" spans="1:11" ht="15" customHeight="1">
      <c r="A998" s="13">
        <v>45931</v>
      </c>
      <c r="B998" s="14" t="s">
        <v>409</v>
      </c>
      <c r="C998" s="19" t="s">
        <v>18</v>
      </c>
      <c r="D998" s="14" t="s">
        <v>28</v>
      </c>
      <c r="E998" s="14" t="str">
        <f>_xlfn.XLOOKUP($D998,'Chart of Accounts'!$A:$A,'Chart of Accounts'!B:B,"")</f>
        <v>Salaries and Wages</v>
      </c>
      <c r="F998" s="14" t="str">
        <f>_xlfn.XLOOKUP($D998,'Chart of Accounts'!$A:$A,'Chart of Accounts'!C:C,"")</f>
        <v>Expense</v>
      </c>
      <c r="G998" s="14" t="s">
        <v>365</v>
      </c>
      <c r="H998" s="16">
        <v>20656.288</v>
      </c>
      <c r="I998" s="16"/>
      <c r="J998" s="16">
        <v>20656.288</v>
      </c>
      <c r="K998" s="14" t="s">
        <v>225</v>
      </c>
    </row>
    <row r="999" spans="1:11" ht="15" customHeight="1">
      <c r="A999" s="13">
        <v>45931</v>
      </c>
      <c r="B999" s="14" t="s">
        <v>409</v>
      </c>
      <c r="C999" s="19" t="s">
        <v>20</v>
      </c>
      <c r="D999" s="14" t="s">
        <v>28</v>
      </c>
      <c r="E999" s="14" t="str">
        <f>_xlfn.XLOOKUP($D999,'Chart of Accounts'!$A:$A,'Chart of Accounts'!B:B,"")</f>
        <v>Salaries and Wages</v>
      </c>
      <c r="F999" s="14" t="str">
        <f>_xlfn.XLOOKUP($D999,'Chart of Accounts'!$A:$A,'Chart of Accounts'!C:C,"")</f>
        <v>Expense</v>
      </c>
      <c r="G999" s="14" t="s">
        <v>365</v>
      </c>
      <c r="H999" s="16">
        <v>20656.288</v>
      </c>
      <c r="I999" s="16"/>
      <c r="J999" s="16">
        <v>20656.288</v>
      </c>
      <c r="K999" s="14" t="s">
        <v>225</v>
      </c>
    </row>
    <row r="1000" spans="1:11" ht="15" customHeight="1">
      <c r="A1000" s="13">
        <v>45901</v>
      </c>
      <c r="B1000" s="14" t="s">
        <v>410</v>
      </c>
      <c r="C1000" s="19" t="s">
        <v>4</v>
      </c>
      <c r="D1000" s="14" t="s">
        <v>28</v>
      </c>
      <c r="E1000" s="14" t="str">
        <f>_xlfn.XLOOKUP($D1000,'Chart of Accounts'!$A:$A,'Chart of Accounts'!B:B,"")</f>
        <v>Salaries and Wages</v>
      </c>
      <c r="F1000" s="14" t="str">
        <f>_xlfn.XLOOKUP($D1000,'Chart of Accounts'!$A:$A,'Chart of Accounts'!C:C,"")</f>
        <v>Expense</v>
      </c>
      <c r="G1000" s="14" t="s">
        <v>365</v>
      </c>
      <c r="H1000" s="16">
        <v>7682.1797999999999</v>
      </c>
      <c r="I1000" s="16"/>
      <c r="J1000" s="16">
        <v>7682.1797999999999</v>
      </c>
      <c r="K1000" s="14" t="s">
        <v>225</v>
      </c>
    </row>
    <row r="1001" spans="1:11" ht="15" customHeight="1">
      <c r="A1001" s="13">
        <v>45901</v>
      </c>
      <c r="B1001" s="14" t="s">
        <v>410</v>
      </c>
      <c r="C1001" s="19" t="s">
        <v>6</v>
      </c>
      <c r="D1001" s="14" t="s">
        <v>28</v>
      </c>
      <c r="E1001" s="14" t="str">
        <f>_xlfn.XLOOKUP($D1001,'Chart of Accounts'!$A:$A,'Chart of Accounts'!B:B,"")</f>
        <v>Salaries and Wages</v>
      </c>
      <c r="F1001" s="14" t="str">
        <f>_xlfn.XLOOKUP($D1001,'Chart of Accounts'!$A:$A,'Chart of Accounts'!C:C,"")</f>
        <v>Expense</v>
      </c>
      <c r="G1001" s="14" t="s">
        <v>365</v>
      </c>
      <c r="H1001" s="16">
        <v>10242.9064</v>
      </c>
      <c r="I1001" s="16"/>
      <c r="J1001" s="16">
        <v>10242.9064</v>
      </c>
      <c r="K1001" s="14" t="s">
        <v>225</v>
      </c>
    </row>
    <row r="1002" spans="1:11" ht="15" customHeight="1">
      <c r="A1002" s="13">
        <v>45901</v>
      </c>
      <c r="B1002" s="14" t="s">
        <v>410</v>
      </c>
      <c r="C1002" s="19" t="s">
        <v>8</v>
      </c>
      <c r="D1002" s="14" t="s">
        <v>28</v>
      </c>
      <c r="E1002" s="14" t="str">
        <f>_xlfn.XLOOKUP($D1002,'Chart of Accounts'!$A:$A,'Chart of Accounts'!B:B,"")</f>
        <v>Salaries and Wages</v>
      </c>
      <c r="F1002" s="14" t="str">
        <f>_xlfn.XLOOKUP($D1002,'Chart of Accounts'!$A:$A,'Chart of Accounts'!C:C,"")</f>
        <v>Expense</v>
      </c>
      <c r="G1002" s="14" t="s">
        <v>365</v>
      </c>
      <c r="H1002" s="16">
        <v>10242.9064</v>
      </c>
      <c r="I1002" s="16"/>
      <c r="J1002" s="16">
        <v>10242.9064</v>
      </c>
      <c r="K1002" s="14" t="s">
        <v>225</v>
      </c>
    </row>
    <row r="1003" spans="1:11" ht="15" customHeight="1">
      <c r="A1003" s="13">
        <v>45901</v>
      </c>
      <c r="B1003" s="14" t="s">
        <v>410</v>
      </c>
      <c r="C1003" s="19" t="s">
        <v>10</v>
      </c>
      <c r="D1003" s="14" t="s">
        <v>28</v>
      </c>
      <c r="E1003" s="14" t="str">
        <f>_xlfn.XLOOKUP($D1003,'Chart of Accounts'!$A:$A,'Chart of Accounts'!B:B,"")</f>
        <v>Salaries and Wages</v>
      </c>
      <c r="F1003" s="14" t="str">
        <f>_xlfn.XLOOKUP($D1003,'Chart of Accounts'!$A:$A,'Chart of Accounts'!C:C,"")</f>
        <v>Expense</v>
      </c>
      <c r="G1003" s="14" t="s">
        <v>365</v>
      </c>
      <c r="H1003" s="16">
        <v>10242.9064</v>
      </c>
      <c r="I1003" s="16"/>
      <c r="J1003" s="16">
        <v>10242.9064</v>
      </c>
      <c r="K1003" s="14" t="s">
        <v>225</v>
      </c>
    </row>
    <row r="1004" spans="1:11" ht="15" customHeight="1">
      <c r="A1004" s="13">
        <v>45901</v>
      </c>
      <c r="B1004" s="14" t="s">
        <v>410</v>
      </c>
      <c r="C1004" s="19" t="s">
        <v>12</v>
      </c>
      <c r="D1004" s="14" t="s">
        <v>28</v>
      </c>
      <c r="E1004" s="14" t="str">
        <f>_xlfn.XLOOKUP($D1004,'Chart of Accounts'!$A:$A,'Chart of Accounts'!B:B,"")</f>
        <v>Salaries and Wages</v>
      </c>
      <c r="F1004" s="14" t="str">
        <f>_xlfn.XLOOKUP($D1004,'Chart of Accounts'!$A:$A,'Chart of Accounts'!C:C,"")</f>
        <v>Expense</v>
      </c>
      <c r="G1004" s="14" t="s">
        <v>365</v>
      </c>
      <c r="H1004" s="16">
        <v>17925.086200000002</v>
      </c>
      <c r="I1004" s="16"/>
      <c r="J1004" s="16">
        <v>17925.086200000002</v>
      </c>
      <c r="K1004" s="14" t="s">
        <v>225</v>
      </c>
    </row>
    <row r="1005" spans="1:11" ht="15" customHeight="1">
      <c r="A1005" s="13">
        <v>45901</v>
      </c>
      <c r="B1005" s="14" t="s">
        <v>410</v>
      </c>
      <c r="C1005" s="19" t="s">
        <v>14</v>
      </c>
      <c r="D1005" s="14" t="s">
        <v>28</v>
      </c>
      <c r="E1005" s="14" t="str">
        <f>_xlfn.XLOOKUP($D1005,'Chart of Accounts'!$A:$A,'Chart of Accounts'!B:B,"")</f>
        <v>Salaries and Wages</v>
      </c>
      <c r="F1005" s="14" t="str">
        <f>_xlfn.XLOOKUP($D1005,'Chart of Accounts'!$A:$A,'Chart of Accounts'!C:C,"")</f>
        <v>Expense</v>
      </c>
      <c r="G1005" s="14" t="s">
        <v>365</v>
      </c>
      <c r="H1005" s="16">
        <v>15364.3596</v>
      </c>
      <c r="I1005" s="16"/>
      <c r="J1005" s="16">
        <v>15364.3596</v>
      </c>
      <c r="K1005" s="14" t="s">
        <v>225</v>
      </c>
    </row>
    <row r="1006" spans="1:11" ht="15" customHeight="1">
      <c r="A1006" s="13">
        <v>45901</v>
      </c>
      <c r="B1006" s="14" t="s">
        <v>410</v>
      </c>
      <c r="C1006" s="19" t="s">
        <v>16</v>
      </c>
      <c r="D1006" s="14" t="s">
        <v>28</v>
      </c>
      <c r="E1006" s="14" t="str">
        <f>_xlfn.XLOOKUP($D1006,'Chart of Accounts'!$A:$A,'Chart of Accounts'!B:B,"")</f>
        <v>Salaries and Wages</v>
      </c>
      <c r="F1006" s="14" t="str">
        <f>_xlfn.XLOOKUP($D1006,'Chart of Accounts'!$A:$A,'Chart of Accounts'!C:C,"")</f>
        <v>Expense</v>
      </c>
      <c r="G1006" s="14" t="s">
        <v>365</v>
      </c>
      <c r="H1006" s="16">
        <v>15364.3596</v>
      </c>
      <c r="I1006" s="16"/>
      <c r="J1006" s="16">
        <v>15364.3596</v>
      </c>
      <c r="K1006" s="14" t="s">
        <v>225</v>
      </c>
    </row>
    <row r="1007" spans="1:11" ht="15" customHeight="1">
      <c r="A1007" s="13">
        <v>45901</v>
      </c>
      <c r="B1007" s="14" t="s">
        <v>410</v>
      </c>
      <c r="C1007" s="19" t="s">
        <v>18</v>
      </c>
      <c r="D1007" s="14" t="s">
        <v>28</v>
      </c>
      <c r="E1007" s="14" t="str">
        <f>_xlfn.XLOOKUP($D1007,'Chart of Accounts'!$A:$A,'Chart of Accounts'!B:B,"")</f>
        <v>Salaries and Wages</v>
      </c>
      <c r="F1007" s="14" t="str">
        <f>_xlfn.XLOOKUP($D1007,'Chart of Accounts'!$A:$A,'Chart of Accounts'!C:C,"")</f>
        <v>Expense</v>
      </c>
      <c r="G1007" s="14" t="s">
        <v>365</v>
      </c>
      <c r="H1007" s="16">
        <v>20485.8128</v>
      </c>
      <c r="I1007" s="16"/>
      <c r="J1007" s="16">
        <v>20485.8128</v>
      </c>
      <c r="K1007" s="14" t="s">
        <v>225</v>
      </c>
    </row>
    <row r="1008" spans="1:11" ht="15" customHeight="1">
      <c r="A1008" s="13">
        <v>45901</v>
      </c>
      <c r="B1008" s="14" t="s">
        <v>410</v>
      </c>
      <c r="C1008" s="19" t="s">
        <v>20</v>
      </c>
      <c r="D1008" s="14" t="s">
        <v>28</v>
      </c>
      <c r="E1008" s="14" t="str">
        <f>_xlfn.XLOOKUP($D1008,'Chart of Accounts'!$A:$A,'Chart of Accounts'!B:B,"")</f>
        <v>Salaries and Wages</v>
      </c>
      <c r="F1008" s="14" t="str">
        <f>_xlfn.XLOOKUP($D1008,'Chart of Accounts'!$A:$A,'Chart of Accounts'!C:C,"")</f>
        <v>Expense</v>
      </c>
      <c r="G1008" s="14" t="s">
        <v>365</v>
      </c>
      <c r="H1008" s="16">
        <v>20485.8128</v>
      </c>
      <c r="I1008" s="16"/>
      <c r="J1008" s="16">
        <v>20485.8128</v>
      </c>
      <c r="K1008" s="14" t="s">
        <v>225</v>
      </c>
    </row>
    <row r="1009" spans="1:11" ht="15" customHeight="1">
      <c r="A1009" s="13">
        <v>45870</v>
      </c>
      <c r="B1009" s="14" t="s">
        <v>411</v>
      </c>
      <c r="C1009" s="19" t="s">
        <v>4</v>
      </c>
      <c r="D1009" s="14" t="s">
        <v>28</v>
      </c>
      <c r="E1009" s="14" t="str">
        <f>_xlfn.XLOOKUP($D1009,'Chart of Accounts'!$A:$A,'Chart of Accounts'!B:B,"")</f>
        <v>Salaries and Wages</v>
      </c>
      <c r="F1009" s="14" t="str">
        <f>_xlfn.XLOOKUP($D1009,'Chart of Accounts'!$A:$A,'Chart of Accounts'!C:C,"")</f>
        <v>Expense</v>
      </c>
      <c r="G1009" s="14" t="s">
        <v>365</v>
      </c>
      <c r="H1009" s="16">
        <v>7479.4224000000004</v>
      </c>
      <c r="I1009" s="16"/>
      <c r="J1009" s="16">
        <v>7479.4224000000004</v>
      </c>
      <c r="K1009" s="14" t="s">
        <v>225</v>
      </c>
    </row>
    <row r="1010" spans="1:11" ht="15" customHeight="1">
      <c r="A1010" s="13">
        <v>45870</v>
      </c>
      <c r="B1010" s="14" t="s">
        <v>411</v>
      </c>
      <c r="C1010" s="19" t="s">
        <v>6</v>
      </c>
      <c r="D1010" s="14" t="s">
        <v>28</v>
      </c>
      <c r="E1010" s="14" t="str">
        <f>_xlfn.XLOOKUP($D1010,'Chart of Accounts'!$A:$A,'Chart of Accounts'!B:B,"")</f>
        <v>Salaries and Wages</v>
      </c>
      <c r="F1010" s="14" t="str">
        <f>_xlfn.XLOOKUP($D1010,'Chart of Accounts'!$A:$A,'Chart of Accounts'!C:C,"")</f>
        <v>Expense</v>
      </c>
      <c r="G1010" s="14" t="s">
        <v>365</v>
      </c>
      <c r="H1010" s="16">
        <v>9972.5632000000005</v>
      </c>
      <c r="I1010" s="16"/>
      <c r="J1010" s="16">
        <v>9972.5632000000005</v>
      </c>
      <c r="K1010" s="14" t="s">
        <v>225</v>
      </c>
    </row>
    <row r="1011" spans="1:11" ht="15" customHeight="1">
      <c r="A1011" s="13">
        <v>45870</v>
      </c>
      <c r="B1011" s="14" t="s">
        <v>411</v>
      </c>
      <c r="C1011" s="19" t="s">
        <v>8</v>
      </c>
      <c r="D1011" s="14" t="s">
        <v>28</v>
      </c>
      <c r="E1011" s="14" t="str">
        <f>_xlfn.XLOOKUP($D1011,'Chart of Accounts'!$A:$A,'Chart of Accounts'!B:B,"")</f>
        <v>Salaries and Wages</v>
      </c>
      <c r="F1011" s="14" t="str">
        <f>_xlfn.XLOOKUP($D1011,'Chart of Accounts'!$A:$A,'Chart of Accounts'!C:C,"")</f>
        <v>Expense</v>
      </c>
      <c r="G1011" s="14" t="s">
        <v>365</v>
      </c>
      <c r="H1011" s="16">
        <v>9972.5632000000005</v>
      </c>
      <c r="I1011" s="16"/>
      <c r="J1011" s="16">
        <v>9972.5632000000005</v>
      </c>
      <c r="K1011" s="14" t="s">
        <v>225</v>
      </c>
    </row>
    <row r="1012" spans="1:11" ht="15" customHeight="1">
      <c r="A1012" s="13">
        <v>45870</v>
      </c>
      <c r="B1012" s="14" t="s">
        <v>411</v>
      </c>
      <c r="C1012" s="19" t="s">
        <v>10</v>
      </c>
      <c r="D1012" s="14" t="s">
        <v>28</v>
      </c>
      <c r="E1012" s="14" t="str">
        <f>_xlfn.XLOOKUP($D1012,'Chart of Accounts'!$A:$A,'Chart of Accounts'!B:B,"")</f>
        <v>Salaries and Wages</v>
      </c>
      <c r="F1012" s="14" t="str">
        <f>_xlfn.XLOOKUP($D1012,'Chart of Accounts'!$A:$A,'Chart of Accounts'!C:C,"")</f>
        <v>Expense</v>
      </c>
      <c r="G1012" s="14" t="s">
        <v>365</v>
      </c>
      <c r="H1012" s="16">
        <v>9972.5632000000005</v>
      </c>
      <c r="I1012" s="16"/>
      <c r="J1012" s="16">
        <v>9972.5632000000005</v>
      </c>
      <c r="K1012" s="14" t="s">
        <v>225</v>
      </c>
    </row>
    <row r="1013" spans="1:11" ht="15" customHeight="1">
      <c r="A1013" s="13">
        <v>45870</v>
      </c>
      <c r="B1013" s="14" t="s">
        <v>411</v>
      </c>
      <c r="C1013" s="19" t="s">
        <v>12</v>
      </c>
      <c r="D1013" s="14" t="s">
        <v>28</v>
      </c>
      <c r="E1013" s="14" t="str">
        <f>_xlfn.XLOOKUP($D1013,'Chart of Accounts'!$A:$A,'Chart of Accounts'!B:B,"")</f>
        <v>Salaries and Wages</v>
      </c>
      <c r="F1013" s="14" t="str">
        <f>_xlfn.XLOOKUP($D1013,'Chart of Accounts'!$A:$A,'Chart of Accounts'!C:C,"")</f>
        <v>Expense</v>
      </c>
      <c r="G1013" s="14" t="s">
        <v>365</v>
      </c>
      <c r="H1013" s="16">
        <v>17451.9856</v>
      </c>
      <c r="I1013" s="16"/>
      <c r="J1013" s="16">
        <v>17451.9856</v>
      </c>
      <c r="K1013" s="14" t="s">
        <v>225</v>
      </c>
    </row>
    <row r="1014" spans="1:11" ht="15" customHeight="1">
      <c r="A1014" s="13">
        <v>45870</v>
      </c>
      <c r="B1014" s="14" t="s">
        <v>411</v>
      </c>
      <c r="C1014" s="19" t="s">
        <v>14</v>
      </c>
      <c r="D1014" s="14" t="s">
        <v>28</v>
      </c>
      <c r="E1014" s="14" t="str">
        <f>_xlfn.XLOOKUP($D1014,'Chart of Accounts'!$A:$A,'Chart of Accounts'!B:B,"")</f>
        <v>Salaries and Wages</v>
      </c>
      <c r="F1014" s="14" t="str">
        <f>_xlfn.XLOOKUP($D1014,'Chart of Accounts'!$A:$A,'Chart of Accounts'!C:C,"")</f>
        <v>Expense</v>
      </c>
      <c r="G1014" s="14" t="s">
        <v>365</v>
      </c>
      <c r="H1014" s="16">
        <v>14958.844800000001</v>
      </c>
      <c r="I1014" s="16"/>
      <c r="J1014" s="16">
        <v>14958.844800000001</v>
      </c>
      <c r="K1014" s="14" t="s">
        <v>225</v>
      </c>
    </row>
    <row r="1015" spans="1:11" ht="15" customHeight="1">
      <c r="A1015" s="13">
        <v>45870</v>
      </c>
      <c r="B1015" s="14" t="s">
        <v>411</v>
      </c>
      <c r="C1015" s="19" t="s">
        <v>16</v>
      </c>
      <c r="D1015" s="14" t="s">
        <v>28</v>
      </c>
      <c r="E1015" s="14" t="str">
        <f>_xlfn.XLOOKUP($D1015,'Chart of Accounts'!$A:$A,'Chart of Accounts'!B:B,"")</f>
        <v>Salaries and Wages</v>
      </c>
      <c r="F1015" s="14" t="str">
        <f>_xlfn.XLOOKUP($D1015,'Chart of Accounts'!$A:$A,'Chart of Accounts'!C:C,"")</f>
        <v>Expense</v>
      </c>
      <c r="G1015" s="14" t="s">
        <v>365</v>
      </c>
      <c r="H1015" s="16">
        <v>14958.844800000001</v>
      </c>
      <c r="I1015" s="16"/>
      <c r="J1015" s="16">
        <v>14958.844800000001</v>
      </c>
      <c r="K1015" s="14" t="s">
        <v>225</v>
      </c>
    </row>
    <row r="1016" spans="1:11" ht="15" customHeight="1">
      <c r="A1016" s="13">
        <v>45870</v>
      </c>
      <c r="B1016" s="14" t="s">
        <v>411</v>
      </c>
      <c r="C1016" s="19" t="s">
        <v>18</v>
      </c>
      <c r="D1016" s="14" t="s">
        <v>28</v>
      </c>
      <c r="E1016" s="14" t="str">
        <f>_xlfn.XLOOKUP($D1016,'Chart of Accounts'!$A:$A,'Chart of Accounts'!B:B,"")</f>
        <v>Salaries and Wages</v>
      </c>
      <c r="F1016" s="14" t="str">
        <f>_xlfn.XLOOKUP($D1016,'Chart of Accounts'!$A:$A,'Chart of Accounts'!C:C,"")</f>
        <v>Expense</v>
      </c>
      <c r="G1016" s="14" t="s">
        <v>365</v>
      </c>
      <c r="H1016" s="16">
        <v>19945.126400000001</v>
      </c>
      <c r="I1016" s="16"/>
      <c r="J1016" s="16">
        <v>19945.126400000001</v>
      </c>
      <c r="K1016" s="14" t="s">
        <v>225</v>
      </c>
    </row>
    <row r="1017" spans="1:11" ht="15" customHeight="1">
      <c r="A1017" s="13">
        <v>45870</v>
      </c>
      <c r="B1017" s="14" t="s">
        <v>411</v>
      </c>
      <c r="C1017" s="19" t="s">
        <v>20</v>
      </c>
      <c r="D1017" s="14" t="s">
        <v>28</v>
      </c>
      <c r="E1017" s="14" t="str">
        <f>_xlfn.XLOOKUP($D1017,'Chart of Accounts'!$A:$A,'Chart of Accounts'!B:B,"")</f>
        <v>Salaries and Wages</v>
      </c>
      <c r="F1017" s="14" t="str">
        <f>_xlfn.XLOOKUP($D1017,'Chart of Accounts'!$A:$A,'Chart of Accounts'!C:C,"")</f>
        <v>Expense</v>
      </c>
      <c r="G1017" s="14" t="s">
        <v>365</v>
      </c>
      <c r="H1017" s="16">
        <v>19945.126400000001</v>
      </c>
      <c r="I1017" s="16"/>
      <c r="J1017" s="16">
        <v>19945.126400000001</v>
      </c>
      <c r="K1017" s="14" t="s">
        <v>225</v>
      </c>
    </row>
    <row r="1018" spans="1:11" ht="15" customHeight="1">
      <c r="A1018" s="13">
        <v>45839</v>
      </c>
      <c r="B1018" s="14" t="s">
        <v>412</v>
      </c>
      <c r="C1018" s="19" t="s">
        <v>4</v>
      </c>
      <c r="D1018" s="14" t="s">
        <v>28</v>
      </c>
      <c r="E1018" s="14" t="str">
        <f>_xlfn.XLOOKUP($D1018,'Chart of Accounts'!$A:$A,'Chart of Accounts'!B:B,"")</f>
        <v>Salaries and Wages</v>
      </c>
      <c r="F1018" s="14" t="str">
        <f>_xlfn.XLOOKUP($D1018,'Chart of Accounts'!$A:$A,'Chart of Accounts'!C:C,"")</f>
        <v>Expense</v>
      </c>
      <c r="G1018" s="14" t="s">
        <v>365</v>
      </c>
      <c r="H1018" s="16">
        <v>7358.6628000000001</v>
      </c>
      <c r="I1018" s="16"/>
      <c r="J1018" s="16">
        <v>7358.6628000000001</v>
      </c>
      <c r="K1018" s="14" t="s">
        <v>225</v>
      </c>
    </row>
    <row r="1019" spans="1:11" ht="15" customHeight="1">
      <c r="A1019" s="13">
        <v>45839</v>
      </c>
      <c r="B1019" s="14" t="s">
        <v>412</v>
      </c>
      <c r="C1019" s="19" t="s">
        <v>6</v>
      </c>
      <c r="D1019" s="14" t="s">
        <v>28</v>
      </c>
      <c r="E1019" s="14" t="str">
        <f>_xlfn.XLOOKUP($D1019,'Chart of Accounts'!$A:$A,'Chart of Accounts'!B:B,"")</f>
        <v>Salaries and Wages</v>
      </c>
      <c r="F1019" s="14" t="str">
        <f>_xlfn.XLOOKUP($D1019,'Chart of Accounts'!$A:$A,'Chart of Accounts'!C:C,"")</f>
        <v>Expense</v>
      </c>
      <c r="G1019" s="14" t="s">
        <v>365</v>
      </c>
      <c r="H1019" s="16">
        <v>9811.5504000000001</v>
      </c>
      <c r="I1019" s="16"/>
      <c r="J1019" s="16">
        <v>9811.5504000000001</v>
      </c>
      <c r="K1019" s="14" t="s">
        <v>225</v>
      </c>
    </row>
    <row r="1020" spans="1:11" ht="15" customHeight="1">
      <c r="A1020" s="13">
        <v>45839</v>
      </c>
      <c r="B1020" s="14" t="s">
        <v>412</v>
      </c>
      <c r="C1020" s="19" t="s">
        <v>8</v>
      </c>
      <c r="D1020" s="14" t="s">
        <v>28</v>
      </c>
      <c r="E1020" s="14" t="str">
        <f>_xlfn.XLOOKUP($D1020,'Chart of Accounts'!$A:$A,'Chart of Accounts'!B:B,"")</f>
        <v>Salaries and Wages</v>
      </c>
      <c r="F1020" s="14" t="str">
        <f>_xlfn.XLOOKUP($D1020,'Chart of Accounts'!$A:$A,'Chart of Accounts'!C:C,"")</f>
        <v>Expense</v>
      </c>
      <c r="G1020" s="14" t="s">
        <v>365</v>
      </c>
      <c r="H1020" s="16">
        <v>9811.5504000000001</v>
      </c>
      <c r="I1020" s="16"/>
      <c r="J1020" s="16">
        <v>9811.5504000000001</v>
      </c>
      <c r="K1020" s="14" t="s">
        <v>225</v>
      </c>
    </row>
    <row r="1021" spans="1:11" ht="15" customHeight="1">
      <c r="A1021" s="13">
        <v>45839</v>
      </c>
      <c r="B1021" s="14" t="s">
        <v>412</v>
      </c>
      <c r="C1021" s="19" t="s">
        <v>10</v>
      </c>
      <c r="D1021" s="14" t="s">
        <v>28</v>
      </c>
      <c r="E1021" s="14" t="str">
        <f>_xlfn.XLOOKUP($D1021,'Chart of Accounts'!$A:$A,'Chart of Accounts'!B:B,"")</f>
        <v>Salaries and Wages</v>
      </c>
      <c r="F1021" s="14" t="str">
        <f>_xlfn.XLOOKUP($D1021,'Chart of Accounts'!$A:$A,'Chart of Accounts'!C:C,"")</f>
        <v>Expense</v>
      </c>
      <c r="G1021" s="14" t="s">
        <v>365</v>
      </c>
      <c r="H1021" s="16">
        <v>9811.5504000000001</v>
      </c>
      <c r="I1021" s="16"/>
      <c r="J1021" s="16">
        <v>9811.5504000000001</v>
      </c>
      <c r="K1021" s="14" t="s">
        <v>225</v>
      </c>
    </row>
    <row r="1022" spans="1:11" ht="15" customHeight="1">
      <c r="A1022" s="13">
        <v>45839</v>
      </c>
      <c r="B1022" s="14" t="s">
        <v>412</v>
      </c>
      <c r="C1022" s="19" t="s">
        <v>12</v>
      </c>
      <c r="D1022" s="14" t="s">
        <v>28</v>
      </c>
      <c r="E1022" s="14" t="str">
        <f>_xlfn.XLOOKUP($D1022,'Chart of Accounts'!$A:$A,'Chart of Accounts'!B:B,"")</f>
        <v>Salaries and Wages</v>
      </c>
      <c r="F1022" s="14" t="str">
        <f>_xlfn.XLOOKUP($D1022,'Chart of Accounts'!$A:$A,'Chart of Accounts'!C:C,"")</f>
        <v>Expense</v>
      </c>
      <c r="G1022" s="14" t="s">
        <v>365</v>
      </c>
      <c r="H1022" s="16">
        <v>17170.213199999998</v>
      </c>
      <c r="I1022" s="16"/>
      <c r="J1022" s="16">
        <v>17170.213199999998</v>
      </c>
      <c r="K1022" s="14" t="s">
        <v>225</v>
      </c>
    </row>
    <row r="1023" spans="1:11" ht="15" customHeight="1">
      <c r="A1023" s="13">
        <v>45839</v>
      </c>
      <c r="B1023" s="14" t="s">
        <v>412</v>
      </c>
      <c r="C1023" s="19" t="s">
        <v>14</v>
      </c>
      <c r="D1023" s="14" t="s">
        <v>28</v>
      </c>
      <c r="E1023" s="14" t="str">
        <f>_xlfn.XLOOKUP($D1023,'Chart of Accounts'!$A:$A,'Chart of Accounts'!B:B,"")</f>
        <v>Salaries and Wages</v>
      </c>
      <c r="F1023" s="14" t="str">
        <f>_xlfn.XLOOKUP($D1023,'Chart of Accounts'!$A:$A,'Chart of Accounts'!C:C,"")</f>
        <v>Expense</v>
      </c>
      <c r="G1023" s="14" t="s">
        <v>365</v>
      </c>
      <c r="H1023" s="16">
        <v>14717.3256</v>
      </c>
      <c r="I1023" s="16"/>
      <c r="J1023" s="16">
        <v>14717.3256</v>
      </c>
      <c r="K1023" s="14" t="s">
        <v>225</v>
      </c>
    </row>
    <row r="1024" spans="1:11" ht="15" customHeight="1">
      <c r="A1024" s="13">
        <v>45839</v>
      </c>
      <c r="B1024" s="14" t="s">
        <v>412</v>
      </c>
      <c r="C1024" s="19" t="s">
        <v>16</v>
      </c>
      <c r="D1024" s="14" t="s">
        <v>28</v>
      </c>
      <c r="E1024" s="14" t="str">
        <f>_xlfn.XLOOKUP($D1024,'Chart of Accounts'!$A:$A,'Chart of Accounts'!B:B,"")</f>
        <v>Salaries and Wages</v>
      </c>
      <c r="F1024" s="14" t="str">
        <f>_xlfn.XLOOKUP($D1024,'Chart of Accounts'!$A:$A,'Chart of Accounts'!C:C,"")</f>
        <v>Expense</v>
      </c>
      <c r="G1024" s="14" t="s">
        <v>365</v>
      </c>
      <c r="H1024" s="16">
        <v>14717.3256</v>
      </c>
      <c r="I1024" s="16"/>
      <c r="J1024" s="16">
        <v>14717.3256</v>
      </c>
      <c r="K1024" s="14" t="s">
        <v>225</v>
      </c>
    </row>
    <row r="1025" spans="1:11" ht="15" customHeight="1">
      <c r="A1025" s="13">
        <v>45839</v>
      </c>
      <c r="B1025" s="14" t="s">
        <v>412</v>
      </c>
      <c r="C1025" s="19" t="s">
        <v>18</v>
      </c>
      <c r="D1025" s="14" t="s">
        <v>28</v>
      </c>
      <c r="E1025" s="14" t="str">
        <f>_xlfn.XLOOKUP($D1025,'Chart of Accounts'!$A:$A,'Chart of Accounts'!B:B,"")</f>
        <v>Salaries and Wages</v>
      </c>
      <c r="F1025" s="14" t="str">
        <f>_xlfn.XLOOKUP($D1025,'Chart of Accounts'!$A:$A,'Chart of Accounts'!C:C,"")</f>
        <v>Expense</v>
      </c>
      <c r="G1025" s="14" t="s">
        <v>365</v>
      </c>
      <c r="H1025" s="16">
        <v>19623.1008</v>
      </c>
      <c r="I1025" s="16"/>
      <c r="J1025" s="16">
        <v>19623.1008</v>
      </c>
      <c r="K1025" s="14" t="s">
        <v>225</v>
      </c>
    </row>
    <row r="1026" spans="1:11" ht="15" customHeight="1">
      <c r="A1026" s="13">
        <v>45839</v>
      </c>
      <c r="B1026" s="14" t="s">
        <v>412</v>
      </c>
      <c r="C1026" s="19" t="s">
        <v>20</v>
      </c>
      <c r="D1026" s="14" t="s">
        <v>28</v>
      </c>
      <c r="E1026" s="14" t="str">
        <f>_xlfn.XLOOKUP($D1026,'Chart of Accounts'!$A:$A,'Chart of Accounts'!B:B,"")</f>
        <v>Salaries and Wages</v>
      </c>
      <c r="F1026" s="14" t="str">
        <f>_xlfn.XLOOKUP($D1026,'Chart of Accounts'!$A:$A,'Chart of Accounts'!C:C,"")</f>
        <v>Expense</v>
      </c>
      <c r="G1026" s="14" t="s">
        <v>365</v>
      </c>
      <c r="H1026" s="16">
        <v>19623.1008</v>
      </c>
      <c r="I1026" s="16"/>
      <c r="J1026" s="16">
        <v>19623.1008</v>
      </c>
      <c r="K1026" s="14" t="s">
        <v>225</v>
      </c>
    </row>
    <row r="1027" spans="1:11" ht="15" customHeight="1">
      <c r="A1027" s="13">
        <v>45838</v>
      </c>
      <c r="B1027" s="14" t="s">
        <v>413</v>
      </c>
      <c r="C1027" s="14"/>
      <c r="D1027" s="14" t="s">
        <v>53</v>
      </c>
      <c r="E1027" s="14" t="str">
        <f>_xlfn.XLOOKUP($D1027,'Chart of Accounts'!$A:$A,'Chart of Accounts'!B:B,"")</f>
        <v>Prepaid Expenses</v>
      </c>
      <c r="F1027" s="14" t="str">
        <f>_xlfn.XLOOKUP($D1027,'Chart of Accounts'!$A:$A,'Chart of Accounts'!C:C,"")</f>
        <v>Asset</v>
      </c>
      <c r="G1027" s="14" t="s">
        <v>414</v>
      </c>
      <c r="H1027" s="16">
        <v>0</v>
      </c>
      <c r="I1027" s="16">
        <v>0</v>
      </c>
      <c r="J1027" s="16">
        <v>0</v>
      </c>
      <c r="K1027" s="14" t="s">
        <v>415</v>
      </c>
    </row>
    <row r="1028" spans="1:11" ht="15" customHeight="1">
      <c r="A1028" s="13">
        <v>45838</v>
      </c>
      <c r="B1028" s="14" t="s">
        <v>413</v>
      </c>
      <c r="C1028" s="14"/>
      <c r="D1028" s="14" t="s">
        <v>63</v>
      </c>
      <c r="E1028" s="14" t="str">
        <f>_xlfn.XLOOKUP($D1028,'Chart of Accounts'!$A:$A,'Chart of Accounts'!B:B,"")</f>
        <v>Accounts Payable</v>
      </c>
      <c r="F1028" s="14" t="str">
        <f>_xlfn.XLOOKUP($D1028,'Chart of Accounts'!$A:$A,'Chart of Accounts'!C:C,"")</f>
        <v>Liability</v>
      </c>
      <c r="G1028" s="14" t="s">
        <v>414</v>
      </c>
      <c r="H1028" s="16"/>
      <c r="I1028" s="16">
        <v>23763.8</v>
      </c>
      <c r="J1028" s="16">
        <v>-23763.8</v>
      </c>
      <c r="K1028" s="14" t="s">
        <v>415</v>
      </c>
    </row>
    <row r="1029" spans="1:11" ht="15" customHeight="1">
      <c r="A1029" s="13">
        <v>45843</v>
      </c>
      <c r="B1029" s="14" t="s">
        <v>416</v>
      </c>
      <c r="C1029" s="14"/>
      <c r="D1029" s="14" t="s">
        <v>63</v>
      </c>
      <c r="E1029" s="14" t="str">
        <f>_xlfn.XLOOKUP($D1029,'Chart of Accounts'!$A:$A,'Chart of Accounts'!B:B,"")</f>
        <v>Accounts Payable</v>
      </c>
      <c r="F1029" s="14" t="str">
        <f>_xlfn.XLOOKUP($D1029,'Chart of Accounts'!$A:$A,'Chart of Accounts'!C:C,"")</f>
        <v>Liability</v>
      </c>
      <c r="G1029" s="14" t="s">
        <v>417</v>
      </c>
      <c r="H1029" s="16"/>
      <c r="I1029" s="16">
        <v>1423.76</v>
      </c>
      <c r="J1029" s="16">
        <v>-1423.76</v>
      </c>
      <c r="K1029" s="14" t="s">
        <v>225</v>
      </c>
    </row>
    <row r="1030" spans="1:11" ht="15" customHeight="1">
      <c r="A1030" s="13">
        <v>45848</v>
      </c>
      <c r="B1030" s="14" t="s">
        <v>418</v>
      </c>
      <c r="C1030" s="19" t="s">
        <v>46</v>
      </c>
      <c r="D1030" s="15" t="s">
        <v>53</v>
      </c>
      <c r="E1030" s="14" t="str">
        <f>_xlfn.XLOOKUP($D1030,'Chart of Accounts'!$A:$A,'Chart of Accounts'!B:B,"")</f>
        <v>Prepaid Expenses</v>
      </c>
      <c r="F1030" s="14" t="str">
        <f>_xlfn.XLOOKUP($D1030,'Chart of Accounts'!$A:$A,'Chart of Accounts'!C:C,"")</f>
        <v>Asset</v>
      </c>
      <c r="G1030" s="14" t="s">
        <v>419</v>
      </c>
      <c r="H1030" s="16">
        <v>8100</v>
      </c>
      <c r="I1030" s="16"/>
      <c r="J1030" s="16">
        <v>8100</v>
      </c>
      <c r="K1030" s="14" t="s">
        <v>225</v>
      </c>
    </row>
    <row r="1031" spans="1:11" ht="15" customHeight="1">
      <c r="A1031" s="13">
        <v>45848</v>
      </c>
      <c r="B1031" s="14" t="s">
        <v>418</v>
      </c>
      <c r="C1031" s="19"/>
      <c r="D1031" s="15" t="s">
        <v>63</v>
      </c>
      <c r="E1031" s="14" t="str">
        <f>_xlfn.XLOOKUP($D1031,'Chart of Accounts'!$A:$A,'Chart of Accounts'!B:B,"")</f>
        <v>Accounts Payable</v>
      </c>
      <c r="F1031" s="14" t="str">
        <f>_xlfn.XLOOKUP($D1031,'Chart of Accounts'!$A:$A,'Chart of Accounts'!C:C,"")</f>
        <v>Liability</v>
      </c>
      <c r="G1031" s="14" t="s">
        <v>419</v>
      </c>
      <c r="H1031" s="16"/>
      <c r="I1031" s="16">
        <v>8100</v>
      </c>
      <c r="J1031" s="16">
        <v>-8100</v>
      </c>
      <c r="K1031" s="14" t="s">
        <v>225</v>
      </c>
    </row>
    <row r="1032" spans="1:11" ht="15" customHeight="1">
      <c r="A1032" s="13">
        <v>45867</v>
      </c>
      <c r="B1032" s="14" t="s">
        <v>420</v>
      </c>
      <c r="C1032" s="14"/>
      <c r="D1032" s="14" t="s">
        <v>63</v>
      </c>
      <c r="E1032" s="14" t="str">
        <f>_xlfn.XLOOKUP($D1032,'Chart of Accounts'!$A:$A,'Chart of Accounts'!B:B,"")</f>
        <v>Accounts Payable</v>
      </c>
      <c r="F1032" s="14" t="str">
        <f>_xlfn.XLOOKUP($D1032,'Chart of Accounts'!$A:$A,'Chart of Accounts'!C:C,"")</f>
        <v>Liability</v>
      </c>
      <c r="G1032" s="14" t="s">
        <v>421</v>
      </c>
      <c r="H1032" s="16"/>
      <c r="I1032" s="16">
        <v>701.06</v>
      </c>
      <c r="J1032" s="16">
        <v>-701.06</v>
      </c>
      <c r="K1032" s="14" t="s">
        <v>225</v>
      </c>
    </row>
    <row r="1033" spans="1:11" ht="15" customHeight="1">
      <c r="A1033" s="13">
        <v>45858</v>
      </c>
      <c r="B1033" s="14" t="s">
        <v>422</v>
      </c>
      <c r="C1033" s="14"/>
      <c r="D1033" s="14" t="s">
        <v>63</v>
      </c>
      <c r="E1033" s="14" t="str">
        <f>_xlfn.XLOOKUP($D1033,'Chart of Accounts'!$A:$A,'Chart of Accounts'!B:B,"")</f>
        <v>Accounts Payable</v>
      </c>
      <c r="F1033" s="14" t="str">
        <f>_xlfn.XLOOKUP($D1033,'Chart of Accounts'!$A:$A,'Chart of Accounts'!C:C,"")</f>
        <v>Liability</v>
      </c>
      <c r="G1033" s="14" t="s">
        <v>423</v>
      </c>
      <c r="H1033" s="16">
        <v>25491.47</v>
      </c>
      <c r="I1033" s="16"/>
      <c r="J1033" s="16">
        <v>25491.47</v>
      </c>
      <c r="K1033" s="14" t="s">
        <v>225</v>
      </c>
    </row>
    <row r="1034" spans="1:11" ht="15" customHeight="1">
      <c r="A1034" s="13">
        <v>45874</v>
      </c>
      <c r="B1034" s="14" t="s">
        <v>424</v>
      </c>
      <c r="C1034" s="14"/>
      <c r="D1034" s="14" t="s">
        <v>63</v>
      </c>
      <c r="E1034" s="14" t="str">
        <f>_xlfn.XLOOKUP($D1034,'Chart of Accounts'!$A:$A,'Chart of Accounts'!B:B,"")</f>
        <v>Accounts Payable</v>
      </c>
      <c r="F1034" s="14" t="str">
        <f>_xlfn.XLOOKUP($D1034,'Chart of Accounts'!$A:$A,'Chart of Accounts'!C:C,"")</f>
        <v>Liability</v>
      </c>
      <c r="G1034" s="14" t="s">
        <v>417</v>
      </c>
      <c r="H1034" s="16"/>
      <c r="I1034" s="16">
        <v>1470.97</v>
      </c>
      <c r="J1034" s="16">
        <v>-1470.97</v>
      </c>
      <c r="K1034" s="14" t="s">
        <v>225</v>
      </c>
    </row>
    <row r="1035" spans="1:11" ht="15" customHeight="1">
      <c r="A1035" s="13">
        <v>45895</v>
      </c>
      <c r="B1035" s="14" t="s">
        <v>425</v>
      </c>
      <c r="C1035" s="14"/>
      <c r="D1035" s="14" t="s">
        <v>63</v>
      </c>
      <c r="E1035" s="14" t="str">
        <f>_xlfn.XLOOKUP($D1035,'Chart of Accounts'!$A:$A,'Chart of Accounts'!B:B,"")</f>
        <v>Accounts Payable</v>
      </c>
      <c r="F1035" s="14" t="str">
        <f>_xlfn.XLOOKUP($D1035,'Chart of Accounts'!$A:$A,'Chart of Accounts'!C:C,"")</f>
        <v>Liability</v>
      </c>
      <c r="G1035" s="14" t="s">
        <v>421</v>
      </c>
      <c r="H1035" s="16"/>
      <c r="I1035" s="16">
        <v>644.87</v>
      </c>
      <c r="J1035" s="16">
        <v>-644.87</v>
      </c>
      <c r="K1035" s="14" t="s">
        <v>225</v>
      </c>
    </row>
    <row r="1036" spans="1:11" ht="15" customHeight="1">
      <c r="A1036" s="13">
        <v>45884</v>
      </c>
      <c r="B1036" s="14" t="s">
        <v>426</v>
      </c>
      <c r="C1036" s="14"/>
      <c r="D1036" s="14" t="s">
        <v>63</v>
      </c>
      <c r="E1036" s="14" t="str">
        <f>_xlfn.XLOOKUP($D1036,'Chart of Accounts'!$A:$A,'Chart of Accounts'!B:B,"")</f>
        <v>Accounts Payable</v>
      </c>
      <c r="F1036" s="14" t="str">
        <f>_xlfn.XLOOKUP($D1036,'Chart of Accounts'!$A:$A,'Chart of Accounts'!C:C,"")</f>
        <v>Liability</v>
      </c>
      <c r="G1036" s="14" t="s">
        <v>421</v>
      </c>
      <c r="H1036" s="16"/>
      <c r="I1036" s="16">
        <v>213.46</v>
      </c>
      <c r="J1036" s="16">
        <v>-213.46</v>
      </c>
      <c r="K1036" s="14" t="s">
        <v>225</v>
      </c>
    </row>
    <row r="1037" spans="1:11" ht="15" customHeight="1">
      <c r="A1037" s="13">
        <v>45889</v>
      </c>
      <c r="B1037" s="14" t="s">
        <v>427</v>
      </c>
      <c r="C1037" s="14"/>
      <c r="D1037" s="14" t="s">
        <v>63</v>
      </c>
      <c r="E1037" s="14" t="str">
        <f>_xlfn.XLOOKUP($D1037,'Chart of Accounts'!$A:$A,'Chart of Accounts'!B:B,"")</f>
        <v>Accounts Payable</v>
      </c>
      <c r="F1037" s="14" t="str">
        <f>_xlfn.XLOOKUP($D1037,'Chart of Accounts'!$A:$A,'Chart of Accounts'!C:C,"")</f>
        <v>Liability</v>
      </c>
      <c r="G1037" s="14" t="s">
        <v>423</v>
      </c>
      <c r="H1037" s="16">
        <v>10183</v>
      </c>
      <c r="I1037" s="16"/>
      <c r="J1037" s="16">
        <v>10183</v>
      </c>
      <c r="K1037" s="14" t="s">
        <v>225</v>
      </c>
    </row>
    <row r="1038" spans="1:11" ht="15" customHeight="1">
      <c r="A1038" s="13">
        <v>45890</v>
      </c>
      <c r="B1038" s="14" t="s">
        <v>428</v>
      </c>
      <c r="C1038" s="14"/>
      <c r="D1038" s="14" t="s">
        <v>63</v>
      </c>
      <c r="E1038" s="14" t="str">
        <f>_xlfn.XLOOKUP($D1038,'Chart of Accounts'!$A:$A,'Chart of Accounts'!B:B,"")</f>
        <v>Accounts Payable</v>
      </c>
      <c r="F1038" s="14" t="str">
        <f>_xlfn.XLOOKUP($D1038,'Chart of Accounts'!$A:$A,'Chart of Accounts'!C:C,"")</f>
        <v>Liability</v>
      </c>
      <c r="G1038" s="14" t="s">
        <v>429</v>
      </c>
      <c r="H1038" s="16"/>
      <c r="I1038" s="16">
        <v>2750.88</v>
      </c>
      <c r="J1038" s="16">
        <v>-2750.88</v>
      </c>
      <c r="K1038" s="14" t="s">
        <v>225</v>
      </c>
    </row>
    <row r="1039" spans="1:11" ht="15" customHeight="1">
      <c r="A1039" s="13">
        <v>45905</v>
      </c>
      <c r="B1039" s="14" t="s">
        <v>430</v>
      </c>
      <c r="C1039" s="14"/>
      <c r="D1039" s="14" t="s">
        <v>63</v>
      </c>
      <c r="E1039" s="14" t="str">
        <f>_xlfn.XLOOKUP($D1039,'Chart of Accounts'!$A:$A,'Chart of Accounts'!B:B,"")</f>
        <v>Accounts Payable</v>
      </c>
      <c r="F1039" s="14" t="str">
        <f>_xlfn.XLOOKUP($D1039,'Chart of Accounts'!$A:$A,'Chart of Accounts'!C:C,"")</f>
        <v>Liability</v>
      </c>
      <c r="G1039" s="14" t="s">
        <v>417</v>
      </c>
      <c r="H1039" s="16"/>
      <c r="I1039" s="16">
        <v>1091.6199999999999</v>
      </c>
      <c r="J1039" s="16">
        <v>-1091.6199999999999</v>
      </c>
      <c r="K1039" s="14" t="s">
        <v>225</v>
      </c>
    </row>
    <row r="1040" spans="1:11" ht="15" customHeight="1">
      <c r="A1040" s="13">
        <v>45908</v>
      </c>
      <c r="B1040" s="14" t="s">
        <v>431</v>
      </c>
      <c r="C1040" s="14"/>
      <c r="D1040" s="14" t="s">
        <v>63</v>
      </c>
      <c r="E1040" s="14" t="str">
        <f>_xlfn.XLOOKUP($D1040,'Chart of Accounts'!$A:$A,'Chart of Accounts'!B:B,"")</f>
        <v>Accounts Payable</v>
      </c>
      <c r="F1040" s="14" t="str">
        <f>_xlfn.XLOOKUP($D1040,'Chart of Accounts'!$A:$A,'Chart of Accounts'!C:C,"")</f>
        <v>Liability</v>
      </c>
      <c r="G1040" s="14" t="s">
        <v>421</v>
      </c>
      <c r="H1040" s="16"/>
      <c r="I1040" s="16">
        <v>591.29</v>
      </c>
      <c r="J1040" s="16">
        <v>-591.29</v>
      </c>
      <c r="K1040" s="14" t="s">
        <v>225</v>
      </c>
    </row>
    <row r="1041" spans="1:11" ht="15" customHeight="1">
      <c r="A1041" s="13">
        <v>45920</v>
      </c>
      <c r="B1041" s="14" t="s">
        <v>432</v>
      </c>
      <c r="C1041" s="14"/>
      <c r="D1041" s="14" t="s">
        <v>63</v>
      </c>
      <c r="E1041" s="14" t="str">
        <f>_xlfn.XLOOKUP($D1041,'Chart of Accounts'!$A:$A,'Chart of Accounts'!B:B,"")</f>
        <v>Accounts Payable</v>
      </c>
      <c r="F1041" s="14" t="str">
        <f>_xlfn.XLOOKUP($D1041,'Chart of Accounts'!$A:$A,'Chart of Accounts'!C:C,"")</f>
        <v>Liability</v>
      </c>
      <c r="G1041" s="14" t="s">
        <v>423</v>
      </c>
      <c r="H1041" s="16">
        <v>19622.849999999999</v>
      </c>
      <c r="I1041" s="16"/>
      <c r="J1041" s="16">
        <v>19622.849999999999</v>
      </c>
      <c r="K1041" s="14" t="s">
        <v>225</v>
      </c>
    </row>
    <row r="1042" spans="1:11" ht="15" customHeight="1">
      <c r="A1042" s="13">
        <v>45925</v>
      </c>
      <c r="B1042" s="14" t="s">
        <v>433</v>
      </c>
      <c r="C1042" s="14"/>
      <c r="D1042" s="14" t="s">
        <v>63</v>
      </c>
      <c r="E1042" s="14" t="str">
        <f>_xlfn.XLOOKUP($D1042,'Chart of Accounts'!$A:$A,'Chart of Accounts'!B:B,"")</f>
        <v>Accounts Payable</v>
      </c>
      <c r="F1042" s="14" t="str">
        <f>_xlfn.XLOOKUP($D1042,'Chart of Accounts'!$A:$A,'Chart of Accounts'!C:C,"")</f>
        <v>Liability</v>
      </c>
      <c r="G1042" s="14" t="s">
        <v>434</v>
      </c>
      <c r="H1042" s="16"/>
      <c r="I1042" s="16">
        <v>21086.560000000001</v>
      </c>
      <c r="J1042" s="16">
        <v>-21086.560000000001</v>
      </c>
      <c r="K1042" s="14" t="s">
        <v>225</v>
      </c>
    </row>
    <row r="1043" spans="1:11" ht="15" customHeight="1">
      <c r="A1043" s="13">
        <v>45935</v>
      </c>
      <c r="B1043" s="14" t="s">
        <v>435</v>
      </c>
      <c r="C1043" s="14"/>
      <c r="D1043" s="14" t="s">
        <v>63</v>
      </c>
      <c r="E1043" s="14" t="str">
        <f>_xlfn.XLOOKUP($D1043,'Chart of Accounts'!$A:$A,'Chart of Accounts'!B:B,"")</f>
        <v>Accounts Payable</v>
      </c>
      <c r="F1043" s="14" t="str">
        <f>_xlfn.XLOOKUP($D1043,'Chart of Accounts'!$A:$A,'Chart of Accounts'!C:C,"")</f>
        <v>Liability</v>
      </c>
      <c r="G1043" s="14" t="s">
        <v>417</v>
      </c>
      <c r="H1043" s="16"/>
      <c r="I1043" s="16">
        <v>1006.48</v>
      </c>
      <c r="J1043" s="16">
        <v>-1006.48</v>
      </c>
      <c r="K1043" s="14" t="s">
        <v>225</v>
      </c>
    </row>
    <row r="1044" spans="1:11" ht="15" customHeight="1">
      <c r="A1044" s="13">
        <v>45940</v>
      </c>
      <c r="B1044" s="14" t="s">
        <v>436</v>
      </c>
      <c r="C1044" s="19" t="s">
        <v>46</v>
      </c>
      <c r="D1044" s="15" t="s">
        <v>53</v>
      </c>
      <c r="E1044" s="14" t="str">
        <f>_xlfn.XLOOKUP($D1044,'Chart of Accounts'!$A:$A,'Chart of Accounts'!B:B,"")</f>
        <v>Prepaid Expenses</v>
      </c>
      <c r="F1044" s="14" t="str">
        <f>_xlfn.XLOOKUP($D1044,'Chart of Accounts'!$A:$A,'Chart of Accounts'!C:C,"")</f>
        <v>Asset</v>
      </c>
      <c r="G1044" s="14" t="s">
        <v>419</v>
      </c>
      <c r="H1044" s="16">
        <v>8100</v>
      </c>
      <c r="I1044" s="16"/>
      <c r="J1044" s="16">
        <v>8100</v>
      </c>
      <c r="K1044" s="14" t="s">
        <v>225</v>
      </c>
    </row>
    <row r="1045" spans="1:11" ht="15" customHeight="1">
      <c r="A1045" s="13">
        <v>45940</v>
      </c>
      <c r="B1045" s="14" t="s">
        <v>436</v>
      </c>
      <c r="C1045" s="19"/>
      <c r="D1045" s="15" t="s">
        <v>63</v>
      </c>
      <c r="E1045" s="14" t="str">
        <f>_xlfn.XLOOKUP($D1045,'Chart of Accounts'!$A:$A,'Chart of Accounts'!B:B,"")</f>
        <v>Accounts Payable</v>
      </c>
      <c r="F1045" s="14" t="str">
        <f>_xlfn.XLOOKUP($D1045,'Chart of Accounts'!$A:$A,'Chart of Accounts'!C:C,"")</f>
        <v>Liability</v>
      </c>
      <c r="G1045" s="14" t="s">
        <v>419</v>
      </c>
      <c r="H1045" s="16"/>
      <c r="I1045" s="16">
        <v>8100</v>
      </c>
      <c r="J1045" s="16">
        <v>-8100</v>
      </c>
      <c r="K1045" s="14" t="s">
        <v>225</v>
      </c>
    </row>
    <row r="1046" spans="1:11" ht="15" customHeight="1">
      <c r="A1046" s="13">
        <v>45948</v>
      </c>
      <c r="B1046" s="14" t="s">
        <v>437</v>
      </c>
      <c r="C1046" s="14"/>
      <c r="D1046" s="14" t="s">
        <v>63</v>
      </c>
      <c r="E1046" s="14" t="str">
        <f>_xlfn.XLOOKUP($D1046,'Chart of Accounts'!$A:$A,'Chart of Accounts'!B:B,"")</f>
        <v>Accounts Payable</v>
      </c>
      <c r="F1046" s="14" t="str">
        <f>_xlfn.XLOOKUP($D1046,'Chart of Accounts'!$A:$A,'Chart of Accounts'!C:C,"")</f>
        <v>Liability</v>
      </c>
      <c r="G1046" s="14" t="s">
        <v>421</v>
      </c>
      <c r="H1046" s="16"/>
      <c r="I1046" s="16">
        <v>753.64</v>
      </c>
      <c r="J1046" s="16">
        <v>-753.64</v>
      </c>
      <c r="K1046" s="14" t="s">
        <v>225</v>
      </c>
    </row>
    <row r="1047" spans="1:11" ht="15" customHeight="1">
      <c r="A1047" s="13">
        <v>45935</v>
      </c>
      <c r="B1047" s="14" t="s">
        <v>438</v>
      </c>
      <c r="C1047" s="14"/>
      <c r="D1047" s="14" t="s">
        <v>63</v>
      </c>
      <c r="E1047" s="14" t="str">
        <f>_xlfn.XLOOKUP($D1047,'Chart of Accounts'!$A:$A,'Chart of Accounts'!B:B,"")</f>
        <v>Accounts Payable</v>
      </c>
      <c r="F1047" s="14" t="str">
        <f>_xlfn.XLOOKUP($D1047,'Chart of Accounts'!$A:$A,'Chart of Accounts'!C:C,"")</f>
        <v>Liability</v>
      </c>
      <c r="G1047" s="14" t="s">
        <v>439</v>
      </c>
      <c r="H1047" s="16"/>
      <c r="I1047" s="16">
        <v>14969.25</v>
      </c>
      <c r="J1047" s="16">
        <v>-14969.25</v>
      </c>
      <c r="K1047" s="14" t="s">
        <v>225</v>
      </c>
    </row>
    <row r="1048" spans="1:11" ht="15" customHeight="1">
      <c r="A1048" s="13">
        <v>45950</v>
      </c>
      <c r="B1048" s="14" t="s">
        <v>440</v>
      </c>
      <c r="C1048" s="14"/>
      <c r="D1048" s="14" t="s">
        <v>63</v>
      </c>
      <c r="E1048" s="14" t="str">
        <f>_xlfn.XLOOKUP($D1048,'Chart of Accounts'!$A:$A,'Chart of Accounts'!B:B,"")</f>
        <v>Accounts Payable</v>
      </c>
      <c r="F1048" s="14" t="str">
        <f>_xlfn.XLOOKUP($D1048,'Chart of Accounts'!$A:$A,'Chart of Accounts'!C:C,"")</f>
        <v>Liability</v>
      </c>
      <c r="G1048" s="14" t="s">
        <v>423</v>
      </c>
      <c r="H1048" s="16">
        <v>23527.74</v>
      </c>
      <c r="I1048" s="16"/>
      <c r="J1048" s="16">
        <v>23527.74</v>
      </c>
      <c r="K1048" s="14" t="s">
        <v>225</v>
      </c>
    </row>
    <row r="1049" spans="1:11" ht="15" customHeight="1">
      <c r="A1049" s="13">
        <v>45966</v>
      </c>
      <c r="B1049" s="14" t="s">
        <v>441</v>
      </c>
      <c r="C1049" s="14"/>
      <c r="D1049" s="14" t="s">
        <v>63</v>
      </c>
      <c r="E1049" s="14" t="str">
        <f>_xlfn.XLOOKUP($D1049,'Chart of Accounts'!$A:$A,'Chart of Accounts'!B:B,"")</f>
        <v>Accounts Payable</v>
      </c>
      <c r="F1049" s="14" t="str">
        <f>_xlfn.XLOOKUP($D1049,'Chart of Accounts'!$A:$A,'Chart of Accounts'!C:C,"")</f>
        <v>Liability</v>
      </c>
      <c r="G1049" s="14" t="s">
        <v>417</v>
      </c>
      <c r="H1049" s="16"/>
      <c r="I1049" s="16">
        <v>1124.32</v>
      </c>
      <c r="J1049" s="16">
        <v>-1124.32</v>
      </c>
      <c r="K1049" s="14" t="s">
        <v>225</v>
      </c>
    </row>
    <row r="1050" spans="1:11" ht="15" customHeight="1">
      <c r="A1050" s="13">
        <v>45972</v>
      </c>
      <c r="B1050" s="14" t="s">
        <v>442</v>
      </c>
      <c r="C1050" s="14"/>
      <c r="D1050" s="14" t="s">
        <v>63</v>
      </c>
      <c r="E1050" s="14" t="str">
        <f>_xlfn.XLOOKUP($D1050,'Chart of Accounts'!$A:$A,'Chart of Accounts'!B:B,"")</f>
        <v>Accounts Payable</v>
      </c>
      <c r="F1050" s="14" t="str">
        <f>_xlfn.XLOOKUP($D1050,'Chart of Accounts'!$A:$A,'Chart of Accounts'!C:C,"")</f>
        <v>Liability</v>
      </c>
      <c r="G1050" s="14" t="s">
        <v>421</v>
      </c>
      <c r="H1050" s="16"/>
      <c r="I1050" s="16">
        <v>771.82</v>
      </c>
      <c r="J1050" s="16">
        <v>-771.82</v>
      </c>
      <c r="K1050" s="14" t="s">
        <v>225</v>
      </c>
    </row>
    <row r="1051" spans="1:11" ht="15" customHeight="1">
      <c r="A1051" s="13">
        <v>45975</v>
      </c>
      <c r="B1051" s="14" t="s">
        <v>443</v>
      </c>
      <c r="C1051" s="14"/>
      <c r="D1051" s="14" t="s">
        <v>63</v>
      </c>
      <c r="E1051" s="14" t="str">
        <f>_xlfn.XLOOKUP($D1051,'Chart of Accounts'!$A:$A,'Chart of Accounts'!B:B,"")</f>
        <v>Accounts Payable</v>
      </c>
      <c r="F1051" s="14" t="str">
        <f>_xlfn.XLOOKUP($D1051,'Chart of Accounts'!$A:$A,'Chart of Accounts'!C:C,"")</f>
        <v>Liability</v>
      </c>
      <c r="G1051" s="14" t="s">
        <v>421</v>
      </c>
      <c r="H1051" s="16"/>
      <c r="I1051" s="16">
        <v>265.89999999999998</v>
      </c>
      <c r="J1051" s="16">
        <v>-265.89999999999998</v>
      </c>
      <c r="K1051" s="14" t="s">
        <v>225</v>
      </c>
    </row>
    <row r="1052" spans="1:11" ht="15" customHeight="1">
      <c r="A1052" s="13">
        <v>45967</v>
      </c>
      <c r="B1052" s="14" t="s">
        <v>444</v>
      </c>
      <c r="C1052" s="14"/>
      <c r="D1052" s="14" t="s">
        <v>63</v>
      </c>
      <c r="E1052" s="14" t="str">
        <f>_xlfn.XLOOKUP($D1052,'Chart of Accounts'!$A:$A,'Chart of Accounts'!B:B,"")</f>
        <v>Accounts Payable</v>
      </c>
      <c r="F1052" s="14" t="str">
        <f>_xlfn.XLOOKUP($D1052,'Chart of Accounts'!$A:$A,'Chart of Accounts'!C:C,"")</f>
        <v>Liability</v>
      </c>
      <c r="G1052" s="14" t="s">
        <v>439</v>
      </c>
      <c r="H1052" s="16"/>
      <c r="I1052" s="16">
        <v>9256.74</v>
      </c>
      <c r="J1052" s="16">
        <v>-9256.74</v>
      </c>
      <c r="K1052" s="14" t="s">
        <v>225</v>
      </c>
    </row>
    <row r="1053" spans="1:11" ht="15" customHeight="1">
      <c r="A1053" s="13">
        <v>45981</v>
      </c>
      <c r="B1053" s="14" t="s">
        <v>445</v>
      </c>
      <c r="C1053" s="14"/>
      <c r="D1053" s="14" t="s">
        <v>63</v>
      </c>
      <c r="E1053" s="14" t="str">
        <f>_xlfn.XLOOKUP($D1053,'Chart of Accounts'!$A:$A,'Chart of Accounts'!B:B,"")</f>
        <v>Accounts Payable</v>
      </c>
      <c r="F1053" s="14" t="str">
        <f>_xlfn.XLOOKUP($D1053,'Chart of Accounts'!$A:$A,'Chart of Accounts'!C:C,"")</f>
        <v>Liability</v>
      </c>
      <c r="G1053" s="14" t="s">
        <v>423</v>
      </c>
      <c r="H1053" s="16">
        <v>14446.02</v>
      </c>
      <c r="I1053" s="16"/>
      <c r="J1053" s="16">
        <v>14446.02</v>
      </c>
      <c r="K1053" s="14" t="s">
        <v>225</v>
      </c>
    </row>
    <row r="1054" spans="1:11" ht="15" customHeight="1">
      <c r="A1054" s="13">
        <v>45996</v>
      </c>
      <c r="B1054" s="14" t="s">
        <v>446</v>
      </c>
      <c r="C1054" s="14"/>
      <c r="D1054" s="14" t="s">
        <v>63</v>
      </c>
      <c r="E1054" s="14" t="str">
        <f>_xlfn.XLOOKUP($D1054,'Chart of Accounts'!$A:$A,'Chart of Accounts'!B:B,"")</f>
        <v>Accounts Payable</v>
      </c>
      <c r="F1054" s="14" t="str">
        <f>_xlfn.XLOOKUP($D1054,'Chart of Accounts'!$A:$A,'Chart of Accounts'!C:C,"")</f>
        <v>Liability</v>
      </c>
      <c r="G1054" s="14" t="s">
        <v>417</v>
      </c>
      <c r="H1054" s="16"/>
      <c r="I1054" s="16">
        <v>1350.34</v>
      </c>
      <c r="J1054" s="16">
        <v>-1350.34</v>
      </c>
      <c r="K1054" s="14" t="s">
        <v>225</v>
      </c>
    </row>
    <row r="1055" spans="1:11" ht="15" customHeight="1">
      <c r="A1055" s="13">
        <v>45999</v>
      </c>
      <c r="B1055" s="14" t="s">
        <v>447</v>
      </c>
      <c r="C1055" s="14"/>
      <c r="D1055" s="14" t="s">
        <v>63</v>
      </c>
      <c r="E1055" s="14" t="str">
        <f>_xlfn.XLOOKUP($D1055,'Chart of Accounts'!$A:$A,'Chart of Accounts'!B:B,"")</f>
        <v>Accounts Payable</v>
      </c>
      <c r="F1055" s="14" t="str">
        <f>_xlfn.XLOOKUP($D1055,'Chart of Accounts'!$A:$A,'Chart of Accounts'!C:C,"")</f>
        <v>Liability</v>
      </c>
      <c r="G1055" s="14" t="s">
        <v>421</v>
      </c>
      <c r="H1055" s="16"/>
      <c r="I1055" s="16">
        <v>364.38</v>
      </c>
      <c r="J1055" s="16">
        <v>-364.38</v>
      </c>
      <c r="K1055" s="14" t="s">
        <v>225</v>
      </c>
    </row>
    <row r="1056" spans="1:11" ht="15" customHeight="1">
      <c r="A1056" s="13">
        <v>46022</v>
      </c>
      <c r="B1056" s="14" t="s">
        <v>448</v>
      </c>
      <c r="C1056" s="14"/>
      <c r="D1056" s="14" t="s">
        <v>63</v>
      </c>
      <c r="E1056" s="14" t="str">
        <f>_xlfn.XLOOKUP($D1056,'Chart of Accounts'!$A:$A,'Chart of Accounts'!B:B,"")</f>
        <v>Accounts Payable</v>
      </c>
      <c r="F1056" s="14" t="str">
        <f>_xlfn.XLOOKUP($D1056,'Chart of Accounts'!$A:$A,'Chart of Accounts'!C:C,"")</f>
        <v>Liability</v>
      </c>
      <c r="G1056" s="14" t="s">
        <v>421</v>
      </c>
      <c r="H1056" s="16"/>
      <c r="I1056" s="16">
        <v>856.07</v>
      </c>
      <c r="J1056" s="16">
        <v>-856.07</v>
      </c>
      <c r="K1056" s="14" t="s">
        <v>225</v>
      </c>
    </row>
    <row r="1057" spans="1:11" ht="15" customHeight="1">
      <c r="A1057" s="13">
        <v>46022</v>
      </c>
      <c r="B1057" s="14" t="s">
        <v>449</v>
      </c>
      <c r="C1057" s="14"/>
      <c r="D1057" s="14" t="s">
        <v>63</v>
      </c>
      <c r="E1057" s="14" t="str">
        <f>_xlfn.XLOOKUP($D1057,'Chart of Accounts'!$A:$A,'Chart of Accounts'!B:B,"")</f>
        <v>Accounts Payable</v>
      </c>
      <c r="F1057" s="14" t="str">
        <f>_xlfn.XLOOKUP($D1057,'Chart of Accounts'!$A:$A,'Chart of Accounts'!C:C,"")</f>
        <v>Liability</v>
      </c>
      <c r="G1057" s="14" t="s">
        <v>439</v>
      </c>
      <c r="H1057" s="16"/>
      <c r="I1057" s="16">
        <v>11087.13</v>
      </c>
      <c r="J1057" s="16">
        <v>-11087.13</v>
      </c>
      <c r="K1057" s="14" t="s">
        <v>225</v>
      </c>
    </row>
    <row r="1058" spans="1:11" ht="15" customHeight="1">
      <c r="A1058" s="13">
        <v>46011</v>
      </c>
      <c r="B1058" s="14" t="s">
        <v>450</v>
      </c>
      <c r="C1058" s="14"/>
      <c r="D1058" s="14" t="s">
        <v>63</v>
      </c>
      <c r="E1058" s="14" t="str">
        <f>_xlfn.XLOOKUP($D1058,'Chart of Accounts'!$A:$A,'Chart of Accounts'!B:B,"")</f>
        <v>Accounts Payable</v>
      </c>
      <c r="F1058" s="14" t="str">
        <f>_xlfn.XLOOKUP($D1058,'Chart of Accounts'!$A:$A,'Chart of Accounts'!C:C,"")</f>
        <v>Liability</v>
      </c>
      <c r="G1058" s="14" t="s">
        <v>423</v>
      </c>
      <c r="H1058" s="16">
        <v>13854.94</v>
      </c>
      <c r="I1058" s="16"/>
      <c r="J1058" s="16">
        <v>13854.94</v>
      </c>
      <c r="K1058" s="14" t="s">
        <v>225</v>
      </c>
    </row>
    <row r="1059" spans="1:11" ht="15" customHeight="1">
      <c r="A1059" s="13">
        <v>46027</v>
      </c>
      <c r="B1059" s="14" t="s">
        <v>451</v>
      </c>
      <c r="C1059" s="14"/>
      <c r="D1059" s="14" t="s">
        <v>63</v>
      </c>
      <c r="E1059" s="14" t="str">
        <f>_xlfn.XLOOKUP($D1059,'Chart of Accounts'!$A:$A,'Chart of Accounts'!B:B,"")</f>
        <v>Accounts Payable</v>
      </c>
      <c r="F1059" s="14" t="str">
        <f>_xlfn.XLOOKUP($D1059,'Chart of Accounts'!$A:$A,'Chart of Accounts'!C:C,"")</f>
        <v>Liability</v>
      </c>
      <c r="G1059" s="14" t="s">
        <v>417</v>
      </c>
      <c r="H1059" s="16"/>
      <c r="I1059" s="16">
        <v>1354.45</v>
      </c>
      <c r="J1059" s="16">
        <v>-1354.45</v>
      </c>
      <c r="K1059" s="14" t="s">
        <v>225</v>
      </c>
    </row>
    <row r="1060" spans="1:11" ht="15" customHeight="1">
      <c r="A1060" s="13">
        <v>46032</v>
      </c>
      <c r="B1060" s="14" t="s">
        <v>452</v>
      </c>
      <c r="C1060" s="19" t="s">
        <v>46</v>
      </c>
      <c r="D1060" s="15" t="s">
        <v>53</v>
      </c>
      <c r="E1060" s="14" t="str">
        <f>_xlfn.XLOOKUP($D1060,'Chart of Accounts'!$A:$A,'Chart of Accounts'!B:B,"")</f>
        <v>Prepaid Expenses</v>
      </c>
      <c r="F1060" s="14" t="str">
        <f>_xlfn.XLOOKUP($D1060,'Chart of Accounts'!$A:$A,'Chart of Accounts'!C:C,"")</f>
        <v>Asset</v>
      </c>
      <c r="G1060" s="14" t="s">
        <v>419</v>
      </c>
      <c r="H1060" s="16">
        <v>8100</v>
      </c>
      <c r="I1060" s="16"/>
      <c r="J1060" s="16">
        <v>8100</v>
      </c>
      <c r="K1060" s="14" t="s">
        <v>225</v>
      </c>
    </row>
    <row r="1061" spans="1:11" ht="15" customHeight="1">
      <c r="A1061" s="13">
        <v>46032</v>
      </c>
      <c r="B1061" s="14" t="s">
        <v>452</v>
      </c>
      <c r="C1061" s="19"/>
      <c r="D1061" s="15" t="s">
        <v>63</v>
      </c>
      <c r="E1061" s="14" t="str">
        <f>_xlfn.XLOOKUP($D1061,'Chart of Accounts'!$A:$A,'Chart of Accounts'!B:B,"")</f>
        <v>Accounts Payable</v>
      </c>
      <c r="F1061" s="14" t="str">
        <f>_xlfn.XLOOKUP($D1061,'Chart of Accounts'!$A:$A,'Chart of Accounts'!C:C,"")</f>
        <v>Liability</v>
      </c>
      <c r="G1061" s="14" t="s">
        <v>419</v>
      </c>
      <c r="H1061" s="16"/>
      <c r="I1061" s="16">
        <v>8100</v>
      </c>
      <c r="J1061" s="16">
        <v>-8100</v>
      </c>
      <c r="K1061" s="14" t="s">
        <v>225</v>
      </c>
    </row>
    <row r="1062" spans="1:11" ht="15" customHeight="1">
      <c r="A1062" s="13">
        <v>46040</v>
      </c>
      <c r="B1062" s="14" t="s">
        <v>453</v>
      </c>
      <c r="C1062" s="14"/>
      <c r="D1062" s="14" t="s">
        <v>63</v>
      </c>
      <c r="E1062" s="14" t="str">
        <f>_xlfn.XLOOKUP($D1062,'Chart of Accounts'!$A:$A,'Chart of Accounts'!B:B,"")</f>
        <v>Accounts Payable</v>
      </c>
      <c r="F1062" s="14" t="str">
        <f>_xlfn.XLOOKUP($D1062,'Chart of Accounts'!$A:$A,'Chart of Accounts'!C:C,"")</f>
        <v>Liability</v>
      </c>
      <c r="G1062" s="14" t="s">
        <v>421</v>
      </c>
      <c r="H1062" s="16"/>
      <c r="I1062" s="16">
        <v>196.2</v>
      </c>
      <c r="J1062" s="16">
        <v>-196.2</v>
      </c>
      <c r="K1062" s="14" t="s">
        <v>225</v>
      </c>
    </row>
    <row r="1063" spans="1:11" ht="15" customHeight="1">
      <c r="A1063" s="13">
        <v>46030</v>
      </c>
      <c r="B1063" s="14" t="s">
        <v>454</v>
      </c>
      <c r="C1063" s="14"/>
      <c r="D1063" s="14" t="s">
        <v>63</v>
      </c>
      <c r="E1063" s="14" t="str">
        <f>_xlfn.XLOOKUP($D1063,'Chart of Accounts'!$A:$A,'Chart of Accounts'!B:B,"")</f>
        <v>Accounts Payable</v>
      </c>
      <c r="F1063" s="14" t="str">
        <f>_xlfn.XLOOKUP($D1063,'Chart of Accounts'!$A:$A,'Chart of Accounts'!C:C,"")</f>
        <v>Liability</v>
      </c>
      <c r="G1063" s="14" t="s">
        <v>421</v>
      </c>
      <c r="H1063" s="16"/>
      <c r="I1063" s="16">
        <v>357.19</v>
      </c>
      <c r="J1063" s="16">
        <v>-357.19</v>
      </c>
      <c r="K1063" s="14" t="s">
        <v>225</v>
      </c>
    </row>
    <row r="1064" spans="1:11" ht="15" customHeight="1">
      <c r="A1064" s="13">
        <v>46031</v>
      </c>
      <c r="B1064" s="14" t="s">
        <v>455</v>
      </c>
      <c r="C1064" s="14"/>
      <c r="D1064" s="14" t="s">
        <v>63</v>
      </c>
      <c r="E1064" s="14" t="str">
        <f>_xlfn.XLOOKUP($D1064,'Chart of Accounts'!$A:$A,'Chart of Accounts'!B:B,"")</f>
        <v>Accounts Payable</v>
      </c>
      <c r="F1064" s="14" t="str">
        <f>_xlfn.XLOOKUP($D1064,'Chart of Accounts'!$A:$A,'Chart of Accounts'!C:C,"")</f>
        <v>Liability</v>
      </c>
      <c r="G1064" s="14" t="s">
        <v>439</v>
      </c>
      <c r="H1064" s="16"/>
      <c r="I1064" s="16">
        <v>9412.7999999999993</v>
      </c>
      <c r="J1064" s="16">
        <v>-9412.7999999999993</v>
      </c>
      <c r="K1064" s="14" t="s">
        <v>225</v>
      </c>
    </row>
    <row r="1065" spans="1:11" ht="15" customHeight="1">
      <c r="A1065" s="13">
        <v>46042</v>
      </c>
      <c r="B1065" s="14" t="s">
        <v>456</v>
      </c>
      <c r="C1065" s="14"/>
      <c r="D1065" s="14" t="s">
        <v>63</v>
      </c>
      <c r="E1065" s="14" t="str">
        <f>_xlfn.XLOOKUP($D1065,'Chart of Accounts'!$A:$A,'Chart of Accounts'!B:B,"")</f>
        <v>Accounts Payable</v>
      </c>
      <c r="F1065" s="14" t="str">
        <f>_xlfn.XLOOKUP($D1065,'Chart of Accounts'!$A:$A,'Chart of Accounts'!C:C,"")</f>
        <v>Liability</v>
      </c>
      <c r="G1065" s="14" t="s">
        <v>423</v>
      </c>
      <c r="H1065" s="16">
        <v>18029.22</v>
      </c>
      <c r="I1065" s="16"/>
      <c r="J1065" s="16">
        <v>18029.22</v>
      </c>
      <c r="K1065" s="14" t="s">
        <v>225</v>
      </c>
    </row>
    <row r="1066" spans="1:11" ht="15" customHeight="1">
      <c r="A1066" s="13">
        <v>46058</v>
      </c>
      <c r="B1066" s="14" t="s">
        <v>457</v>
      </c>
      <c r="C1066" s="14"/>
      <c r="D1066" s="14" t="s">
        <v>63</v>
      </c>
      <c r="E1066" s="14" t="str">
        <f>_xlfn.XLOOKUP($D1066,'Chart of Accounts'!$A:$A,'Chart of Accounts'!B:B,"")</f>
        <v>Accounts Payable</v>
      </c>
      <c r="F1066" s="14" t="str">
        <f>_xlfn.XLOOKUP($D1066,'Chart of Accounts'!$A:$A,'Chart of Accounts'!C:C,"")</f>
        <v>Liability</v>
      </c>
      <c r="G1066" s="14" t="s">
        <v>417</v>
      </c>
      <c r="H1066" s="16"/>
      <c r="I1066" s="16">
        <v>1324.38</v>
      </c>
      <c r="J1066" s="16">
        <v>-1324.38</v>
      </c>
      <c r="K1066" s="14" t="s">
        <v>225</v>
      </c>
    </row>
    <row r="1067" spans="1:11" ht="15" customHeight="1">
      <c r="A1067" s="13">
        <v>46077</v>
      </c>
      <c r="B1067" s="14" t="s">
        <v>458</v>
      </c>
      <c r="C1067" s="14"/>
      <c r="D1067" s="14" t="s">
        <v>63</v>
      </c>
      <c r="E1067" s="14" t="str">
        <f>_xlfn.XLOOKUP($D1067,'Chart of Accounts'!$A:$A,'Chart of Accounts'!B:B,"")</f>
        <v>Accounts Payable</v>
      </c>
      <c r="F1067" s="14" t="str">
        <f>_xlfn.XLOOKUP($D1067,'Chart of Accounts'!$A:$A,'Chart of Accounts'!C:C,"")</f>
        <v>Liability</v>
      </c>
      <c r="G1067" s="14" t="s">
        <v>421</v>
      </c>
      <c r="H1067" s="16"/>
      <c r="I1067" s="16">
        <v>226.67</v>
      </c>
      <c r="J1067" s="16">
        <v>-226.67</v>
      </c>
      <c r="K1067" s="14" t="s">
        <v>225</v>
      </c>
    </row>
    <row r="1068" spans="1:11" ht="15" customHeight="1">
      <c r="A1068" s="13">
        <v>46073</v>
      </c>
      <c r="B1068" s="14" t="s">
        <v>459</v>
      </c>
      <c r="C1068" s="14"/>
      <c r="D1068" s="14" t="s">
        <v>63</v>
      </c>
      <c r="E1068" s="14" t="str">
        <f>_xlfn.XLOOKUP($D1068,'Chart of Accounts'!$A:$A,'Chart of Accounts'!B:B,"")</f>
        <v>Accounts Payable</v>
      </c>
      <c r="F1068" s="14" t="str">
        <f>_xlfn.XLOOKUP($D1068,'Chart of Accounts'!$A:$A,'Chart of Accounts'!C:C,"")</f>
        <v>Liability</v>
      </c>
      <c r="G1068" s="14" t="s">
        <v>423</v>
      </c>
      <c r="H1068" s="16">
        <v>5670.59</v>
      </c>
      <c r="I1068" s="16"/>
      <c r="J1068" s="16">
        <v>5670.59</v>
      </c>
      <c r="K1068" s="14" t="s">
        <v>225</v>
      </c>
    </row>
    <row r="1069" spans="1:11" ht="15" customHeight="1">
      <c r="A1069" s="13">
        <v>46086</v>
      </c>
      <c r="B1069" s="14" t="s">
        <v>460</v>
      </c>
      <c r="C1069" s="14"/>
      <c r="D1069" s="14" t="s">
        <v>63</v>
      </c>
      <c r="E1069" s="14" t="str">
        <f>_xlfn.XLOOKUP($D1069,'Chart of Accounts'!$A:$A,'Chart of Accounts'!B:B,"")</f>
        <v>Accounts Payable</v>
      </c>
      <c r="F1069" s="14" t="str">
        <f>_xlfn.XLOOKUP($D1069,'Chart of Accounts'!$A:$A,'Chart of Accounts'!C:C,"")</f>
        <v>Liability</v>
      </c>
      <c r="G1069" s="14" t="s">
        <v>417</v>
      </c>
      <c r="H1069" s="16"/>
      <c r="I1069" s="16">
        <v>1018.54</v>
      </c>
      <c r="J1069" s="16">
        <v>-1018.54</v>
      </c>
      <c r="K1069" s="14" t="s">
        <v>225</v>
      </c>
    </row>
    <row r="1070" spans="1:11" ht="15" customHeight="1">
      <c r="A1070" s="13">
        <v>46087</v>
      </c>
      <c r="B1070" s="14" t="s">
        <v>461</v>
      </c>
      <c r="C1070" s="14"/>
      <c r="D1070" s="14" t="s">
        <v>63</v>
      </c>
      <c r="E1070" s="14" t="str">
        <f>_xlfn.XLOOKUP($D1070,'Chart of Accounts'!$A:$A,'Chart of Accounts'!B:B,"")</f>
        <v>Accounts Payable</v>
      </c>
      <c r="F1070" s="14" t="str">
        <f>_xlfn.XLOOKUP($D1070,'Chart of Accounts'!$A:$A,'Chart of Accounts'!C:C,"")</f>
        <v>Liability</v>
      </c>
      <c r="G1070" s="14" t="s">
        <v>421</v>
      </c>
      <c r="H1070" s="16"/>
      <c r="I1070" s="16">
        <v>874.88</v>
      </c>
      <c r="J1070" s="16">
        <v>-874.88</v>
      </c>
      <c r="K1070" s="14" t="s">
        <v>225</v>
      </c>
    </row>
    <row r="1071" spans="1:11" ht="15" customHeight="1">
      <c r="A1071" s="13">
        <v>46094</v>
      </c>
      <c r="B1071" s="14" t="s">
        <v>462</v>
      </c>
      <c r="C1071" s="14"/>
      <c r="D1071" s="14" t="s">
        <v>63</v>
      </c>
      <c r="E1071" s="14" t="str">
        <f>_xlfn.XLOOKUP($D1071,'Chart of Accounts'!$A:$A,'Chart of Accounts'!B:B,"")</f>
        <v>Accounts Payable</v>
      </c>
      <c r="F1071" s="14" t="str">
        <f>_xlfn.XLOOKUP($D1071,'Chart of Accounts'!$A:$A,'Chart of Accounts'!C:C,"")</f>
        <v>Liability</v>
      </c>
      <c r="G1071" s="14" t="s">
        <v>421</v>
      </c>
      <c r="H1071" s="16"/>
      <c r="I1071" s="16">
        <v>471.81</v>
      </c>
      <c r="J1071" s="16">
        <v>-471.81</v>
      </c>
      <c r="K1071" s="14" t="s">
        <v>225</v>
      </c>
    </row>
    <row r="1072" spans="1:11" ht="15" customHeight="1">
      <c r="A1072" s="13">
        <v>46101</v>
      </c>
      <c r="B1072" s="14" t="s">
        <v>463</v>
      </c>
      <c r="C1072" s="14"/>
      <c r="D1072" s="14" t="s">
        <v>63</v>
      </c>
      <c r="E1072" s="14" t="str">
        <f>_xlfn.XLOOKUP($D1072,'Chart of Accounts'!$A:$A,'Chart of Accounts'!B:B,"")</f>
        <v>Accounts Payable</v>
      </c>
      <c r="F1072" s="14" t="str">
        <f>_xlfn.XLOOKUP($D1072,'Chart of Accounts'!$A:$A,'Chart of Accounts'!C:C,"")</f>
        <v>Liability</v>
      </c>
      <c r="G1072" s="14" t="s">
        <v>423</v>
      </c>
      <c r="H1072" s="16">
        <v>8377.5499999999993</v>
      </c>
      <c r="I1072" s="16"/>
      <c r="J1072" s="16">
        <v>8377.5499999999993</v>
      </c>
      <c r="K1072" s="14" t="s">
        <v>225</v>
      </c>
    </row>
    <row r="1073" spans="1:11" ht="15" customHeight="1">
      <c r="A1073" s="13">
        <v>46106</v>
      </c>
      <c r="B1073" s="14" t="s">
        <v>464</v>
      </c>
      <c r="C1073" s="14"/>
      <c r="D1073" s="14" t="s">
        <v>63</v>
      </c>
      <c r="E1073" s="14" t="str">
        <f>_xlfn.XLOOKUP($D1073,'Chart of Accounts'!$A:$A,'Chart of Accounts'!B:B,"")</f>
        <v>Accounts Payable</v>
      </c>
      <c r="F1073" s="14" t="str">
        <f>_xlfn.XLOOKUP($D1073,'Chart of Accounts'!$A:$A,'Chart of Accounts'!C:C,"")</f>
        <v>Liability</v>
      </c>
      <c r="G1073" s="14" t="s">
        <v>434</v>
      </c>
      <c r="H1073" s="16"/>
      <c r="I1073" s="16">
        <v>6914.64</v>
      </c>
      <c r="J1073" s="16">
        <v>-6914.64</v>
      </c>
      <c r="K1073" s="14" t="s">
        <v>225</v>
      </c>
    </row>
    <row r="1074" spans="1:11" ht="15" customHeight="1">
      <c r="A1074" s="13">
        <v>46117</v>
      </c>
      <c r="B1074" s="14" t="s">
        <v>465</v>
      </c>
      <c r="C1074" s="14"/>
      <c r="D1074" s="14" t="s">
        <v>63</v>
      </c>
      <c r="E1074" s="14" t="str">
        <f>_xlfn.XLOOKUP($D1074,'Chart of Accounts'!$A:$A,'Chart of Accounts'!B:B,"")</f>
        <v>Accounts Payable</v>
      </c>
      <c r="F1074" s="14" t="str">
        <f>_xlfn.XLOOKUP($D1074,'Chart of Accounts'!$A:$A,'Chart of Accounts'!C:C,"")</f>
        <v>Liability</v>
      </c>
      <c r="G1074" s="14" t="s">
        <v>417</v>
      </c>
      <c r="H1074" s="16"/>
      <c r="I1074" s="16">
        <v>836.05</v>
      </c>
      <c r="J1074" s="16">
        <v>-836.05</v>
      </c>
      <c r="K1074" s="14" t="s">
        <v>225</v>
      </c>
    </row>
    <row r="1075" spans="1:11" ht="15" customHeight="1">
      <c r="A1075" s="13">
        <v>46122</v>
      </c>
      <c r="B1075" s="14" t="s">
        <v>466</v>
      </c>
      <c r="C1075" s="19" t="s">
        <v>46</v>
      </c>
      <c r="D1075" s="15" t="s">
        <v>53</v>
      </c>
      <c r="E1075" s="14" t="str">
        <f>_xlfn.XLOOKUP($D1075,'Chart of Accounts'!$A:$A,'Chart of Accounts'!B:B,"")</f>
        <v>Prepaid Expenses</v>
      </c>
      <c r="F1075" s="14" t="str">
        <f>_xlfn.XLOOKUP($D1075,'Chart of Accounts'!$A:$A,'Chart of Accounts'!C:C,"")</f>
        <v>Asset</v>
      </c>
      <c r="G1075" s="14" t="s">
        <v>419</v>
      </c>
      <c r="H1075" s="16">
        <v>8100</v>
      </c>
      <c r="I1075" s="16"/>
      <c r="J1075" s="16">
        <v>8100</v>
      </c>
      <c r="K1075" s="14" t="s">
        <v>225</v>
      </c>
    </row>
    <row r="1076" spans="1:11" ht="15" customHeight="1">
      <c r="A1076" s="13">
        <v>46122</v>
      </c>
      <c r="B1076" s="14" t="s">
        <v>466</v>
      </c>
      <c r="C1076" s="19"/>
      <c r="D1076" s="15" t="s">
        <v>63</v>
      </c>
      <c r="E1076" s="14" t="str">
        <f>_xlfn.XLOOKUP($D1076,'Chart of Accounts'!$A:$A,'Chart of Accounts'!B:B,"")</f>
        <v>Accounts Payable</v>
      </c>
      <c r="F1076" s="14" t="str">
        <f>_xlfn.XLOOKUP($D1076,'Chart of Accounts'!$A:$A,'Chart of Accounts'!C:C,"")</f>
        <v>Liability</v>
      </c>
      <c r="G1076" s="14" t="s">
        <v>419</v>
      </c>
      <c r="H1076" s="16"/>
      <c r="I1076" s="16">
        <v>8100</v>
      </c>
      <c r="J1076" s="16">
        <v>-8100</v>
      </c>
      <c r="K1076" s="14" t="s">
        <v>225</v>
      </c>
    </row>
    <row r="1077" spans="1:11" ht="15" customHeight="1">
      <c r="A1077" s="13">
        <v>46120</v>
      </c>
      <c r="B1077" s="14" t="s">
        <v>467</v>
      </c>
      <c r="C1077" s="14"/>
      <c r="D1077" s="14" t="s">
        <v>63</v>
      </c>
      <c r="E1077" s="14" t="str">
        <f>_xlfn.XLOOKUP($D1077,'Chart of Accounts'!$A:$A,'Chart of Accounts'!B:B,"")</f>
        <v>Accounts Payable</v>
      </c>
      <c r="F1077" s="14" t="str">
        <f>_xlfn.XLOOKUP($D1077,'Chart of Accounts'!$A:$A,'Chart of Accounts'!C:C,"")</f>
        <v>Liability</v>
      </c>
      <c r="G1077" s="14" t="s">
        <v>421</v>
      </c>
      <c r="H1077" s="16"/>
      <c r="I1077" s="16">
        <v>699.91</v>
      </c>
      <c r="J1077" s="16">
        <v>-699.91</v>
      </c>
      <c r="K1077" s="14" t="s">
        <v>225</v>
      </c>
    </row>
    <row r="1078" spans="1:11" ht="15" customHeight="1">
      <c r="A1078" s="13">
        <v>46131</v>
      </c>
      <c r="B1078" s="14" t="s">
        <v>468</v>
      </c>
      <c r="C1078" s="14"/>
      <c r="D1078" s="14" t="s">
        <v>63</v>
      </c>
      <c r="E1078" s="14" t="str">
        <f>_xlfn.XLOOKUP($D1078,'Chart of Accounts'!$A:$A,'Chart of Accounts'!B:B,"")</f>
        <v>Accounts Payable</v>
      </c>
      <c r="F1078" s="14" t="str">
        <f>_xlfn.XLOOKUP($D1078,'Chart of Accounts'!$A:$A,'Chart of Accounts'!C:C,"")</f>
        <v>Liability</v>
      </c>
      <c r="G1078" s="14" t="s">
        <v>439</v>
      </c>
      <c r="H1078" s="16"/>
      <c r="I1078" s="16">
        <v>11059.79</v>
      </c>
      <c r="J1078" s="16">
        <v>-11059.79</v>
      </c>
      <c r="K1078" s="14" t="s">
        <v>225</v>
      </c>
    </row>
    <row r="1079" spans="1:11" ht="15" customHeight="1">
      <c r="A1079" s="13">
        <v>46132</v>
      </c>
      <c r="B1079" s="14" t="s">
        <v>469</v>
      </c>
      <c r="C1079" s="14"/>
      <c r="D1079" s="14" t="s">
        <v>63</v>
      </c>
      <c r="E1079" s="14" t="str">
        <f>_xlfn.XLOOKUP($D1079,'Chart of Accounts'!$A:$A,'Chart of Accounts'!B:B,"")</f>
        <v>Accounts Payable</v>
      </c>
      <c r="F1079" s="14" t="str">
        <f>_xlfn.XLOOKUP($D1079,'Chart of Accounts'!$A:$A,'Chart of Accounts'!C:C,"")</f>
        <v>Liability</v>
      </c>
      <c r="G1079" s="14" t="s">
        <v>423</v>
      </c>
      <c r="H1079" s="16">
        <v>17616.2</v>
      </c>
      <c r="I1079" s="16"/>
      <c r="J1079" s="16">
        <v>17616.2</v>
      </c>
      <c r="K1079" s="14" t="s">
        <v>225</v>
      </c>
    </row>
    <row r="1080" spans="1:11" ht="15" customHeight="1">
      <c r="A1080" s="13">
        <v>46147</v>
      </c>
      <c r="B1080" s="14" t="s">
        <v>470</v>
      </c>
      <c r="C1080" s="14"/>
      <c r="D1080" s="14" t="s">
        <v>63</v>
      </c>
      <c r="E1080" s="14" t="str">
        <f>_xlfn.XLOOKUP($D1080,'Chart of Accounts'!$A:$A,'Chart of Accounts'!B:B,"")</f>
        <v>Accounts Payable</v>
      </c>
      <c r="F1080" s="14" t="str">
        <f>_xlfn.XLOOKUP($D1080,'Chart of Accounts'!$A:$A,'Chart of Accounts'!C:C,"")</f>
        <v>Liability</v>
      </c>
      <c r="G1080" s="14" t="s">
        <v>417</v>
      </c>
      <c r="H1080" s="16"/>
      <c r="I1080" s="16">
        <v>919.34</v>
      </c>
      <c r="J1080" s="16">
        <v>-919.34</v>
      </c>
      <c r="K1080" s="14" t="s">
        <v>225</v>
      </c>
    </row>
    <row r="1081" spans="1:11" ht="15" customHeight="1">
      <c r="A1081" s="13">
        <v>46154</v>
      </c>
      <c r="B1081" s="14" t="s">
        <v>471</v>
      </c>
      <c r="C1081" s="14"/>
      <c r="D1081" s="14" t="s">
        <v>63</v>
      </c>
      <c r="E1081" s="14" t="str">
        <f>_xlfn.XLOOKUP($D1081,'Chart of Accounts'!$A:$A,'Chart of Accounts'!B:B,"")</f>
        <v>Accounts Payable</v>
      </c>
      <c r="F1081" s="14" t="str">
        <f>_xlfn.XLOOKUP($D1081,'Chart of Accounts'!$A:$A,'Chart of Accounts'!C:C,"")</f>
        <v>Liability</v>
      </c>
      <c r="G1081" s="14" t="s">
        <v>421</v>
      </c>
      <c r="H1081" s="16"/>
      <c r="I1081" s="16">
        <v>857.04</v>
      </c>
      <c r="J1081" s="16">
        <v>-857.04</v>
      </c>
      <c r="K1081" s="14" t="s">
        <v>225</v>
      </c>
    </row>
    <row r="1082" spans="1:11" ht="15" customHeight="1">
      <c r="A1082" s="13">
        <v>46162</v>
      </c>
      <c r="B1082" s="14" t="s">
        <v>472</v>
      </c>
      <c r="C1082" s="14"/>
      <c r="D1082" s="14" t="s">
        <v>63</v>
      </c>
      <c r="E1082" s="14" t="str">
        <f>_xlfn.XLOOKUP($D1082,'Chart of Accounts'!$A:$A,'Chart of Accounts'!B:B,"")</f>
        <v>Accounts Payable</v>
      </c>
      <c r="F1082" s="14" t="str">
        <f>_xlfn.XLOOKUP($D1082,'Chart of Accounts'!$A:$A,'Chart of Accounts'!C:C,"")</f>
        <v>Liability</v>
      </c>
      <c r="G1082" s="14" t="s">
        <v>423</v>
      </c>
      <c r="H1082" s="16">
        <v>7222.58</v>
      </c>
      <c r="I1082" s="16"/>
      <c r="J1082" s="16">
        <v>7222.58</v>
      </c>
      <c r="K1082" s="14" t="s">
        <v>225</v>
      </c>
    </row>
    <row r="1083" spans="1:11" ht="15" customHeight="1">
      <c r="A1083" s="13">
        <v>46160</v>
      </c>
      <c r="B1083" s="14" t="s">
        <v>473</v>
      </c>
      <c r="C1083" s="14"/>
      <c r="D1083" s="14" t="s">
        <v>63</v>
      </c>
      <c r="E1083" s="14" t="str">
        <f>_xlfn.XLOOKUP($D1083,'Chart of Accounts'!$A:$A,'Chart of Accounts'!B:B,"")</f>
        <v>Accounts Payable</v>
      </c>
      <c r="F1083" s="14" t="str">
        <f>_xlfn.XLOOKUP($D1083,'Chart of Accounts'!$A:$A,'Chart of Accounts'!C:C,"")</f>
        <v>Liability</v>
      </c>
      <c r="G1083" s="14" t="s">
        <v>429</v>
      </c>
      <c r="H1083" s="16"/>
      <c r="I1083" s="16">
        <v>1981.66</v>
      </c>
      <c r="J1083" s="16">
        <v>-1981.66</v>
      </c>
      <c r="K1083" s="14" t="s">
        <v>225</v>
      </c>
    </row>
    <row r="1084" spans="1:11" ht="15" customHeight="1">
      <c r="A1084" s="13">
        <v>46178</v>
      </c>
      <c r="B1084" s="14" t="s">
        <v>474</v>
      </c>
      <c r="C1084" s="14"/>
      <c r="D1084" s="14" t="s">
        <v>63</v>
      </c>
      <c r="E1084" s="14" t="str">
        <f>_xlfn.XLOOKUP($D1084,'Chart of Accounts'!$A:$A,'Chart of Accounts'!B:B,"")</f>
        <v>Accounts Payable</v>
      </c>
      <c r="F1084" s="14" t="str">
        <f>_xlfn.XLOOKUP($D1084,'Chart of Accounts'!$A:$A,'Chart of Accounts'!C:C,"")</f>
        <v>Liability</v>
      </c>
      <c r="G1084" s="14" t="s">
        <v>417</v>
      </c>
      <c r="H1084" s="16"/>
      <c r="I1084" s="16">
        <v>918.79</v>
      </c>
      <c r="J1084" s="16">
        <v>-918.79</v>
      </c>
      <c r="K1084" s="14" t="s">
        <v>225</v>
      </c>
    </row>
    <row r="1085" spans="1:11" ht="15" customHeight="1">
      <c r="A1085" s="13">
        <v>46187</v>
      </c>
      <c r="B1085" s="14" t="s">
        <v>475</v>
      </c>
      <c r="C1085" s="14"/>
      <c r="D1085" s="14" t="s">
        <v>63</v>
      </c>
      <c r="E1085" s="14" t="str">
        <f>_xlfn.XLOOKUP($D1085,'Chart of Accounts'!$A:$A,'Chart of Accounts'!B:B,"")</f>
        <v>Accounts Payable</v>
      </c>
      <c r="F1085" s="14" t="str">
        <f>_xlfn.XLOOKUP($D1085,'Chart of Accounts'!$A:$A,'Chart of Accounts'!C:C,"")</f>
        <v>Liability</v>
      </c>
      <c r="G1085" s="14" t="s">
        <v>421</v>
      </c>
      <c r="H1085" s="16"/>
      <c r="I1085" s="16">
        <v>251.07</v>
      </c>
      <c r="J1085" s="16">
        <v>-251.07</v>
      </c>
      <c r="K1085" s="14" t="s">
        <v>225</v>
      </c>
    </row>
    <row r="1086" spans="1:11" ht="15" customHeight="1">
      <c r="A1086" s="13">
        <v>46193</v>
      </c>
      <c r="B1086" s="14" t="s">
        <v>476</v>
      </c>
      <c r="C1086" s="14"/>
      <c r="D1086" s="14" t="s">
        <v>63</v>
      </c>
      <c r="E1086" s="14" t="str">
        <f>_xlfn.XLOOKUP($D1086,'Chart of Accounts'!$A:$A,'Chart of Accounts'!B:B,"")</f>
        <v>Accounts Payable</v>
      </c>
      <c r="F1086" s="14" t="str">
        <f>_xlfn.XLOOKUP($D1086,'Chart of Accounts'!$A:$A,'Chart of Accounts'!C:C,"")</f>
        <v>Liability</v>
      </c>
      <c r="G1086" s="14" t="s">
        <v>423</v>
      </c>
      <c r="H1086" s="16">
        <v>13730.12</v>
      </c>
      <c r="I1086" s="16"/>
      <c r="J1086" s="16">
        <v>13730.12</v>
      </c>
      <c r="K1086" s="14" t="s">
        <v>225</v>
      </c>
    </row>
    <row r="1087" spans="1:11" ht="15" customHeight="1">
      <c r="A1087" s="13">
        <v>46198</v>
      </c>
      <c r="B1087" s="14" t="s">
        <v>477</v>
      </c>
      <c r="C1087" s="14"/>
      <c r="D1087" s="14" t="s">
        <v>63</v>
      </c>
      <c r="E1087" s="14" t="str">
        <f>_xlfn.XLOOKUP($D1087,'Chart of Accounts'!$A:$A,'Chart of Accounts'!B:B,"")</f>
        <v>Accounts Payable</v>
      </c>
      <c r="F1087" s="14" t="str">
        <f>_xlfn.XLOOKUP($D1087,'Chart of Accounts'!$A:$A,'Chart of Accounts'!C:C,"")</f>
        <v>Liability</v>
      </c>
      <c r="G1087" s="14" t="s">
        <v>434</v>
      </c>
      <c r="H1087" s="16"/>
      <c r="I1087" s="16">
        <v>14729.44</v>
      </c>
      <c r="J1087" s="16">
        <v>-14729.44</v>
      </c>
      <c r="K1087" s="14" t="s">
        <v>225</v>
      </c>
    </row>
    <row r="1088" spans="1:11" ht="15" customHeight="1">
      <c r="A1088" s="13">
        <v>45839</v>
      </c>
      <c r="B1088" s="14" t="s">
        <v>478</v>
      </c>
      <c r="C1088" s="19" t="s">
        <v>46</v>
      </c>
      <c r="D1088" s="15" t="s">
        <v>53</v>
      </c>
      <c r="E1088" s="14" t="str">
        <f>_xlfn.XLOOKUP($D1088,'Chart of Accounts'!$A:$A,'Chart of Accounts'!B:B,"")</f>
        <v>Prepaid Expenses</v>
      </c>
      <c r="F1088" s="14" t="str">
        <f>_xlfn.XLOOKUP($D1088,'Chart of Accounts'!$A:$A,'Chart of Accounts'!C:C,"")</f>
        <v>Asset</v>
      </c>
      <c r="G1088" s="14" t="s">
        <v>479</v>
      </c>
      <c r="H1088" s="16"/>
      <c r="I1088" s="16">
        <v>2700.01</v>
      </c>
      <c r="J1088" s="16">
        <v>-2700</v>
      </c>
      <c r="K1088" s="14" t="s">
        <v>225</v>
      </c>
    </row>
    <row r="1089" spans="1:11" ht="15" customHeight="1">
      <c r="A1089" s="13">
        <v>45839</v>
      </c>
      <c r="B1089" s="14" t="s">
        <v>478</v>
      </c>
      <c r="C1089" s="19" t="s">
        <v>12</v>
      </c>
      <c r="D1089" s="14" t="s">
        <v>117</v>
      </c>
      <c r="E1089" s="14" t="str">
        <f>_xlfn.XLOOKUP($D1089,'Chart of Accounts'!$A:$A,'Chart of Accounts'!B:B,"")</f>
        <v>Insurance</v>
      </c>
      <c r="F1089" s="14" t="str">
        <f>_xlfn.XLOOKUP($D1089,'Chart of Accounts'!$A:$A,'Chart of Accounts'!C:C,"")</f>
        <v>Expense</v>
      </c>
      <c r="G1089" s="14" t="s">
        <v>479</v>
      </c>
      <c r="H1089" s="16">
        <v>117.39</v>
      </c>
      <c r="I1089" s="16"/>
      <c r="J1089" s="16">
        <v>117.39</v>
      </c>
      <c r="K1089" s="14" t="s">
        <v>225</v>
      </c>
    </row>
    <row r="1090" spans="1:11" ht="15" customHeight="1">
      <c r="A1090" s="13">
        <v>45839</v>
      </c>
      <c r="B1090" s="14" t="s">
        <v>478</v>
      </c>
      <c r="C1090" s="19" t="s">
        <v>14</v>
      </c>
      <c r="D1090" s="14" t="s">
        <v>117</v>
      </c>
      <c r="E1090" s="14" t="str">
        <f>_xlfn.XLOOKUP($D1090,'Chart of Accounts'!$A:$A,'Chart of Accounts'!B:B,"")</f>
        <v>Insurance</v>
      </c>
      <c r="F1090" s="14" t="str">
        <f>_xlfn.XLOOKUP($D1090,'Chart of Accounts'!$A:$A,'Chart of Accounts'!C:C,"")</f>
        <v>Expense</v>
      </c>
      <c r="G1090" s="14" t="s">
        <v>479</v>
      </c>
      <c r="H1090" s="16">
        <v>100.64</v>
      </c>
      <c r="I1090" s="16"/>
      <c r="J1090" s="16">
        <v>100.64</v>
      </c>
      <c r="K1090" s="14" t="s">
        <v>225</v>
      </c>
    </row>
    <row r="1091" spans="1:11" ht="15" customHeight="1">
      <c r="A1091" s="13">
        <v>45839</v>
      </c>
      <c r="B1091" s="14" t="s">
        <v>478</v>
      </c>
      <c r="C1091" s="19" t="s">
        <v>16</v>
      </c>
      <c r="D1091" s="14" t="s">
        <v>117</v>
      </c>
      <c r="E1091" s="14" t="str">
        <f>_xlfn.XLOOKUP($D1091,'Chart of Accounts'!$A:$A,'Chart of Accounts'!B:B,"")</f>
        <v>Insurance</v>
      </c>
      <c r="F1091" s="14" t="str">
        <f>_xlfn.XLOOKUP($D1091,'Chart of Accounts'!$A:$A,'Chart of Accounts'!C:C,"")</f>
        <v>Expense</v>
      </c>
      <c r="G1091" s="14" t="s">
        <v>479</v>
      </c>
      <c r="H1091" s="16">
        <v>100.63</v>
      </c>
      <c r="I1091" s="16"/>
      <c r="J1091" s="16">
        <v>100.63</v>
      </c>
      <c r="K1091" s="14" t="s">
        <v>225</v>
      </c>
    </row>
    <row r="1092" spans="1:11" ht="15" customHeight="1">
      <c r="A1092" s="13">
        <v>45839</v>
      </c>
      <c r="B1092" s="14" t="s">
        <v>478</v>
      </c>
      <c r="C1092" s="19" t="s">
        <v>18</v>
      </c>
      <c r="D1092" s="14" t="s">
        <v>117</v>
      </c>
      <c r="E1092" s="14" t="str">
        <f>_xlfn.XLOOKUP($D1092,'Chart of Accounts'!$A:$A,'Chart of Accounts'!B:B,"")</f>
        <v>Insurance</v>
      </c>
      <c r="F1092" s="14" t="str">
        <f>_xlfn.XLOOKUP($D1092,'Chart of Accounts'!$A:$A,'Chart of Accounts'!C:C,"")</f>
        <v>Expense</v>
      </c>
      <c r="G1092" s="14" t="s">
        <v>479</v>
      </c>
      <c r="H1092" s="16">
        <v>134.16999999999999</v>
      </c>
      <c r="I1092" s="16"/>
      <c r="J1092" s="16">
        <v>134.16999999999999</v>
      </c>
      <c r="K1092" s="14" t="s">
        <v>225</v>
      </c>
    </row>
    <row r="1093" spans="1:11" ht="15" customHeight="1">
      <c r="A1093" s="13">
        <v>45839</v>
      </c>
      <c r="B1093" s="14" t="s">
        <v>478</v>
      </c>
      <c r="C1093" s="19" t="s">
        <v>20</v>
      </c>
      <c r="D1093" s="14" t="s">
        <v>117</v>
      </c>
      <c r="E1093" s="14" t="str">
        <f>_xlfn.XLOOKUP($D1093,'Chart of Accounts'!$A:$A,'Chart of Accounts'!B:B,"")</f>
        <v>Insurance</v>
      </c>
      <c r="F1093" s="14" t="str">
        <f>_xlfn.XLOOKUP($D1093,'Chart of Accounts'!$A:$A,'Chart of Accounts'!C:C,"")</f>
        <v>Expense</v>
      </c>
      <c r="G1093" s="14" t="s">
        <v>479</v>
      </c>
      <c r="H1093" s="16">
        <v>134.16999999999999</v>
      </c>
      <c r="I1093" s="16"/>
      <c r="J1093" s="16">
        <v>134.16999999999999</v>
      </c>
      <c r="K1093" s="14" t="s">
        <v>225</v>
      </c>
    </row>
    <row r="1094" spans="1:11" ht="15" customHeight="1">
      <c r="A1094" s="13">
        <v>45839</v>
      </c>
      <c r="B1094" s="14" t="s">
        <v>478</v>
      </c>
      <c r="C1094" s="19" t="s">
        <v>4</v>
      </c>
      <c r="D1094" s="14" t="s">
        <v>117</v>
      </c>
      <c r="E1094" s="14" t="str">
        <f>_xlfn.XLOOKUP($D1094,'Chart of Accounts'!$A:$A,'Chart of Accounts'!B:B,"")</f>
        <v>Insurance</v>
      </c>
      <c r="F1094" s="14" t="str">
        <f>_xlfn.XLOOKUP($D1094,'Chart of Accounts'!$A:$A,'Chart of Accounts'!C:C,"")</f>
        <v>Expense</v>
      </c>
      <c r="G1094" s="14" t="s">
        <v>479</v>
      </c>
      <c r="H1094" s="16">
        <v>422.6</v>
      </c>
      <c r="I1094" s="16"/>
      <c r="J1094" s="16">
        <v>422.6</v>
      </c>
      <c r="K1094" s="14" t="s">
        <v>225</v>
      </c>
    </row>
    <row r="1095" spans="1:11" ht="15" customHeight="1">
      <c r="A1095" s="13">
        <v>45839</v>
      </c>
      <c r="B1095" s="14" t="s">
        <v>478</v>
      </c>
      <c r="C1095" s="19" t="s">
        <v>6</v>
      </c>
      <c r="D1095" s="14" t="s">
        <v>117</v>
      </c>
      <c r="E1095" s="14" t="str">
        <f>_xlfn.XLOOKUP($D1095,'Chart of Accounts'!$A:$A,'Chart of Accounts'!B:B,"")</f>
        <v>Insurance</v>
      </c>
      <c r="F1095" s="14" t="str">
        <f>_xlfn.XLOOKUP($D1095,'Chart of Accounts'!$A:$A,'Chart of Accounts'!C:C,"")</f>
        <v>Expense</v>
      </c>
      <c r="G1095" s="14" t="s">
        <v>479</v>
      </c>
      <c r="H1095" s="16">
        <v>563.47</v>
      </c>
      <c r="I1095" s="16"/>
      <c r="J1095" s="16">
        <v>563.47</v>
      </c>
      <c r="K1095" s="14" t="s">
        <v>225</v>
      </c>
    </row>
    <row r="1096" spans="1:11" ht="15" customHeight="1">
      <c r="A1096" s="13">
        <v>45839</v>
      </c>
      <c r="B1096" s="14" t="s">
        <v>478</v>
      </c>
      <c r="C1096" s="19" t="s">
        <v>8</v>
      </c>
      <c r="D1096" s="14" t="s">
        <v>117</v>
      </c>
      <c r="E1096" s="14" t="str">
        <f>_xlfn.XLOOKUP($D1096,'Chart of Accounts'!$A:$A,'Chart of Accounts'!B:B,"")</f>
        <v>Insurance</v>
      </c>
      <c r="F1096" s="14" t="str">
        <f>_xlfn.XLOOKUP($D1096,'Chart of Accounts'!$A:$A,'Chart of Accounts'!C:C,"")</f>
        <v>Expense</v>
      </c>
      <c r="G1096" s="14" t="s">
        <v>479</v>
      </c>
      <c r="H1096" s="16">
        <v>563.47</v>
      </c>
      <c r="I1096" s="16"/>
      <c r="J1096" s="16">
        <v>563.47</v>
      </c>
      <c r="K1096" s="14" t="s">
        <v>225</v>
      </c>
    </row>
    <row r="1097" spans="1:11" ht="15" customHeight="1">
      <c r="A1097" s="13">
        <v>45839</v>
      </c>
      <c r="B1097" s="14" t="s">
        <v>478</v>
      </c>
      <c r="C1097" s="19" t="s">
        <v>10</v>
      </c>
      <c r="D1097" s="14" t="s">
        <v>117</v>
      </c>
      <c r="E1097" s="14" t="str">
        <f>_xlfn.XLOOKUP($D1097,'Chart of Accounts'!$A:$A,'Chart of Accounts'!B:B,"")</f>
        <v>Insurance</v>
      </c>
      <c r="F1097" s="14" t="str">
        <f>_xlfn.XLOOKUP($D1097,'Chart of Accounts'!$A:$A,'Chart of Accounts'!C:C,"")</f>
        <v>Expense</v>
      </c>
      <c r="G1097" s="14" t="s">
        <v>479</v>
      </c>
      <c r="H1097" s="16">
        <v>563.47</v>
      </c>
      <c r="I1097" s="16"/>
      <c r="J1097" s="16">
        <v>563.47</v>
      </c>
      <c r="K1097" s="14" t="s">
        <v>225</v>
      </c>
    </row>
    <row r="1098" spans="1:11" ht="15" customHeight="1">
      <c r="A1098" s="13">
        <v>45870</v>
      </c>
      <c r="B1098" s="14" t="s">
        <v>480</v>
      </c>
      <c r="C1098" s="19" t="s">
        <v>46</v>
      </c>
      <c r="D1098" s="15" t="s">
        <v>53</v>
      </c>
      <c r="E1098" s="14" t="str">
        <f>_xlfn.XLOOKUP($D1098,'Chart of Accounts'!$A:$A,'Chart of Accounts'!B:B,"")</f>
        <v>Prepaid Expenses</v>
      </c>
      <c r="F1098" s="14" t="str">
        <f>_xlfn.XLOOKUP($D1098,'Chart of Accounts'!$A:$A,'Chart of Accounts'!C:C,"")</f>
        <v>Asset</v>
      </c>
      <c r="G1098" s="14" t="s">
        <v>479</v>
      </c>
      <c r="H1098" s="16"/>
      <c r="I1098" s="16">
        <v>2700.01</v>
      </c>
      <c r="J1098" s="16">
        <v>-2700</v>
      </c>
      <c r="K1098" s="14" t="s">
        <v>225</v>
      </c>
    </row>
    <row r="1099" spans="1:11" ht="15" customHeight="1">
      <c r="A1099" s="13">
        <v>45870</v>
      </c>
      <c r="B1099" s="14" t="s">
        <v>480</v>
      </c>
      <c r="C1099" s="19" t="s">
        <v>12</v>
      </c>
      <c r="D1099" s="14" t="s">
        <v>117</v>
      </c>
      <c r="E1099" s="14" t="str">
        <f>_xlfn.XLOOKUP($D1099,'Chart of Accounts'!$A:$A,'Chart of Accounts'!B:B,"")</f>
        <v>Insurance</v>
      </c>
      <c r="F1099" s="14" t="str">
        <f>_xlfn.XLOOKUP($D1099,'Chart of Accounts'!$A:$A,'Chart of Accounts'!C:C,"")</f>
        <v>Expense</v>
      </c>
      <c r="G1099" s="14" t="s">
        <v>479</v>
      </c>
      <c r="H1099" s="16">
        <v>117.39</v>
      </c>
      <c r="I1099" s="16"/>
      <c r="J1099" s="16">
        <v>117.39</v>
      </c>
      <c r="K1099" s="14" t="s">
        <v>225</v>
      </c>
    </row>
    <row r="1100" spans="1:11" ht="15" customHeight="1">
      <c r="A1100" s="13">
        <v>45870</v>
      </c>
      <c r="B1100" s="14" t="s">
        <v>480</v>
      </c>
      <c r="C1100" s="19" t="s">
        <v>14</v>
      </c>
      <c r="D1100" s="14" t="s">
        <v>117</v>
      </c>
      <c r="E1100" s="14" t="str">
        <f>_xlfn.XLOOKUP($D1100,'Chart of Accounts'!$A:$A,'Chart of Accounts'!B:B,"")</f>
        <v>Insurance</v>
      </c>
      <c r="F1100" s="14" t="str">
        <f>_xlfn.XLOOKUP($D1100,'Chart of Accounts'!$A:$A,'Chart of Accounts'!C:C,"")</f>
        <v>Expense</v>
      </c>
      <c r="G1100" s="14" t="s">
        <v>479</v>
      </c>
      <c r="H1100" s="16">
        <v>100.64</v>
      </c>
      <c r="I1100" s="16"/>
      <c r="J1100" s="16">
        <v>100.64</v>
      </c>
      <c r="K1100" s="14" t="s">
        <v>225</v>
      </c>
    </row>
    <row r="1101" spans="1:11" ht="15" customHeight="1">
      <c r="A1101" s="13">
        <v>45870</v>
      </c>
      <c r="B1101" s="14" t="s">
        <v>480</v>
      </c>
      <c r="C1101" s="19" t="s">
        <v>16</v>
      </c>
      <c r="D1101" s="14" t="s">
        <v>117</v>
      </c>
      <c r="E1101" s="14" t="str">
        <f>_xlfn.XLOOKUP($D1101,'Chart of Accounts'!$A:$A,'Chart of Accounts'!B:B,"")</f>
        <v>Insurance</v>
      </c>
      <c r="F1101" s="14" t="str">
        <f>_xlfn.XLOOKUP($D1101,'Chart of Accounts'!$A:$A,'Chart of Accounts'!C:C,"")</f>
        <v>Expense</v>
      </c>
      <c r="G1101" s="14" t="s">
        <v>479</v>
      </c>
      <c r="H1101" s="16">
        <v>100.63</v>
      </c>
      <c r="I1101" s="16"/>
      <c r="J1101" s="16">
        <v>100.63</v>
      </c>
      <c r="K1101" s="14" t="s">
        <v>225</v>
      </c>
    </row>
    <row r="1102" spans="1:11" ht="15" customHeight="1">
      <c r="A1102" s="13">
        <v>45870</v>
      </c>
      <c r="B1102" s="14" t="s">
        <v>480</v>
      </c>
      <c r="C1102" s="19" t="s">
        <v>18</v>
      </c>
      <c r="D1102" s="14" t="s">
        <v>117</v>
      </c>
      <c r="E1102" s="14" t="str">
        <f>_xlfn.XLOOKUP($D1102,'Chart of Accounts'!$A:$A,'Chart of Accounts'!B:B,"")</f>
        <v>Insurance</v>
      </c>
      <c r="F1102" s="14" t="str">
        <f>_xlfn.XLOOKUP($D1102,'Chart of Accounts'!$A:$A,'Chart of Accounts'!C:C,"")</f>
        <v>Expense</v>
      </c>
      <c r="G1102" s="14" t="s">
        <v>479</v>
      </c>
      <c r="H1102" s="16">
        <v>134.16999999999999</v>
      </c>
      <c r="I1102" s="16"/>
      <c r="J1102" s="16">
        <v>134.16999999999999</v>
      </c>
      <c r="K1102" s="14" t="s">
        <v>225</v>
      </c>
    </row>
    <row r="1103" spans="1:11" ht="15" customHeight="1">
      <c r="A1103" s="13">
        <v>45870</v>
      </c>
      <c r="B1103" s="14" t="s">
        <v>480</v>
      </c>
      <c r="C1103" s="19" t="s">
        <v>20</v>
      </c>
      <c r="D1103" s="14" t="s">
        <v>117</v>
      </c>
      <c r="E1103" s="14" t="str">
        <f>_xlfn.XLOOKUP($D1103,'Chart of Accounts'!$A:$A,'Chart of Accounts'!B:B,"")</f>
        <v>Insurance</v>
      </c>
      <c r="F1103" s="14" t="str">
        <f>_xlfn.XLOOKUP($D1103,'Chart of Accounts'!$A:$A,'Chart of Accounts'!C:C,"")</f>
        <v>Expense</v>
      </c>
      <c r="G1103" s="14" t="s">
        <v>479</v>
      </c>
      <c r="H1103" s="16">
        <v>134.16999999999999</v>
      </c>
      <c r="I1103" s="16"/>
      <c r="J1103" s="16">
        <v>134.16999999999999</v>
      </c>
      <c r="K1103" s="14" t="s">
        <v>225</v>
      </c>
    </row>
    <row r="1104" spans="1:11" ht="15" customHeight="1">
      <c r="A1104" s="13">
        <v>45870</v>
      </c>
      <c r="B1104" s="14" t="s">
        <v>480</v>
      </c>
      <c r="C1104" s="19" t="s">
        <v>4</v>
      </c>
      <c r="D1104" s="14" t="s">
        <v>117</v>
      </c>
      <c r="E1104" s="14" t="str">
        <f>_xlfn.XLOOKUP($D1104,'Chart of Accounts'!$A:$A,'Chart of Accounts'!B:B,"")</f>
        <v>Insurance</v>
      </c>
      <c r="F1104" s="14" t="str">
        <f>_xlfn.XLOOKUP($D1104,'Chart of Accounts'!$A:$A,'Chart of Accounts'!C:C,"")</f>
        <v>Expense</v>
      </c>
      <c r="G1104" s="14" t="s">
        <v>479</v>
      </c>
      <c r="H1104" s="16">
        <v>422.6</v>
      </c>
      <c r="I1104" s="16"/>
      <c r="J1104" s="16">
        <v>422.6</v>
      </c>
      <c r="K1104" s="14" t="s">
        <v>225</v>
      </c>
    </row>
    <row r="1105" spans="1:11" ht="15" customHeight="1">
      <c r="A1105" s="13">
        <v>45870</v>
      </c>
      <c r="B1105" s="14" t="s">
        <v>480</v>
      </c>
      <c r="C1105" s="19" t="s">
        <v>6</v>
      </c>
      <c r="D1105" s="14" t="s">
        <v>117</v>
      </c>
      <c r="E1105" s="14" t="str">
        <f>_xlfn.XLOOKUP($D1105,'Chart of Accounts'!$A:$A,'Chart of Accounts'!B:B,"")</f>
        <v>Insurance</v>
      </c>
      <c r="F1105" s="14" t="str">
        <f>_xlfn.XLOOKUP($D1105,'Chart of Accounts'!$A:$A,'Chart of Accounts'!C:C,"")</f>
        <v>Expense</v>
      </c>
      <c r="G1105" s="14" t="s">
        <v>479</v>
      </c>
      <c r="H1105" s="16">
        <v>563.47</v>
      </c>
      <c r="I1105" s="16"/>
      <c r="J1105" s="16">
        <v>563.47</v>
      </c>
      <c r="K1105" s="14" t="s">
        <v>225</v>
      </c>
    </row>
    <row r="1106" spans="1:11" ht="15" customHeight="1">
      <c r="A1106" s="13">
        <v>45870</v>
      </c>
      <c r="B1106" s="14" t="s">
        <v>480</v>
      </c>
      <c r="C1106" s="19" t="s">
        <v>8</v>
      </c>
      <c r="D1106" s="14" t="s">
        <v>117</v>
      </c>
      <c r="E1106" s="14" t="str">
        <f>_xlfn.XLOOKUP($D1106,'Chart of Accounts'!$A:$A,'Chart of Accounts'!B:B,"")</f>
        <v>Insurance</v>
      </c>
      <c r="F1106" s="14" t="str">
        <f>_xlfn.XLOOKUP($D1106,'Chart of Accounts'!$A:$A,'Chart of Accounts'!C:C,"")</f>
        <v>Expense</v>
      </c>
      <c r="G1106" s="14" t="s">
        <v>479</v>
      </c>
      <c r="H1106" s="16">
        <v>563.47</v>
      </c>
      <c r="I1106" s="16"/>
      <c r="J1106" s="16">
        <v>563.47</v>
      </c>
      <c r="K1106" s="14" t="s">
        <v>225</v>
      </c>
    </row>
    <row r="1107" spans="1:11" ht="15" customHeight="1">
      <c r="A1107" s="13">
        <v>45870</v>
      </c>
      <c r="B1107" s="14" t="s">
        <v>480</v>
      </c>
      <c r="C1107" s="19" t="s">
        <v>10</v>
      </c>
      <c r="D1107" s="14" t="s">
        <v>117</v>
      </c>
      <c r="E1107" s="14" t="str">
        <f>_xlfn.XLOOKUP($D1107,'Chart of Accounts'!$A:$A,'Chart of Accounts'!B:B,"")</f>
        <v>Insurance</v>
      </c>
      <c r="F1107" s="14" t="str">
        <f>_xlfn.XLOOKUP($D1107,'Chart of Accounts'!$A:$A,'Chart of Accounts'!C:C,"")</f>
        <v>Expense</v>
      </c>
      <c r="G1107" s="14" t="s">
        <v>479</v>
      </c>
      <c r="H1107" s="16">
        <v>563.47</v>
      </c>
      <c r="I1107" s="16"/>
      <c r="J1107" s="16">
        <v>563.47</v>
      </c>
      <c r="K1107" s="14" t="s">
        <v>225</v>
      </c>
    </row>
    <row r="1108" spans="1:11" ht="15" customHeight="1">
      <c r="A1108" s="13">
        <v>45901</v>
      </c>
      <c r="B1108" s="14" t="s">
        <v>481</v>
      </c>
      <c r="C1108" s="19" t="s">
        <v>46</v>
      </c>
      <c r="D1108" s="15" t="s">
        <v>53</v>
      </c>
      <c r="E1108" s="14" t="str">
        <f>_xlfn.XLOOKUP($D1108,'Chart of Accounts'!$A:$A,'Chart of Accounts'!B:B,"")</f>
        <v>Prepaid Expenses</v>
      </c>
      <c r="F1108" s="14" t="str">
        <f>_xlfn.XLOOKUP($D1108,'Chart of Accounts'!$A:$A,'Chart of Accounts'!C:C,"")</f>
        <v>Asset</v>
      </c>
      <c r="G1108" s="14" t="s">
        <v>479</v>
      </c>
      <c r="H1108" s="16"/>
      <c r="I1108" s="16">
        <v>2700.01</v>
      </c>
      <c r="J1108" s="16">
        <v>-2700</v>
      </c>
      <c r="K1108" s="14" t="s">
        <v>225</v>
      </c>
    </row>
    <row r="1109" spans="1:11" ht="15" customHeight="1">
      <c r="A1109" s="13">
        <v>45901</v>
      </c>
      <c r="B1109" s="14" t="s">
        <v>481</v>
      </c>
      <c r="C1109" s="19" t="s">
        <v>12</v>
      </c>
      <c r="D1109" s="14" t="s">
        <v>117</v>
      </c>
      <c r="E1109" s="14" t="str">
        <f>_xlfn.XLOOKUP($D1109,'Chart of Accounts'!$A:$A,'Chart of Accounts'!B:B,"")</f>
        <v>Insurance</v>
      </c>
      <c r="F1109" s="14" t="str">
        <f>_xlfn.XLOOKUP($D1109,'Chart of Accounts'!$A:$A,'Chart of Accounts'!C:C,"")</f>
        <v>Expense</v>
      </c>
      <c r="G1109" s="14" t="s">
        <v>479</v>
      </c>
      <c r="H1109" s="16">
        <v>117.39</v>
      </c>
      <c r="I1109" s="16"/>
      <c r="J1109" s="16">
        <v>117.39</v>
      </c>
      <c r="K1109" s="14" t="s">
        <v>225</v>
      </c>
    </row>
    <row r="1110" spans="1:11" ht="15" customHeight="1">
      <c r="A1110" s="13">
        <v>45901</v>
      </c>
      <c r="B1110" s="14" t="s">
        <v>481</v>
      </c>
      <c r="C1110" s="19" t="s">
        <v>14</v>
      </c>
      <c r="D1110" s="14" t="s">
        <v>117</v>
      </c>
      <c r="E1110" s="14" t="str">
        <f>_xlfn.XLOOKUP($D1110,'Chart of Accounts'!$A:$A,'Chart of Accounts'!B:B,"")</f>
        <v>Insurance</v>
      </c>
      <c r="F1110" s="14" t="str">
        <f>_xlfn.XLOOKUP($D1110,'Chart of Accounts'!$A:$A,'Chart of Accounts'!C:C,"")</f>
        <v>Expense</v>
      </c>
      <c r="G1110" s="14" t="s">
        <v>479</v>
      </c>
      <c r="H1110" s="16">
        <v>100.64</v>
      </c>
      <c r="I1110" s="16"/>
      <c r="J1110" s="16">
        <v>100.64</v>
      </c>
      <c r="K1110" s="14" t="s">
        <v>225</v>
      </c>
    </row>
    <row r="1111" spans="1:11" ht="15" customHeight="1">
      <c r="A1111" s="13">
        <v>45901</v>
      </c>
      <c r="B1111" s="14" t="s">
        <v>481</v>
      </c>
      <c r="C1111" s="19" t="s">
        <v>16</v>
      </c>
      <c r="D1111" s="14" t="s">
        <v>117</v>
      </c>
      <c r="E1111" s="14" t="str">
        <f>_xlfn.XLOOKUP($D1111,'Chart of Accounts'!$A:$A,'Chart of Accounts'!B:B,"")</f>
        <v>Insurance</v>
      </c>
      <c r="F1111" s="14" t="str">
        <f>_xlfn.XLOOKUP($D1111,'Chart of Accounts'!$A:$A,'Chart of Accounts'!C:C,"")</f>
        <v>Expense</v>
      </c>
      <c r="G1111" s="14" t="s">
        <v>479</v>
      </c>
      <c r="H1111" s="16">
        <v>100.63</v>
      </c>
      <c r="I1111" s="16"/>
      <c r="J1111" s="16">
        <v>100.63</v>
      </c>
      <c r="K1111" s="14" t="s">
        <v>225</v>
      </c>
    </row>
    <row r="1112" spans="1:11" ht="15" customHeight="1">
      <c r="A1112" s="13">
        <v>45901</v>
      </c>
      <c r="B1112" s="14" t="s">
        <v>481</v>
      </c>
      <c r="C1112" s="19" t="s">
        <v>18</v>
      </c>
      <c r="D1112" s="14" t="s">
        <v>117</v>
      </c>
      <c r="E1112" s="14" t="str">
        <f>_xlfn.XLOOKUP($D1112,'Chart of Accounts'!$A:$A,'Chart of Accounts'!B:B,"")</f>
        <v>Insurance</v>
      </c>
      <c r="F1112" s="14" t="str">
        <f>_xlfn.XLOOKUP($D1112,'Chart of Accounts'!$A:$A,'Chart of Accounts'!C:C,"")</f>
        <v>Expense</v>
      </c>
      <c r="G1112" s="14" t="s">
        <v>479</v>
      </c>
      <c r="H1112" s="16">
        <v>134.16999999999999</v>
      </c>
      <c r="I1112" s="16"/>
      <c r="J1112" s="16">
        <v>134.16999999999999</v>
      </c>
      <c r="K1112" s="14" t="s">
        <v>225</v>
      </c>
    </row>
    <row r="1113" spans="1:11" ht="15" customHeight="1">
      <c r="A1113" s="13">
        <v>45901</v>
      </c>
      <c r="B1113" s="14" t="s">
        <v>481</v>
      </c>
      <c r="C1113" s="19" t="s">
        <v>20</v>
      </c>
      <c r="D1113" s="14" t="s">
        <v>117</v>
      </c>
      <c r="E1113" s="14" t="str">
        <f>_xlfn.XLOOKUP($D1113,'Chart of Accounts'!$A:$A,'Chart of Accounts'!B:B,"")</f>
        <v>Insurance</v>
      </c>
      <c r="F1113" s="14" t="str">
        <f>_xlfn.XLOOKUP($D1113,'Chart of Accounts'!$A:$A,'Chart of Accounts'!C:C,"")</f>
        <v>Expense</v>
      </c>
      <c r="G1113" s="14" t="s">
        <v>479</v>
      </c>
      <c r="H1113" s="16">
        <v>134.16999999999999</v>
      </c>
      <c r="I1113" s="16"/>
      <c r="J1113" s="16">
        <v>134.16999999999999</v>
      </c>
      <c r="K1113" s="14" t="s">
        <v>225</v>
      </c>
    </row>
    <row r="1114" spans="1:11" ht="15" customHeight="1">
      <c r="A1114" s="13">
        <v>45901</v>
      </c>
      <c r="B1114" s="14" t="s">
        <v>481</v>
      </c>
      <c r="C1114" s="19" t="s">
        <v>4</v>
      </c>
      <c r="D1114" s="14" t="s">
        <v>117</v>
      </c>
      <c r="E1114" s="14" t="str">
        <f>_xlfn.XLOOKUP($D1114,'Chart of Accounts'!$A:$A,'Chart of Accounts'!B:B,"")</f>
        <v>Insurance</v>
      </c>
      <c r="F1114" s="14" t="str">
        <f>_xlfn.XLOOKUP($D1114,'Chart of Accounts'!$A:$A,'Chart of Accounts'!C:C,"")</f>
        <v>Expense</v>
      </c>
      <c r="G1114" s="14" t="s">
        <v>479</v>
      </c>
      <c r="H1114" s="16">
        <v>422.6</v>
      </c>
      <c r="I1114" s="16"/>
      <c r="J1114" s="16">
        <v>422.6</v>
      </c>
      <c r="K1114" s="14" t="s">
        <v>225</v>
      </c>
    </row>
    <row r="1115" spans="1:11" ht="15" customHeight="1">
      <c r="A1115" s="13">
        <v>45901</v>
      </c>
      <c r="B1115" s="14" t="s">
        <v>481</v>
      </c>
      <c r="C1115" s="19" t="s">
        <v>6</v>
      </c>
      <c r="D1115" s="14" t="s">
        <v>117</v>
      </c>
      <c r="E1115" s="14" t="str">
        <f>_xlfn.XLOOKUP($D1115,'Chart of Accounts'!$A:$A,'Chart of Accounts'!B:B,"")</f>
        <v>Insurance</v>
      </c>
      <c r="F1115" s="14" t="str">
        <f>_xlfn.XLOOKUP($D1115,'Chart of Accounts'!$A:$A,'Chart of Accounts'!C:C,"")</f>
        <v>Expense</v>
      </c>
      <c r="G1115" s="14" t="s">
        <v>479</v>
      </c>
      <c r="H1115" s="16">
        <v>563.47</v>
      </c>
      <c r="I1115" s="16"/>
      <c r="J1115" s="16">
        <v>563.47</v>
      </c>
      <c r="K1115" s="14" t="s">
        <v>225</v>
      </c>
    </row>
    <row r="1116" spans="1:11" ht="15" customHeight="1">
      <c r="A1116" s="13">
        <v>45901</v>
      </c>
      <c r="B1116" s="14" t="s">
        <v>481</v>
      </c>
      <c r="C1116" s="19" t="s">
        <v>8</v>
      </c>
      <c r="D1116" s="14" t="s">
        <v>117</v>
      </c>
      <c r="E1116" s="14" t="str">
        <f>_xlfn.XLOOKUP($D1116,'Chart of Accounts'!$A:$A,'Chart of Accounts'!B:B,"")</f>
        <v>Insurance</v>
      </c>
      <c r="F1116" s="14" t="str">
        <f>_xlfn.XLOOKUP($D1116,'Chart of Accounts'!$A:$A,'Chart of Accounts'!C:C,"")</f>
        <v>Expense</v>
      </c>
      <c r="G1116" s="14" t="s">
        <v>479</v>
      </c>
      <c r="H1116" s="16">
        <v>563.47</v>
      </c>
      <c r="I1116" s="16"/>
      <c r="J1116" s="16">
        <v>563.47</v>
      </c>
      <c r="K1116" s="14" t="s">
        <v>225</v>
      </c>
    </row>
    <row r="1117" spans="1:11" ht="15" customHeight="1">
      <c r="A1117" s="13">
        <v>45901</v>
      </c>
      <c r="B1117" s="14" t="s">
        <v>481</v>
      </c>
      <c r="C1117" s="19" t="s">
        <v>10</v>
      </c>
      <c r="D1117" s="14" t="s">
        <v>117</v>
      </c>
      <c r="E1117" s="14" t="str">
        <f>_xlfn.XLOOKUP($D1117,'Chart of Accounts'!$A:$A,'Chart of Accounts'!B:B,"")</f>
        <v>Insurance</v>
      </c>
      <c r="F1117" s="14" t="str">
        <f>_xlfn.XLOOKUP($D1117,'Chart of Accounts'!$A:$A,'Chart of Accounts'!C:C,"")</f>
        <v>Expense</v>
      </c>
      <c r="G1117" s="14" t="s">
        <v>479</v>
      </c>
      <c r="H1117" s="16">
        <v>563.47</v>
      </c>
      <c r="I1117" s="16"/>
      <c r="J1117" s="16">
        <v>563.47</v>
      </c>
      <c r="K1117" s="14" t="s">
        <v>225</v>
      </c>
    </row>
    <row r="1118" spans="1:11" ht="15" customHeight="1">
      <c r="A1118" s="13">
        <v>45931</v>
      </c>
      <c r="B1118" s="14" t="s">
        <v>482</v>
      </c>
      <c r="C1118" s="19" t="s">
        <v>46</v>
      </c>
      <c r="D1118" s="15" t="s">
        <v>53</v>
      </c>
      <c r="E1118" s="14" t="str">
        <f>_xlfn.XLOOKUP($D1118,'Chart of Accounts'!$A:$A,'Chart of Accounts'!B:B,"")</f>
        <v>Prepaid Expenses</v>
      </c>
      <c r="F1118" s="14" t="str">
        <f>_xlfn.XLOOKUP($D1118,'Chart of Accounts'!$A:$A,'Chart of Accounts'!C:C,"")</f>
        <v>Asset</v>
      </c>
      <c r="G1118" s="14" t="s">
        <v>479</v>
      </c>
      <c r="H1118" s="16"/>
      <c r="I1118" s="16">
        <v>2700.01</v>
      </c>
      <c r="J1118" s="16">
        <v>-2700</v>
      </c>
      <c r="K1118" s="14" t="s">
        <v>225</v>
      </c>
    </row>
    <row r="1119" spans="1:11" ht="15" customHeight="1">
      <c r="A1119" s="13">
        <v>45931</v>
      </c>
      <c r="B1119" s="14" t="s">
        <v>482</v>
      </c>
      <c r="C1119" s="19" t="s">
        <v>12</v>
      </c>
      <c r="D1119" s="14" t="s">
        <v>117</v>
      </c>
      <c r="E1119" s="14" t="str">
        <f>_xlfn.XLOOKUP($D1119,'Chart of Accounts'!$A:$A,'Chart of Accounts'!B:B,"")</f>
        <v>Insurance</v>
      </c>
      <c r="F1119" s="14" t="str">
        <f>_xlfn.XLOOKUP($D1119,'Chart of Accounts'!$A:$A,'Chart of Accounts'!C:C,"")</f>
        <v>Expense</v>
      </c>
      <c r="G1119" s="14" t="s">
        <v>479</v>
      </c>
      <c r="H1119" s="16">
        <v>83.85</v>
      </c>
      <c r="I1119" s="16"/>
      <c r="J1119" s="16">
        <v>83.85</v>
      </c>
      <c r="K1119" s="14" t="s">
        <v>225</v>
      </c>
    </row>
    <row r="1120" spans="1:11" ht="15" customHeight="1">
      <c r="A1120" s="13">
        <v>45931</v>
      </c>
      <c r="B1120" s="14" t="s">
        <v>482</v>
      </c>
      <c r="C1120" s="19" t="s">
        <v>14</v>
      </c>
      <c r="D1120" s="14" t="s">
        <v>117</v>
      </c>
      <c r="E1120" s="14" t="str">
        <f>_xlfn.XLOOKUP($D1120,'Chart of Accounts'!$A:$A,'Chart of Accounts'!B:B,"")</f>
        <v>Insurance</v>
      </c>
      <c r="F1120" s="14" t="str">
        <f>_xlfn.XLOOKUP($D1120,'Chart of Accounts'!$A:$A,'Chart of Accounts'!C:C,"")</f>
        <v>Expense</v>
      </c>
      <c r="G1120" s="14" t="s">
        <v>479</v>
      </c>
      <c r="H1120" s="16">
        <v>134.18</v>
      </c>
      <c r="I1120" s="16"/>
      <c r="J1120" s="16">
        <v>134.18</v>
      </c>
      <c r="K1120" s="14" t="s">
        <v>225</v>
      </c>
    </row>
    <row r="1121" spans="1:11" ht="15" customHeight="1">
      <c r="A1121" s="13">
        <v>45931</v>
      </c>
      <c r="B1121" s="14" t="s">
        <v>482</v>
      </c>
      <c r="C1121" s="19" t="s">
        <v>16</v>
      </c>
      <c r="D1121" s="14" t="s">
        <v>117</v>
      </c>
      <c r="E1121" s="14" t="str">
        <f>_xlfn.XLOOKUP($D1121,'Chart of Accounts'!$A:$A,'Chart of Accounts'!B:B,"")</f>
        <v>Insurance</v>
      </c>
      <c r="F1121" s="14" t="str">
        <f>_xlfn.XLOOKUP($D1121,'Chart of Accounts'!$A:$A,'Chart of Accounts'!C:C,"")</f>
        <v>Expense</v>
      </c>
      <c r="G1121" s="14" t="s">
        <v>479</v>
      </c>
      <c r="H1121" s="16">
        <v>100.63</v>
      </c>
      <c r="I1121" s="16"/>
      <c r="J1121" s="16">
        <v>100.63</v>
      </c>
      <c r="K1121" s="14" t="s">
        <v>225</v>
      </c>
    </row>
    <row r="1122" spans="1:11" ht="15" customHeight="1">
      <c r="A1122" s="13">
        <v>45931</v>
      </c>
      <c r="B1122" s="14" t="s">
        <v>482</v>
      </c>
      <c r="C1122" s="19" t="s">
        <v>18</v>
      </c>
      <c r="D1122" s="14" t="s">
        <v>117</v>
      </c>
      <c r="E1122" s="14" t="str">
        <f>_xlfn.XLOOKUP($D1122,'Chart of Accounts'!$A:$A,'Chart of Accounts'!B:B,"")</f>
        <v>Insurance</v>
      </c>
      <c r="F1122" s="14" t="str">
        <f>_xlfn.XLOOKUP($D1122,'Chart of Accounts'!$A:$A,'Chart of Accounts'!C:C,"")</f>
        <v>Expense</v>
      </c>
      <c r="G1122" s="14" t="s">
        <v>479</v>
      </c>
      <c r="H1122" s="16">
        <v>134.16999999999999</v>
      </c>
      <c r="I1122" s="16"/>
      <c r="J1122" s="16">
        <v>134.16999999999999</v>
      </c>
      <c r="K1122" s="14" t="s">
        <v>225</v>
      </c>
    </row>
    <row r="1123" spans="1:11" ht="15" customHeight="1">
      <c r="A1123" s="13">
        <v>45931</v>
      </c>
      <c r="B1123" s="14" t="s">
        <v>482</v>
      </c>
      <c r="C1123" s="19" t="s">
        <v>20</v>
      </c>
      <c r="D1123" s="14" t="s">
        <v>117</v>
      </c>
      <c r="E1123" s="14" t="str">
        <f>_xlfn.XLOOKUP($D1123,'Chart of Accounts'!$A:$A,'Chart of Accounts'!B:B,"")</f>
        <v>Insurance</v>
      </c>
      <c r="F1123" s="14" t="str">
        <f>_xlfn.XLOOKUP($D1123,'Chart of Accounts'!$A:$A,'Chart of Accounts'!C:C,"")</f>
        <v>Expense</v>
      </c>
      <c r="G1123" s="14" t="s">
        <v>479</v>
      </c>
      <c r="H1123" s="16">
        <v>134.16999999999999</v>
      </c>
      <c r="I1123" s="16"/>
      <c r="J1123" s="16">
        <v>134.16999999999999</v>
      </c>
      <c r="K1123" s="14" t="s">
        <v>225</v>
      </c>
    </row>
    <row r="1124" spans="1:11" ht="15" customHeight="1">
      <c r="A1124" s="13">
        <v>45931</v>
      </c>
      <c r="B1124" s="14" t="s">
        <v>482</v>
      </c>
      <c r="C1124" s="19" t="s">
        <v>4</v>
      </c>
      <c r="D1124" s="14" t="s">
        <v>117</v>
      </c>
      <c r="E1124" s="14" t="str">
        <f>_xlfn.XLOOKUP($D1124,'Chart of Accounts'!$A:$A,'Chart of Accounts'!B:B,"")</f>
        <v>Insurance</v>
      </c>
      <c r="F1124" s="14" t="str">
        <f>_xlfn.XLOOKUP($D1124,'Chart of Accounts'!$A:$A,'Chart of Accounts'!C:C,"")</f>
        <v>Expense</v>
      </c>
      <c r="G1124" s="14" t="s">
        <v>479</v>
      </c>
      <c r="H1124" s="16">
        <v>422.6</v>
      </c>
      <c r="I1124" s="16"/>
      <c r="J1124" s="16">
        <v>422.6</v>
      </c>
      <c r="K1124" s="14" t="s">
        <v>225</v>
      </c>
    </row>
    <row r="1125" spans="1:11" ht="15" customHeight="1">
      <c r="A1125" s="13">
        <v>45931</v>
      </c>
      <c r="B1125" s="14" t="s">
        <v>482</v>
      </c>
      <c r="C1125" s="19" t="s">
        <v>6</v>
      </c>
      <c r="D1125" s="14" t="s">
        <v>117</v>
      </c>
      <c r="E1125" s="14" t="str">
        <f>_xlfn.XLOOKUP($D1125,'Chart of Accounts'!$A:$A,'Chart of Accounts'!B:B,"")</f>
        <v>Insurance</v>
      </c>
      <c r="F1125" s="14" t="str">
        <f>_xlfn.XLOOKUP($D1125,'Chart of Accounts'!$A:$A,'Chart of Accounts'!C:C,"")</f>
        <v>Expense</v>
      </c>
      <c r="G1125" s="14" t="s">
        <v>479</v>
      </c>
      <c r="H1125" s="16">
        <v>563.47</v>
      </c>
      <c r="I1125" s="16"/>
      <c r="J1125" s="16">
        <v>563.47</v>
      </c>
      <c r="K1125" s="14" t="s">
        <v>225</v>
      </c>
    </row>
    <row r="1126" spans="1:11" ht="15" customHeight="1">
      <c r="A1126" s="13">
        <v>45931</v>
      </c>
      <c r="B1126" s="14" t="s">
        <v>482</v>
      </c>
      <c r="C1126" s="19" t="s">
        <v>8</v>
      </c>
      <c r="D1126" s="14" t="s">
        <v>117</v>
      </c>
      <c r="E1126" s="14" t="str">
        <f>_xlfn.XLOOKUP($D1126,'Chart of Accounts'!$A:$A,'Chart of Accounts'!B:B,"")</f>
        <v>Insurance</v>
      </c>
      <c r="F1126" s="14" t="str">
        <f>_xlfn.XLOOKUP($D1126,'Chart of Accounts'!$A:$A,'Chart of Accounts'!C:C,"")</f>
        <v>Expense</v>
      </c>
      <c r="G1126" s="14" t="s">
        <v>479</v>
      </c>
      <c r="H1126" s="16">
        <v>563.47</v>
      </c>
      <c r="I1126" s="16"/>
      <c r="J1126" s="16">
        <v>563.47</v>
      </c>
      <c r="K1126" s="14" t="s">
        <v>225</v>
      </c>
    </row>
    <row r="1127" spans="1:11" ht="15" customHeight="1">
      <c r="A1127" s="13">
        <v>46143</v>
      </c>
      <c r="B1127" s="14" t="s">
        <v>354</v>
      </c>
      <c r="C1127" s="14"/>
      <c r="D1127" s="14" t="s">
        <v>68</v>
      </c>
      <c r="E1127" s="14" t="str">
        <f>_xlfn.XLOOKUP($D1127,'Chart of Accounts'!$A:$A,'Chart of Accounts'!B:B,"")</f>
        <v>Deferred Revenue</v>
      </c>
      <c r="F1127" s="14" t="str">
        <f>_xlfn.XLOOKUP($D1127,'Chart of Accounts'!$A:$A,'Chart of Accounts'!C:C,"")</f>
        <v>Liability</v>
      </c>
      <c r="G1127" s="14" t="s">
        <v>483</v>
      </c>
      <c r="H1127" s="16">
        <v>25000</v>
      </c>
      <c r="I1127" s="16"/>
      <c r="J1127" s="16">
        <v>25000</v>
      </c>
      <c r="K1127" s="14" t="s">
        <v>225</v>
      </c>
    </row>
    <row r="1128" spans="1:11" ht="15" customHeight="1">
      <c r="A1128" s="13">
        <v>46063</v>
      </c>
      <c r="B1128" s="14" t="s">
        <v>484</v>
      </c>
      <c r="C1128" s="14"/>
      <c r="D1128" s="14" t="s">
        <v>40</v>
      </c>
      <c r="E1128" s="14" t="str">
        <f>_xlfn.XLOOKUP($D1128,'Chart of Accounts'!$A:$A,'Chart of Accounts'!B:B,"")</f>
        <v>Cash - Operating</v>
      </c>
      <c r="F1128" s="14" t="str">
        <f>_xlfn.XLOOKUP($D1128,'Chart of Accounts'!$A:$A,'Chart of Accounts'!C:C,"")</f>
        <v>Asset</v>
      </c>
      <c r="G1128" s="14" t="s">
        <v>485</v>
      </c>
      <c r="H1128" s="16">
        <v>40000</v>
      </c>
      <c r="I1128" s="16"/>
      <c r="J1128" s="16">
        <v>40000</v>
      </c>
      <c r="K1128" s="14" t="s">
        <v>225</v>
      </c>
    </row>
    <row r="1129" spans="1:11" ht="15" customHeight="1">
      <c r="A1129" s="13">
        <v>46063</v>
      </c>
      <c r="B1129" s="14" t="s">
        <v>484</v>
      </c>
      <c r="C1129" s="14"/>
      <c r="D1129" s="14" t="s">
        <v>72</v>
      </c>
      <c r="E1129" s="14" t="str">
        <f>_xlfn.XLOOKUP($D1129,'Chart of Accounts'!$A:$A,'Chart of Accounts'!B:B,"")</f>
        <v>Notes Payable - Current</v>
      </c>
      <c r="F1129" s="14" t="str">
        <f>_xlfn.XLOOKUP($D1129,'Chart of Accounts'!$A:$A,'Chart of Accounts'!C:C,"")</f>
        <v>Liability</v>
      </c>
      <c r="G1129" s="14" t="s">
        <v>485</v>
      </c>
      <c r="H1129" s="16"/>
      <c r="I1129" s="16">
        <v>40000</v>
      </c>
      <c r="J1129" s="16">
        <v>-40000</v>
      </c>
      <c r="K1129" s="14" t="s">
        <v>225</v>
      </c>
    </row>
    <row r="1130" spans="1:11" ht="15" customHeight="1">
      <c r="A1130" s="13">
        <v>45915</v>
      </c>
      <c r="B1130" s="14" t="s">
        <v>486</v>
      </c>
      <c r="C1130" s="14"/>
      <c r="D1130" s="14" t="s">
        <v>55</v>
      </c>
      <c r="E1130" s="14" t="str">
        <f>_xlfn.XLOOKUP($D1130,'Chart of Accounts'!$A:$A,'Chart of Accounts'!B:B,"")</f>
        <v>Property and Equipment</v>
      </c>
      <c r="F1130" s="14" t="str">
        <f>_xlfn.XLOOKUP($D1130,'Chart of Accounts'!$A:$A,'Chart of Accounts'!C:C,"")</f>
        <v>Asset</v>
      </c>
      <c r="G1130" s="14" t="s">
        <v>746</v>
      </c>
      <c r="H1130" s="16">
        <v>18500</v>
      </c>
      <c r="I1130" s="16"/>
      <c r="J1130" s="16">
        <v>18500</v>
      </c>
      <c r="K1130" s="14" t="s">
        <v>225</v>
      </c>
    </row>
    <row r="1131" spans="1:11" ht="15" customHeight="1">
      <c r="A1131" s="13">
        <v>45915</v>
      </c>
      <c r="B1131" s="14" t="s">
        <v>486</v>
      </c>
      <c r="C1131" s="14"/>
      <c r="D1131" s="14" t="s">
        <v>40</v>
      </c>
      <c r="E1131" s="14" t="str">
        <f>_xlfn.XLOOKUP($D1131,'Chart of Accounts'!$A:$A,'Chart of Accounts'!B:B,"")</f>
        <v>Cash - Operating</v>
      </c>
      <c r="F1131" s="14" t="str">
        <f>_xlfn.XLOOKUP($D1131,'Chart of Accounts'!$A:$A,'Chart of Accounts'!C:C,"")</f>
        <v>Asset</v>
      </c>
      <c r="G1131" s="14" t="s">
        <v>746</v>
      </c>
      <c r="H1131" s="16"/>
      <c r="I1131" s="16">
        <v>18500</v>
      </c>
      <c r="J1131" s="16">
        <v>-18500</v>
      </c>
      <c r="K1131" s="14" t="s">
        <v>225</v>
      </c>
    </row>
    <row r="1132" spans="1:11" ht="15" customHeight="1">
      <c r="A1132" s="13">
        <v>46183</v>
      </c>
      <c r="B1132" s="14" t="s">
        <v>488</v>
      </c>
      <c r="C1132" s="19" t="s">
        <v>46</v>
      </c>
      <c r="D1132" s="14" t="s">
        <v>125</v>
      </c>
      <c r="E1132" s="14" t="str">
        <f>_xlfn.XLOOKUP($D1132,'Chart of Accounts'!$A:$A,'Chart of Accounts'!B:B,"")</f>
        <v>Miscellaneous Expense</v>
      </c>
      <c r="F1132" s="14" t="str">
        <f>_xlfn.XLOOKUP($D1132,'Chart of Accounts'!$A:$A,'Chart of Accounts'!C:C,"")</f>
        <v>Expense</v>
      </c>
      <c r="G1132" s="14" t="s">
        <v>489</v>
      </c>
      <c r="H1132" s="16">
        <v>283.82</v>
      </c>
      <c r="I1132" s="16"/>
      <c r="J1132" s="16">
        <v>283.82</v>
      </c>
      <c r="K1132" s="14" t="s">
        <v>225</v>
      </c>
    </row>
    <row r="1133" spans="1:11" ht="15" customHeight="1">
      <c r="A1133" s="13">
        <v>46183</v>
      </c>
      <c r="B1133" s="14" t="s">
        <v>488</v>
      </c>
      <c r="C1133" s="14"/>
      <c r="D1133" s="14" t="s">
        <v>40</v>
      </c>
      <c r="E1133" s="14" t="str">
        <f>_xlfn.XLOOKUP($D1133,'Chart of Accounts'!$A:$A,'Chart of Accounts'!B:B,"")</f>
        <v>Cash - Operating</v>
      </c>
      <c r="F1133" s="14" t="str">
        <f>_xlfn.XLOOKUP($D1133,'Chart of Accounts'!$A:$A,'Chart of Accounts'!C:C,"")</f>
        <v>Asset</v>
      </c>
      <c r="G1133" s="14" t="s">
        <v>489</v>
      </c>
      <c r="H1133" s="16"/>
      <c r="I1133" s="16">
        <v>283.82</v>
      </c>
      <c r="J1133" s="16">
        <v>-283.82</v>
      </c>
      <c r="K1133" s="14" t="s">
        <v>225</v>
      </c>
    </row>
    <row r="1134" spans="1:11" ht="15" customHeight="1">
      <c r="A1134" s="13">
        <v>46203</v>
      </c>
      <c r="B1134" s="14" t="s">
        <v>490</v>
      </c>
      <c r="C1134" s="14"/>
      <c r="D1134" s="14" t="s">
        <v>75</v>
      </c>
      <c r="E1134" s="14" t="str">
        <f>_xlfn.XLOOKUP($D1134,'Chart of Accounts'!$A:$A,'Chart of Accounts'!B:B,"")</f>
        <v>Notes Payable - Long Term</v>
      </c>
      <c r="F1134" s="14" t="str">
        <f>_xlfn.XLOOKUP($D1134,'Chart of Accounts'!$A:$A,'Chart of Accounts'!C:C,"")</f>
        <v>Liability</v>
      </c>
      <c r="G1134" s="14" t="s">
        <v>491</v>
      </c>
      <c r="H1134" s="16">
        <v>1180</v>
      </c>
      <c r="I1134" s="16"/>
      <c r="J1134" s="16">
        <v>1180</v>
      </c>
      <c r="K1134" s="14" t="s">
        <v>225</v>
      </c>
    </row>
    <row r="1135" spans="1:11" ht="15" customHeight="1">
      <c r="A1135" s="13">
        <v>46203</v>
      </c>
      <c r="B1135" s="14" t="s">
        <v>490</v>
      </c>
      <c r="C1135" s="14"/>
      <c r="D1135" s="14" t="s">
        <v>40</v>
      </c>
      <c r="E1135" s="14" t="str">
        <f>_xlfn.XLOOKUP($D1135,'Chart of Accounts'!$A:$A,'Chart of Accounts'!B:B,"")</f>
        <v>Cash - Operating</v>
      </c>
      <c r="F1135" s="14" t="str">
        <f>_xlfn.XLOOKUP($D1135,'Chart of Accounts'!$A:$A,'Chart of Accounts'!C:C,"")</f>
        <v>Asset</v>
      </c>
      <c r="G1135" s="14" t="s">
        <v>491</v>
      </c>
      <c r="H1135" s="16"/>
      <c r="I1135" s="16">
        <v>1569.6</v>
      </c>
      <c r="J1135" s="16">
        <v>-1569.6</v>
      </c>
      <c r="K1135" s="14" t="s">
        <v>225</v>
      </c>
    </row>
    <row r="1136" spans="1:11" ht="15" customHeight="1">
      <c r="A1136" s="13">
        <v>46198</v>
      </c>
      <c r="B1136" s="14" t="s">
        <v>477</v>
      </c>
      <c r="C1136" s="19" t="s">
        <v>18</v>
      </c>
      <c r="D1136" s="14" t="s">
        <v>115</v>
      </c>
      <c r="E1136" s="14" t="str">
        <f>_xlfn.XLOOKUP($D1136,'Chart of Accounts'!$A:$A,'Chart of Accounts'!B:B,"")</f>
        <v>Professional Fees - Accounting/Audit</v>
      </c>
      <c r="F1136" s="14" t="str">
        <f>_xlfn.XLOOKUP($D1136,'Chart of Accounts'!$A:$A,'Chart of Accounts'!C:C,"")</f>
        <v>Expense</v>
      </c>
      <c r="G1136" s="14" t="s">
        <v>434</v>
      </c>
      <c r="H1136" s="16">
        <v>14729.44</v>
      </c>
      <c r="I1136" s="16"/>
      <c r="J1136" s="16">
        <v>14729.44</v>
      </c>
      <c r="K1136" s="14" t="s">
        <v>225</v>
      </c>
    </row>
    <row r="1137" spans="1:11" ht="15" customHeight="1">
      <c r="A1137" s="13">
        <v>45931</v>
      </c>
      <c r="B1137" s="14" t="s">
        <v>482</v>
      </c>
      <c r="C1137" s="19" t="s">
        <v>10</v>
      </c>
      <c r="D1137" s="14" t="s">
        <v>117</v>
      </c>
      <c r="E1137" s="14" t="str">
        <f>_xlfn.XLOOKUP($D1137,'Chart of Accounts'!$A:$A,'Chart of Accounts'!B:B,"")</f>
        <v>Insurance</v>
      </c>
      <c r="F1137" s="14" t="str">
        <f>_xlfn.XLOOKUP($D1137,'Chart of Accounts'!$A:$A,'Chart of Accounts'!C:C,"")</f>
        <v>Expense</v>
      </c>
      <c r="G1137" s="14" t="s">
        <v>479</v>
      </c>
      <c r="H1137" s="16">
        <v>563.47</v>
      </c>
      <c r="I1137" s="16"/>
      <c r="J1137" s="16">
        <v>563.47</v>
      </c>
      <c r="K1137" s="14" t="s">
        <v>225</v>
      </c>
    </row>
    <row r="1138" spans="1:11" ht="15" customHeight="1">
      <c r="A1138" s="13">
        <v>46203</v>
      </c>
      <c r="B1138" s="14" t="s">
        <v>492</v>
      </c>
      <c r="C1138" s="17" t="s">
        <v>18</v>
      </c>
      <c r="D1138" s="14" t="s">
        <v>105</v>
      </c>
      <c r="E1138" s="14" t="str">
        <f>_xlfn.XLOOKUP($D1138,'Chart of Accounts'!$A:$A,'Chart of Accounts'!B:B,"")</f>
        <v>Office Supplies</v>
      </c>
      <c r="F1138" s="14" t="str">
        <f>_xlfn.XLOOKUP($D1138,'Chart of Accounts'!$A:$A,'Chart of Accounts'!C:C,"")</f>
        <v>Expense</v>
      </c>
      <c r="G1138" s="14" t="s">
        <v>421</v>
      </c>
      <c r="H1138" s="16">
        <v>1532.75</v>
      </c>
      <c r="I1138" s="16"/>
      <c r="J1138" s="16">
        <v>1532.75</v>
      </c>
      <c r="K1138" s="14" t="s">
        <v>225</v>
      </c>
    </row>
    <row r="1139" spans="1:11" ht="15" customHeight="1">
      <c r="A1139" s="13">
        <v>45962</v>
      </c>
      <c r="B1139" s="14" t="s">
        <v>493</v>
      </c>
      <c r="C1139" s="19" t="s">
        <v>46</v>
      </c>
      <c r="D1139" s="15" t="s">
        <v>53</v>
      </c>
      <c r="E1139" s="14" t="str">
        <f>_xlfn.XLOOKUP($D1139,'Chart of Accounts'!$A:$A,'Chart of Accounts'!B:B,"")</f>
        <v>Prepaid Expenses</v>
      </c>
      <c r="F1139" s="14" t="str">
        <f>_xlfn.XLOOKUP($D1139,'Chart of Accounts'!$A:$A,'Chart of Accounts'!C:C,"")</f>
        <v>Asset</v>
      </c>
      <c r="G1139" s="14" t="s">
        <v>479</v>
      </c>
      <c r="H1139" s="16"/>
      <c r="I1139" s="16">
        <v>2700.01</v>
      </c>
      <c r="J1139" s="16">
        <v>-2700</v>
      </c>
      <c r="K1139" s="14" t="s">
        <v>225</v>
      </c>
    </row>
    <row r="1140" spans="1:11" ht="15" customHeight="1">
      <c r="A1140" s="13">
        <v>45962</v>
      </c>
      <c r="B1140" s="14" t="s">
        <v>493</v>
      </c>
      <c r="C1140" s="19" t="s">
        <v>12</v>
      </c>
      <c r="D1140" s="14" t="s">
        <v>117</v>
      </c>
      <c r="E1140" s="14" t="str">
        <f>_xlfn.XLOOKUP($D1140,'Chart of Accounts'!$A:$A,'Chart of Accounts'!B:B,"")</f>
        <v>Insurance</v>
      </c>
      <c r="F1140" s="14" t="str">
        <f>_xlfn.XLOOKUP($D1140,'Chart of Accounts'!$A:$A,'Chart of Accounts'!C:C,"")</f>
        <v>Expense</v>
      </c>
      <c r="G1140" s="14" t="s">
        <v>479</v>
      </c>
      <c r="H1140" s="16">
        <v>111.04</v>
      </c>
      <c r="I1140" s="16"/>
      <c r="J1140" s="16">
        <v>111.04</v>
      </c>
      <c r="K1140" s="14" t="s">
        <v>225</v>
      </c>
    </row>
    <row r="1141" spans="1:11" ht="15" customHeight="1">
      <c r="A1141" s="13">
        <v>46203</v>
      </c>
      <c r="B1141" s="14" t="s">
        <v>494</v>
      </c>
      <c r="C1141" s="14"/>
      <c r="D1141" s="14" t="s">
        <v>58</v>
      </c>
      <c r="E1141" s="14" t="str">
        <f>_xlfn.XLOOKUP($D1141,'Chart of Accounts'!$A:$A,'Chart of Accounts'!B:B,"")</f>
        <v>Accumulated Depreciation</v>
      </c>
      <c r="F1141" s="14" t="str">
        <f>_xlfn.XLOOKUP($D1141,'Chart of Accounts'!$A:$A,'Chart of Accounts'!C:C,"")</f>
        <v>Asset</v>
      </c>
      <c r="G1141" s="14" t="s">
        <v>495</v>
      </c>
      <c r="H1141" s="16"/>
      <c r="I1141" s="16">
        <v>2450</v>
      </c>
      <c r="J1141" s="16">
        <v>-2450</v>
      </c>
      <c r="K1141" s="14" t="s">
        <v>225</v>
      </c>
    </row>
    <row r="1142" spans="1:11" ht="15" customHeight="1">
      <c r="A1142" s="13">
        <v>46203</v>
      </c>
      <c r="B1142" s="14" t="s">
        <v>496</v>
      </c>
      <c r="C1142" s="19" t="s">
        <v>46</v>
      </c>
      <c r="D1142" s="14" t="s">
        <v>92</v>
      </c>
      <c r="E1142" s="14" t="str">
        <f>_xlfn.XLOOKUP($D1142,'Chart of Accounts'!$A:$A,'Chart of Accounts'!B:B,"")</f>
        <v>Interest Income</v>
      </c>
      <c r="F1142" s="14" t="str">
        <f>_xlfn.XLOOKUP($D1142,'Chart of Accounts'!$A:$A,'Chart of Accounts'!C:C,"")</f>
        <v>Revenue</v>
      </c>
      <c r="G1142" s="14" t="s">
        <v>497</v>
      </c>
      <c r="H1142" s="16"/>
      <c r="I1142" s="16">
        <v>1014.93</v>
      </c>
      <c r="J1142" s="16">
        <v>-1014.93</v>
      </c>
      <c r="K1142" s="14" t="s">
        <v>225</v>
      </c>
    </row>
    <row r="1143" spans="1:11" ht="15" customHeight="1">
      <c r="A1143" s="13">
        <v>46203</v>
      </c>
      <c r="B1143" s="14" t="s">
        <v>496</v>
      </c>
      <c r="C1143" s="14"/>
      <c r="D1143" s="14" t="s">
        <v>46</v>
      </c>
      <c r="E1143" s="14" t="str">
        <f>_xlfn.XLOOKUP($D1143,'Chart of Accounts'!$A:$A,'Chart of Accounts'!B:B,"")</f>
        <v>Cash - Money Market/Reserve</v>
      </c>
      <c r="F1143" s="14" t="str">
        <f>_xlfn.XLOOKUP($D1143,'Chart of Accounts'!$A:$A,'Chart of Accounts'!C:C,"")</f>
        <v>Asset</v>
      </c>
      <c r="G1143" s="14" t="s">
        <v>497</v>
      </c>
      <c r="H1143" s="16">
        <v>1014.93</v>
      </c>
      <c r="I1143" s="16"/>
      <c r="J1143" s="16">
        <v>1014.93</v>
      </c>
      <c r="K1143" s="14" t="s">
        <v>225</v>
      </c>
    </row>
    <row r="1144" spans="1:11" ht="15" customHeight="1">
      <c r="A1144" s="13">
        <v>46203</v>
      </c>
      <c r="B1144" s="14" t="s">
        <v>353</v>
      </c>
      <c r="C1144" s="14"/>
      <c r="D1144" s="14" t="s">
        <v>51</v>
      </c>
      <c r="E1144" s="14" t="str">
        <f>_xlfn.XLOOKUP($D1144,'Chart of Accounts'!$A:$A,'Chart of Accounts'!B:B,"")</f>
        <v>Grants Receivable</v>
      </c>
      <c r="F1144" s="14" t="str">
        <f>_xlfn.XLOOKUP($D1144,'Chart of Accounts'!$A:$A,'Chart of Accounts'!C:C,"")</f>
        <v>Asset</v>
      </c>
      <c r="G1144" s="14" t="s">
        <v>498</v>
      </c>
      <c r="H1144" s="16">
        <v>43762.19</v>
      </c>
      <c r="I1144" s="16"/>
      <c r="J1144" s="16">
        <v>43762.19</v>
      </c>
      <c r="K1144" s="14" t="s">
        <v>225</v>
      </c>
    </row>
    <row r="1145" spans="1:11" ht="15" customHeight="1">
      <c r="A1145" s="13">
        <v>46191</v>
      </c>
      <c r="B1145" s="14" t="s">
        <v>499</v>
      </c>
      <c r="C1145" s="14"/>
      <c r="D1145" s="14" t="s">
        <v>40</v>
      </c>
      <c r="E1145" s="14" t="str">
        <f>_xlfn.XLOOKUP($D1145,'Chart of Accounts'!$A:$A,'Chart of Accounts'!B:B,"")</f>
        <v>Cash - Operating</v>
      </c>
      <c r="F1145" s="14" t="str">
        <f>_xlfn.XLOOKUP($D1145,'Chart of Accounts'!$A:$A,'Chart of Accounts'!C:C,"")</f>
        <v>Asset</v>
      </c>
      <c r="G1145" s="14" t="s">
        <v>500</v>
      </c>
      <c r="H1145" s="16">
        <v>45483.48</v>
      </c>
      <c r="I1145" s="16"/>
      <c r="J1145" s="16">
        <v>45483.48</v>
      </c>
      <c r="K1145" s="14" t="s">
        <v>225</v>
      </c>
    </row>
    <row r="1146" spans="1:11" ht="15" customHeight="1">
      <c r="A1146" s="13">
        <v>46191</v>
      </c>
      <c r="B1146" s="14" t="s">
        <v>499</v>
      </c>
      <c r="C1146" s="14"/>
      <c r="D1146" s="14" t="s">
        <v>51</v>
      </c>
      <c r="E1146" s="14" t="str">
        <f>_xlfn.XLOOKUP($D1146,'Chart of Accounts'!$A:$A,'Chart of Accounts'!B:B,"")</f>
        <v>Grants Receivable</v>
      </c>
      <c r="F1146" s="14" t="str">
        <f>_xlfn.XLOOKUP($D1146,'Chart of Accounts'!$A:$A,'Chart of Accounts'!C:C,"")</f>
        <v>Asset</v>
      </c>
      <c r="G1146" s="14" t="s">
        <v>500</v>
      </c>
      <c r="H1146" s="16"/>
      <c r="I1146" s="16">
        <v>45483.48</v>
      </c>
      <c r="J1146" s="16">
        <v>-45483.48</v>
      </c>
      <c r="K1146" s="14" t="s">
        <v>225</v>
      </c>
    </row>
    <row r="1147" spans="1:11" ht="15" customHeight="1">
      <c r="A1147" s="13">
        <v>46185</v>
      </c>
      <c r="B1147" s="14" t="s">
        <v>353</v>
      </c>
      <c r="C1147" s="14"/>
      <c r="D1147" s="14" t="s">
        <v>40</v>
      </c>
      <c r="E1147" s="14" t="str">
        <f>_xlfn.XLOOKUP($D1147,'Chart of Accounts'!$A:$A,'Chart of Accounts'!B:B,"")</f>
        <v>Cash - Operating</v>
      </c>
      <c r="F1147" s="14" t="str">
        <f>_xlfn.XLOOKUP($D1147,'Chart of Accounts'!$A:$A,'Chart of Accounts'!C:C,"")</f>
        <v>Asset</v>
      </c>
      <c r="G1147" s="14" t="s">
        <v>501</v>
      </c>
      <c r="H1147" s="16">
        <v>178617.63</v>
      </c>
      <c r="I1147" s="16"/>
      <c r="J1147" s="16">
        <v>178617.63</v>
      </c>
      <c r="K1147" s="14" t="s">
        <v>225</v>
      </c>
    </row>
    <row r="1148" spans="1:11" ht="15" customHeight="1">
      <c r="A1148" s="13">
        <v>45962</v>
      </c>
      <c r="B1148" s="14" t="s">
        <v>493</v>
      </c>
      <c r="C1148" s="19" t="s">
        <v>14</v>
      </c>
      <c r="D1148" s="14" t="s">
        <v>117</v>
      </c>
      <c r="E1148" s="14" t="str">
        <f>_xlfn.XLOOKUP($D1148,'Chart of Accounts'!$A:$A,'Chart of Accounts'!B:B,"")</f>
        <v>Insurance</v>
      </c>
      <c r="F1148" s="14" t="str">
        <f>_xlfn.XLOOKUP($D1148,'Chart of Accounts'!$A:$A,'Chart of Accounts'!C:C,"")</f>
        <v>Expense</v>
      </c>
      <c r="G1148" s="14" t="s">
        <v>479</v>
      </c>
      <c r="H1148" s="16">
        <v>126.93</v>
      </c>
      <c r="I1148" s="16"/>
      <c r="J1148" s="16">
        <v>126.93</v>
      </c>
      <c r="K1148" s="14" t="s">
        <v>225</v>
      </c>
    </row>
    <row r="1149" spans="1:11" ht="15" customHeight="1">
      <c r="A1149" s="13">
        <v>46193</v>
      </c>
      <c r="B1149" s="14" t="s">
        <v>476</v>
      </c>
      <c r="C1149" s="14"/>
      <c r="D1149" s="14" t="s">
        <v>40</v>
      </c>
      <c r="E1149" s="14" t="str">
        <f>_xlfn.XLOOKUP($D1149,'Chart of Accounts'!$A:$A,'Chart of Accounts'!B:B,"")</f>
        <v>Cash - Operating</v>
      </c>
      <c r="F1149" s="14" t="str">
        <f>_xlfn.XLOOKUP($D1149,'Chart of Accounts'!$A:$A,'Chart of Accounts'!C:C,"")</f>
        <v>Asset</v>
      </c>
      <c r="G1149" s="14" t="s">
        <v>423</v>
      </c>
      <c r="H1149" s="16"/>
      <c r="I1149" s="16">
        <v>13730.12</v>
      </c>
      <c r="J1149" s="16">
        <v>-13730.12</v>
      </c>
      <c r="K1149" s="14" t="s">
        <v>225</v>
      </c>
    </row>
    <row r="1150" spans="1:11" ht="15" customHeight="1">
      <c r="A1150" s="13">
        <v>46203</v>
      </c>
      <c r="B1150" s="14" t="s">
        <v>502</v>
      </c>
      <c r="C1150" s="19" t="s">
        <v>46</v>
      </c>
      <c r="D1150" s="14" t="s">
        <v>121</v>
      </c>
      <c r="E1150" s="14" t="str">
        <f>_xlfn.XLOOKUP($D1150,'Chart of Accounts'!$A:$A,'Chart of Accounts'!B:B,"")</f>
        <v>Bank Fees</v>
      </c>
      <c r="F1150" s="14" t="str">
        <f>_xlfn.XLOOKUP($D1150,'Chart of Accounts'!$A:$A,'Chart of Accounts'!C:C,"")</f>
        <v>Expense</v>
      </c>
      <c r="G1150" s="14" t="s">
        <v>503</v>
      </c>
      <c r="H1150" s="16">
        <v>57.27</v>
      </c>
      <c r="I1150" s="16"/>
      <c r="J1150" s="16">
        <v>57.27</v>
      </c>
      <c r="K1150" s="14" t="s">
        <v>225</v>
      </c>
    </row>
    <row r="1151" spans="1:11" ht="15" customHeight="1">
      <c r="A1151" s="13">
        <v>46203</v>
      </c>
      <c r="B1151" s="14" t="s">
        <v>502</v>
      </c>
      <c r="C1151" s="14"/>
      <c r="D1151" s="14" t="s">
        <v>40</v>
      </c>
      <c r="E1151" s="14" t="str">
        <f>_xlfn.XLOOKUP($D1151,'Chart of Accounts'!$A:$A,'Chart of Accounts'!B:B,"")</f>
        <v>Cash - Operating</v>
      </c>
      <c r="F1151" s="14" t="str">
        <f>_xlfn.XLOOKUP($D1151,'Chart of Accounts'!$A:$A,'Chart of Accounts'!C:C,"")</f>
        <v>Asset</v>
      </c>
      <c r="G1151" s="14" t="s">
        <v>503</v>
      </c>
      <c r="H1151" s="16"/>
      <c r="I1151" s="16">
        <v>57.27</v>
      </c>
      <c r="J1151" s="16">
        <v>-57.27</v>
      </c>
      <c r="K1151" s="14" t="s">
        <v>225</v>
      </c>
    </row>
    <row r="1152" spans="1:11" ht="15" customHeight="1">
      <c r="A1152" s="13">
        <v>46178</v>
      </c>
      <c r="B1152" s="14" t="s">
        <v>504</v>
      </c>
      <c r="C1152" s="19" t="s">
        <v>18</v>
      </c>
      <c r="D1152" s="14" t="s">
        <v>111</v>
      </c>
      <c r="E1152" s="14" t="str">
        <f>_xlfn.XLOOKUP($D1152,'Chart of Accounts'!$A:$A,'Chart of Accounts'!B:B,"")</f>
        <v>Meals and Entertainment</v>
      </c>
      <c r="F1152" s="14" t="str">
        <f>_xlfn.XLOOKUP($D1152,'Chart of Accounts'!$A:$A,'Chart of Accounts'!C:C,"")</f>
        <v>Expense</v>
      </c>
      <c r="G1152" s="14" t="s">
        <v>505</v>
      </c>
      <c r="H1152" s="16">
        <v>270.13</v>
      </c>
      <c r="I1152" s="16"/>
      <c r="J1152" s="16">
        <v>270.13</v>
      </c>
      <c r="K1152" s="14" t="s">
        <v>225</v>
      </c>
    </row>
    <row r="1153" spans="1:11" ht="15" customHeight="1">
      <c r="A1153" s="13">
        <v>46178</v>
      </c>
      <c r="B1153" s="14" t="s">
        <v>504</v>
      </c>
      <c r="C1153" s="14"/>
      <c r="D1153" s="14" t="s">
        <v>40</v>
      </c>
      <c r="E1153" s="14" t="str">
        <f>_xlfn.XLOOKUP($D1153,'Chart of Accounts'!$A:$A,'Chart of Accounts'!B:B,"")</f>
        <v>Cash - Operating</v>
      </c>
      <c r="F1153" s="14" t="str">
        <f>_xlfn.XLOOKUP($D1153,'Chart of Accounts'!$A:$A,'Chart of Accounts'!C:C,"")</f>
        <v>Asset</v>
      </c>
      <c r="G1153" s="14" t="s">
        <v>505</v>
      </c>
      <c r="H1153" s="16"/>
      <c r="I1153" s="16">
        <v>270.13</v>
      </c>
      <c r="J1153" s="16">
        <v>-270.13</v>
      </c>
      <c r="K1153" s="14" t="s">
        <v>225</v>
      </c>
    </row>
    <row r="1154" spans="1:11" ht="15" customHeight="1">
      <c r="A1154" s="13">
        <v>46187</v>
      </c>
      <c r="B1154" s="14" t="s">
        <v>475</v>
      </c>
      <c r="C1154" s="17" t="s">
        <v>16</v>
      </c>
      <c r="D1154" s="14" t="s">
        <v>105</v>
      </c>
      <c r="E1154" s="14" t="str">
        <f>_xlfn.XLOOKUP($D1154,'Chart of Accounts'!$A:$A,'Chart of Accounts'!B:B,"")</f>
        <v>Office Supplies</v>
      </c>
      <c r="F1154" s="14" t="str">
        <f>_xlfn.XLOOKUP($D1154,'Chart of Accounts'!$A:$A,'Chart of Accounts'!C:C,"")</f>
        <v>Expense</v>
      </c>
      <c r="G1154" s="14" t="s">
        <v>421</v>
      </c>
      <c r="H1154" s="16">
        <v>251.07</v>
      </c>
      <c r="I1154" s="16"/>
      <c r="J1154" s="16">
        <v>251.07</v>
      </c>
      <c r="K1154" s="14" t="s">
        <v>225</v>
      </c>
    </row>
    <row r="1155" spans="1:11" ht="15" customHeight="1">
      <c r="A1155" s="13">
        <v>45962</v>
      </c>
      <c r="B1155" s="14" t="s">
        <v>493</v>
      </c>
      <c r="C1155" s="19" t="s">
        <v>16</v>
      </c>
      <c r="D1155" s="14" t="s">
        <v>117</v>
      </c>
      <c r="E1155" s="14" t="str">
        <f>_xlfn.XLOOKUP($D1155,'Chart of Accounts'!$A:$A,'Chart of Accounts'!B:B,"")</f>
        <v>Insurance</v>
      </c>
      <c r="F1155" s="14" t="str">
        <f>_xlfn.XLOOKUP($D1155,'Chart of Accounts'!$A:$A,'Chart of Accounts'!C:C,"")</f>
        <v>Expense</v>
      </c>
      <c r="G1155" s="14" t="s">
        <v>479</v>
      </c>
      <c r="H1155" s="16">
        <v>95.19</v>
      </c>
      <c r="I1155" s="16"/>
      <c r="J1155" s="16">
        <v>95.19</v>
      </c>
      <c r="K1155" s="14" t="s">
        <v>225</v>
      </c>
    </row>
    <row r="1156" spans="1:11" ht="15" customHeight="1">
      <c r="A1156" s="13">
        <v>46176</v>
      </c>
      <c r="B1156" s="14" t="s">
        <v>506</v>
      </c>
      <c r="C1156" s="17" t="s">
        <v>16</v>
      </c>
      <c r="D1156" s="14" t="s">
        <v>107</v>
      </c>
      <c r="E1156" s="14" t="str">
        <f>_xlfn.XLOOKUP($D1156,'Chart of Accounts'!$A:$A,'Chart of Accounts'!B:B,"")</f>
        <v>Software and Subscriptions</v>
      </c>
      <c r="F1156" s="14" t="str">
        <f>_xlfn.XLOOKUP($D1156,'Chart of Accounts'!$A:$A,'Chart of Accounts'!C:C,"")</f>
        <v>Expense</v>
      </c>
      <c r="G1156" s="14" t="s">
        <v>507</v>
      </c>
      <c r="H1156" s="16">
        <v>2786.24</v>
      </c>
      <c r="I1156" s="16"/>
      <c r="J1156" s="16">
        <v>2786.24</v>
      </c>
      <c r="K1156" s="14" t="s">
        <v>225</v>
      </c>
    </row>
    <row r="1157" spans="1:11" ht="15" customHeight="1">
      <c r="A1157" s="13">
        <v>46176</v>
      </c>
      <c r="B1157" s="14" t="s">
        <v>506</v>
      </c>
      <c r="C1157" s="14"/>
      <c r="D1157" s="14" t="s">
        <v>40</v>
      </c>
      <c r="E1157" s="14" t="str">
        <f>_xlfn.XLOOKUP($D1157,'Chart of Accounts'!$A:$A,'Chart of Accounts'!B:B,"")</f>
        <v>Cash - Operating</v>
      </c>
      <c r="F1157" s="14" t="str">
        <f>_xlfn.XLOOKUP($D1157,'Chart of Accounts'!$A:$A,'Chart of Accounts'!C:C,"")</f>
        <v>Asset</v>
      </c>
      <c r="G1157" s="14" t="s">
        <v>507</v>
      </c>
      <c r="H1157" s="16"/>
      <c r="I1157" s="16">
        <v>2786.24</v>
      </c>
      <c r="J1157" s="16">
        <v>-2786.24</v>
      </c>
      <c r="K1157" s="14" t="s">
        <v>225</v>
      </c>
    </row>
    <row r="1158" spans="1:11" ht="15" customHeight="1">
      <c r="A1158" s="13">
        <v>46174</v>
      </c>
      <c r="B1158" s="14" t="s">
        <v>474</v>
      </c>
      <c r="C1158" s="19" t="s">
        <v>4</v>
      </c>
      <c r="D1158" s="14" t="s">
        <v>33</v>
      </c>
      <c r="E1158" s="14" t="str">
        <f>_xlfn.XLOOKUP($D1158,'Chart of Accounts'!$A:$A,'Chart of Accounts'!B:B,"")</f>
        <v>Utilities</v>
      </c>
      <c r="F1158" s="14" t="str">
        <f>_xlfn.XLOOKUP($D1158,'Chart of Accounts'!$A:$A,'Chart of Accounts'!C:C,"")</f>
        <v>Expense</v>
      </c>
      <c r="G1158" s="14" t="s">
        <v>417</v>
      </c>
      <c r="H1158" s="16">
        <v>53.007115384615403</v>
      </c>
      <c r="I1158" s="16"/>
      <c r="J1158" s="16">
        <v>53.007115384615403</v>
      </c>
      <c r="K1158" s="14" t="s">
        <v>225</v>
      </c>
    </row>
    <row r="1159" spans="1:11" ht="15" customHeight="1">
      <c r="A1159" s="13">
        <v>46174</v>
      </c>
      <c r="B1159" s="14" t="s">
        <v>474</v>
      </c>
      <c r="C1159" s="19" t="s">
        <v>6</v>
      </c>
      <c r="D1159" s="14" t="s">
        <v>33</v>
      </c>
      <c r="E1159" s="14" t="str">
        <f>_xlfn.XLOOKUP($D1159,'Chart of Accounts'!$A:$A,'Chart of Accounts'!B:B,"")</f>
        <v>Utilities</v>
      </c>
      <c r="F1159" s="14" t="str">
        <f>_xlfn.XLOOKUP($D1159,'Chart of Accounts'!$A:$A,'Chart of Accounts'!C:C,"")</f>
        <v>Expense</v>
      </c>
      <c r="G1159" s="14" t="s">
        <v>417</v>
      </c>
      <c r="H1159" s="16">
        <v>70.676153846153895</v>
      </c>
      <c r="I1159" s="16"/>
      <c r="J1159" s="16">
        <v>70.676153846153895</v>
      </c>
      <c r="K1159" s="14" t="s">
        <v>225</v>
      </c>
    </row>
    <row r="1160" spans="1:11" ht="15" customHeight="1">
      <c r="A1160" s="13">
        <v>46174</v>
      </c>
      <c r="B1160" s="14" t="s">
        <v>474</v>
      </c>
      <c r="C1160" s="19" t="s">
        <v>8</v>
      </c>
      <c r="D1160" s="14" t="s">
        <v>33</v>
      </c>
      <c r="E1160" s="14" t="str">
        <f>_xlfn.XLOOKUP($D1160,'Chart of Accounts'!$A:$A,'Chart of Accounts'!B:B,"")</f>
        <v>Utilities</v>
      </c>
      <c r="F1160" s="14" t="str">
        <f>_xlfn.XLOOKUP($D1160,'Chart of Accounts'!$A:$A,'Chart of Accounts'!C:C,"")</f>
        <v>Expense</v>
      </c>
      <c r="G1160" s="14" t="s">
        <v>417</v>
      </c>
      <c r="H1160" s="16">
        <v>106.01423076923101</v>
      </c>
      <c r="I1160" s="16"/>
      <c r="J1160" s="16">
        <v>106.01423076923101</v>
      </c>
      <c r="K1160" s="14" t="s">
        <v>225</v>
      </c>
    </row>
    <row r="1161" spans="1:11" ht="15" customHeight="1">
      <c r="A1161" s="13">
        <v>46174</v>
      </c>
      <c r="B1161" s="14" t="s">
        <v>474</v>
      </c>
      <c r="C1161" s="19" t="s">
        <v>10</v>
      </c>
      <c r="D1161" s="14" t="s">
        <v>33</v>
      </c>
      <c r="E1161" s="14" t="str">
        <f>_xlfn.XLOOKUP($D1161,'Chart of Accounts'!$A:$A,'Chart of Accounts'!B:B,"")</f>
        <v>Utilities</v>
      </c>
      <c r="F1161" s="14" t="str">
        <f>_xlfn.XLOOKUP($D1161,'Chart of Accounts'!$A:$A,'Chart of Accounts'!C:C,"")</f>
        <v>Expense</v>
      </c>
      <c r="G1161" s="14" t="s">
        <v>417</v>
      </c>
      <c r="H1161" s="16">
        <v>35.338076923076898</v>
      </c>
      <c r="I1161" s="16"/>
      <c r="J1161" s="16">
        <v>35.338076923076898</v>
      </c>
      <c r="K1161" s="14" t="s">
        <v>225</v>
      </c>
    </row>
    <row r="1162" spans="1:11" ht="15" customHeight="1">
      <c r="A1162" s="13">
        <v>46174</v>
      </c>
      <c r="B1162" s="14" t="s">
        <v>474</v>
      </c>
      <c r="C1162" s="19" t="s">
        <v>12</v>
      </c>
      <c r="D1162" s="14" t="s">
        <v>33</v>
      </c>
      <c r="E1162" s="14" t="str">
        <f>_xlfn.XLOOKUP($D1162,'Chart of Accounts'!$A:$A,'Chart of Accounts'!B:B,"")</f>
        <v>Utilities</v>
      </c>
      <c r="F1162" s="14" t="str">
        <f>_xlfn.XLOOKUP($D1162,'Chart of Accounts'!$A:$A,'Chart of Accounts'!C:C,"")</f>
        <v>Expense</v>
      </c>
      <c r="G1162" s="14" t="s">
        <v>417</v>
      </c>
      <c r="H1162" s="16">
        <v>123.683269230769</v>
      </c>
      <c r="I1162" s="16"/>
      <c r="J1162" s="16">
        <v>123.683269230769</v>
      </c>
      <c r="K1162" s="14" t="s">
        <v>225</v>
      </c>
    </row>
    <row r="1163" spans="1:11" ht="15" customHeight="1">
      <c r="A1163" s="13">
        <v>46174</v>
      </c>
      <c r="B1163" s="14" t="s">
        <v>474</v>
      </c>
      <c r="C1163" s="19" t="s">
        <v>14</v>
      </c>
      <c r="D1163" s="14" t="s">
        <v>33</v>
      </c>
      <c r="E1163" s="14" t="str">
        <f>_xlfn.XLOOKUP($D1163,'Chart of Accounts'!$A:$A,'Chart of Accounts'!B:B,"")</f>
        <v>Utilities</v>
      </c>
      <c r="F1163" s="14" t="str">
        <f>_xlfn.XLOOKUP($D1163,'Chart of Accounts'!$A:$A,'Chart of Accounts'!C:C,"")</f>
        <v>Expense</v>
      </c>
      <c r="G1163" s="14" t="s">
        <v>417</v>
      </c>
      <c r="H1163" s="16">
        <v>141.35230769230799</v>
      </c>
      <c r="I1163" s="16"/>
      <c r="J1163" s="16">
        <v>141.35230769230799</v>
      </c>
      <c r="K1163" s="14" t="s">
        <v>225</v>
      </c>
    </row>
    <row r="1164" spans="1:11" ht="15" customHeight="1">
      <c r="A1164" s="13">
        <v>46174</v>
      </c>
      <c r="B1164" s="14" t="s">
        <v>474</v>
      </c>
      <c r="C1164" s="19" t="s">
        <v>16</v>
      </c>
      <c r="D1164" s="14" t="s">
        <v>33</v>
      </c>
      <c r="E1164" s="14" t="str">
        <f>_xlfn.XLOOKUP($D1164,'Chart of Accounts'!$A:$A,'Chart of Accounts'!B:B,"")</f>
        <v>Utilities</v>
      </c>
      <c r="F1164" s="14" t="str">
        <f>_xlfn.XLOOKUP($D1164,'Chart of Accounts'!$A:$A,'Chart of Accounts'!C:C,"")</f>
        <v>Expense</v>
      </c>
      <c r="G1164" s="14" t="s">
        <v>417</v>
      </c>
      <c r="H1164" s="16">
        <v>70.676153846153895</v>
      </c>
      <c r="I1164" s="16"/>
      <c r="J1164" s="16">
        <v>70.676153846153895</v>
      </c>
      <c r="K1164" s="14" t="s">
        <v>225</v>
      </c>
    </row>
    <row r="1165" spans="1:11" ht="15" customHeight="1">
      <c r="A1165" s="13">
        <v>46174</v>
      </c>
      <c r="B1165" s="14" t="s">
        <v>474</v>
      </c>
      <c r="C1165" s="19" t="s">
        <v>18</v>
      </c>
      <c r="D1165" s="14" t="s">
        <v>33</v>
      </c>
      <c r="E1165" s="14" t="str">
        <f>_xlfn.XLOOKUP($D1165,'Chart of Accounts'!$A:$A,'Chart of Accounts'!B:B,"")</f>
        <v>Utilities</v>
      </c>
      <c r="F1165" s="14" t="str">
        <f>_xlfn.XLOOKUP($D1165,'Chart of Accounts'!$A:$A,'Chart of Accounts'!C:C,"")</f>
        <v>Expense</v>
      </c>
      <c r="G1165" s="14" t="s">
        <v>417</v>
      </c>
      <c r="H1165" s="16">
        <v>141.35230769230799</v>
      </c>
      <c r="I1165" s="16"/>
      <c r="J1165" s="16">
        <v>141.35230769230799</v>
      </c>
      <c r="K1165" s="14" t="s">
        <v>225</v>
      </c>
    </row>
    <row r="1166" spans="1:11" ht="15" customHeight="1">
      <c r="A1166" s="13">
        <v>46174</v>
      </c>
      <c r="B1166" s="14" t="s">
        <v>474</v>
      </c>
      <c r="C1166" s="19" t="s">
        <v>20</v>
      </c>
      <c r="D1166" s="14" t="s">
        <v>33</v>
      </c>
      <c r="E1166" s="14" t="str">
        <f>_xlfn.XLOOKUP($D1166,'Chart of Accounts'!$A:$A,'Chart of Accounts'!B:B,"")</f>
        <v>Utilities</v>
      </c>
      <c r="F1166" s="14" t="str">
        <f>_xlfn.XLOOKUP($D1166,'Chart of Accounts'!$A:$A,'Chart of Accounts'!C:C,"")</f>
        <v>Expense</v>
      </c>
      <c r="G1166" s="14" t="s">
        <v>417</v>
      </c>
      <c r="H1166" s="16">
        <v>176.690384615385</v>
      </c>
      <c r="I1166" s="16"/>
      <c r="J1166" s="16">
        <v>176.690384615385</v>
      </c>
      <c r="K1166" s="14" t="s">
        <v>225</v>
      </c>
    </row>
    <row r="1167" spans="1:11" ht="15" customHeight="1">
      <c r="A1167" s="13">
        <v>45962</v>
      </c>
      <c r="B1167" s="14" t="s">
        <v>493</v>
      </c>
      <c r="C1167" s="19" t="s">
        <v>18</v>
      </c>
      <c r="D1167" s="14" t="s">
        <v>117</v>
      </c>
      <c r="E1167" s="14" t="str">
        <f>_xlfn.XLOOKUP($D1167,'Chart of Accounts'!$A:$A,'Chart of Accounts'!B:B,"")</f>
        <v>Insurance</v>
      </c>
      <c r="F1167" s="14" t="str">
        <f>_xlfn.XLOOKUP($D1167,'Chart of Accounts'!$A:$A,'Chart of Accounts'!C:C,"")</f>
        <v>Expense</v>
      </c>
      <c r="G1167" s="14" t="s">
        <v>479</v>
      </c>
      <c r="H1167" s="16">
        <v>126.92</v>
      </c>
      <c r="I1167" s="16"/>
      <c r="J1167" s="16">
        <v>126.92</v>
      </c>
      <c r="K1167" s="14" t="s">
        <v>225</v>
      </c>
    </row>
    <row r="1168" spans="1:11" ht="15" customHeight="1">
      <c r="A1168" s="13">
        <v>46174</v>
      </c>
      <c r="B1168" s="14" t="s">
        <v>508</v>
      </c>
      <c r="C1168" s="14"/>
      <c r="D1168" s="14" t="s">
        <v>63</v>
      </c>
      <c r="E1168" s="14" t="str">
        <f>_xlfn.XLOOKUP($D1168,'Chart of Accounts'!$A:$A,'Chart of Accounts'!B:B,"")</f>
        <v>Accounts Payable</v>
      </c>
      <c r="F1168" s="14" t="str">
        <f>_xlfn.XLOOKUP($D1168,'Chart of Accounts'!$A:$A,'Chart of Accounts'!C:C,"")</f>
        <v>Liability</v>
      </c>
      <c r="G1168" s="14" t="s">
        <v>509</v>
      </c>
      <c r="H1168" s="16"/>
      <c r="I1168" s="16">
        <v>9800</v>
      </c>
      <c r="J1168" s="16">
        <v>-9800</v>
      </c>
      <c r="K1168" s="14" t="s">
        <v>225</v>
      </c>
    </row>
    <row r="1169" spans="1:11" ht="15" customHeight="1">
      <c r="A1169" s="13">
        <v>46149</v>
      </c>
      <c r="B1169" s="14" t="s">
        <v>510</v>
      </c>
      <c r="C1169" s="19" t="s">
        <v>46</v>
      </c>
      <c r="D1169" s="14" t="s">
        <v>94</v>
      </c>
      <c r="E1169" s="14" t="str">
        <f>_xlfn.XLOOKUP($D1169,'Chart of Accounts'!$A:$A,'Chart of Accounts'!B:B,"")</f>
        <v>Other Revenue</v>
      </c>
      <c r="F1169" s="14" t="str">
        <f>_xlfn.XLOOKUP($D1169,'Chart of Accounts'!$A:$A,'Chart of Accounts'!C:C,"")</f>
        <v>Revenue</v>
      </c>
      <c r="G1169" s="14" t="s">
        <v>511</v>
      </c>
      <c r="H1169" s="16"/>
      <c r="I1169" s="16">
        <v>1345.27</v>
      </c>
      <c r="J1169" s="16">
        <v>-1345.27</v>
      </c>
      <c r="K1169" s="14" t="s">
        <v>225</v>
      </c>
    </row>
    <row r="1170" spans="1:11" ht="15" customHeight="1">
      <c r="A1170" s="13">
        <v>46149</v>
      </c>
      <c r="B1170" s="14" t="s">
        <v>510</v>
      </c>
      <c r="C1170" s="14"/>
      <c r="D1170" s="14" t="s">
        <v>40</v>
      </c>
      <c r="E1170" s="14" t="str">
        <f>_xlfn.XLOOKUP($D1170,'Chart of Accounts'!$A:$A,'Chart of Accounts'!B:B,"")</f>
        <v>Cash - Operating</v>
      </c>
      <c r="F1170" s="14" t="str">
        <f>_xlfn.XLOOKUP($D1170,'Chart of Accounts'!$A:$A,'Chart of Accounts'!C:C,"")</f>
        <v>Asset</v>
      </c>
      <c r="G1170" s="14" t="s">
        <v>511</v>
      </c>
      <c r="H1170" s="16">
        <v>1345.27</v>
      </c>
      <c r="I1170" s="16"/>
      <c r="J1170" s="16">
        <v>1345.27</v>
      </c>
      <c r="K1170" s="14" t="s">
        <v>225</v>
      </c>
    </row>
    <row r="1171" spans="1:11" ht="15" customHeight="1">
      <c r="A1171" s="13">
        <v>46173</v>
      </c>
      <c r="B1171" s="14" t="s">
        <v>512</v>
      </c>
      <c r="C1171" s="14"/>
      <c r="D1171" s="14" t="s">
        <v>75</v>
      </c>
      <c r="E1171" s="14" t="str">
        <f>_xlfn.XLOOKUP($D1171,'Chart of Accounts'!$A:$A,'Chart of Accounts'!B:B,"")</f>
        <v>Notes Payable - Long Term</v>
      </c>
      <c r="F1171" s="14" t="str">
        <f>_xlfn.XLOOKUP($D1171,'Chart of Accounts'!$A:$A,'Chart of Accounts'!C:C,"")</f>
        <v>Liability</v>
      </c>
      <c r="G1171" s="14" t="s">
        <v>491</v>
      </c>
      <c r="H1171" s="16">
        <v>1180</v>
      </c>
      <c r="I1171" s="16"/>
      <c r="J1171" s="16">
        <v>1180</v>
      </c>
      <c r="K1171" s="14" t="s">
        <v>225</v>
      </c>
    </row>
    <row r="1172" spans="1:11" ht="15" customHeight="1">
      <c r="A1172" s="13">
        <v>46173</v>
      </c>
      <c r="B1172" s="14" t="s">
        <v>512</v>
      </c>
      <c r="C1172" s="14"/>
      <c r="D1172" s="14" t="s">
        <v>40</v>
      </c>
      <c r="E1172" s="14" t="str">
        <f>_xlfn.XLOOKUP($D1172,'Chart of Accounts'!$A:$A,'Chart of Accounts'!B:B,"")</f>
        <v>Cash - Operating</v>
      </c>
      <c r="F1172" s="14" t="str">
        <f>_xlfn.XLOOKUP($D1172,'Chart of Accounts'!$A:$A,'Chart of Accounts'!C:C,"")</f>
        <v>Asset</v>
      </c>
      <c r="G1172" s="14" t="s">
        <v>491</v>
      </c>
      <c r="H1172" s="16"/>
      <c r="I1172" s="16">
        <v>1569.58</v>
      </c>
      <c r="J1172" s="16">
        <v>-1569.58</v>
      </c>
      <c r="K1172" s="14" t="s">
        <v>225</v>
      </c>
    </row>
    <row r="1173" spans="1:11" ht="15" customHeight="1">
      <c r="A1173" s="13">
        <v>46160</v>
      </c>
      <c r="B1173" s="14" t="s">
        <v>473</v>
      </c>
      <c r="C1173" s="19" t="s">
        <v>46</v>
      </c>
      <c r="D1173" s="14" t="s">
        <v>113</v>
      </c>
      <c r="E1173" s="14" t="str">
        <f>_xlfn.XLOOKUP($D1173,'Chart of Accounts'!$A:$A,'Chart of Accounts'!B:B,"")</f>
        <v>Professional Fees - Legal</v>
      </c>
      <c r="F1173" s="14" t="str">
        <f>_xlfn.XLOOKUP($D1173,'Chart of Accounts'!$A:$A,'Chart of Accounts'!C:C,"")</f>
        <v>Expense</v>
      </c>
      <c r="G1173" s="14" t="s">
        <v>429</v>
      </c>
      <c r="H1173" s="16">
        <v>1981.66</v>
      </c>
      <c r="I1173" s="16"/>
      <c r="J1173" s="16">
        <v>1981.66</v>
      </c>
      <c r="K1173" s="14" t="s">
        <v>225</v>
      </c>
    </row>
    <row r="1174" spans="1:11" ht="15" customHeight="1">
      <c r="A1174" s="13">
        <v>45962</v>
      </c>
      <c r="B1174" s="14" t="s">
        <v>493</v>
      </c>
      <c r="C1174" s="19" t="s">
        <v>20</v>
      </c>
      <c r="D1174" s="14" t="s">
        <v>117</v>
      </c>
      <c r="E1174" s="14" t="str">
        <f>_xlfn.XLOOKUP($D1174,'Chart of Accounts'!$A:$A,'Chart of Accounts'!B:B,"")</f>
        <v>Insurance</v>
      </c>
      <c r="F1174" s="14" t="str">
        <f>_xlfn.XLOOKUP($D1174,'Chart of Accounts'!$A:$A,'Chart of Accounts'!C:C,"")</f>
        <v>Expense</v>
      </c>
      <c r="G1174" s="14" t="s">
        <v>479</v>
      </c>
      <c r="H1174" s="16">
        <v>126.92</v>
      </c>
      <c r="I1174" s="16"/>
      <c r="J1174" s="16">
        <v>126.92</v>
      </c>
      <c r="K1174" s="14" t="s">
        <v>225</v>
      </c>
    </row>
    <row r="1175" spans="1:11" ht="15" customHeight="1">
      <c r="A1175" s="13">
        <v>46173</v>
      </c>
      <c r="B1175" s="14" t="s">
        <v>513</v>
      </c>
      <c r="C1175" s="17" t="s">
        <v>14</v>
      </c>
      <c r="D1175" s="14" t="s">
        <v>105</v>
      </c>
      <c r="E1175" s="14" t="str">
        <f>_xlfn.XLOOKUP($D1175,'Chart of Accounts'!$A:$A,'Chart of Accounts'!B:B,"")</f>
        <v>Office Supplies</v>
      </c>
      <c r="F1175" s="14" t="str">
        <f>_xlfn.XLOOKUP($D1175,'Chart of Accounts'!$A:$A,'Chart of Accounts'!C:C,"")</f>
        <v>Expense</v>
      </c>
      <c r="G1175" s="14" t="s">
        <v>421</v>
      </c>
      <c r="H1175" s="16">
        <v>994</v>
      </c>
      <c r="I1175" s="16"/>
      <c r="J1175" s="16">
        <v>994</v>
      </c>
      <c r="K1175" s="14" t="s">
        <v>225</v>
      </c>
    </row>
    <row r="1176" spans="1:11" ht="15" customHeight="1">
      <c r="A1176" s="13">
        <v>45962</v>
      </c>
      <c r="B1176" s="14" t="s">
        <v>493</v>
      </c>
      <c r="C1176" s="19" t="s">
        <v>4</v>
      </c>
      <c r="D1176" s="14" t="s">
        <v>117</v>
      </c>
      <c r="E1176" s="14" t="str">
        <f>_xlfn.XLOOKUP($D1176,'Chart of Accounts'!$A:$A,'Chart of Accounts'!B:B,"")</f>
        <v>Insurance</v>
      </c>
      <c r="F1176" s="14" t="str">
        <f>_xlfn.XLOOKUP($D1176,'Chart of Accounts'!$A:$A,'Chart of Accounts'!C:C,"")</f>
        <v>Expense</v>
      </c>
      <c r="G1176" s="14" t="s">
        <v>479</v>
      </c>
      <c r="H1176" s="16">
        <v>422.6</v>
      </c>
      <c r="I1176" s="16"/>
      <c r="J1176" s="16">
        <v>422.6</v>
      </c>
      <c r="K1176" s="14" t="s">
        <v>225</v>
      </c>
    </row>
    <row r="1177" spans="1:11" ht="15" customHeight="1">
      <c r="A1177" s="13">
        <v>46173</v>
      </c>
      <c r="B1177" s="14" t="s">
        <v>494</v>
      </c>
      <c r="C1177" s="14"/>
      <c r="D1177" s="14" t="s">
        <v>58</v>
      </c>
      <c r="E1177" s="14" t="str">
        <f>_xlfn.XLOOKUP($D1177,'Chart of Accounts'!$A:$A,'Chart of Accounts'!B:B,"")</f>
        <v>Accumulated Depreciation</v>
      </c>
      <c r="F1177" s="14" t="str">
        <f>_xlfn.XLOOKUP($D1177,'Chart of Accounts'!$A:$A,'Chart of Accounts'!C:C,"")</f>
        <v>Asset</v>
      </c>
      <c r="G1177" s="14" t="s">
        <v>495</v>
      </c>
      <c r="H1177" s="16"/>
      <c r="I1177" s="16">
        <v>2450</v>
      </c>
      <c r="J1177" s="16">
        <v>-2450</v>
      </c>
      <c r="K1177" s="14" t="s">
        <v>225</v>
      </c>
    </row>
    <row r="1178" spans="1:11" ht="15" customHeight="1">
      <c r="A1178" s="13">
        <v>46173</v>
      </c>
      <c r="B1178" s="14" t="s">
        <v>514</v>
      </c>
      <c r="C1178" s="19" t="s">
        <v>46</v>
      </c>
      <c r="D1178" s="14" t="s">
        <v>92</v>
      </c>
      <c r="E1178" s="14" t="str">
        <f>_xlfn.XLOOKUP($D1178,'Chart of Accounts'!$A:$A,'Chart of Accounts'!B:B,"")</f>
        <v>Interest Income</v>
      </c>
      <c r="F1178" s="14" t="str">
        <f>_xlfn.XLOOKUP($D1178,'Chart of Accounts'!$A:$A,'Chart of Accounts'!C:C,"")</f>
        <v>Revenue</v>
      </c>
      <c r="G1178" s="14" t="s">
        <v>497</v>
      </c>
      <c r="H1178" s="16"/>
      <c r="I1178" s="16">
        <v>1031.68</v>
      </c>
      <c r="J1178" s="16">
        <v>-1031.68</v>
      </c>
      <c r="K1178" s="14" t="s">
        <v>225</v>
      </c>
    </row>
    <row r="1179" spans="1:11" ht="15" customHeight="1">
      <c r="A1179" s="13">
        <v>46173</v>
      </c>
      <c r="B1179" s="14" t="s">
        <v>514</v>
      </c>
      <c r="C1179" s="14"/>
      <c r="D1179" s="14" t="s">
        <v>46</v>
      </c>
      <c r="E1179" s="14" t="str">
        <f>_xlfn.XLOOKUP($D1179,'Chart of Accounts'!$A:$A,'Chart of Accounts'!B:B,"")</f>
        <v>Cash - Money Market/Reserve</v>
      </c>
      <c r="F1179" s="14" t="str">
        <f>_xlfn.XLOOKUP($D1179,'Chart of Accounts'!$A:$A,'Chart of Accounts'!C:C,"")</f>
        <v>Asset</v>
      </c>
      <c r="G1179" s="14" t="s">
        <v>497</v>
      </c>
      <c r="H1179" s="16">
        <v>1031.68</v>
      </c>
      <c r="I1179" s="16"/>
      <c r="J1179" s="16">
        <v>1031.68</v>
      </c>
      <c r="K1179" s="14" t="s">
        <v>225</v>
      </c>
    </row>
    <row r="1180" spans="1:11" ht="15" customHeight="1">
      <c r="A1180" s="13">
        <v>46173</v>
      </c>
      <c r="B1180" s="14" t="s">
        <v>354</v>
      </c>
      <c r="C1180" s="14"/>
      <c r="D1180" s="14" t="s">
        <v>51</v>
      </c>
      <c r="E1180" s="14" t="str">
        <f>_xlfn.XLOOKUP($D1180,'Chart of Accounts'!$A:$A,'Chart of Accounts'!B:B,"")</f>
        <v>Grants Receivable</v>
      </c>
      <c r="F1180" s="14" t="str">
        <f>_xlfn.XLOOKUP($D1180,'Chart of Accounts'!$A:$A,'Chart of Accounts'!C:C,"")</f>
        <v>Asset</v>
      </c>
      <c r="G1180" s="14" t="s">
        <v>498</v>
      </c>
      <c r="H1180" s="16">
        <v>73169.440000000002</v>
      </c>
      <c r="I1180" s="16"/>
      <c r="J1180" s="16">
        <v>73169.440000000002</v>
      </c>
      <c r="K1180" s="14" t="s">
        <v>225</v>
      </c>
    </row>
    <row r="1181" spans="1:11" ht="15" customHeight="1">
      <c r="A1181" s="13">
        <v>46160</v>
      </c>
      <c r="B1181" s="14" t="s">
        <v>515</v>
      </c>
      <c r="C1181" s="14"/>
      <c r="D1181" s="14" t="s">
        <v>40</v>
      </c>
      <c r="E1181" s="14" t="str">
        <f>_xlfn.XLOOKUP($D1181,'Chart of Accounts'!$A:$A,'Chart of Accounts'!B:B,"")</f>
        <v>Cash - Operating</v>
      </c>
      <c r="F1181" s="14" t="str">
        <f>_xlfn.XLOOKUP($D1181,'Chart of Accounts'!$A:$A,'Chart of Accounts'!C:C,"")</f>
        <v>Asset</v>
      </c>
      <c r="G1181" s="14" t="s">
        <v>500</v>
      </c>
      <c r="H1181" s="16">
        <v>59968.94</v>
      </c>
      <c r="I1181" s="16"/>
      <c r="J1181" s="16">
        <v>59968.94</v>
      </c>
      <c r="K1181" s="14" t="s">
        <v>225</v>
      </c>
    </row>
    <row r="1182" spans="1:11" ht="15" customHeight="1">
      <c r="A1182" s="13">
        <v>46160</v>
      </c>
      <c r="B1182" s="14" t="s">
        <v>515</v>
      </c>
      <c r="C1182" s="14"/>
      <c r="D1182" s="14" t="s">
        <v>51</v>
      </c>
      <c r="E1182" s="14" t="str">
        <f>_xlfn.XLOOKUP($D1182,'Chart of Accounts'!$A:$A,'Chart of Accounts'!B:B,"")</f>
        <v>Grants Receivable</v>
      </c>
      <c r="F1182" s="14" t="str">
        <f>_xlfn.XLOOKUP($D1182,'Chart of Accounts'!$A:$A,'Chart of Accounts'!C:C,"")</f>
        <v>Asset</v>
      </c>
      <c r="G1182" s="14" t="s">
        <v>500</v>
      </c>
      <c r="H1182" s="16"/>
      <c r="I1182" s="16">
        <v>59968.94</v>
      </c>
      <c r="J1182" s="16">
        <v>-59968.94</v>
      </c>
      <c r="K1182" s="14" t="s">
        <v>225</v>
      </c>
    </row>
    <row r="1183" spans="1:11" ht="15" customHeight="1">
      <c r="A1183" s="13">
        <v>46154</v>
      </c>
      <c r="B1183" s="14" t="s">
        <v>354</v>
      </c>
      <c r="C1183" s="14"/>
      <c r="D1183" s="14" t="s">
        <v>40</v>
      </c>
      <c r="E1183" s="14" t="str">
        <f>_xlfn.XLOOKUP($D1183,'Chart of Accounts'!$A:$A,'Chart of Accounts'!B:B,"")</f>
        <v>Cash - Operating</v>
      </c>
      <c r="F1183" s="14" t="str">
        <f>_xlfn.XLOOKUP($D1183,'Chart of Accounts'!$A:$A,'Chart of Accounts'!C:C,"")</f>
        <v>Asset</v>
      </c>
      <c r="G1183" s="14" t="s">
        <v>501</v>
      </c>
      <c r="H1183" s="16">
        <v>140547.62</v>
      </c>
      <c r="I1183" s="16"/>
      <c r="J1183" s="16">
        <v>140547.62</v>
      </c>
      <c r="K1183" s="14" t="s">
        <v>225</v>
      </c>
    </row>
    <row r="1184" spans="1:11" ht="15" customHeight="1">
      <c r="A1184" s="13">
        <v>45962</v>
      </c>
      <c r="B1184" s="14" t="s">
        <v>493</v>
      </c>
      <c r="C1184" s="19" t="s">
        <v>6</v>
      </c>
      <c r="D1184" s="14" t="s">
        <v>117</v>
      </c>
      <c r="E1184" s="14" t="str">
        <f>_xlfn.XLOOKUP($D1184,'Chart of Accounts'!$A:$A,'Chart of Accounts'!B:B,"")</f>
        <v>Insurance</v>
      </c>
      <c r="F1184" s="14" t="str">
        <f>_xlfn.XLOOKUP($D1184,'Chart of Accounts'!$A:$A,'Chart of Accounts'!C:C,"")</f>
        <v>Expense</v>
      </c>
      <c r="G1184" s="14" t="s">
        <v>479</v>
      </c>
      <c r="H1184" s="16">
        <v>563.47</v>
      </c>
      <c r="I1184" s="16"/>
      <c r="J1184" s="16">
        <v>563.47</v>
      </c>
      <c r="K1184" s="14" t="s">
        <v>225</v>
      </c>
    </row>
    <row r="1185" spans="1:11" ht="15" customHeight="1">
      <c r="A1185" s="13">
        <v>46162</v>
      </c>
      <c r="B1185" s="14" t="s">
        <v>472</v>
      </c>
      <c r="C1185" s="14"/>
      <c r="D1185" s="14" t="s">
        <v>40</v>
      </c>
      <c r="E1185" s="14" t="str">
        <f>_xlfn.XLOOKUP($D1185,'Chart of Accounts'!$A:$A,'Chart of Accounts'!B:B,"")</f>
        <v>Cash - Operating</v>
      </c>
      <c r="F1185" s="14" t="str">
        <f>_xlfn.XLOOKUP($D1185,'Chart of Accounts'!$A:$A,'Chart of Accounts'!C:C,"")</f>
        <v>Asset</v>
      </c>
      <c r="G1185" s="14" t="s">
        <v>423</v>
      </c>
      <c r="H1185" s="16"/>
      <c r="I1185" s="16">
        <v>7222.58</v>
      </c>
      <c r="J1185" s="16">
        <v>-7222.58</v>
      </c>
      <c r="K1185" s="14" t="s">
        <v>225</v>
      </c>
    </row>
    <row r="1186" spans="1:11" ht="15" customHeight="1">
      <c r="A1186" s="13">
        <v>46173</v>
      </c>
      <c r="B1186" s="14" t="s">
        <v>516</v>
      </c>
      <c r="C1186" s="19" t="s">
        <v>46</v>
      </c>
      <c r="D1186" s="14" t="s">
        <v>121</v>
      </c>
      <c r="E1186" s="14" t="str">
        <f>_xlfn.XLOOKUP($D1186,'Chart of Accounts'!$A:$A,'Chart of Accounts'!B:B,"")</f>
        <v>Bank Fees</v>
      </c>
      <c r="F1186" s="14" t="str">
        <f>_xlfn.XLOOKUP($D1186,'Chart of Accounts'!$A:$A,'Chart of Accounts'!C:C,"")</f>
        <v>Expense</v>
      </c>
      <c r="G1186" s="14" t="s">
        <v>503</v>
      </c>
      <c r="H1186" s="16">
        <v>118.91</v>
      </c>
      <c r="I1186" s="16"/>
      <c r="J1186" s="16">
        <v>118.91</v>
      </c>
      <c r="K1186" s="14" t="s">
        <v>225</v>
      </c>
    </row>
    <row r="1187" spans="1:11" ht="15" customHeight="1">
      <c r="A1187" s="13">
        <v>46173</v>
      </c>
      <c r="B1187" s="14" t="s">
        <v>516</v>
      </c>
      <c r="C1187" s="14"/>
      <c r="D1187" s="14" t="s">
        <v>40</v>
      </c>
      <c r="E1187" s="14" t="str">
        <f>_xlfn.XLOOKUP($D1187,'Chart of Accounts'!$A:$A,'Chart of Accounts'!B:B,"")</f>
        <v>Cash - Operating</v>
      </c>
      <c r="F1187" s="14" t="str">
        <f>_xlfn.XLOOKUP($D1187,'Chart of Accounts'!$A:$A,'Chart of Accounts'!C:C,"")</f>
        <v>Asset</v>
      </c>
      <c r="G1187" s="14" t="s">
        <v>503</v>
      </c>
      <c r="H1187" s="16"/>
      <c r="I1187" s="16">
        <v>118.91</v>
      </c>
      <c r="J1187" s="16">
        <v>-118.91</v>
      </c>
      <c r="K1187" s="14" t="s">
        <v>225</v>
      </c>
    </row>
    <row r="1188" spans="1:11" ht="15" customHeight="1">
      <c r="A1188" s="13">
        <v>46160</v>
      </c>
      <c r="B1188" s="14" t="s">
        <v>517</v>
      </c>
      <c r="C1188" s="19" t="s">
        <v>20</v>
      </c>
      <c r="D1188" s="14" t="s">
        <v>109</v>
      </c>
      <c r="E1188" s="14" t="str">
        <f>_xlfn.XLOOKUP($D1188,'Chart of Accounts'!$A:$A,'Chart of Accounts'!B:B,"")</f>
        <v>Travel</v>
      </c>
      <c r="F1188" s="14" t="str">
        <f>_xlfn.XLOOKUP($D1188,'Chart of Accounts'!$A:$A,'Chart of Accounts'!C:C,"")</f>
        <v>Expense</v>
      </c>
      <c r="G1188" s="14" t="s">
        <v>518</v>
      </c>
      <c r="H1188" s="16">
        <v>2177.46</v>
      </c>
      <c r="I1188" s="16"/>
      <c r="J1188" s="16">
        <v>2177.46</v>
      </c>
      <c r="K1188" s="14" t="s">
        <v>225</v>
      </c>
    </row>
    <row r="1189" spans="1:11" ht="15" customHeight="1">
      <c r="A1189" s="13">
        <v>46160</v>
      </c>
      <c r="B1189" s="14" t="s">
        <v>517</v>
      </c>
      <c r="C1189" s="14"/>
      <c r="D1189" s="14" t="s">
        <v>40</v>
      </c>
      <c r="E1189" s="14" t="str">
        <f>_xlfn.XLOOKUP($D1189,'Chart of Accounts'!$A:$A,'Chart of Accounts'!B:B,"")</f>
        <v>Cash - Operating</v>
      </c>
      <c r="F1189" s="14" t="str">
        <f>_xlfn.XLOOKUP($D1189,'Chart of Accounts'!$A:$A,'Chart of Accounts'!C:C,"")</f>
        <v>Asset</v>
      </c>
      <c r="G1189" s="14" t="s">
        <v>518</v>
      </c>
      <c r="H1189" s="16"/>
      <c r="I1189" s="16">
        <v>2177.46</v>
      </c>
      <c r="J1189" s="16">
        <v>-2177.46</v>
      </c>
      <c r="K1189" s="14" t="s">
        <v>225</v>
      </c>
    </row>
    <row r="1190" spans="1:11" ht="15" customHeight="1">
      <c r="A1190" s="13">
        <v>46154</v>
      </c>
      <c r="B1190" s="14" t="s">
        <v>471</v>
      </c>
      <c r="C1190" s="17" t="s">
        <v>12</v>
      </c>
      <c r="D1190" s="14" t="s">
        <v>105</v>
      </c>
      <c r="E1190" s="14" t="str">
        <f>_xlfn.XLOOKUP($D1190,'Chart of Accounts'!$A:$A,'Chart of Accounts'!B:B,"")</f>
        <v>Office Supplies</v>
      </c>
      <c r="F1190" s="14" t="str">
        <f>_xlfn.XLOOKUP($D1190,'Chart of Accounts'!$A:$A,'Chart of Accounts'!C:C,"")</f>
        <v>Expense</v>
      </c>
      <c r="G1190" s="14" t="s">
        <v>421</v>
      </c>
      <c r="H1190" s="16">
        <v>857.04</v>
      </c>
      <c r="I1190" s="16"/>
      <c r="J1190" s="16">
        <v>857.04</v>
      </c>
      <c r="K1190" s="14" t="s">
        <v>225</v>
      </c>
    </row>
    <row r="1191" spans="1:11" ht="15" customHeight="1">
      <c r="A1191" s="13">
        <v>45962</v>
      </c>
      <c r="B1191" s="14" t="s">
        <v>493</v>
      </c>
      <c r="C1191" s="19" t="s">
        <v>8</v>
      </c>
      <c r="D1191" s="14" t="s">
        <v>117</v>
      </c>
      <c r="E1191" s="14" t="str">
        <f>_xlfn.XLOOKUP($D1191,'Chart of Accounts'!$A:$A,'Chart of Accounts'!B:B,"")</f>
        <v>Insurance</v>
      </c>
      <c r="F1191" s="14" t="str">
        <f>_xlfn.XLOOKUP($D1191,'Chart of Accounts'!$A:$A,'Chart of Accounts'!C:C,"")</f>
        <v>Expense</v>
      </c>
      <c r="G1191" s="14" t="s">
        <v>479</v>
      </c>
      <c r="H1191" s="16">
        <v>563.47</v>
      </c>
      <c r="I1191" s="16"/>
      <c r="J1191" s="16">
        <v>563.47</v>
      </c>
      <c r="K1191" s="14" t="s">
        <v>225</v>
      </c>
    </row>
    <row r="1192" spans="1:11" ht="15" customHeight="1">
      <c r="A1192" s="13">
        <v>46145</v>
      </c>
      <c r="B1192" s="14" t="s">
        <v>519</v>
      </c>
      <c r="C1192" s="17" t="s">
        <v>20</v>
      </c>
      <c r="D1192" s="14" t="s">
        <v>107</v>
      </c>
      <c r="E1192" s="14" t="str">
        <f>_xlfn.XLOOKUP($D1192,'Chart of Accounts'!$A:$A,'Chart of Accounts'!B:B,"")</f>
        <v>Software and Subscriptions</v>
      </c>
      <c r="F1192" s="14" t="str">
        <f>_xlfn.XLOOKUP($D1192,'Chart of Accounts'!$A:$A,'Chart of Accounts'!C:C,"")</f>
        <v>Expense</v>
      </c>
      <c r="G1192" s="14" t="s">
        <v>507</v>
      </c>
      <c r="H1192" s="16">
        <v>3319.91</v>
      </c>
      <c r="I1192" s="16"/>
      <c r="J1192" s="16">
        <v>3319.91</v>
      </c>
      <c r="K1192" s="14" t="s">
        <v>225</v>
      </c>
    </row>
    <row r="1193" spans="1:11" ht="15" customHeight="1">
      <c r="A1193" s="13">
        <v>46145</v>
      </c>
      <c r="B1193" s="14" t="s">
        <v>519</v>
      </c>
      <c r="C1193" s="14"/>
      <c r="D1193" s="14" t="s">
        <v>40</v>
      </c>
      <c r="E1193" s="14" t="str">
        <f>_xlfn.XLOOKUP($D1193,'Chart of Accounts'!$A:$A,'Chart of Accounts'!B:B,"")</f>
        <v>Cash - Operating</v>
      </c>
      <c r="F1193" s="14" t="str">
        <f>_xlfn.XLOOKUP($D1193,'Chart of Accounts'!$A:$A,'Chart of Accounts'!C:C,"")</f>
        <v>Asset</v>
      </c>
      <c r="G1193" s="14" t="s">
        <v>507</v>
      </c>
      <c r="H1193" s="16"/>
      <c r="I1193" s="16">
        <v>3319.91</v>
      </c>
      <c r="J1193" s="16">
        <v>-3319.91</v>
      </c>
      <c r="K1193" s="14" t="s">
        <v>225</v>
      </c>
    </row>
    <row r="1194" spans="1:11" ht="15" customHeight="1">
      <c r="A1194" s="13">
        <v>46143</v>
      </c>
      <c r="B1194" s="14" t="s">
        <v>470</v>
      </c>
      <c r="C1194" s="19" t="s">
        <v>4</v>
      </c>
      <c r="D1194" s="14" t="s">
        <v>33</v>
      </c>
      <c r="E1194" s="14" t="str">
        <f>_xlfn.XLOOKUP($D1194,'Chart of Accounts'!$A:$A,'Chart of Accounts'!B:B,"")</f>
        <v>Utilities</v>
      </c>
      <c r="F1194" s="14" t="str">
        <f>_xlfn.XLOOKUP($D1194,'Chart of Accounts'!$A:$A,'Chart of Accounts'!C:C,"")</f>
        <v>Expense</v>
      </c>
      <c r="G1194" s="14" t="s">
        <v>417</v>
      </c>
      <c r="H1194" s="16">
        <v>53.038846153846201</v>
      </c>
      <c r="I1194" s="16"/>
      <c r="J1194" s="16">
        <v>53.038846153846201</v>
      </c>
      <c r="K1194" s="14" t="s">
        <v>225</v>
      </c>
    </row>
    <row r="1195" spans="1:11" ht="15" customHeight="1">
      <c r="A1195" s="13">
        <v>46143</v>
      </c>
      <c r="B1195" s="14" t="s">
        <v>470</v>
      </c>
      <c r="C1195" s="19" t="s">
        <v>6</v>
      </c>
      <c r="D1195" s="14" t="s">
        <v>33</v>
      </c>
      <c r="E1195" s="14" t="str">
        <f>_xlfn.XLOOKUP($D1195,'Chart of Accounts'!$A:$A,'Chart of Accounts'!B:B,"")</f>
        <v>Utilities</v>
      </c>
      <c r="F1195" s="14" t="str">
        <f>_xlfn.XLOOKUP($D1195,'Chart of Accounts'!$A:$A,'Chart of Accounts'!C:C,"")</f>
        <v>Expense</v>
      </c>
      <c r="G1195" s="14" t="s">
        <v>417</v>
      </c>
      <c r="H1195" s="16">
        <v>70.718461538461497</v>
      </c>
      <c r="I1195" s="16"/>
      <c r="J1195" s="16">
        <v>70.718461538461497</v>
      </c>
      <c r="K1195" s="14" t="s">
        <v>225</v>
      </c>
    </row>
    <row r="1196" spans="1:11" ht="15" customHeight="1">
      <c r="A1196" s="13">
        <v>46143</v>
      </c>
      <c r="B1196" s="14" t="s">
        <v>470</v>
      </c>
      <c r="C1196" s="19" t="s">
        <v>8</v>
      </c>
      <c r="D1196" s="14" t="s">
        <v>33</v>
      </c>
      <c r="E1196" s="14" t="str">
        <f>_xlfn.XLOOKUP($D1196,'Chart of Accounts'!$A:$A,'Chart of Accounts'!B:B,"")</f>
        <v>Utilities</v>
      </c>
      <c r="F1196" s="14" t="str">
        <f>_xlfn.XLOOKUP($D1196,'Chart of Accounts'!$A:$A,'Chart of Accounts'!C:C,"")</f>
        <v>Expense</v>
      </c>
      <c r="G1196" s="14" t="s">
        <v>417</v>
      </c>
      <c r="H1196" s="16">
        <v>106.077692307692</v>
      </c>
      <c r="I1196" s="16"/>
      <c r="J1196" s="16">
        <v>106.077692307692</v>
      </c>
      <c r="K1196" s="14" t="s">
        <v>225</v>
      </c>
    </row>
    <row r="1197" spans="1:11" ht="15" customHeight="1">
      <c r="A1197" s="13">
        <v>46143</v>
      </c>
      <c r="B1197" s="14" t="s">
        <v>470</v>
      </c>
      <c r="C1197" s="19" t="s">
        <v>10</v>
      </c>
      <c r="D1197" s="14" t="s">
        <v>33</v>
      </c>
      <c r="E1197" s="14" t="str">
        <f>_xlfn.XLOOKUP($D1197,'Chart of Accounts'!$A:$A,'Chart of Accounts'!B:B,"")</f>
        <v>Utilities</v>
      </c>
      <c r="F1197" s="14" t="str">
        <f>_xlfn.XLOOKUP($D1197,'Chart of Accounts'!$A:$A,'Chart of Accounts'!C:C,"")</f>
        <v>Expense</v>
      </c>
      <c r="G1197" s="14" t="s">
        <v>417</v>
      </c>
      <c r="H1197" s="16">
        <v>35.359230769230798</v>
      </c>
      <c r="I1197" s="16"/>
      <c r="J1197" s="16">
        <v>35.359230769230798</v>
      </c>
      <c r="K1197" s="14" t="s">
        <v>225</v>
      </c>
    </row>
    <row r="1198" spans="1:11" ht="15" customHeight="1">
      <c r="A1198" s="13">
        <v>46143</v>
      </c>
      <c r="B1198" s="14" t="s">
        <v>470</v>
      </c>
      <c r="C1198" s="19" t="s">
        <v>12</v>
      </c>
      <c r="D1198" s="14" t="s">
        <v>33</v>
      </c>
      <c r="E1198" s="14" t="str">
        <f>_xlfn.XLOOKUP($D1198,'Chart of Accounts'!$A:$A,'Chart of Accounts'!B:B,"")</f>
        <v>Utilities</v>
      </c>
      <c r="F1198" s="14" t="str">
        <f>_xlfn.XLOOKUP($D1198,'Chart of Accounts'!$A:$A,'Chart of Accounts'!C:C,"")</f>
        <v>Expense</v>
      </c>
      <c r="G1198" s="14" t="s">
        <v>417</v>
      </c>
      <c r="H1198" s="16">
        <v>123.757307692308</v>
      </c>
      <c r="I1198" s="16"/>
      <c r="J1198" s="16">
        <v>123.757307692308</v>
      </c>
      <c r="K1198" s="14" t="s">
        <v>225</v>
      </c>
    </row>
    <row r="1199" spans="1:11" ht="15" customHeight="1">
      <c r="A1199" s="13">
        <v>46143</v>
      </c>
      <c r="B1199" s="14" t="s">
        <v>470</v>
      </c>
      <c r="C1199" s="19" t="s">
        <v>14</v>
      </c>
      <c r="D1199" s="14" t="s">
        <v>33</v>
      </c>
      <c r="E1199" s="14" t="str">
        <f>_xlfn.XLOOKUP($D1199,'Chart of Accounts'!$A:$A,'Chart of Accounts'!B:B,"")</f>
        <v>Utilities</v>
      </c>
      <c r="F1199" s="14" t="str">
        <f>_xlfn.XLOOKUP($D1199,'Chart of Accounts'!$A:$A,'Chart of Accounts'!C:C,"")</f>
        <v>Expense</v>
      </c>
      <c r="G1199" s="14" t="s">
        <v>417</v>
      </c>
      <c r="H1199" s="16">
        <v>141.43692307692299</v>
      </c>
      <c r="I1199" s="16"/>
      <c r="J1199" s="16">
        <v>141.43692307692299</v>
      </c>
      <c r="K1199" s="14" t="s">
        <v>225</v>
      </c>
    </row>
    <row r="1200" spans="1:11" ht="15" customHeight="1">
      <c r="A1200" s="13">
        <v>46143</v>
      </c>
      <c r="B1200" s="14" t="s">
        <v>470</v>
      </c>
      <c r="C1200" s="19" t="s">
        <v>16</v>
      </c>
      <c r="D1200" s="14" t="s">
        <v>33</v>
      </c>
      <c r="E1200" s="14" t="str">
        <f>_xlfn.XLOOKUP($D1200,'Chart of Accounts'!$A:$A,'Chart of Accounts'!B:B,"")</f>
        <v>Utilities</v>
      </c>
      <c r="F1200" s="14" t="str">
        <f>_xlfn.XLOOKUP($D1200,'Chart of Accounts'!$A:$A,'Chart of Accounts'!C:C,"")</f>
        <v>Expense</v>
      </c>
      <c r="G1200" s="14" t="s">
        <v>417</v>
      </c>
      <c r="H1200" s="16">
        <v>70.718461538461497</v>
      </c>
      <c r="I1200" s="16"/>
      <c r="J1200" s="16">
        <v>70.718461538461497</v>
      </c>
      <c r="K1200" s="14" t="s">
        <v>225</v>
      </c>
    </row>
    <row r="1201" spans="1:11" ht="15" customHeight="1">
      <c r="A1201" s="13">
        <v>46143</v>
      </c>
      <c r="B1201" s="14" t="s">
        <v>470</v>
      </c>
      <c r="C1201" s="19" t="s">
        <v>18</v>
      </c>
      <c r="D1201" s="14" t="s">
        <v>33</v>
      </c>
      <c r="E1201" s="14" t="str">
        <f>_xlfn.XLOOKUP($D1201,'Chart of Accounts'!$A:$A,'Chart of Accounts'!B:B,"")</f>
        <v>Utilities</v>
      </c>
      <c r="F1201" s="14" t="str">
        <f>_xlfn.XLOOKUP($D1201,'Chart of Accounts'!$A:$A,'Chart of Accounts'!C:C,"")</f>
        <v>Expense</v>
      </c>
      <c r="G1201" s="14" t="s">
        <v>417</v>
      </c>
      <c r="H1201" s="16">
        <v>141.43692307692299</v>
      </c>
      <c r="I1201" s="16"/>
      <c r="J1201" s="16">
        <v>141.43692307692299</v>
      </c>
      <c r="K1201" s="14" t="s">
        <v>225</v>
      </c>
    </row>
    <row r="1202" spans="1:11" ht="15" customHeight="1">
      <c r="A1202" s="13">
        <v>46143</v>
      </c>
      <c r="B1202" s="14" t="s">
        <v>470</v>
      </c>
      <c r="C1202" s="19" t="s">
        <v>20</v>
      </c>
      <c r="D1202" s="14" t="s">
        <v>33</v>
      </c>
      <c r="E1202" s="14" t="str">
        <f>_xlfn.XLOOKUP($D1202,'Chart of Accounts'!$A:$A,'Chart of Accounts'!B:B,"")</f>
        <v>Utilities</v>
      </c>
      <c r="F1202" s="14" t="str">
        <f>_xlfn.XLOOKUP($D1202,'Chart of Accounts'!$A:$A,'Chart of Accounts'!C:C,"")</f>
        <v>Expense</v>
      </c>
      <c r="G1202" s="14" t="s">
        <v>417</v>
      </c>
      <c r="H1202" s="16">
        <v>176.796153846154</v>
      </c>
      <c r="I1202" s="16"/>
      <c r="J1202" s="16">
        <v>176.796153846154</v>
      </c>
      <c r="K1202" s="14" t="s">
        <v>225</v>
      </c>
    </row>
    <row r="1203" spans="1:11" ht="15" customHeight="1">
      <c r="A1203" s="13">
        <v>45962</v>
      </c>
      <c r="B1203" s="14" t="s">
        <v>493</v>
      </c>
      <c r="C1203" s="19" t="s">
        <v>10</v>
      </c>
      <c r="D1203" s="14" t="s">
        <v>117</v>
      </c>
      <c r="E1203" s="14" t="str">
        <f>_xlfn.XLOOKUP($D1203,'Chart of Accounts'!$A:$A,'Chart of Accounts'!B:B,"")</f>
        <v>Insurance</v>
      </c>
      <c r="F1203" s="14" t="str">
        <f>_xlfn.XLOOKUP($D1203,'Chart of Accounts'!$A:$A,'Chart of Accounts'!C:C,"")</f>
        <v>Expense</v>
      </c>
      <c r="G1203" s="14" t="s">
        <v>479</v>
      </c>
      <c r="H1203" s="16">
        <v>563.47</v>
      </c>
      <c r="I1203" s="16"/>
      <c r="J1203" s="16">
        <v>563.47</v>
      </c>
      <c r="K1203" s="14" t="s">
        <v>225</v>
      </c>
    </row>
    <row r="1204" spans="1:11" ht="15" customHeight="1">
      <c r="A1204" s="13">
        <v>46143</v>
      </c>
      <c r="B1204" s="14" t="s">
        <v>508</v>
      </c>
      <c r="C1204" s="14"/>
      <c r="D1204" s="14" t="s">
        <v>63</v>
      </c>
      <c r="E1204" s="14" t="str">
        <f>_xlfn.XLOOKUP($D1204,'Chart of Accounts'!$A:$A,'Chart of Accounts'!B:B,"")</f>
        <v>Accounts Payable</v>
      </c>
      <c r="F1204" s="14" t="str">
        <f>_xlfn.XLOOKUP($D1204,'Chart of Accounts'!$A:$A,'Chart of Accounts'!C:C,"")</f>
        <v>Liability</v>
      </c>
      <c r="G1204" s="14" t="s">
        <v>509</v>
      </c>
      <c r="H1204" s="16"/>
      <c r="I1204" s="16">
        <v>9800</v>
      </c>
      <c r="J1204" s="16">
        <v>-9800</v>
      </c>
      <c r="K1204" s="14" t="s">
        <v>225</v>
      </c>
    </row>
    <row r="1205" spans="1:11" ht="15" customHeight="1">
      <c r="A1205" s="13">
        <v>46131</v>
      </c>
      <c r="B1205" s="14" t="s">
        <v>520</v>
      </c>
      <c r="C1205" s="19" t="s">
        <v>46</v>
      </c>
      <c r="D1205" s="14" t="s">
        <v>94</v>
      </c>
      <c r="E1205" s="14" t="str">
        <f>_xlfn.XLOOKUP($D1205,'Chart of Accounts'!$A:$A,'Chart of Accounts'!B:B,"")</f>
        <v>Other Revenue</v>
      </c>
      <c r="F1205" s="14" t="str">
        <f>_xlfn.XLOOKUP($D1205,'Chart of Accounts'!$A:$A,'Chart of Accounts'!C:C,"")</f>
        <v>Revenue</v>
      </c>
      <c r="G1205" s="14" t="s">
        <v>511</v>
      </c>
      <c r="H1205" s="16"/>
      <c r="I1205" s="16">
        <v>1874.86</v>
      </c>
      <c r="J1205" s="16">
        <v>-1874.86</v>
      </c>
      <c r="K1205" s="14" t="s">
        <v>225</v>
      </c>
    </row>
    <row r="1206" spans="1:11" ht="15" customHeight="1">
      <c r="A1206" s="13">
        <v>46131</v>
      </c>
      <c r="B1206" s="14" t="s">
        <v>520</v>
      </c>
      <c r="C1206" s="14"/>
      <c r="D1206" s="14" t="s">
        <v>40</v>
      </c>
      <c r="E1206" s="14" t="str">
        <f>_xlfn.XLOOKUP($D1206,'Chart of Accounts'!$A:$A,'Chart of Accounts'!B:B,"")</f>
        <v>Cash - Operating</v>
      </c>
      <c r="F1206" s="14" t="str">
        <f>_xlfn.XLOOKUP($D1206,'Chart of Accounts'!$A:$A,'Chart of Accounts'!C:C,"")</f>
        <v>Asset</v>
      </c>
      <c r="G1206" s="14" t="s">
        <v>511</v>
      </c>
      <c r="H1206" s="16">
        <v>1874.86</v>
      </c>
      <c r="I1206" s="16"/>
      <c r="J1206" s="16">
        <v>1874.86</v>
      </c>
      <c r="K1206" s="14" t="s">
        <v>225</v>
      </c>
    </row>
    <row r="1207" spans="1:11" ht="15" customHeight="1">
      <c r="A1207" s="13">
        <v>46142</v>
      </c>
      <c r="B1207" s="14" t="s">
        <v>521</v>
      </c>
      <c r="C1207" s="14"/>
      <c r="D1207" s="14" t="s">
        <v>75</v>
      </c>
      <c r="E1207" s="14" t="str">
        <f>_xlfn.XLOOKUP($D1207,'Chart of Accounts'!$A:$A,'Chart of Accounts'!B:B,"")</f>
        <v>Notes Payable - Long Term</v>
      </c>
      <c r="F1207" s="14" t="str">
        <f>_xlfn.XLOOKUP($D1207,'Chart of Accounts'!$A:$A,'Chart of Accounts'!C:C,"")</f>
        <v>Liability</v>
      </c>
      <c r="G1207" s="14" t="s">
        <v>491</v>
      </c>
      <c r="H1207" s="16">
        <v>1180</v>
      </c>
      <c r="I1207" s="16"/>
      <c r="J1207" s="16">
        <v>1180</v>
      </c>
      <c r="K1207" s="14" t="s">
        <v>225</v>
      </c>
    </row>
    <row r="1208" spans="1:11" ht="15" customHeight="1">
      <c r="A1208" s="13">
        <v>46142</v>
      </c>
      <c r="B1208" s="14" t="s">
        <v>521</v>
      </c>
      <c r="C1208" s="14"/>
      <c r="D1208" s="14" t="s">
        <v>40</v>
      </c>
      <c r="E1208" s="14" t="str">
        <f>_xlfn.XLOOKUP($D1208,'Chart of Accounts'!$A:$A,'Chart of Accounts'!B:B,"")</f>
        <v>Cash - Operating</v>
      </c>
      <c r="F1208" s="14" t="str">
        <f>_xlfn.XLOOKUP($D1208,'Chart of Accounts'!$A:$A,'Chart of Accounts'!C:C,"")</f>
        <v>Asset</v>
      </c>
      <c r="G1208" s="14" t="s">
        <v>491</v>
      </c>
      <c r="H1208" s="16"/>
      <c r="I1208" s="16">
        <v>1569.58</v>
      </c>
      <c r="J1208" s="16">
        <v>-1569.58</v>
      </c>
      <c r="K1208" s="14" t="s">
        <v>225</v>
      </c>
    </row>
    <row r="1209" spans="1:11" ht="15" customHeight="1">
      <c r="A1209" s="13">
        <v>46142</v>
      </c>
      <c r="B1209" s="14" t="s">
        <v>522</v>
      </c>
      <c r="C1209" s="17" t="s">
        <v>10</v>
      </c>
      <c r="D1209" s="14" t="s">
        <v>105</v>
      </c>
      <c r="E1209" s="14" t="str">
        <f>_xlfn.XLOOKUP($D1209,'Chart of Accounts'!$A:$A,'Chart of Accounts'!B:B,"")</f>
        <v>Office Supplies</v>
      </c>
      <c r="F1209" s="14" t="str">
        <f>_xlfn.XLOOKUP($D1209,'Chart of Accounts'!$A:$A,'Chart of Accounts'!C:C,"")</f>
        <v>Expense</v>
      </c>
      <c r="G1209" s="14" t="s">
        <v>421</v>
      </c>
      <c r="H1209" s="16">
        <v>1121.32</v>
      </c>
      <c r="I1209" s="16"/>
      <c r="J1209" s="16">
        <v>1121.32</v>
      </c>
      <c r="K1209" s="14" t="s">
        <v>225</v>
      </c>
    </row>
    <row r="1210" spans="1:11" ht="15" customHeight="1">
      <c r="A1210" s="13">
        <v>45992</v>
      </c>
      <c r="B1210" s="14" t="s">
        <v>523</v>
      </c>
      <c r="C1210" s="19" t="s">
        <v>46</v>
      </c>
      <c r="D1210" s="15" t="s">
        <v>53</v>
      </c>
      <c r="E1210" s="14" t="str">
        <f>_xlfn.XLOOKUP($D1210,'Chart of Accounts'!$A:$A,'Chart of Accounts'!B:B,"")</f>
        <v>Prepaid Expenses</v>
      </c>
      <c r="F1210" s="14" t="str">
        <f>_xlfn.XLOOKUP($D1210,'Chart of Accounts'!$A:$A,'Chart of Accounts'!C:C,"")</f>
        <v>Asset</v>
      </c>
      <c r="G1210" s="14" t="s">
        <v>479</v>
      </c>
      <c r="H1210" s="16"/>
      <c r="I1210" s="16">
        <v>2700.01</v>
      </c>
      <c r="J1210" s="16">
        <v>-2700</v>
      </c>
      <c r="K1210" s="14" t="s">
        <v>225</v>
      </c>
    </row>
    <row r="1211" spans="1:11" ht="15" customHeight="1">
      <c r="A1211" s="13">
        <v>45992</v>
      </c>
      <c r="B1211" s="14" t="s">
        <v>523</v>
      </c>
      <c r="C1211" s="19" t="s">
        <v>12</v>
      </c>
      <c r="D1211" s="14" t="s">
        <v>117</v>
      </c>
      <c r="E1211" s="14" t="str">
        <f>_xlfn.XLOOKUP($D1211,'Chart of Accounts'!$A:$A,'Chart of Accounts'!B:B,"")</f>
        <v>Insurance</v>
      </c>
      <c r="F1211" s="14" t="str">
        <f>_xlfn.XLOOKUP($D1211,'Chart of Accounts'!$A:$A,'Chart of Accounts'!C:C,"")</f>
        <v>Expense</v>
      </c>
      <c r="G1211" s="14" t="s">
        <v>479</v>
      </c>
      <c r="H1211" s="16">
        <v>111.04</v>
      </c>
      <c r="I1211" s="16"/>
      <c r="J1211" s="16">
        <v>111.04</v>
      </c>
      <c r="K1211" s="14" t="s">
        <v>225</v>
      </c>
    </row>
    <row r="1212" spans="1:11" ht="15" customHeight="1">
      <c r="A1212" s="13">
        <v>46142</v>
      </c>
      <c r="B1212" s="14" t="s">
        <v>494</v>
      </c>
      <c r="C1212" s="14"/>
      <c r="D1212" s="14" t="s">
        <v>58</v>
      </c>
      <c r="E1212" s="14" t="str">
        <f>_xlfn.XLOOKUP($D1212,'Chart of Accounts'!$A:$A,'Chart of Accounts'!B:B,"")</f>
        <v>Accumulated Depreciation</v>
      </c>
      <c r="F1212" s="14" t="str">
        <f>_xlfn.XLOOKUP($D1212,'Chart of Accounts'!$A:$A,'Chart of Accounts'!C:C,"")</f>
        <v>Asset</v>
      </c>
      <c r="G1212" s="14" t="s">
        <v>495</v>
      </c>
      <c r="H1212" s="16"/>
      <c r="I1212" s="16">
        <v>2450</v>
      </c>
      <c r="J1212" s="16">
        <v>-2450</v>
      </c>
      <c r="K1212" s="14" t="s">
        <v>225</v>
      </c>
    </row>
    <row r="1213" spans="1:11" ht="15" customHeight="1">
      <c r="A1213" s="13">
        <v>46142</v>
      </c>
      <c r="B1213" s="14" t="s">
        <v>524</v>
      </c>
      <c r="C1213" s="19" t="s">
        <v>46</v>
      </c>
      <c r="D1213" s="14" t="s">
        <v>92</v>
      </c>
      <c r="E1213" s="14" t="str">
        <f>_xlfn.XLOOKUP($D1213,'Chart of Accounts'!$A:$A,'Chart of Accounts'!B:B,"")</f>
        <v>Interest Income</v>
      </c>
      <c r="F1213" s="14" t="str">
        <f>_xlfn.XLOOKUP($D1213,'Chart of Accounts'!$A:$A,'Chart of Accounts'!C:C,"")</f>
        <v>Revenue</v>
      </c>
      <c r="G1213" s="14" t="s">
        <v>497</v>
      </c>
      <c r="H1213" s="16"/>
      <c r="I1213" s="16">
        <v>840</v>
      </c>
      <c r="J1213" s="16">
        <v>-840</v>
      </c>
      <c r="K1213" s="14" t="s">
        <v>225</v>
      </c>
    </row>
    <row r="1214" spans="1:11" ht="15" customHeight="1">
      <c r="A1214" s="13">
        <v>46142</v>
      </c>
      <c r="B1214" s="14" t="s">
        <v>524</v>
      </c>
      <c r="C1214" s="14"/>
      <c r="D1214" s="14" t="s">
        <v>46</v>
      </c>
      <c r="E1214" s="14" t="str">
        <f>_xlfn.XLOOKUP($D1214,'Chart of Accounts'!$A:$A,'Chart of Accounts'!B:B,"")</f>
        <v>Cash - Money Market/Reserve</v>
      </c>
      <c r="F1214" s="14" t="str">
        <f>_xlfn.XLOOKUP($D1214,'Chart of Accounts'!$A:$A,'Chart of Accounts'!C:C,"")</f>
        <v>Asset</v>
      </c>
      <c r="G1214" s="14" t="s">
        <v>497</v>
      </c>
      <c r="H1214" s="16">
        <v>840</v>
      </c>
      <c r="I1214" s="16"/>
      <c r="J1214" s="16">
        <v>840</v>
      </c>
      <c r="K1214" s="14" t="s">
        <v>225</v>
      </c>
    </row>
    <row r="1215" spans="1:11" ht="15" customHeight="1">
      <c r="A1215" s="13">
        <v>46120</v>
      </c>
      <c r="B1215" s="14" t="s">
        <v>355</v>
      </c>
      <c r="C1215" s="14"/>
      <c r="D1215" s="14" t="s">
        <v>48</v>
      </c>
      <c r="E1215" s="14" t="str">
        <f>_xlfn.XLOOKUP($D1215,'Chart of Accounts'!$A:$A,'Chart of Accounts'!B:B,"")</f>
        <v>Accounts Receivable - Trade</v>
      </c>
      <c r="F1215" s="14" t="str">
        <f>_xlfn.XLOOKUP($D1215,'Chart of Accounts'!$A:$A,'Chart of Accounts'!C:C,"")</f>
        <v>Asset</v>
      </c>
      <c r="G1215" s="14" t="s">
        <v>525</v>
      </c>
      <c r="H1215" s="16">
        <v>97018.32</v>
      </c>
      <c r="I1215" s="16"/>
      <c r="J1215" s="16">
        <v>97018.32</v>
      </c>
      <c r="K1215" s="14" t="s">
        <v>225</v>
      </c>
    </row>
    <row r="1216" spans="1:11" ht="15" customHeight="1">
      <c r="A1216" s="13">
        <v>46142</v>
      </c>
      <c r="B1216" s="14" t="s">
        <v>355</v>
      </c>
      <c r="C1216" s="14"/>
      <c r="D1216" s="14" t="s">
        <v>51</v>
      </c>
      <c r="E1216" s="14" t="str">
        <f>_xlfn.XLOOKUP($D1216,'Chart of Accounts'!$A:$A,'Chart of Accounts'!B:B,"")</f>
        <v>Grants Receivable</v>
      </c>
      <c r="F1216" s="14" t="str">
        <f>_xlfn.XLOOKUP($D1216,'Chart of Accounts'!$A:$A,'Chart of Accounts'!C:C,"")</f>
        <v>Asset</v>
      </c>
      <c r="G1216" s="14" t="s">
        <v>498</v>
      </c>
      <c r="H1216" s="16">
        <v>59789.29</v>
      </c>
      <c r="I1216" s="16"/>
      <c r="J1216" s="16">
        <v>59789.29</v>
      </c>
      <c r="K1216" s="14" t="s">
        <v>225</v>
      </c>
    </row>
    <row r="1217" spans="1:11" ht="15" customHeight="1">
      <c r="A1217" s="13">
        <v>46130</v>
      </c>
      <c r="B1217" s="14" t="s">
        <v>526</v>
      </c>
      <c r="C1217" s="14"/>
      <c r="D1217" s="14" t="s">
        <v>40</v>
      </c>
      <c r="E1217" s="14" t="str">
        <f>_xlfn.XLOOKUP($D1217,'Chart of Accounts'!$A:$A,'Chart of Accounts'!B:B,"")</f>
        <v>Cash - Operating</v>
      </c>
      <c r="F1217" s="14" t="str">
        <f>_xlfn.XLOOKUP($D1217,'Chart of Accounts'!$A:$A,'Chart of Accounts'!C:C,"")</f>
        <v>Asset</v>
      </c>
      <c r="G1217" s="14" t="s">
        <v>500</v>
      </c>
      <c r="H1217" s="16">
        <v>56934.3</v>
      </c>
      <c r="I1217" s="16"/>
      <c r="J1217" s="16">
        <v>56934.3</v>
      </c>
      <c r="K1217" s="14" t="s">
        <v>225</v>
      </c>
    </row>
    <row r="1218" spans="1:11" ht="15" customHeight="1">
      <c r="A1218" s="13">
        <v>46130</v>
      </c>
      <c r="B1218" s="14" t="s">
        <v>526</v>
      </c>
      <c r="C1218" s="14"/>
      <c r="D1218" s="14" t="s">
        <v>51</v>
      </c>
      <c r="E1218" s="14" t="str">
        <f>_xlfn.XLOOKUP($D1218,'Chart of Accounts'!$A:$A,'Chart of Accounts'!B:B,"")</f>
        <v>Grants Receivable</v>
      </c>
      <c r="F1218" s="14" t="str">
        <f>_xlfn.XLOOKUP($D1218,'Chart of Accounts'!$A:$A,'Chart of Accounts'!C:C,"")</f>
        <v>Asset</v>
      </c>
      <c r="G1218" s="14" t="s">
        <v>500</v>
      </c>
      <c r="H1218" s="16"/>
      <c r="I1218" s="16">
        <v>56934.3</v>
      </c>
      <c r="J1218" s="16">
        <v>-56934.3</v>
      </c>
      <c r="K1218" s="14" t="s">
        <v>225</v>
      </c>
    </row>
    <row r="1219" spans="1:11" ht="15" customHeight="1">
      <c r="A1219" s="13">
        <v>46124</v>
      </c>
      <c r="B1219" s="14" t="s">
        <v>355</v>
      </c>
      <c r="C1219" s="14"/>
      <c r="D1219" s="14" t="s">
        <v>40</v>
      </c>
      <c r="E1219" s="14" t="str">
        <f>_xlfn.XLOOKUP($D1219,'Chart of Accounts'!$A:$A,'Chart of Accounts'!B:B,"")</f>
        <v>Cash - Operating</v>
      </c>
      <c r="F1219" s="14" t="str">
        <f>_xlfn.XLOOKUP($D1219,'Chart of Accounts'!$A:$A,'Chart of Accounts'!C:C,"")</f>
        <v>Asset</v>
      </c>
      <c r="G1219" s="14" t="s">
        <v>501</v>
      </c>
      <c r="H1219" s="16">
        <v>154298.14000000001</v>
      </c>
      <c r="I1219" s="16"/>
      <c r="J1219" s="16">
        <v>154298.14000000001</v>
      </c>
      <c r="K1219" s="14" t="s">
        <v>225</v>
      </c>
    </row>
    <row r="1220" spans="1:11" ht="15" customHeight="1">
      <c r="A1220" s="13">
        <v>45992</v>
      </c>
      <c r="B1220" s="14" t="s">
        <v>523</v>
      </c>
      <c r="C1220" s="19" t="s">
        <v>14</v>
      </c>
      <c r="D1220" s="14" t="s">
        <v>117</v>
      </c>
      <c r="E1220" s="14" t="str">
        <f>_xlfn.XLOOKUP($D1220,'Chart of Accounts'!$A:$A,'Chart of Accounts'!B:B,"")</f>
        <v>Insurance</v>
      </c>
      <c r="F1220" s="14" t="str">
        <f>_xlfn.XLOOKUP($D1220,'Chart of Accounts'!$A:$A,'Chart of Accounts'!C:C,"")</f>
        <v>Expense</v>
      </c>
      <c r="G1220" s="14" t="s">
        <v>479</v>
      </c>
      <c r="H1220" s="16">
        <v>126.93</v>
      </c>
      <c r="I1220" s="16"/>
      <c r="J1220" s="16">
        <v>126.93</v>
      </c>
      <c r="K1220" s="14" t="s">
        <v>225</v>
      </c>
    </row>
    <row r="1221" spans="1:11" ht="15" customHeight="1">
      <c r="A1221" s="13">
        <v>46132</v>
      </c>
      <c r="B1221" s="14" t="s">
        <v>469</v>
      </c>
      <c r="C1221" s="14"/>
      <c r="D1221" s="14" t="s">
        <v>40</v>
      </c>
      <c r="E1221" s="14" t="str">
        <f>_xlfn.XLOOKUP($D1221,'Chart of Accounts'!$A:$A,'Chart of Accounts'!B:B,"")</f>
        <v>Cash - Operating</v>
      </c>
      <c r="F1221" s="14" t="str">
        <f>_xlfn.XLOOKUP($D1221,'Chart of Accounts'!$A:$A,'Chart of Accounts'!C:C,"")</f>
        <v>Asset</v>
      </c>
      <c r="G1221" s="14" t="s">
        <v>423</v>
      </c>
      <c r="H1221" s="16"/>
      <c r="I1221" s="16">
        <v>17616.2</v>
      </c>
      <c r="J1221" s="16">
        <v>-17616.2</v>
      </c>
      <c r="K1221" s="14" t="s">
        <v>225</v>
      </c>
    </row>
    <row r="1222" spans="1:11" ht="15" customHeight="1">
      <c r="A1222" s="13">
        <v>46142</v>
      </c>
      <c r="B1222" s="14" t="s">
        <v>527</v>
      </c>
      <c r="C1222" s="19" t="s">
        <v>46</v>
      </c>
      <c r="D1222" s="14" t="s">
        <v>121</v>
      </c>
      <c r="E1222" s="14" t="str">
        <f>_xlfn.XLOOKUP($D1222,'Chart of Accounts'!$A:$A,'Chart of Accounts'!B:B,"")</f>
        <v>Bank Fees</v>
      </c>
      <c r="F1222" s="14" t="str">
        <f>_xlfn.XLOOKUP($D1222,'Chart of Accounts'!$A:$A,'Chart of Accounts'!C:C,"")</f>
        <v>Expense</v>
      </c>
      <c r="G1222" s="14" t="s">
        <v>503</v>
      </c>
      <c r="H1222" s="16">
        <v>79.44</v>
      </c>
      <c r="I1222" s="16"/>
      <c r="J1222" s="16">
        <v>79.44</v>
      </c>
      <c r="K1222" s="14" t="s">
        <v>225</v>
      </c>
    </row>
    <row r="1223" spans="1:11" ht="15" customHeight="1">
      <c r="A1223" s="13">
        <v>46142</v>
      </c>
      <c r="B1223" s="14" t="s">
        <v>527</v>
      </c>
      <c r="C1223" s="14"/>
      <c r="D1223" s="14" t="s">
        <v>40</v>
      </c>
      <c r="E1223" s="14" t="str">
        <f>_xlfn.XLOOKUP($D1223,'Chart of Accounts'!$A:$A,'Chart of Accounts'!B:B,"")</f>
        <v>Cash - Operating</v>
      </c>
      <c r="F1223" s="14" t="str">
        <f>_xlfn.XLOOKUP($D1223,'Chart of Accounts'!$A:$A,'Chart of Accounts'!C:C,"")</f>
        <v>Asset</v>
      </c>
      <c r="G1223" s="14" t="s">
        <v>503</v>
      </c>
      <c r="H1223" s="16"/>
      <c r="I1223" s="16">
        <v>79.44</v>
      </c>
      <c r="J1223" s="16">
        <v>-79.44</v>
      </c>
      <c r="K1223" s="14" t="s">
        <v>225</v>
      </c>
    </row>
    <row r="1224" spans="1:11" ht="15" customHeight="1">
      <c r="A1224" s="13">
        <v>46131</v>
      </c>
      <c r="B1224" s="14" t="s">
        <v>468</v>
      </c>
      <c r="C1224" s="19" t="s">
        <v>14</v>
      </c>
      <c r="D1224" s="14" t="s">
        <v>101</v>
      </c>
      <c r="E1224" s="14" t="str">
        <f>_xlfn.XLOOKUP($D1224,'Chart of Accounts'!$A:$A,'Chart of Accounts'!B:B,"")</f>
        <v>Contract Labor / Consultants</v>
      </c>
      <c r="F1224" s="14" t="str">
        <f>_xlfn.XLOOKUP($D1224,'Chart of Accounts'!$A:$A,'Chart of Accounts'!C:C,"")</f>
        <v>Expense</v>
      </c>
      <c r="G1224" s="14" t="s">
        <v>439</v>
      </c>
      <c r="H1224" s="16">
        <v>11059.79</v>
      </c>
      <c r="I1224" s="16"/>
      <c r="J1224" s="16">
        <v>11059.79</v>
      </c>
      <c r="K1224" s="14" t="s">
        <v>225</v>
      </c>
    </row>
    <row r="1225" spans="1:11" ht="15" customHeight="1">
      <c r="A1225" s="13">
        <v>45992</v>
      </c>
      <c r="B1225" s="14" t="s">
        <v>523</v>
      </c>
      <c r="C1225" s="19" t="s">
        <v>16</v>
      </c>
      <c r="D1225" s="14" t="s">
        <v>117</v>
      </c>
      <c r="E1225" s="14" t="str">
        <f>_xlfn.XLOOKUP($D1225,'Chart of Accounts'!$A:$A,'Chart of Accounts'!B:B,"")</f>
        <v>Insurance</v>
      </c>
      <c r="F1225" s="14" t="str">
        <f>_xlfn.XLOOKUP($D1225,'Chart of Accounts'!$A:$A,'Chart of Accounts'!C:C,"")</f>
        <v>Expense</v>
      </c>
      <c r="G1225" s="14" t="s">
        <v>479</v>
      </c>
      <c r="H1225" s="16">
        <v>95.19</v>
      </c>
      <c r="I1225" s="16"/>
      <c r="J1225" s="16">
        <v>95.19</v>
      </c>
      <c r="K1225" s="14" t="s">
        <v>225</v>
      </c>
    </row>
    <row r="1226" spans="1:11" ht="15" customHeight="1">
      <c r="A1226" s="13">
        <v>46132</v>
      </c>
      <c r="B1226" s="14" t="s">
        <v>528</v>
      </c>
      <c r="C1226" s="19" t="s">
        <v>16</v>
      </c>
      <c r="D1226" s="14" t="s">
        <v>111</v>
      </c>
      <c r="E1226" s="14" t="str">
        <f>_xlfn.XLOOKUP($D1226,'Chart of Accounts'!$A:$A,'Chart of Accounts'!B:B,"")</f>
        <v>Meals and Entertainment</v>
      </c>
      <c r="F1226" s="14" t="str">
        <f>_xlfn.XLOOKUP($D1226,'Chart of Accounts'!$A:$A,'Chart of Accounts'!C:C,"")</f>
        <v>Expense</v>
      </c>
      <c r="G1226" s="14" t="s">
        <v>505</v>
      </c>
      <c r="H1226" s="16">
        <v>418.88</v>
      </c>
      <c r="I1226" s="16"/>
      <c r="J1226" s="16">
        <v>418.88</v>
      </c>
      <c r="K1226" s="14" t="s">
        <v>225</v>
      </c>
    </row>
    <row r="1227" spans="1:11" ht="15" customHeight="1">
      <c r="A1227" s="13">
        <v>46132</v>
      </c>
      <c r="B1227" s="14" t="s">
        <v>528</v>
      </c>
      <c r="C1227" s="14"/>
      <c r="D1227" s="14" t="s">
        <v>40</v>
      </c>
      <c r="E1227" s="14" t="str">
        <f>_xlfn.XLOOKUP($D1227,'Chart of Accounts'!$A:$A,'Chart of Accounts'!B:B,"")</f>
        <v>Cash - Operating</v>
      </c>
      <c r="F1227" s="14" t="str">
        <f>_xlfn.XLOOKUP($D1227,'Chart of Accounts'!$A:$A,'Chart of Accounts'!C:C,"")</f>
        <v>Asset</v>
      </c>
      <c r="G1227" s="14" t="s">
        <v>505</v>
      </c>
      <c r="H1227" s="16"/>
      <c r="I1227" s="16">
        <v>418.88</v>
      </c>
      <c r="J1227" s="16">
        <v>-418.88</v>
      </c>
      <c r="K1227" s="14" t="s">
        <v>225</v>
      </c>
    </row>
    <row r="1228" spans="1:11" ht="15" customHeight="1">
      <c r="A1228" s="13">
        <v>46131</v>
      </c>
      <c r="B1228" s="14" t="s">
        <v>529</v>
      </c>
      <c r="C1228" s="19" t="s">
        <v>18</v>
      </c>
      <c r="D1228" s="14" t="s">
        <v>109</v>
      </c>
      <c r="E1228" s="14" t="str">
        <f>_xlfn.XLOOKUP($D1228,'Chart of Accounts'!$A:$A,'Chart of Accounts'!B:B,"")</f>
        <v>Travel</v>
      </c>
      <c r="F1228" s="14" t="str">
        <f>_xlfn.XLOOKUP($D1228,'Chart of Accounts'!$A:$A,'Chart of Accounts'!C:C,"")</f>
        <v>Expense</v>
      </c>
      <c r="G1228" s="14" t="s">
        <v>518</v>
      </c>
      <c r="H1228" s="16">
        <v>3989.75</v>
      </c>
      <c r="I1228" s="16"/>
      <c r="J1228" s="16">
        <v>3989.75</v>
      </c>
      <c r="K1228" s="14" t="s">
        <v>225</v>
      </c>
    </row>
    <row r="1229" spans="1:11" ht="15" customHeight="1">
      <c r="A1229" s="13">
        <v>46131</v>
      </c>
      <c r="B1229" s="14" t="s">
        <v>529</v>
      </c>
      <c r="C1229" s="14"/>
      <c r="D1229" s="14" t="s">
        <v>40</v>
      </c>
      <c r="E1229" s="14" t="str">
        <f>_xlfn.XLOOKUP($D1229,'Chart of Accounts'!$A:$A,'Chart of Accounts'!B:B,"")</f>
        <v>Cash - Operating</v>
      </c>
      <c r="F1229" s="14" t="str">
        <f>_xlfn.XLOOKUP($D1229,'Chart of Accounts'!$A:$A,'Chart of Accounts'!C:C,"")</f>
        <v>Asset</v>
      </c>
      <c r="G1229" s="14" t="s">
        <v>518</v>
      </c>
      <c r="H1229" s="16"/>
      <c r="I1229" s="16">
        <v>3989.75</v>
      </c>
      <c r="J1229" s="16">
        <v>-3989.75</v>
      </c>
      <c r="K1229" s="14" t="s">
        <v>225</v>
      </c>
    </row>
    <row r="1230" spans="1:11" ht="15" customHeight="1">
      <c r="A1230" s="13">
        <v>46120</v>
      </c>
      <c r="B1230" s="14" t="s">
        <v>467</v>
      </c>
      <c r="C1230" s="17" t="s">
        <v>8</v>
      </c>
      <c r="D1230" s="14" t="s">
        <v>105</v>
      </c>
      <c r="E1230" s="14" t="str">
        <f>_xlfn.XLOOKUP($D1230,'Chart of Accounts'!$A:$A,'Chart of Accounts'!B:B,"")</f>
        <v>Office Supplies</v>
      </c>
      <c r="F1230" s="14" t="str">
        <f>_xlfn.XLOOKUP($D1230,'Chart of Accounts'!$A:$A,'Chart of Accounts'!C:C,"")</f>
        <v>Expense</v>
      </c>
      <c r="G1230" s="14" t="s">
        <v>421</v>
      </c>
      <c r="H1230" s="16">
        <v>699.91</v>
      </c>
      <c r="I1230" s="16"/>
      <c r="J1230" s="16">
        <v>699.91</v>
      </c>
      <c r="K1230" s="14" t="s">
        <v>225</v>
      </c>
    </row>
    <row r="1231" spans="1:11" ht="15" customHeight="1">
      <c r="A1231" s="13">
        <v>45992</v>
      </c>
      <c r="B1231" s="14" t="s">
        <v>523</v>
      </c>
      <c r="C1231" s="19" t="s">
        <v>18</v>
      </c>
      <c r="D1231" s="14" t="s">
        <v>117</v>
      </c>
      <c r="E1231" s="14" t="str">
        <f>_xlfn.XLOOKUP($D1231,'Chart of Accounts'!$A:$A,'Chart of Accounts'!B:B,"")</f>
        <v>Insurance</v>
      </c>
      <c r="F1231" s="14" t="str">
        <f>_xlfn.XLOOKUP($D1231,'Chart of Accounts'!$A:$A,'Chart of Accounts'!C:C,"")</f>
        <v>Expense</v>
      </c>
      <c r="G1231" s="14" t="s">
        <v>479</v>
      </c>
      <c r="H1231" s="16">
        <v>126.92</v>
      </c>
      <c r="I1231" s="16"/>
      <c r="J1231" s="16">
        <v>126.92</v>
      </c>
      <c r="K1231" s="14" t="s">
        <v>225</v>
      </c>
    </row>
    <row r="1232" spans="1:11" ht="15" customHeight="1">
      <c r="A1232" s="13">
        <v>45992</v>
      </c>
      <c r="B1232" s="14" t="s">
        <v>523</v>
      </c>
      <c r="C1232" s="19" t="s">
        <v>20</v>
      </c>
      <c r="D1232" s="14" t="s">
        <v>117</v>
      </c>
      <c r="E1232" s="14" t="str">
        <f>_xlfn.XLOOKUP($D1232,'Chart of Accounts'!$A:$A,'Chart of Accounts'!B:B,"")</f>
        <v>Insurance</v>
      </c>
      <c r="F1232" s="14" t="str">
        <f>_xlfn.XLOOKUP($D1232,'Chart of Accounts'!$A:$A,'Chart of Accounts'!C:C,"")</f>
        <v>Expense</v>
      </c>
      <c r="G1232" s="14" t="s">
        <v>479</v>
      </c>
      <c r="H1232" s="16">
        <v>126.92</v>
      </c>
      <c r="I1232" s="16"/>
      <c r="J1232" s="16">
        <v>126.92</v>
      </c>
      <c r="K1232" s="14" t="s">
        <v>225</v>
      </c>
    </row>
    <row r="1233" spans="1:11" ht="15" customHeight="1">
      <c r="A1233" s="13">
        <v>45992</v>
      </c>
      <c r="B1233" s="14" t="s">
        <v>523</v>
      </c>
      <c r="C1233" s="19" t="s">
        <v>4</v>
      </c>
      <c r="D1233" s="14" t="s">
        <v>117</v>
      </c>
      <c r="E1233" s="14" t="str">
        <f>_xlfn.XLOOKUP($D1233,'Chart of Accounts'!$A:$A,'Chart of Accounts'!B:B,"")</f>
        <v>Insurance</v>
      </c>
      <c r="F1233" s="14" t="str">
        <f>_xlfn.XLOOKUP($D1233,'Chart of Accounts'!$A:$A,'Chart of Accounts'!C:C,"")</f>
        <v>Expense</v>
      </c>
      <c r="G1233" s="14" t="s">
        <v>479</v>
      </c>
      <c r="H1233" s="16">
        <v>422.6</v>
      </c>
      <c r="I1233" s="16"/>
      <c r="J1233" s="16">
        <v>422.6</v>
      </c>
      <c r="K1233" s="14" t="s">
        <v>225</v>
      </c>
    </row>
    <row r="1234" spans="1:11" ht="15" customHeight="1">
      <c r="A1234" s="13">
        <v>46122</v>
      </c>
      <c r="B1234" s="14" t="s">
        <v>466</v>
      </c>
      <c r="C1234" s="14"/>
      <c r="D1234" s="14" t="s">
        <v>40</v>
      </c>
      <c r="E1234" s="14" t="str">
        <f>_xlfn.XLOOKUP($D1234,'Chart of Accounts'!$A:$A,'Chart of Accounts'!B:B,"")</f>
        <v>Cash - Operating</v>
      </c>
      <c r="F1234" s="14" t="str">
        <f>_xlfn.XLOOKUP($D1234,'Chart of Accounts'!$A:$A,'Chart of Accounts'!C:C,"")</f>
        <v>Asset</v>
      </c>
      <c r="G1234" s="14" t="s">
        <v>419</v>
      </c>
      <c r="H1234" s="16"/>
      <c r="I1234" s="16">
        <v>8100</v>
      </c>
      <c r="J1234" s="16">
        <v>-8100</v>
      </c>
      <c r="K1234" s="14" t="s">
        <v>225</v>
      </c>
    </row>
    <row r="1235" spans="1:11" ht="15" customHeight="1">
      <c r="A1235" s="13">
        <v>46115</v>
      </c>
      <c r="B1235" s="14" t="s">
        <v>530</v>
      </c>
      <c r="C1235" s="17" t="s">
        <v>18</v>
      </c>
      <c r="D1235" s="14" t="s">
        <v>107</v>
      </c>
      <c r="E1235" s="14" t="str">
        <f>_xlfn.XLOOKUP($D1235,'Chart of Accounts'!$A:$A,'Chart of Accounts'!B:B,"")</f>
        <v>Software and Subscriptions</v>
      </c>
      <c r="F1235" s="14" t="str">
        <f>_xlfn.XLOOKUP($D1235,'Chart of Accounts'!$A:$A,'Chart of Accounts'!C:C,"")</f>
        <v>Expense</v>
      </c>
      <c r="G1235" s="14" t="s">
        <v>507</v>
      </c>
      <c r="H1235" s="16">
        <v>2422.9899999999998</v>
      </c>
      <c r="I1235" s="16"/>
      <c r="J1235" s="16">
        <v>2422.9899999999998</v>
      </c>
      <c r="K1235" s="14" t="s">
        <v>225</v>
      </c>
    </row>
    <row r="1236" spans="1:11" ht="15" customHeight="1">
      <c r="A1236" s="13">
        <v>46115</v>
      </c>
      <c r="B1236" s="14" t="s">
        <v>530</v>
      </c>
      <c r="C1236" s="14"/>
      <c r="D1236" s="14" t="s">
        <v>40</v>
      </c>
      <c r="E1236" s="14" t="str">
        <f>_xlfn.XLOOKUP($D1236,'Chart of Accounts'!$A:$A,'Chart of Accounts'!B:B,"")</f>
        <v>Cash - Operating</v>
      </c>
      <c r="F1236" s="14" t="str">
        <f>_xlfn.XLOOKUP($D1236,'Chart of Accounts'!$A:$A,'Chart of Accounts'!C:C,"")</f>
        <v>Asset</v>
      </c>
      <c r="G1236" s="14" t="s">
        <v>507</v>
      </c>
      <c r="H1236" s="16"/>
      <c r="I1236" s="16">
        <v>2422.9899999999998</v>
      </c>
      <c r="J1236" s="16">
        <v>-2422.9899999999998</v>
      </c>
      <c r="K1236" s="14" t="s">
        <v>225</v>
      </c>
    </row>
    <row r="1237" spans="1:11" ht="15" customHeight="1">
      <c r="A1237" s="13">
        <v>46113</v>
      </c>
      <c r="B1237" s="14" t="s">
        <v>465</v>
      </c>
      <c r="C1237" s="19" t="s">
        <v>4</v>
      </c>
      <c r="D1237" s="14" t="s">
        <v>33</v>
      </c>
      <c r="E1237" s="14" t="str">
        <f>_xlfn.XLOOKUP($D1237,'Chart of Accounts'!$A:$A,'Chart of Accounts'!B:B,"")</f>
        <v>Utilities</v>
      </c>
      <c r="F1237" s="14" t="str">
        <f>_xlfn.XLOOKUP($D1237,'Chart of Accounts'!$A:$A,'Chart of Accounts'!C:C,"")</f>
        <v>Expense</v>
      </c>
      <c r="G1237" s="14" t="s">
        <v>417</v>
      </c>
      <c r="H1237" s="16">
        <v>48.233653846153899</v>
      </c>
      <c r="I1237" s="16"/>
      <c r="J1237" s="16">
        <v>48.233653846153899</v>
      </c>
      <c r="K1237" s="14" t="s">
        <v>225</v>
      </c>
    </row>
    <row r="1238" spans="1:11" ht="15" customHeight="1">
      <c r="A1238" s="13">
        <v>46113</v>
      </c>
      <c r="B1238" s="14" t="s">
        <v>465</v>
      </c>
      <c r="C1238" s="19" t="s">
        <v>6</v>
      </c>
      <c r="D1238" s="14" t="s">
        <v>33</v>
      </c>
      <c r="E1238" s="14" t="str">
        <f>_xlfn.XLOOKUP($D1238,'Chart of Accounts'!$A:$A,'Chart of Accounts'!B:B,"")</f>
        <v>Utilities</v>
      </c>
      <c r="F1238" s="14" t="str">
        <f>_xlfn.XLOOKUP($D1238,'Chart of Accounts'!$A:$A,'Chart of Accounts'!C:C,"")</f>
        <v>Expense</v>
      </c>
      <c r="G1238" s="14" t="s">
        <v>417</v>
      </c>
      <c r="H1238" s="16">
        <v>64.311538461538504</v>
      </c>
      <c r="I1238" s="16"/>
      <c r="J1238" s="16">
        <v>64.311538461538504</v>
      </c>
      <c r="K1238" s="14" t="s">
        <v>225</v>
      </c>
    </row>
    <row r="1239" spans="1:11" ht="15" customHeight="1">
      <c r="A1239" s="13">
        <v>46113</v>
      </c>
      <c r="B1239" s="14" t="s">
        <v>465</v>
      </c>
      <c r="C1239" s="19" t="s">
        <v>8</v>
      </c>
      <c r="D1239" s="14" t="s">
        <v>33</v>
      </c>
      <c r="E1239" s="14" t="str">
        <f>_xlfn.XLOOKUP($D1239,'Chart of Accounts'!$A:$A,'Chart of Accounts'!B:B,"")</f>
        <v>Utilities</v>
      </c>
      <c r="F1239" s="14" t="str">
        <f>_xlfn.XLOOKUP($D1239,'Chart of Accounts'!$A:$A,'Chart of Accounts'!C:C,"")</f>
        <v>Expense</v>
      </c>
      <c r="G1239" s="14" t="s">
        <v>417</v>
      </c>
      <c r="H1239" s="16">
        <v>64.311538461538504</v>
      </c>
      <c r="I1239" s="16"/>
      <c r="J1239" s="16">
        <v>64.311538461538504</v>
      </c>
      <c r="K1239" s="14" t="s">
        <v>225</v>
      </c>
    </row>
    <row r="1240" spans="1:11" ht="15" customHeight="1">
      <c r="A1240" s="13">
        <v>46113</v>
      </c>
      <c r="B1240" s="14" t="s">
        <v>465</v>
      </c>
      <c r="C1240" s="19" t="s">
        <v>10</v>
      </c>
      <c r="D1240" s="14" t="s">
        <v>33</v>
      </c>
      <c r="E1240" s="14" t="str">
        <f>_xlfn.XLOOKUP($D1240,'Chart of Accounts'!$A:$A,'Chart of Accounts'!B:B,"")</f>
        <v>Utilities</v>
      </c>
      <c r="F1240" s="14" t="str">
        <f>_xlfn.XLOOKUP($D1240,'Chart of Accounts'!$A:$A,'Chart of Accounts'!C:C,"")</f>
        <v>Expense</v>
      </c>
      <c r="G1240" s="14" t="s">
        <v>417</v>
      </c>
      <c r="H1240" s="16">
        <v>32.155769230769202</v>
      </c>
      <c r="I1240" s="16"/>
      <c r="J1240" s="16">
        <v>32.155769230769202</v>
      </c>
      <c r="K1240" s="14" t="s">
        <v>225</v>
      </c>
    </row>
    <row r="1241" spans="1:11" ht="15" customHeight="1">
      <c r="A1241" s="13">
        <v>46113</v>
      </c>
      <c r="B1241" s="14" t="s">
        <v>465</v>
      </c>
      <c r="C1241" s="19" t="s">
        <v>12</v>
      </c>
      <c r="D1241" s="14" t="s">
        <v>33</v>
      </c>
      <c r="E1241" s="14" t="str">
        <f>_xlfn.XLOOKUP($D1241,'Chart of Accounts'!$A:$A,'Chart of Accounts'!B:B,"")</f>
        <v>Utilities</v>
      </c>
      <c r="F1241" s="14" t="str">
        <f>_xlfn.XLOOKUP($D1241,'Chart of Accounts'!$A:$A,'Chart of Accounts'!C:C,"")</f>
        <v>Expense</v>
      </c>
      <c r="G1241" s="14" t="s">
        <v>417</v>
      </c>
      <c r="H1241" s="16">
        <v>112.54519230769201</v>
      </c>
      <c r="I1241" s="16"/>
      <c r="J1241" s="16">
        <v>112.54519230769201</v>
      </c>
      <c r="K1241" s="14" t="s">
        <v>225</v>
      </c>
    </row>
    <row r="1242" spans="1:11" ht="15" customHeight="1">
      <c r="A1242" s="13">
        <v>46113</v>
      </c>
      <c r="B1242" s="14" t="s">
        <v>465</v>
      </c>
      <c r="C1242" s="19" t="s">
        <v>14</v>
      </c>
      <c r="D1242" s="14" t="s">
        <v>33</v>
      </c>
      <c r="E1242" s="14" t="str">
        <f>_xlfn.XLOOKUP($D1242,'Chart of Accounts'!$A:$A,'Chart of Accounts'!B:B,"")</f>
        <v>Utilities</v>
      </c>
      <c r="F1242" s="14" t="str">
        <f>_xlfn.XLOOKUP($D1242,'Chart of Accounts'!$A:$A,'Chart of Accounts'!C:C,"")</f>
        <v>Expense</v>
      </c>
      <c r="G1242" s="14" t="s">
        <v>417</v>
      </c>
      <c r="H1242" s="16">
        <v>128.62307692307701</v>
      </c>
      <c r="I1242" s="16"/>
      <c r="J1242" s="16">
        <v>128.62307692307701</v>
      </c>
      <c r="K1242" s="14" t="s">
        <v>225</v>
      </c>
    </row>
    <row r="1243" spans="1:11" ht="15" customHeight="1">
      <c r="A1243" s="13">
        <v>46113</v>
      </c>
      <c r="B1243" s="14" t="s">
        <v>465</v>
      </c>
      <c r="C1243" s="19" t="s">
        <v>16</v>
      </c>
      <c r="D1243" s="14" t="s">
        <v>33</v>
      </c>
      <c r="E1243" s="14" t="str">
        <f>_xlfn.XLOOKUP($D1243,'Chart of Accounts'!$A:$A,'Chart of Accounts'!B:B,"")</f>
        <v>Utilities</v>
      </c>
      <c r="F1243" s="14" t="str">
        <f>_xlfn.XLOOKUP($D1243,'Chart of Accounts'!$A:$A,'Chart of Accounts'!C:C,"")</f>
        <v>Expense</v>
      </c>
      <c r="G1243" s="14" t="s">
        <v>417</v>
      </c>
      <c r="H1243" s="16">
        <v>96.467307692307699</v>
      </c>
      <c r="I1243" s="16"/>
      <c r="J1243" s="16">
        <v>96.467307692307699</v>
      </c>
      <c r="K1243" s="14" t="s">
        <v>225</v>
      </c>
    </row>
    <row r="1244" spans="1:11" ht="15" customHeight="1">
      <c r="A1244" s="13">
        <v>46113</v>
      </c>
      <c r="B1244" s="14" t="s">
        <v>465</v>
      </c>
      <c r="C1244" s="19" t="s">
        <v>18</v>
      </c>
      <c r="D1244" s="14" t="s">
        <v>33</v>
      </c>
      <c r="E1244" s="14" t="str">
        <f>_xlfn.XLOOKUP($D1244,'Chart of Accounts'!$A:$A,'Chart of Accounts'!B:B,"")</f>
        <v>Utilities</v>
      </c>
      <c r="F1244" s="14" t="str">
        <f>_xlfn.XLOOKUP($D1244,'Chart of Accounts'!$A:$A,'Chart of Accounts'!C:C,"")</f>
        <v>Expense</v>
      </c>
      <c r="G1244" s="14" t="s">
        <v>417</v>
      </c>
      <c r="H1244" s="16">
        <v>128.62307692307701</v>
      </c>
      <c r="I1244" s="16"/>
      <c r="J1244" s="16">
        <v>128.62307692307701</v>
      </c>
      <c r="K1244" s="14" t="s">
        <v>225</v>
      </c>
    </row>
    <row r="1245" spans="1:11" ht="15" customHeight="1">
      <c r="A1245" s="13">
        <v>46113</v>
      </c>
      <c r="B1245" s="14" t="s">
        <v>465</v>
      </c>
      <c r="C1245" s="19" t="s">
        <v>20</v>
      </c>
      <c r="D1245" s="14" t="s">
        <v>33</v>
      </c>
      <c r="E1245" s="14" t="str">
        <f>_xlfn.XLOOKUP($D1245,'Chart of Accounts'!$A:$A,'Chart of Accounts'!B:B,"")</f>
        <v>Utilities</v>
      </c>
      <c r="F1245" s="14" t="str">
        <f>_xlfn.XLOOKUP($D1245,'Chart of Accounts'!$A:$A,'Chart of Accounts'!C:C,"")</f>
        <v>Expense</v>
      </c>
      <c r="G1245" s="14" t="s">
        <v>417</v>
      </c>
      <c r="H1245" s="16">
        <v>160.77884615384599</v>
      </c>
      <c r="I1245" s="16"/>
      <c r="J1245" s="16">
        <v>160.77884615384599</v>
      </c>
      <c r="K1245" s="14" t="s">
        <v>225</v>
      </c>
    </row>
    <row r="1246" spans="1:11" ht="15" customHeight="1">
      <c r="A1246" s="13">
        <v>45992</v>
      </c>
      <c r="B1246" s="14" t="s">
        <v>523</v>
      </c>
      <c r="C1246" s="19" t="s">
        <v>6</v>
      </c>
      <c r="D1246" s="14" t="s">
        <v>117</v>
      </c>
      <c r="E1246" s="14" t="str">
        <f>_xlfn.XLOOKUP($D1246,'Chart of Accounts'!$A:$A,'Chart of Accounts'!B:B,"")</f>
        <v>Insurance</v>
      </c>
      <c r="F1246" s="14" t="str">
        <f>_xlfn.XLOOKUP($D1246,'Chart of Accounts'!$A:$A,'Chart of Accounts'!C:C,"")</f>
        <v>Expense</v>
      </c>
      <c r="G1246" s="14" t="s">
        <v>479</v>
      </c>
      <c r="H1246" s="16">
        <v>563.47</v>
      </c>
      <c r="I1246" s="16"/>
      <c r="J1246" s="16">
        <v>563.47</v>
      </c>
      <c r="K1246" s="14" t="s">
        <v>225</v>
      </c>
    </row>
    <row r="1247" spans="1:11" ht="15" customHeight="1">
      <c r="A1247" s="13">
        <v>46113</v>
      </c>
      <c r="B1247" s="14" t="s">
        <v>508</v>
      </c>
      <c r="C1247" s="14"/>
      <c r="D1247" s="14" t="s">
        <v>63</v>
      </c>
      <c r="E1247" s="14" t="str">
        <f>_xlfn.XLOOKUP($D1247,'Chart of Accounts'!$A:$A,'Chart of Accounts'!B:B,"")</f>
        <v>Accounts Payable</v>
      </c>
      <c r="F1247" s="14" t="str">
        <f>_xlfn.XLOOKUP($D1247,'Chart of Accounts'!$A:$A,'Chart of Accounts'!C:C,"")</f>
        <v>Liability</v>
      </c>
      <c r="G1247" s="14" t="s">
        <v>509</v>
      </c>
      <c r="H1247" s="16"/>
      <c r="I1247" s="16">
        <v>9800</v>
      </c>
      <c r="J1247" s="16">
        <v>-9800</v>
      </c>
      <c r="K1247" s="14" t="s">
        <v>225</v>
      </c>
    </row>
    <row r="1248" spans="1:11" ht="15" customHeight="1">
      <c r="A1248" s="13">
        <v>46112</v>
      </c>
      <c r="B1248" s="14" t="s">
        <v>531</v>
      </c>
      <c r="C1248" s="14"/>
      <c r="D1248" s="14" t="s">
        <v>75</v>
      </c>
      <c r="E1248" s="14" t="str">
        <f>_xlfn.XLOOKUP($D1248,'Chart of Accounts'!$A:$A,'Chart of Accounts'!B:B,"")</f>
        <v>Notes Payable - Long Term</v>
      </c>
      <c r="F1248" s="14" t="str">
        <f>_xlfn.XLOOKUP($D1248,'Chart of Accounts'!$A:$A,'Chart of Accounts'!C:C,"")</f>
        <v>Liability</v>
      </c>
      <c r="G1248" s="14" t="s">
        <v>491</v>
      </c>
      <c r="H1248" s="16">
        <v>1180</v>
      </c>
      <c r="I1248" s="16"/>
      <c r="J1248" s="16">
        <v>1180</v>
      </c>
      <c r="K1248" s="14" t="s">
        <v>225</v>
      </c>
    </row>
    <row r="1249" spans="1:11" ht="15" customHeight="1">
      <c r="A1249" s="13">
        <v>46112</v>
      </c>
      <c r="B1249" s="14" t="s">
        <v>531</v>
      </c>
      <c r="C1249" s="14"/>
      <c r="D1249" s="14" t="s">
        <v>40</v>
      </c>
      <c r="E1249" s="14" t="str">
        <f>_xlfn.XLOOKUP($D1249,'Chart of Accounts'!$A:$A,'Chart of Accounts'!B:B,"")</f>
        <v>Cash - Operating</v>
      </c>
      <c r="F1249" s="14" t="str">
        <f>_xlfn.XLOOKUP($D1249,'Chart of Accounts'!$A:$A,'Chart of Accounts'!C:C,"")</f>
        <v>Asset</v>
      </c>
      <c r="G1249" s="14" t="s">
        <v>491</v>
      </c>
      <c r="H1249" s="16"/>
      <c r="I1249" s="16">
        <v>1569.58</v>
      </c>
      <c r="J1249" s="16">
        <v>-1569.58</v>
      </c>
      <c r="K1249" s="14" t="s">
        <v>225</v>
      </c>
    </row>
    <row r="1250" spans="1:11" ht="15" customHeight="1">
      <c r="A1250" s="13">
        <v>46106</v>
      </c>
      <c r="B1250" s="14" t="s">
        <v>464</v>
      </c>
      <c r="C1250" s="19" t="s">
        <v>16</v>
      </c>
      <c r="D1250" s="14" t="s">
        <v>115</v>
      </c>
      <c r="E1250" s="14" t="str">
        <f>_xlfn.XLOOKUP($D1250,'Chart of Accounts'!$A:$A,'Chart of Accounts'!B:B,"")</f>
        <v>Professional Fees - Accounting/Audit</v>
      </c>
      <c r="F1250" s="14" t="str">
        <f>_xlfn.XLOOKUP($D1250,'Chart of Accounts'!$A:$A,'Chart of Accounts'!C:C,"")</f>
        <v>Expense</v>
      </c>
      <c r="G1250" s="14" t="s">
        <v>434</v>
      </c>
      <c r="H1250" s="16">
        <v>6914.64</v>
      </c>
      <c r="I1250" s="16"/>
      <c r="J1250" s="16">
        <v>6914.64</v>
      </c>
      <c r="K1250" s="14" t="s">
        <v>225</v>
      </c>
    </row>
    <row r="1251" spans="1:11" ht="15" customHeight="1">
      <c r="A1251" s="13">
        <v>45992</v>
      </c>
      <c r="B1251" s="14" t="s">
        <v>523</v>
      </c>
      <c r="C1251" s="19" t="s">
        <v>8</v>
      </c>
      <c r="D1251" s="14" t="s">
        <v>117</v>
      </c>
      <c r="E1251" s="14" t="str">
        <f>_xlfn.XLOOKUP($D1251,'Chart of Accounts'!$A:$A,'Chart of Accounts'!B:B,"")</f>
        <v>Insurance</v>
      </c>
      <c r="F1251" s="14" t="str">
        <f>_xlfn.XLOOKUP($D1251,'Chart of Accounts'!$A:$A,'Chart of Accounts'!C:C,"")</f>
        <v>Expense</v>
      </c>
      <c r="G1251" s="14" t="s">
        <v>479</v>
      </c>
      <c r="H1251" s="16">
        <v>563.47</v>
      </c>
      <c r="I1251" s="16"/>
      <c r="J1251" s="16">
        <v>563.47</v>
      </c>
      <c r="K1251" s="14" t="s">
        <v>225</v>
      </c>
    </row>
    <row r="1252" spans="1:11" ht="15" customHeight="1">
      <c r="A1252" s="13">
        <v>46112</v>
      </c>
      <c r="B1252" s="14" t="s">
        <v>532</v>
      </c>
      <c r="C1252" s="17" t="s">
        <v>6</v>
      </c>
      <c r="D1252" s="14" t="s">
        <v>105</v>
      </c>
      <c r="E1252" s="14" t="str">
        <f>_xlfn.XLOOKUP($D1252,'Chart of Accounts'!$A:$A,'Chart of Accounts'!B:B,"")</f>
        <v>Office Supplies</v>
      </c>
      <c r="F1252" s="14" t="str">
        <f>_xlfn.XLOOKUP($D1252,'Chart of Accounts'!$A:$A,'Chart of Accounts'!C:C,"")</f>
        <v>Expense</v>
      </c>
      <c r="G1252" s="14" t="s">
        <v>421</v>
      </c>
      <c r="H1252" s="16">
        <v>1423.58</v>
      </c>
      <c r="I1252" s="16"/>
      <c r="J1252" s="16">
        <v>1423.58</v>
      </c>
      <c r="K1252" s="14" t="s">
        <v>225</v>
      </c>
    </row>
    <row r="1253" spans="1:11" ht="15" customHeight="1">
      <c r="A1253" s="13">
        <v>45992</v>
      </c>
      <c r="B1253" s="14" t="s">
        <v>523</v>
      </c>
      <c r="C1253" s="19" t="s">
        <v>10</v>
      </c>
      <c r="D1253" s="14" t="s">
        <v>117</v>
      </c>
      <c r="E1253" s="14" t="str">
        <f>_xlfn.XLOOKUP($D1253,'Chart of Accounts'!$A:$A,'Chart of Accounts'!B:B,"")</f>
        <v>Insurance</v>
      </c>
      <c r="F1253" s="14" t="str">
        <f>_xlfn.XLOOKUP($D1253,'Chart of Accounts'!$A:$A,'Chart of Accounts'!C:C,"")</f>
        <v>Expense</v>
      </c>
      <c r="G1253" s="14" t="s">
        <v>479</v>
      </c>
      <c r="H1253" s="16">
        <v>563.47</v>
      </c>
      <c r="I1253" s="16"/>
      <c r="J1253" s="16">
        <v>563.47</v>
      </c>
      <c r="K1253" s="14" t="s">
        <v>225</v>
      </c>
    </row>
    <row r="1254" spans="1:11" ht="15" customHeight="1">
      <c r="A1254" s="13">
        <v>46112</v>
      </c>
      <c r="B1254" s="14" t="s">
        <v>494</v>
      </c>
      <c r="C1254" s="14"/>
      <c r="D1254" s="14" t="s">
        <v>58</v>
      </c>
      <c r="E1254" s="14" t="str">
        <f>_xlfn.XLOOKUP($D1254,'Chart of Accounts'!$A:$A,'Chart of Accounts'!B:B,"")</f>
        <v>Accumulated Depreciation</v>
      </c>
      <c r="F1254" s="14" t="str">
        <f>_xlfn.XLOOKUP($D1254,'Chart of Accounts'!$A:$A,'Chart of Accounts'!C:C,"")</f>
        <v>Asset</v>
      </c>
      <c r="G1254" s="14" t="s">
        <v>495</v>
      </c>
      <c r="H1254" s="16"/>
      <c r="I1254" s="16">
        <v>2450</v>
      </c>
      <c r="J1254" s="16">
        <v>-2450</v>
      </c>
      <c r="K1254" s="14" t="s">
        <v>225</v>
      </c>
    </row>
    <row r="1255" spans="1:11" ht="15" customHeight="1">
      <c r="A1255" s="13">
        <v>46112</v>
      </c>
      <c r="B1255" s="14" t="s">
        <v>533</v>
      </c>
      <c r="C1255" s="19" t="s">
        <v>46</v>
      </c>
      <c r="D1255" s="14" t="s">
        <v>92</v>
      </c>
      <c r="E1255" s="14" t="str">
        <f>_xlfn.XLOOKUP($D1255,'Chart of Accounts'!$A:$A,'Chart of Accounts'!B:B,"")</f>
        <v>Interest Income</v>
      </c>
      <c r="F1255" s="14" t="str">
        <f>_xlfn.XLOOKUP($D1255,'Chart of Accounts'!$A:$A,'Chart of Accounts'!C:C,"")</f>
        <v>Revenue</v>
      </c>
      <c r="G1255" s="14" t="s">
        <v>497</v>
      </c>
      <c r="H1255" s="16"/>
      <c r="I1255" s="16">
        <v>912.66</v>
      </c>
      <c r="J1255" s="16">
        <v>-912.66</v>
      </c>
      <c r="K1255" s="14" t="s">
        <v>225</v>
      </c>
    </row>
    <row r="1256" spans="1:11" ht="15" customHeight="1">
      <c r="A1256" s="13">
        <v>46112</v>
      </c>
      <c r="B1256" s="14" t="s">
        <v>533</v>
      </c>
      <c r="C1256" s="14"/>
      <c r="D1256" s="14" t="s">
        <v>46</v>
      </c>
      <c r="E1256" s="14" t="str">
        <f>_xlfn.XLOOKUP($D1256,'Chart of Accounts'!$A:$A,'Chart of Accounts'!B:B,"")</f>
        <v>Cash - Money Market/Reserve</v>
      </c>
      <c r="F1256" s="14" t="str">
        <f>_xlfn.XLOOKUP($D1256,'Chart of Accounts'!$A:$A,'Chart of Accounts'!C:C,"")</f>
        <v>Asset</v>
      </c>
      <c r="G1256" s="14" t="s">
        <v>497</v>
      </c>
      <c r="H1256" s="16">
        <v>912.66</v>
      </c>
      <c r="I1256" s="16"/>
      <c r="J1256" s="16">
        <v>912.66</v>
      </c>
      <c r="K1256" s="14" t="s">
        <v>225</v>
      </c>
    </row>
    <row r="1257" spans="1:11" ht="15" customHeight="1">
      <c r="A1257" s="13">
        <v>46112</v>
      </c>
      <c r="B1257" s="14" t="s">
        <v>356</v>
      </c>
      <c r="C1257" s="14"/>
      <c r="D1257" s="14" t="s">
        <v>51</v>
      </c>
      <c r="E1257" s="14" t="str">
        <f>_xlfn.XLOOKUP($D1257,'Chart of Accounts'!$A:$A,'Chart of Accounts'!B:B,"")</f>
        <v>Grants Receivable</v>
      </c>
      <c r="F1257" s="14" t="str">
        <f>_xlfn.XLOOKUP($D1257,'Chart of Accounts'!$A:$A,'Chart of Accounts'!C:C,"")</f>
        <v>Asset</v>
      </c>
      <c r="G1257" s="14" t="s">
        <v>498</v>
      </c>
      <c r="H1257" s="16">
        <v>68959.009999999995</v>
      </c>
      <c r="I1257" s="16"/>
      <c r="J1257" s="16">
        <v>68959.009999999995</v>
      </c>
      <c r="K1257" s="14" t="s">
        <v>225</v>
      </c>
    </row>
    <row r="1258" spans="1:11" ht="15" customHeight="1">
      <c r="A1258" s="13">
        <v>46099</v>
      </c>
      <c r="B1258" s="14" t="s">
        <v>534</v>
      </c>
      <c r="C1258" s="14"/>
      <c r="D1258" s="14" t="s">
        <v>40</v>
      </c>
      <c r="E1258" s="14" t="str">
        <f>_xlfn.XLOOKUP($D1258,'Chart of Accounts'!$A:$A,'Chart of Accounts'!B:B,"")</f>
        <v>Cash - Operating</v>
      </c>
      <c r="F1258" s="14" t="str">
        <f>_xlfn.XLOOKUP($D1258,'Chart of Accounts'!$A:$A,'Chart of Accounts'!C:C,"")</f>
        <v>Asset</v>
      </c>
      <c r="G1258" s="14" t="s">
        <v>500</v>
      </c>
      <c r="H1258" s="16">
        <v>93435.47</v>
      </c>
      <c r="I1258" s="16"/>
      <c r="J1258" s="16">
        <v>93435.47</v>
      </c>
      <c r="K1258" s="14" t="s">
        <v>225</v>
      </c>
    </row>
    <row r="1259" spans="1:11" ht="15" customHeight="1">
      <c r="A1259" s="13">
        <v>46099</v>
      </c>
      <c r="B1259" s="14" t="s">
        <v>534</v>
      </c>
      <c r="C1259" s="14"/>
      <c r="D1259" s="14" t="s">
        <v>51</v>
      </c>
      <c r="E1259" s="14" t="str">
        <f>_xlfn.XLOOKUP($D1259,'Chart of Accounts'!$A:$A,'Chart of Accounts'!B:B,"")</f>
        <v>Grants Receivable</v>
      </c>
      <c r="F1259" s="14" t="str">
        <f>_xlfn.XLOOKUP($D1259,'Chart of Accounts'!$A:$A,'Chart of Accounts'!C:C,"")</f>
        <v>Asset</v>
      </c>
      <c r="G1259" s="14" t="s">
        <v>500</v>
      </c>
      <c r="H1259" s="16"/>
      <c r="I1259" s="16">
        <v>93435.47</v>
      </c>
      <c r="J1259" s="16">
        <v>-93435.47</v>
      </c>
      <c r="K1259" s="14" t="s">
        <v>225</v>
      </c>
    </row>
    <row r="1260" spans="1:11" ht="15" customHeight="1">
      <c r="A1260" s="13">
        <v>46093</v>
      </c>
      <c r="B1260" s="14" t="s">
        <v>356</v>
      </c>
      <c r="C1260" s="14"/>
      <c r="D1260" s="14" t="s">
        <v>40</v>
      </c>
      <c r="E1260" s="14" t="str">
        <f>_xlfn.XLOOKUP($D1260,'Chart of Accounts'!$A:$A,'Chart of Accounts'!B:B,"")</f>
        <v>Cash - Operating</v>
      </c>
      <c r="F1260" s="14" t="str">
        <f>_xlfn.XLOOKUP($D1260,'Chart of Accounts'!$A:$A,'Chart of Accounts'!C:C,"")</f>
        <v>Asset</v>
      </c>
      <c r="G1260" s="14" t="s">
        <v>501</v>
      </c>
      <c r="H1260" s="16">
        <v>150835.78</v>
      </c>
      <c r="I1260" s="16"/>
      <c r="J1260" s="16">
        <v>150835.78</v>
      </c>
      <c r="K1260" s="14" t="s">
        <v>225</v>
      </c>
    </row>
    <row r="1261" spans="1:11" ht="15" customHeight="1">
      <c r="A1261" s="13">
        <v>46023</v>
      </c>
      <c r="B1261" s="14" t="s">
        <v>535</v>
      </c>
      <c r="C1261" s="19" t="s">
        <v>46</v>
      </c>
      <c r="D1261" s="15" t="s">
        <v>53</v>
      </c>
      <c r="E1261" s="14" t="str">
        <f>_xlfn.XLOOKUP($D1261,'Chart of Accounts'!$A:$A,'Chart of Accounts'!B:B,"")</f>
        <v>Prepaid Expenses</v>
      </c>
      <c r="F1261" s="14" t="str">
        <f>_xlfn.XLOOKUP($D1261,'Chart of Accounts'!$A:$A,'Chart of Accounts'!C:C,"")</f>
        <v>Asset</v>
      </c>
      <c r="G1261" s="14" t="s">
        <v>479</v>
      </c>
      <c r="H1261" s="16"/>
      <c r="I1261" s="16">
        <v>2700.01</v>
      </c>
      <c r="J1261" s="16">
        <v>-2700</v>
      </c>
      <c r="K1261" s="14" t="s">
        <v>225</v>
      </c>
    </row>
    <row r="1262" spans="1:11" ht="15" customHeight="1">
      <c r="A1262" s="13">
        <v>46023</v>
      </c>
      <c r="B1262" s="14" t="s">
        <v>535</v>
      </c>
      <c r="C1262" s="19" t="s">
        <v>12</v>
      </c>
      <c r="D1262" s="14" t="s">
        <v>117</v>
      </c>
      <c r="E1262" s="14" t="str">
        <f>_xlfn.XLOOKUP($D1262,'Chart of Accounts'!$A:$A,'Chart of Accounts'!B:B,"")</f>
        <v>Insurance</v>
      </c>
      <c r="F1262" s="14" t="str">
        <f>_xlfn.XLOOKUP($D1262,'Chart of Accounts'!$A:$A,'Chart of Accounts'!C:C,"")</f>
        <v>Expense</v>
      </c>
      <c r="G1262" s="14" t="s">
        <v>479</v>
      </c>
      <c r="H1262" s="16">
        <v>117.39</v>
      </c>
      <c r="I1262" s="16"/>
      <c r="J1262" s="16">
        <v>117.39</v>
      </c>
      <c r="K1262" s="14" t="s">
        <v>225</v>
      </c>
    </row>
    <row r="1263" spans="1:11" ht="15" customHeight="1">
      <c r="A1263" s="13">
        <v>46101</v>
      </c>
      <c r="B1263" s="14" t="s">
        <v>463</v>
      </c>
      <c r="C1263" s="14"/>
      <c r="D1263" s="14" t="s">
        <v>40</v>
      </c>
      <c r="E1263" s="14" t="str">
        <f>_xlfn.XLOOKUP($D1263,'Chart of Accounts'!$A:$A,'Chart of Accounts'!B:B,"")</f>
        <v>Cash - Operating</v>
      </c>
      <c r="F1263" s="14" t="str">
        <f>_xlfn.XLOOKUP($D1263,'Chart of Accounts'!$A:$A,'Chart of Accounts'!C:C,"")</f>
        <v>Asset</v>
      </c>
      <c r="G1263" s="14" t="s">
        <v>423</v>
      </c>
      <c r="H1263" s="16"/>
      <c r="I1263" s="16">
        <v>8377.5499999999993</v>
      </c>
      <c r="J1263" s="16">
        <v>-8377.5499999999993</v>
      </c>
      <c r="K1263" s="14" t="s">
        <v>225</v>
      </c>
    </row>
    <row r="1264" spans="1:11" ht="15" customHeight="1">
      <c r="A1264" s="13">
        <v>46112</v>
      </c>
      <c r="B1264" s="14" t="s">
        <v>536</v>
      </c>
      <c r="C1264" s="19" t="s">
        <v>46</v>
      </c>
      <c r="D1264" s="14" t="s">
        <v>121</v>
      </c>
      <c r="E1264" s="14" t="str">
        <f>_xlfn.XLOOKUP($D1264,'Chart of Accounts'!$A:$A,'Chart of Accounts'!B:B,"")</f>
        <v>Bank Fees</v>
      </c>
      <c r="F1264" s="14" t="str">
        <f>_xlfn.XLOOKUP($D1264,'Chart of Accounts'!$A:$A,'Chart of Accounts'!C:C,"")</f>
        <v>Expense</v>
      </c>
      <c r="G1264" s="14" t="s">
        <v>503</v>
      </c>
      <c r="H1264" s="16">
        <v>82.24</v>
      </c>
      <c r="I1264" s="16"/>
      <c r="J1264" s="16">
        <v>82.24</v>
      </c>
      <c r="K1264" s="14" t="s">
        <v>225</v>
      </c>
    </row>
    <row r="1265" spans="1:11" ht="15" customHeight="1">
      <c r="A1265" s="13">
        <v>46112</v>
      </c>
      <c r="B1265" s="14" t="s">
        <v>536</v>
      </c>
      <c r="C1265" s="14"/>
      <c r="D1265" s="14" t="s">
        <v>40</v>
      </c>
      <c r="E1265" s="14" t="str">
        <f>_xlfn.XLOOKUP($D1265,'Chart of Accounts'!$A:$A,'Chart of Accounts'!B:B,"")</f>
        <v>Cash - Operating</v>
      </c>
      <c r="F1265" s="14" t="str">
        <f>_xlfn.XLOOKUP($D1265,'Chart of Accounts'!$A:$A,'Chart of Accounts'!C:C,"")</f>
        <v>Asset</v>
      </c>
      <c r="G1265" s="14" t="s">
        <v>503</v>
      </c>
      <c r="H1265" s="16"/>
      <c r="I1265" s="16">
        <v>82.24</v>
      </c>
      <c r="J1265" s="16">
        <v>-82.24</v>
      </c>
      <c r="K1265" s="14" t="s">
        <v>225</v>
      </c>
    </row>
    <row r="1266" spans="1:11" ht="15" customHeight="1">
      <c r="A1266" s="13">
        <v>46105</v>
      </c>
      <c r="B1266" s="14" t="s">
        <v>537</v>
      </c>
      <c r="C1266" s="19" t="s">
        <v>20</v>
      </c>
      <c r="D1266" s="14" t="s">
        <v>111</v>
      </c>
      <c r="E1266" s="14" t="str">
        <f>_xlfn.XLOOKUP($D1266,'Chart of Accounts'!$A:$A,'Chart of Accounts'!B:B,"")</f>
        <v>Meals and Entertainment</v>
      </c>
      <c r="F1266" s="14" t="str">
        <f>_xlfn.XLOOKUP($D1266,'Chart of Accounts'!$A:$A,'Chart of Accounts'!C:C,"")</f>
        <v>Expense</v>
      </c>
      <c r="G1266" s="14" t="s">
        <v>505</v>
      </c>
      <c r="H1266" s="16">
        <v>477.06</v>
      </c>
      <c r="I1266" s="16"/>
      <c r="J1266" s="16">
        <v>477.06</v>
      </c>
      <c r="K1266" s="14" t="s">
        <v>225</v>
      </c>
    </row>
    <row r="1267" spans="1:11" ht="15" customHeight="1">
      <c r="A1267" s="13">
        <v>46105</v>
      </c>
      <c r="B1267" s="14" t="s">
        <v>537</v>
      </c>
      <c r="C1267" s="14"/>
      <c r="D1267" s="14" t="s">
        <v>40</v>
      </c>
      <c r="E1267" s="14" t="str">
        <f>_xlfn.XLOOKUP($D1267,'Chart of Accounts'!$A:$A,'Chart of Accounts'!B:B,"")</f>
        <v>Cash - Operating</v>
      </c>
      <c r="F1267" s="14" t="str">
        <f>_xlfn.XLOOKUP($D1267,'Chart of Accounts'!$A:$A,'Chart of Accounts'!C:C,"")</f>
        <v>Asset</v>
      </c>
      <c r="G1267" s="14" t="s">
        <v>505</v>
      </c>
      <c r="H1267" s="16"/>
      <c r="I1267" s="16">
        <v>477.06</v>
      </c>
      <c r="J1267" s="16">
        <v>-477.06</v>
      </c>
      <c r="K1267" s="14" t="s">
        <v>225</v>
      </c>
    </row>
    <row r="1268" spans="1:11" ht="15" customHeight="1">
      <c r="A1268" s="13">
        <v>46096</v>
      </c>
      <c r="B1268" s="14" t="s">
        <v>538</v>
      </c>
      <c r="C1268" s="19" t="s">
        <v>16</v>
      </c>
      <c r="D1268" s="14" t="s">
        <v>109</v>
      </c>
      <c r="E1268" s="14" t="str">
        <f>_xlfn.XLOOKUP($D1268,'Chart of Accounts'!$A:$A,'Chart of Accounts'!B:B,"")</f>
        <v>Travel</v>
      </c>
      <c r="F1268" s="14" t="str">
        <f>_xlfn.XLOOKUP($D1268,'Chart of Accounts'!$A:$A,'Chart of Accounts'!C:C,"")</f>
        <v>Expense</v>
      </c>
      <c r="G1268" s="14" t="s">
        <v>518</v>
      </c>
      <c r="H1268" s="16">
        <v>3422.65</v>
      </c>
      <c r="I1268" s="16"/>
      <c r="J1268" s="16">
        <v>3422.65</v>
      </c>
      <c r="K1268" s="14" t="s">
        <v>225</v>
      </c>
    </row>
    <row r="1269" spans="1:11" ht="15" customHeight="1">
      <c r="A1269" s="13">
        <v>46096</v>
      </c>
      <c r="B1269" s="14" t="s">
        <v>538</v>
      </c>
      <c r="C1269" s="14"/>
      <c r="D1269" s="14" t="s">
        <v>40</v>
      </c>
      <c r="E1269" s="14" t="str">
        <f>_xlfn.XLOOKUP($D1269,'Chart of Accounts'!$A:$A,'Chart of Accounts'!B:B,"")</f>
        <v>Cash - Operating</v>
      </c>
      <c r="F1269" s="14" t="str">
        <f>_xlfn.XLOOKUP($D1269,'Chart of Accounts'!$A:$A,'Chart of Accounts'!C:C,"")</f>
        <v>Asset</v>
      </c>
      <c r="G1269" s="14" t="s">
        <v>518</v>
      </c>
      <c r="H1269" s="16"/>
      <c r="I1269" s="16">
        <v>3422.65</v>
      </c>
      <c r="J1269" s="16">
        <v>-3422.65</v>
      </c>
      <c r="K1269" s="14" t="s">
        <v>225</v>
      </c>
    </row>
    <row r="1270" spans="1:11" ht="15" customHeight="1">
      <c r="A1270" s="13">
        <v>46094</v>
      </c>
      <c r="B1270" s="14" t="s">
        <v>462</v>
      </c>
      <c r="C1270" s="17" t="s">
        <v>46</v>
      </c>
      <c r="D1270" s="14" t="s">
        <v>105</v>
      </c>
      <c r="E1270" s="14" t="str">
        <f>_xlfn.XLOOKUP($D1270,'Chart of Accounts'!$A:$A,'Chart of Accounts'!B:B,"")</f>
        <v>Office Supplies</v>
      </c>
      <c r="F1270" s="14" t="str">
        <f>_xlfn.XLOOKUP($D1270,'Chart of Accounts'!$A:$A,'Chart of Accounts'!C:C,"")</f>
        <v>Expense</v>
      </c>
      <c r="G1270" s="14" t="s">
        <v>421</v>
      </c>
      <c r="H1270" s="16">
        <v>471.81</v>
      </c>
      <c r="I1270" s="16"/>
      <c r="J1270" s="16">
        <v>471.81</v>
      </c>
      <c r="K1270" s="14" t="s">
        <v>225</v>
      </c>
    </row>
    <row r="1271" spans="1:11" ht="15" customHeight="1">
      <c r="A1271" s="13">
        <v>46023</v>
      </c>
      <c r="B1271" s="14" t="s">
        <v>535</v>
      </c>
      <c r="C1271" s="19" t="s">
        <v>14</v>
      </c>
      <c r="D1271" s="14" t="s">
        <v>117</v>
      </c>
      <c r="E1271" s="14" t="str">
        <f>_xlfn.XLOOKUP($D1271,'Chart of Accounts'!$A:$A,'Chart of Accounts'!B:B,"")</f>
        <v>Insurance</v>
      </c>
      <c r="F1271" s="14" t="str">
        <f>_xlfn.XLOOKUP($D1271,'Chart of Accounts'!$A:$A,'Chart of Accounts'!C:C,"")</f>
        <v>Expense</v>
      </c>
      <c r="G1271" s="14" t="s">
        <v>479</v>
      </c>
      <c r="H1271" s="16">
        <v>134.18</v>
      </c>
      <c r="I1271" s="16"/>
      <c r="J1271" s="16">
        <v>134.18</v>
      </c>
      <c r="K1271" s="14" t="s">
        <v>225</v>
      </c>
    </row>
    <row r="1272" spans="1:11" ht="15" customHeight="1">
      <c r="A1272" s="13">
        <v>46087</v>
      </c>
      <c r="B1272" s="14" t="s">
        <v>461</v>
      </c>
      <c r="C1272" s="17" t="s">
        <v>4</v>
      </c>
      <c r="D1272" s="14" t="s">
        <v>105</v>
      </c>
      <c r="E1272" s="14" t="str">
        <f>_xlfn.XLOOKUP($D1272,'Chart of Accounts'!$A:$A,'Chart of Accounts'!B:B,"")</f>
        <v>Office Supplies</v>
      </c>
      <c r="F1272" s="14" t="str">
        <f>_xlfn.XLOOKUP($D1272,'Chart of Accounts'!$A:$A,'Chart of Accounts'!C:C,"")</f>
        <v>Expense</v>
      </c>
      <c r="G1272" s="14" t="s">
        <v>421</v>
      </c>
      <c r="H1272" s="16">
        <v>874.88</v>
      </c>
      <c r="I1272" s="16"/>
      <c r="J1272" s="16">
        <v>874.88</v>
      </c>
      <c r="K1272" s="14" t="s">
        <v>225</v>
      </c>
    </row>
    <row r="1273" spans="1:11" ht="15" customHeight="1">
      <c r="A1273" s="13">
        <v>46023</v>
      </c>
      <c r="B1273" s="14" t="s">
        <v>535</v>
      </c>
      <c r="C1273" s="19" t="s">
        <v>16</v>
      </c>
      <c r="D1273" s="14" t="s">
        <v>117</v>
      </c>
      <c r="E1273" s="14" t="str">
        <f>_xlfn.XLOOKUP($D1273,'Chart of Accounts'!$A:$A,'Chart of Accounts'!B:B,"")</f>
        <v>Insurance</v>
      </c>
      <c r="F1273" s="14" t="str">
        <f>_xlfn.XLOOKUP($D1273,'Chart of Accounts'!$A:$A,'Chart of Accounts'!C:C,"")</f>
        <v>Expense</v>
      </c>
      <c r="G1273" s="14" t="s">
        <v>479</v>
      </c>
      <c r="H1273" s="16">
        <v>100.63</v>
      </c>
      <c r="I1273" s="16"/>
      <c r="J1273" s="16">
        <v>100.63</v>
      </c>
      <c r="K1273" s="14" t="s">
        <v>225</v>
      </c>
    </row>
    <row r="1274" spans="1:11" ht="15" customHeight="1">
      <c r="A1274" s="13">
        <v>46084</v>
      </c>
      <c r="B1274" s="14" t="s">
        <v>539</v>
      </c>
      <c r="C1274" s="17" t="s">
        <v>16</v>
      </c>
      <c r="D1274" s="14" t="s">
        <v>107</v>
      </c>
      <c r="E1274" s="14" t="str">
        <f>_xlfn.XLOOKUP($D1274,'Chart of Accounts'!$A:$A,'Chart of Accounts'!B:B,"")</f>
        <v>Software and Subscriptions</v>
      </c>
      <c r="F1274" s="14" t="str">
        <f>_xlfn.XLOOKUP($D1274,'Chart of Accounts'!$A:$A,'Chart of Accounts'!C:C,"")</f>
        <v>Expense</v>
      </c>
      <c r="G1274" s="14" t="s">
        <v>507</v>
      </c>
      <c r="H1274" s="16">
        <v>2456.5</v>
      </c>
      <c r="I1274" s="16"/>
      <c r="J1274" s="16">
        <v>2456.5</v>
      </c>
      <c r="K1274" s="14" t="s">
        <v>225</v>
      </c>
    </row>
    <row r="1275" spans="1:11" ht="15" customHeight="1">
      <c r="A1275" s="13">
        <v>46084</v>
      </c>
      <c r="B1275" s="14" t="s">
        <v>539</v>
      </c>
      <c r="C1275" s="14"/>
      <c r="D1275" s="14" t="s">
        <v>40</v>
      </c>
      <c r="E1275" s="14" t="str">
        <f>_xlfn.XLOOKUP($D1275,'Chart of Accounts'!$A:$A,'Chart of Accounts'!B:B,"")</f>
        <v>Cash - Operating</v>
      </c>
      <c r="F1275" s="14" t="str">
        <f>_xlfn.XLOOKUP($D1275,'Chart of Accounts'!$A:$A,'Chart of Accounts'!C:C,"")</f>
        <v>Asset</v>
      </c>
      <c r="G1275" s="14" t="s">
        <v>507</v>
      </c>
      <c r="H1275" s="16"/>
      <c r="I1275" s="16">
        <v>2456.5</v>
      </c>
      <c r="J1275" s="16">
        <v>-2456.5</v>
      </c>
      <c r="K1275" s="14" t="s">
        <v>225</v>
      </c>
    </row>
    <row r="1276" spans="1:11" ht="15" customHeight="1">
      <c r="A1276" s="13">
        <v>46082</v>
      </c>
      <c r="B1276" s="14" t="s">
        <v>460</v>
      </c>
      <c r="C1276" s="19" t="s">
        <v>4</v>
      </c>
      <c r="D1276" s="14" t="s">
        <v>33</v>
      </c>
      <c r="E1276" s="14" t="str">
        <f>_xlfn.XLOOKUP($D1276,'Chart of Accounts'!$A:$A,'Chart of Accounts'!B:B,"")</f>
        <v>Utilities</v>
      </c>
      <c r="F1276" s="14" t="str">
        <f>_xlfn.XLOOKUP($D1276,'Chart of Accounts'!$A:$A,'Chart of Accounts'!C:C,"")</f>
        <v>Expense</v>
      </c>
      <c r="G1276" s="14" t="s">
        <v>417</v>
      </c>
      <c r="H1276" s="16">
        <v>58.761923076923097</v>
      </c>
      <c r="I1276" s="16"/>
      <c r="J1276" s="16">
        <v>58.761923076923097</v>
      </c>
      <c r="K1276" s="14" t="s">
        <v>225</v>
      </c>
    </row>
    <row r="1277" spans="1:11" ht="15" customHeight="1">
      <c r="A1277" s="13">
        <v>46082</v>
      </c>
      <c r="B1277" s="14" t="s">
        <v>460</v>
      </c>
      <c r="C1277" s="19" t="s">
        <v>6</v>
      </c>
      <c r="D1277" s="14" t="s">
        <v>33</v>
      </c>
      <c r="E1277" s="14" t="str">
        <f>_xlfn.XLOOKUP($D1277,'Chart of Accounts'!$A:$A,'Chart of Accounts'!B:B,"")</f>
        <v>Utilities</v>
      </c>
      <c r="F1277" s="14" t="str">
        <f>_xlfn.XLOOKUP($D1277,'Chart of Accounts'!$A:$A,'Chart of Accounts'!C:C,"")</f>
        <v>Expense</v>
      </c>
      <c r="G1277" s="14" t="s">
        <v>417</v>
      </c>
      <c r="H1277" s="16">
        <v>78.3492307692308</v>
      </c>
      <c r="I1277" s="16"/>
      <c r="J1277" s="16">
        <v>78.3492307692308</v>
      </c>
      <c r="K1277" s="14" t="s">
        <v>225</v>
      </c>
    </row>
    <row r="1278" spans="1:11" ht="15" customHeight="1">
      <c r="A1278" s="13">
        <v>46082</v>
      </c>
      <c r="B1278" s="14" t="s">
        <v>460</v>
      </c>
      <c r="C1278" s="19" t="s">
        <v>8</v>
      </c>
      <c r="D1278" s="14" t="s">
        <v>33</v>
      </c>
      <c r="E1278" s="14" t="str">
        <f>_xlfn.XLOOKUP($D1278,'Chart of Accounts'!$A:$A,'Chart of Accounts'!B:B,"")</f>
        <v>Utilities</v>
      </c>
      <c r="F1278" s="14" t="str">
        <f>_xlfn.XLOOKUP($D1278,'Chart of Accounts'!$A:$A,'Chart of Accounts'!C:C,"")</f>
        <v>Expense</v>
      </c>
      <c r="G1278" s="14" t="s">
        <v>417</v>
      </c>
      <c r="H1278" s="16">
        <v>78.3492307692308</v>
      </c>
      <c r="I1278" s="16"/>
      <c r="J1278" s="16">
        <v>78.3492307692308</v>
      </c>
      <c r="K1278" s="14" t="s">
        <v>225</v>
      </c>
    </row>
    <row r="1279" spans="1:11" ht="15" customHeight="1">
      <c r="A1279" s="13">
        <v>46082</v>
      </c>
      <c r="B1279" s="14" t="s">
        <v>460</v>
      </c>
      <c r="C1279" s="19" t="s">
        <v>10</v>
      </c>
      <c r="D1279" s="14" t="s">
        <v>33</v>
      </c>
      <c r="E1279" s="14" t="str">
        <f>_xlfn.XLOOKUP($D1279,'Chart of Accounts'!$A:$A,'Chart of Accounts'!B:B,"")</f>
        <v>Utilities</v>
      </c>
      <c r="F1279" s="14" t="str">
        <f>_xlfn.XLOOKUP($D1279,'Chart of Accounts'!$A:$A,'Chart of Accounts'!C:C,"")</f>
        <v>Expense</v>
      </c>
      <c r="G1279" s="14" t="s">
        <v>417</v>
      </c>
      <c r="H1279" s="16">
        <v>39.1746153846154</v>
      </c>
      <c r="I1279" s="16"/>
      <c r="J1279" s="16">
        <v>39.1746153846154</v>
      </c>
      <c r="K1279" s="14" t="s">
        <v>225</v>
      </c>
    </row>
    <row r="1280" spans="1:11" ht="15" customHeight="1">
      <c r="A1280" s="13">
        <v>46082</v>
      </c>
      <c r="B1280" s="14" t="s">
        <v>460</v>
      </c>
      <c r="C1280" s="19" t="s">
        <v>12</v>
      </c>
      <c r="D1280" s="14" t="s">
        <v>33</v>
      </c>
      <c r="E1280" s="14" t="str">
        <f>_xlfn.XLOOKUP($D1280,'Chart of Accounts'!$A:$A,'Chart of Accounts'!B:B,"")</f>
        <v>Utilities</v>
      </c>
      <c r="F1280" s="14" t="str">
        <f>_xlfn.XLOOKUP($D1280,'Chart of Accounts'!$A:$A,'Chart of Accounts'!C:C,"")</f>
        <v>Expense</v>
      </c>
      <c r="G1280" s="14" t="s">
        <v>417</v>
      </c>
      <c r="H1280" s="16">
        <v>137.111153846154</v>
      </c>
      <c r="I1280" s="16"/>
      <c r="J1280" s="16">
        <v>137.111153846154</v>
      </c>
      <c r="K1280" s="14" t="s">
        <v>225</v>
      </c>
    </row>
    <row r="1281" spans="1:11" ht="15" customHeight="1">
      <c r="A1281" s="13">
        <v>46082</v>
      </c>
      <c r="B1281" s="14" t="s">
        <v>460</v>
      </c>
      <c r="C1281" s="19" t="s">
        <v>14</v>
      </c>
      <c r="D1281" s="14" t="s">
        <v>33</v>
      </c>
      <c r="E1281" s="14" t="str">
        <f>_xlfn.XLOOKUP($D1281,'Chart of Accounts'!$A:$A,'Chart of Accounts'!B:B,"")</f>
        <v>Utilities</v>
      </c>
      <c r="F1281" s="14" t="str">
        <f>_xlfn.XLOOKUP($D1281,'Chart of Accounts'!$A:$A,'Chart of Accounts'!C:C,"")</f>
        <v>Expense</v>
      </c>
      <c r="G1281" s="14" t="s">
        <v>417</v>
      </c>
      <c r="H1281" s="16">
        <v>156.698461538462</v>
      </c>
      <c r="I1281" s="16"/>
      <c r="J1281" s="16">
        <v>156.698461538462</v>
      </c>
      <c r="K1281" s="14" t="s">
        <v>225</v>
      </c>
    </row>
    <row r="1282" spans="1:11" ht="15" customHeight="1">
      <c r="A1282" s="13">
        <v>46082</v>
      </c>
      <c r="B1282" s="14" t="s">
        <v>460</v>
      </c>
      <c r="C1282" s="19" t="s">
        <v>16</v>
      </c>
      <c r="D1282" s="14" t="s">
        <v>33</v>
      </c>
      <c r="E1282" s="14" t="str">
        <f>_xlfn.XLOOKUP($D1282,'Chart of Accounts'!$A:$A,'Chart of Accounts'!B:B,"")</f>
        <v>Utilities</v>
      </c>
      <c r="F1282" s="14" t="str">
        <f>_xlfn.XLOOKUP($D1282,'Chart of Accounts'!$A:$A,'Chart of Accounts'!C:C,"")</f>
        <v>Expense</v>
      </c>
      <c r="G1282" s="14" t="s">
        <v>417</v>
      </c>
      <c r="H1282" s="16">
        <v>117.52384615384599</v>
      </c>
      <c r="I1282" s="16"/>
      <c r="J1282" s="16">
        <v>117.52384615384599</v>
      </c>
      <c r="K1282" s="14" t="s">
        <v>225</v>
      </c>
    </row>
    <row r="1283" spans="1:11" ht="15" customHeight="1">
      <c r="A1283" s="13">
        <v>46082</v>
      </c>
      <c r="B1283" s="14" t="s">
        <v>460</v>
      </c>
      <c r="C1283" s="19" t="s">
        <v>18</v>
      </c>
      <c r="D1283" s="14" t="s">
        <v>33</v>
      </c>
      <c r="E1283" s="14" t="str">
        <f>_xlfn.XLOOKUP($D1283,'Chart of Accounts'!$A:$A,'Chart of Accounts'!B:B,"")</f>
        <v>Utilities</v>
      </c>
      <c r="F1283" s="14" t="str">
        <f>_xlfn.XLOOKUP($D1283,'Chart of Accounts'!$A:$A,'Chart of Accounts'!C:C,"")</f>
        <v>Expense</v>
      </c>
      <c r="G1283" s="14" t="s">
        <v>417</v>
      </c>
      <c r="H1283" s="16">
        <v>156.698461538462</v>
      </c>
      <c r="I1283" s="16"/>
      <c r="J1283" s="16">
        <v>156.698461538462</v>
      </c>
      <c r="K1283" s="14" t="s">
        <v>225</v>
      </c>
    </row>
    <row r="1284" spans="1:11" ht="15" customHeight="1">
      <c r="A1284" s="13">
        <v>46082</v>
      </c>
      <c r="B1284" s="14" t="s">
        <v>460</v>
      </c>
      <c r="C1284" s="19" t="s">
        <v>20</v>
      </c>
      <c r="D1284" s="14" t="s">
        <v>33</v>
      </c>
      <c r="E1284" s="14" t="str">
        <f>_xlfn.XLOOKUP($D1284,'Chart of Accounts'!$A:$A,'Chart of Accounts'!B:B,"")</f>
        <v>Utilities</v>
      </c>
      <c r="F1284" s="14" t="str">
        <f>_xlfn.XLOOKUP($D1284,'Chart of Accounts'!$A:$A,'Chart of Accounts'!C:C,"")</f>
        <v>Expense</v>
      </c>
      <c r="G1284" s="14" t="s">
        <v>417</v>
      </c>
      <c r="H1284" s="16">
        <v>195.87307692307701</v>
      </c>
      <c r="I1284" s="16"/>
      <c r="J1284" s="16">
        <v>195.87307692307701</v>
      </c>
      <c r="K1284" s="14" t="s">
        <v>225</v>
      </c>
    </row>
    <row r="1285" spans="1:11" ht="15" customHeight="1">
      <c r="A1285" s="13">
        <v>46023</v>
      </c>
      <c r="B1285" s="14" t="s">
        <v>535</v>
      </c>
      <c r="C1285" s="19" t="s">
        <v>18</v>
      </c>
      <c r="D1285" s="14" t="s">
        <v>117</v>
      </c>
      <c r="E1285" s="14" t="str">
        <f>_xlfn.XLOOKUP($D1285,'Chart of Accounts'!$A:$A,'Chart of Accounts'!B:B,"")</f>
        <v>Insurance</v>
      </c>
      <c r="F1285" s="14" t="str">
        <f>_xlfn.XLOOKUP($D1285,'Chart of Accounts'!$A:$A,'Chart of Accounts'!C:C,"")</f>
        <v>Expense</v>
      </c>
      <c r="G1285" s="14" t="s">
        <v>479</v>
      </c>
      <c r="H1285" s="16">
        <v>100.63</v>
      </c>
      <c r="I1285" s="16"/>
      <c r="J1285" s="16">
        <v>100.63</v>
      </c>
      <c r="K1285" s="14" t="s">
        <v>225</v>
      </c>
    </row>
    <row r="1286" spans="1:11" ht="15" customHeight="1">
      <c r="A1286" s="13">
        <v>46082</v>
      </c>
      <c r="B1286" s="14" t="s">
        <v>508</v>
      </c>
      <c r="C1286" s="14"/>
      <c r="D1286" s="14" t="s">
        <v>63</v>
      </c>
      <c r="E1286" s="14" t="str">
        <f>_xlfn.XLOOKUP($D1286,'Chart of Accounts'!$A:$A,'Chart of Accounts'!B:B,"")</f>
        <v>Accounts Payable</v>
      </c>
      <c r="F1286" s="14" t="str">
        <f>_xlfn.XLOOKUP($D1286,'Chart of Accounts'!$A:$A,'Chart of Accounts'!C:C,"")</f>
        <v>Liability</v>
      </c>
      <c r="G1286" s="14" t="s">
        <v>509</v>
      </c>
      <c r="H1286" s="16"/>
      <c r="I1286" s="16">
        <v>9800</v>
      </c>
      <c r="J1286" s="16">
        <v>-9800</v>
      </c>
      <c r="K1286" s="14" t="s">
        <v>225</v>
      </c>
    </row>
    <row r="1287" spans="1:11" ht="15" customHeight="1">
      <c r="A1287" s="13">
        <v>46081</v>
      </c>
      <c r="B1287" s="14" t="s">
        <v>540</v>
      </c>
      <c r="C1287" s="14"/>
      <c r="D1287" s="14" t="s">
        <v>75</v>
      </c>
      <c r="E1287" s="14" t="str">
        <f>_xlfn.XLOOKUP($D1287,'Chart of Accounts'!$A:$A,'Chart of Accounts'!B:B,"")</f>
        <v>Notes Payable - Long Term</v>
      </c>
      <c r="F1287" s="14" t="str">
        <f>_xlfn.XLOOKUP($D1287,'Chart of Accounts'!$A:$A,'Chart of Accounts'!C:C,"")</f>
        <v>Liability</v>
      </c>
      <c r="G1287" s="14" t="s">
        <v>491</v>
      </c>
      <c r="H1287" s="16">
        <v>1180</v>
      </c>
      <c r="I1287" s="16"/>
      <c r="J1287" s="16">
        <v>1180</v>
      </c>
      <c r="K1287" s="14" t="s">
        <v>225</v>
      </c>
    </row>
    <row r="1288" spans="1:11" ht="15" customHeight="1">
      <c r="A1288" s="13">
        <v>46081</v>
      </c>
      <c r="B1288" s="14" t="s">
        <v>540</v>
      </c>
      <c r="C1288" s="14"/>
      <c r="D1288" s="14" t="s">
        <v>40</v>
      </c>
      <c r="E1288" s="14" t="str">
        <f>_xlfn.XLOOKUP($D1288,'Chart of Accounts'!$A:$A,'Chart of Accounts'!B:B,"")</f>
        <v>Cash - Operating</v>
      </c>
      <c r="F1288" s="14" t="str">
        <f>_xlfn.XLOOKUP($D1288,'Chart of Accounts'!$A:$A,'Chart of Accounts'!C:C,"")</f>
        <v>Asset</v>
      </c>
      <c r="G1288" s="14" t="s">
        <v>491</v>
      </c>
      <c r="H1288" s="16"/>
      <c r="I1288" s="16">
        <v>1569.58</v>
      </c>
      <c r="J1288" s="16">
        <v>-1569.58</v>
      </c>
      <c r="K1288" s="14" t="s">
        <v>225</v>
      </c>
    </row>
    <row r="1289" spans="1:11" ht="15" customHeight="1">
      <c r="A1289" s="13">
        <v>46081</v>
      </c>
      <c r="B1289" s="14" t="s">
        <v>541</v>
      </c>
      <c r="C1289" s="17" t="s">
        <v>20</v>
      </c>
      <c r="D1289" s="14" t="s">
        <v>105</v>
      </c>
      <c r="E1289" s="14" t="str">
        <f>_xlfn.XLOOKUP($D1289,'Chart of Accounts'!$A:$A,'Chart of Accounts'!B:B,"")</f>
        <v>Office Supplies</v>
      </c>
      <c r="F1289" s="14" t="str">
        <f>_xlfn.XLOOKUP($D1289,'Chart of Accounts'!$A:$A,'Chart of Accounts'!C:C,"")</f>
        <v>Expense</v>
      </c>
      <c r="G1289" s="14" t="s">
        <v>421</v>
      </c>
      <c r="H1289" s="16">
        <v>1599.5</v>
      </c>
      <c r="I1289" s="16"/>
      <c r="J1289" s="16">
        <v>1599.5</v>
      </c>
      <c r="K1289" s="14" t="s">
        <v>225</v>
      </c>
    </row>
    <row r="1290" spans="1:11" ht="15" customHeight="1">
      <c r="A1290" s="13">
        <v>46023</v>
      </c>
      <c r="B1290" s="14" t="s">
        <v>535</v>
      </c>
      <c r="C1290" s="19" t="s">
        <v>20</v>
      </c>
      <c r="D1290" s="14" t="s">
        <v>117</v>
      </c>
      <c r="E1290" s="14" t="str">
        <f>_xlfn.XLOOKUP($D1290,'Chart of Accounts'!$A:$A,'Chart of Accounts'!B:B,"")</f>
        <v>Insurance</v>
      </c>
      <c r="F1290" s="14" t="str">
        <f>_xlfn.XLOOKUP($D1290,'Chart of Accounts'!$A:$A,'Chart of Accounts'!C:C,"")</f>
        <v>Expense</v>
      </c>
      <c r="G1290" s="14" t="s">
        <v>479</v>
      </c>
      <c r="H1290" s="16">
        <v>134.16999999999999</v>
      </c>
      <c r="I1290" s="16"/>
      <c r="J1290" s="16">
        <v>134.16999999999999</v>
      </c>
      <c r="K1290" s="14" t="s">
        <v>225</v>
      </c>
    </row>
    <row r="1291" spans="1:11" ht="15" customHeight="1">
      <c r="A1291" s="13">
        <v>46081</v>
      </c>
      <c r="B1291" s="14" t="s">
        <v>494</v>
      </c>
      <c r="C1291" s="14"/>
      <c r="D1291" s="14" t="s">
        <v>58</v>
      </c>
      <c r="E1291" s="14" t="str">
        <f>_xlfn.XLOOKUP($D1291,'Chart of Accounts'!$A:$A,'Chart of Accounts'!B:B,"")</f>
        <v>Accumulated Depreciation</v>
      </c>
      <c r="F1291" s="14" t="str">
        <f>_xlfn.XLOOKUP($D1291,'Chart of Accounts'!$A:$A,'Chart of Accounts'!C:C,"")</f>
        <v>Asset</v>
      </c>
      <c r="G1291" s="14" t="s">
        <v>495</v>
      </c>
      <c r="H1291" s="16"/>
      <c r="I1291" s="16">
        <v>2450</v>
      </c>
      <c r="J1291" s="16">
        <v>-2450</v>
      </c>
      <c r="K1291" s="14" t="s">
        <v>225</v>
      </c>
    </row>
    <row r="1292" spans="1:11" ht="15" customHeight="1">
      <c r="A1292" s="13">
        <v>46081</v>
      </c>
      <c r="B1292" s="14" t="s">
        <v>542</v>
      </c>
      <c r="C1292" s="19" t="s">
        <v>46</v>
      </c>
      <c r="D1292" s="14" t="s">
        <v>92</v>
      </c>
      <c r="E1292" s="14" t="str">
        <f>_xlfn.XLOOKUP($D1292,'Chart of Accounts'!$A:$A,'Chart of Accounts'!B:B,"")</f>
        <v>Interest Income</v>
      </c>
      <c r="F1292" s="14" t="str">
        <f>_xlfn.XLOOKUP($D1292,'Chart of Accounts'!$A:$A,'Chart of Accounts'!C:C,"")</f>
        <v>Revenue</v>
      </c>
      <c r="G1292" s="14" t="s">
        <v>497</v>
      </c>
      <c r="H1292" s="16"/>
      <c r="I1292" s="16">
        <v>765.18</v>
      </c>
      <c r="J1292" s="16">
        <v>-765.18</v>
      </c>
      <c r="K1292" s="14" t="s">
        <v>225</v>
      </c>
    </row>
    <row r="1293" spans="1:11" ht="15" customHeight="1">
      <c r="A1293" s="13">
        <v>46081</v>
      </c>
      <c r="B1293" s="14" t="s">
        <v>542</v>
      </c>
      <c r="C1293" s="14"/>
      <c r="D1293" s="14" t="s">
        <v>46</v>
      </c>
      <c r="E1293" s="14" t="str">
        <f>_xlfn.XLOOKUP($D1293,'Chart of Accounts'!$A:$A,'Chart of Accounts'!B:B,"")</f>
        <v>Cash - Money Market/Reserve</v>
      </c>
      <c r="F1293" s="14" t="str">
        <f>_xlfn.XLOOKUP($D1293,'Chart of Accounts'!$A:$A,'Chart of Accounts'!C:C,"")</f>
        <v>Asset</v>
      </c>
      <c r="G1293" s="14" t="s">
        <v>497</v>
      </c>
      <c r="H1293" s="16">
        <v>765.18</v>
      </c>
      <c r="I1293" s="16"/>
      <c r="J1293" s="16">
        <v>765.18</v>
      </c>
      <c r="K1293" s="14" t="s">
        <v>225</v>
      </c>
    </row>
    <row r="1294" spans="1:11" ht="15" customHeight="1">
      <c r="A1294" s="13">
        <v>46081</v>
      </c>
      <c r="B1294" s="14" t="s">
        <v>357</v>
      </c>
      <c r="C1294" s="14"/>
      <c r="D1294" s="14" t="s">
        <v>51</v>
      </c>
      <c r="E1294" s="14" t="str">
        <f>_xlfn.XLOOKUP($D1294,'Chart of Accounts'!$A:$A,'Chart of Accounts'!B:B,"")</f>
        <v>Grants Receivable</v>
      </c>
      <c r="F1294" s="14" t="str">
        <f>_xlfn.XLOOKUP($D1294,'Chart of Accounts'!$A:$A,'Chart of Accounts'!C:C,"")</f>
        <v>Asset</v>
      </c>
      <c r="G1294" s="14" t="s">
        <v>498</v>
      </c>
      <c r="H1294" s="16">
        <v>67516.27</v>
      </c>
      <c r="I1294" s="16"/>
      <c r="J1294" s="16">
        <v>67516.27</v>
      </c>
      <c r="K1294" s="14" t="s">
        <v>225</v>
      </c>
    </row>
    <row r="1295" spans="1:11" ht="15" customHeight="1">
      <c r="A1295" s="13">
        <v>46071</v>
      </c>
      <c r="B1295" s="14" t="s">
        <v>543</v>
      </c>
      <c r="C1295" s="14"/>
      <c r="D1295" s="14" t="s">
        <v>40</v>
      </c>
      <c r="E1295" s="14" t="str">
        <f>_xlfn.XLOOKUP($D1295,'Chart of Accounts'!$A:$A,'Chart of Accounts'!B:B,"")</f>
        <v>Cash - Operating</v>
      </c>
      <c r="F1295" s="14" t="str">
        <f>_xlfn.XLOOKUP($D1295,'Chart of Accounts'!$A:$A,'Chart of Accounts'!C:C,"")</f>
        <v>Asset</v>
      </c>
      <c r="G1295" s="14" t="s">
        <v>500</v>
      </c>
      <c r="H1295" s="16">
        <v>88067.46</v>
      </c>
      <c r="I1295" s="16"/>
      <c r="J1295" s="16">
        <v>88067.46</v>
      </c>
      <c r="K1295" s="14" t="s">
        <v>225</v>
      </c>
    </row>
    <row r="1296" spans="1:11" ht="15" customHeight="1">
      <c r="A1296" s="13">
        <v>46071</v>
      </c>
      <c r="B1296" s="14" t="s">
        <v>543</v>
      </c>
      <c r="C1296" s="14"/>
      <c r="D1296" s="14" t="s">
        <v>51</v>
      </c>
      <c r="E1296" s="14" t="str">
        <f>_xlfn.XLOOKUP($D1296,'Chart of Accounts'!$A:$A,'Chart of Accounts'!B:B,"")</f>
        <v>Grants Receivable</v>
      </c>
      <c r="F1296" s="14" t="str">
        <f>_xlfn.XLOOKUP($D1296,'Chart of Accounts'!$A:$A,'Chart of Accounts'!C:C,"")</f>
        <v>Asset</v>
      </c>
      <c r="G1296" s="14" t="s">
        <v>500</v>
      </c>
      <c r="H1296" s="16"/>
      <c r="I1296" s="16">
        <v>88067.46</v>
      </c>
      <c r="J1296" s="16">
        <v>-88067.46</v>
      </c>
      <c r="K1296" s="14" t="s">
        <v>225</v>
      </c>
    </row>
    <row r="1297" spans="1:11" ht="15" customHeight="1">
      <c r="A1297" s="13">
        <v>46065</v>
      </c>
      <c r="B1297" s="14" t="s">
        <v>357</v>
      </c>
      <c r="C1297" s="14"/>
      <c r="D1297" s="14" t="s">
        <v>40</v>
      </c>
      <c r="E1297" s="14" t="str">
        <f>_xlfn.XLOOKUP($D1297,'Chart of Accounts'!$A:$A,'Chart of Accounts'!B:B,"")</f>
        <v>Cash - Operating</v>
      </c>
      <c r="F1297" s="14" t="str">
        <f>_xlfn.XLOOKUP($D1297,'Chart of Accounts'!$A:$A,'Chart of Accounts'!C:C,"")</f>
        <v>Asset</v>
      </c>
      <c r="G1297" s="14" t="s">
        <v>501</v>
      </c>
      <c r="H1297" s="16">
        <v>204628.59</v>
      </c>
      <c r="I1297" s="16"/>
      <c r="J1297" s="16">
        <v>204628.59</v>
      </c>
      <c r="K1297" s="14" t="s">
        <v>225</v>
      </c>
    </row>
    <row r="1298" spans="1:11" ht="15" customHeight="1">
      <c r="A1298" s="13">
        <v>46023</v>
      </c>
      <c r="B1298" s="14" t="s">
        <v>535</v>
      </c>
      <c r="C1298" s="19" t="s">
        <v>4</v>
      </c>
      <c r="D1298" s="14" t="s">
        <v>117</v>
      </c>
      <c r="E1298" s="14" t="str">
        <f>_xlfn.XLOOKUP($D1298,'Chart of Accounts'!$A:$A,'Chart of Accounts'!B:B,"")</f>
        <v>Insurance</v>
      </c>
      <c r="F1298" s="14" t="str">
        <f>_xlfn.XLOOKUP($D1298,'Chart of Accounts'!$A:$A,'Chart of Accounts'!C:C,"")</f>
        <v>Expense</v>
      </c>
      <c r="G1298" s="14" t="s">
        <v>479</v>
      </c>
      <c r="H1298" s="16">
        <v>422.6</v>
      </c>
      <c r="I1298" s="16"/>
      <c r="J1298" s="16">
        <v>422.6</v>
      </c>
      <c r="K1298" s="14" t="s">
        <v>225</v>
      </c>
    </row>
    <row r="1299" spans="1:11" ht="15" customHeight="1">
      <c r="A1299" s="13">
        <v>46073</v>
      </c>
      <c r="B1299" s="14" t="s">
        <v>459</v>
      </c>
      <c r="C1299" s="14"/>
      <c r="D1299" s="14" t="s">
        <v>40</v>
      </c>
      <c r="E1299" s="14" t="str">
        <f>_xlfn.XLOOKUP($D1299,'Chart of Accounts'!$A:$A,'Chart of Accounts'!B:B,"")</f>
        <v>Cash - Operating</v>
      </c>
      <c r="F1299" s="14" t="str">
        <f>_xlfn.XLOOKUP($D1299,'Chart of Accounts'!$A:$A,'Chart of Accounts'!C:C,"")</f>
        <v>Asset</v>
      </c>
      <c r="G1299" s="14" t="s">
        <v>423</v>
      </c>
      <c r="H1299" s="16"/>
      <c r="I1299" s="16">
        <v>5670.59</v>
      </c>
      <c r="J1299" s="16">
        <v>-5670.59</v>
      </c>
      <c r="K1299" s="14" t="s">
        <v>225</v>
      </c>
    </row>
    <row r="1300" spans="1:11" ht="15" customHeight="1">
      <c r="A1300" s="13">
        <v>46081</v>
      </c>
      <c r="B1300" s="14" t="s">
        <v>544</v>
      </c>
      <c r="C1300" s="19" t="s">
        <v>46</v>
      </c>
      <c r="D1300" s="14" t="s">
        <v>121</v>
      </c>
      <c r="E1300" s="14" t="str">
        <f>_xlfn.XLOOKUP($D1300,'Chart of Accounts'!$A:$A,'Chart of Accounts'!B:B,"")</f>
        <v>Bank Fees</v>
      </c>
      <c r="F1300" s="14" t="str">
        <f>_xlfn.XLOOKUP($D1300,'Chart of Accounts'!$A:$A,'Chart of Accounts'!C:C,"")</f>
        <v>Expense</v>
      </c>
      <c r="G1300" s="14" t="s">
        <v>503</v>
      </c>
      <c r="H1300" s="16">
        <v>58.68</v>
      </c>
      <c r="I1300" s="16"/>
      <c r="J1300" s="16">
        <v>58.68</v>
      </c>
      <c r="K1300" s="14" t="s">
        <v>225</v>
      </c>
    </row>
    <row r="1301" spans="1:11" ht="15" customHeight="1">
      <c r="A1301" s="13">
        <v>46081</v>
      </c>
      <c r="B1301" s="14" t="s">
        <v>544</v>
      </c>
      <c r="C1301" s="14"/>
      <c r="D1301" s="14" t="s">
        <v>40</v>
      </c>
      <c r="E1301" s="14" t="str">
        <f>_xlfn.XLOOKUP($D1301,'Chart of Accounts'!$A:$A,'Chart of Accounts'!B:B,"")</f>
        <v>Cash - Operating</v>
      </c>
      <c r="F1301" s="14" t="str">
        <f>_xlfn.XLOOKUP($D1301,'Chart of Accounts'!$A:$A,'Chart of Accounts'!C:C,"")</f>
        <v>Asset</v>
      </c>
      <c r="G1301" s="14" t="s">
        <v>503</v>
      </c>
      <c r="H1301" s="16"/>
      <c r="I1301" s="16">
        <v>58.68</v>
      </c>
      <c r="J1301" s="16">
        <v>-58.68</v>
      </c>
      <c r="K1301" s="14" t="s">
        <v>225</v>
      </c>
    </row>
    <row r="1302" spans="1:11" ht="15" customHeight="1">
      <c r="A1302" s="13">
        <v>46058</v>
      </c>
      <c r="B1302" s="14" t="s">
        <v>545</v>
      </c>
      <c r="C1302" s="19" t="s">
        <v>18</v>
      </c>
      <c r="D1302" s="14" t="s">
        <v>111</v>
      </c>
      <c r="E1302" s="14" t="str">
        <f>_xlfn.XLOOKUP($D1302,'Chart of Accounts'!$A:$A,'Chart of Accounts'!B:B,"")</f>
        <v>Meals and Entertainment</v>
      </c>
      <c r="F1302" s="14" t="str">
        <f>_xlfn.XLOOKUP($D1302,'Chart of Accounts'!$A:$A,'Chart of Accounts'!C:C,"")</f>
        <v>Expense</v>
      </c>
      <c r="G1302" s="14" t="s">
        <v>505</v>
      </c>
      <c r="H1302" s="16">
        <v>385.68</v>
      </c>
      <c r="I1302" s="16"/>
      <c r="J1302" s="16">
        <v>385.68</v>
      </c>
      <c r="K1302" s="14" t="s">
        <v>225</v>
      </c>
    </row>
    <row r="1303" spans="1:11" ht="15" customHeight="1">
      <c r="A1303" s="13">
        <v>46058</v>
      </c>
      <c r="B1303" s="14" t="s">
        <v>545</v>
      </c>
      <c r="C1303" s="14"/>
      <c r="D1303" s="14" t="s">
        <v>40</v>
      </c>
      <c r="E1303" s="14" t="str">
        <f>_xlfn.XLOOKUP($D1303,'Chart of Accounts'!$A:$A,'Chart of Accounts'!B:B,"")</f>
        <v>Cash - Operating</v>
      </c>
      <c r="F1303" s="14" t="str">
        <f>_xlfn.XLOOKUP($D1303,'Chart of Accounts'!$A:$A,'Chart of Accounts'!C:C,"")</f>
        <v>Asset</v>
      </c>
      <c r="G1303" s="14" t="s">
        <v>505</v>
      </c>
      <c r="H1303" s="16"/>
      <c r="I1303" s="16">
        <v>385.68</v>
      </c>
      <c r="J1303" s="16">
        <v>-385.68</v>
      </c>
      <c r="K1303" s="14" t="s">
        <v>225</v>
      </c>
    </row>
    <row r="1304" spans="1:11" ht="15" customHeight="1">
      <c r="A1304" s="13">
        <v>46061</v>
      </c>
      <c r="B1304" s="14" t="s">
        <v>546</v>
      </c>
      <c r="C1304" s="19" t="s">
        <v>18</v>
      </c>
      <c r="D1304" s="14" t="s">
        <v>109</v>
      </c>
      <c r="E1304" s="14" t="str">
        <f>_xlfn.XLOOKUP($D1304,'Chart of Accounts'!$A:$A,'Chart of Accounts'!B:B,"")</f>
        <v>Travel</v>
      </c>
      <c r="F1304" s="14" t="str">
        <f>_xlfn.XLOOKUP($D1304,'Chart of Accounts'!$A:$A,'Chart of Accounts'!C:C,"")</f>
        <v>Expense</v>
      </c>
      <c r="G1304" s="14" t="s">
        <v>518</v>
      </c>
      <c r="H1304" s="16">
        <v>3702.02</v>
      </c>
      <c r="I1304" s="16"/>
      <c r="J1304" s="16">
        <v>3702.02</v>
      </c>
      <c r="K1304" s="14" t="s">
        <v>225</v>
      </c>
    </row>
    <row r="1305" spans="1:11" ht="15" customHeight="1">
      <c r="A1305" s="13">
        <v>46061</v>
      </c>
      <c r="B1305" s="14" t="s">
        <v>546</v>
      </c>
      <c r="C1305" s="14"/>
      <c r="D1305" s="14" t="s">
        <v>40</v>
      </c>
      <c r="E1305" s="14" t="str">
        <f>_xlfn.XLOOKUP($D1305,'Chart of Accounts'!$A:$A,'Chart of Accounts'!B:B,"")</f>
        <v>Cash - Operating</v>
      </c>
      <c r="F1305" s="14" t="str">
        <f>_xlfn.XLOOKUP($D1305,'Chart of Accounts'!$A:$A,'Chart of Accounts'!C:C,"")</f>
        <v>Asset</v>
      </c>
      <c r="G1305" s="14" t="s">
        <v>518</v>
      </c>
      <c r="H1305" s="16"/>
      <c r="I1305" s="16">
        <v>3702.02</v>
      </c>
      <c r="J1305" s="16">
        <v>-3702.02</v>
      </c>
      <c r="K1305" s="14" t="s">
        <v>225</v>
      </c>
    </row>
    <row r="1306" spans="1:11" ht="15" customHeight="1">
      <c r="A1306" s="13">
        <v>46077</v>
      </c>
      <c r="B1306" s="14" t="s">
        <v>458</v>
      </c>
      <c r="C1306" s="17" t="s">
        <v>18</v>
      </c>
      <c r="D1306" s="14" t="s">
        <v>105</v>
      </c>
      <c r="E1306" s="14" t="str">
        <f>_xlfn.XLOOKUP($D1306,'Chart of Accounts'!$A:$A,'Chart of Accounts'!B:B,"")</f>
        <v>Office Supplies</v>
      </c>
      <c r="F1306" s="14" t="str">
        <f>_xlfn.XLOOKUP($D1306,'Chart of Accounts'!$A:$A,'Chart of Accounts'!C:C,"")</f>
        <v>Expense</v>
      </c>
      <c r="G1306" s="14" t="s">
        <v>421</v>
      </c>
      <c r="H1306" s="16">
        <v>226.67</v>
      </c>
      <c r="I1306" s="16"/>
      <c r="J1306" s="16">
        <v>226.67</v>
      </c>
      <c r="K1306" s="14" t="s">
        <v>225</v>
      </c>
    </row>
    <row r="1307" spans="1:11" ht="15" customHeight="1">
      <c r="A1307" s="13">
        <v>46023</v>
      </c>
      <c r="B1307" s="14" t="s">
        <v>535</v>
      </c>
      <c r="C1307" s="19" t="s">
        <v>6</v>
      </c>
      <c r="D1307" s="14" t="s">
        <v>117</v>
      </c>
      <c r="E1307" s="14" t="str">
        <f>_xlfn.XLOOKUP($D1307,'Chart of Accounts'!$A:$A,'Chart of Accounts'!B:B,"")</f>
        <v>Insurance</v>
      </c>
      <c r="F1307" s="14" t="str">
        <f>_xlfn.XLOOKUP($D1307,'Chart of Accounts'!$A:$A,'Chart of Accounts'!C:C,"")</f>
        <v>Expense</v>
      </c>
      <c r="G1307" s="14" t="s">
        <v>479</v>
      </c>
      <c r="H1307" s="16">
        <v>563.47</v>
      </c>
      <c r="I1307" s="16"/>
      <c r="J1307" s="16">
        <v>563.47</v>
      </c>
      <c r="K1307" s="14" t="s">
        <v>225</v>
      </c>
    </row>
    <row r="1308" spans="1:11" ht="15" customHeight="1">
      <c r="A1308" s="13">
        <v>46056</v>
      </c>
      <c r="B1308" s="14" t="s">
        <v>547</v>
      </c>
      <c r="C1308" s="17" t="s">
        <v>14</v>
      </c>
      <c r="D1308" s="14" t="s">
        <v>107</v>
      </c>
      <c r="E1308" s="14" t="str">
        <f>_xlfn.XLOOKUP($D1308,'Chart of Accounts'!$A:$A,'Chart of Accounts'!B:B,"")</f>
        <v>Software and Subscriptions</v>
      </c>
      <c r="F1308" s="14" t="str">
        <f>_xlfn.XLOOKUP($D1308,'Chart of Accounts'!$A:$A,'Chart of Accounts'!C:C,"")</f>
        <v>Expense</v>
      </c>
      <c r="G1308" s="14" t="s">
        <v>507</v>
      </c>
      <c r="H1308" s="16">
        <v>2984.15</v>
      </c>
      <c r="I1308" s="16"/>
      <c r="J1308" s="16">
        <v>2984.15</v>
      </c>
      <c r="K1308" s="14" t="s">
        <v>225</v>
      </c>
    </row>
    <row r="1309" spans="1:11" ht="15" customHeight="1">
      <c r="A1309" s="13">
        <v>46056</v>
      </c>
      <c r="B1309" s="14" t="s">
        <v>547</v>
      </c>
      <c r="C1309" s="14"/>
      <c r="D1309" s="14" t="s">
        <v>40</v>
      </c>
      <c r="E1309" s="14" t="str">
        <f>_xlfn.XLOOKUP($D1309,'Chart of Accounts'!$A:$A,'Chart of Accounts'!B:B,"")</f>
        <v>Cash - Operating</v>
      </c>
      <c r="F1309" s="14" t="str">
        <f>_xlfn.XLOOKUP($D1309,'Chart of Accounts'!$A:$A,'Chart of Accounts'!C:C,"")</f>
        <v>Asset</v>
      </c>
      <c r="G1309" s="14" t="s">
        <v>507</v>
      </c>
      <c r="H1309" s="16"/>
      <c r="I1309" s="16">
        <v>2984.15</v>
      </c>
      <c r="J1309" s="16">
        <v>-2984.15</v>
      </c>
      <c r="K1309" s="14" t="s">
        <v>225</v>
      </c>
    </row>
    <row r="1310" spans="1:11" ht="15" customHeight="1">
      <c r="A1310" s="13">
        <v>46054</v>
      </c>
      <c r="B1310" s="14" t="s">
        <v>457</v>
      </c>
      <c r="C1310" s="19" t="s">
        <v>4</v>
      </c>
      <c r="D1310" s="14" t="s">
        <v>33</v>
      </c>
      <c r="E1310" s="14" t="str">
        <f>_xlfn.XLOOKUP($D1310,'Chart of Accounts'!$A:$A,'Chart of Accounts'!B:B,"")</f>
        <v>Utilities</v>
      </c>
      <c r="F1310" s="14" t="str">
        <f>_xlfn.XLOOKUP($D1310,'Chart of Accounts'!$A:$A,'Chart of Accounts'!C:C,"")</f>
        <v>Expense</v>
      </c>
      <c r="G1310" s="14" t="s">
        <v>417</v>
      </c>
      <c r="H1310" s="16">
        <v>76.406538461538503</v>
      </c>
      <c r="I1310" s="16"/>
      <c r="J1310" s="16">
        <v>76.406538461538503</v>
      </c>
      <c r="K1310" s="14" t="s">
        <v>225</v>
      </c>
    </row>
    <row r="1311" spans="1:11" ht="15" customHeight="1">
      <c r="A1311" s="13">
        <v>46054</v>
      </c>
      <c r="B1311" s="14" t="s">
        <v>457</v>
      </c>
      <c r="C1311" s="19" t="s">
        <v>6</v>
      </c>
      <c r="D1311" s="14" t="s">
        <v>33</v>
      </c>
      <c r="E1311" s="14" t="str">
        <f>_xlfn.XLOOKUP($D1311,'Chart of Accounts'!$A:$A,'Chart of Accounts'!B:B,"")</f>
        <v>Utilities</v>
      </c>
      <c r="F1311" s="14" t="str">
        <f>_xlfn.XLOOKUP($D1311,'Chart of Accounts'!$A:$A,'Chart of Accounts'!C:C,"")</f>
        <v>Expense</v>
      </c>
      <c r="G1311" s="14" t="s">
        <v>417</v>
      </c>
      <c r="H1311" s="16">
        <v>101.875384615385</v>
      </c>
      <c r="I1311" s="16"/>
      <c r="J1311" s="16">
        <v>101.875384615385</v>
      </c>
      <c r="K1311" s="14" t="s">
        <v>225</v>
      </c>
    </row>
    <row r="1312" spans="1:11" ht="15" customHeight="1">
      <c r="A1312" s="13">
        <v>46054</v>
      </c>
      <c r="B1312" s="14" t="s">
        <v>457</v>
      </c>
      <c r="C1312" s="19" t="s">
        <v>8</v>
      </c>
      <c r="D1312" s="14" t="s">
        <v>33</v>
      </c>
      <c r="E1312" s="14" t="str">
        <f>_xlfn.XLOOKUP($D1312,'Chart of Accounts'!$A:$A,'Chart of Accounts'!B:B,"")</f>
        <v>Utilities</v>
      </c>
      <c r="F1312" s="14" t="str">
        <f>_xlfn.XLOOKUP($D1312,'Chart of Accounts'!$A:$A,'Chart of Accounts'!C:C,"")</f>
        <v>Expense</v>
      </c>
      <c r="G1312" s="14" t="s">
        <v>417</v>
      </c>
      <c r="H1312" s="16">
        <v>101.875384615385</v>
      </c>
      <c r="I1312" s="16"/>
      <c r="J1312" s="16">
        <v>101.875384615385</v>
      </c>
      <c r="K1312" s="14" t="s">
        <v>225</v>
      </c>
    </row>
    <row r="1313" spans="1:11" ht="15" customHeight="1">
      <c r="A1313" s="13">
        <v>46054</v>
      </c>
      <c r="B1313" s="14" t="s">
        <v>457</v>
      </c>
      <c r="C1313" s="19" t="s">
        <v>10</v>
      </c>
      <c r="D1313" s="14" t="s">
        <v>33</v>
      </c>
      <c r="E1313" s="14" t="str">
        <f>_xlfn.XLOOKUP($D1313,'Chart of Accounts'!$A:$A,'Chart of Accounts'!B:B,"")</f>
        <v>Utilities</v>
      </c>
      <c r="F1313" s="14" t="str">
        <f>_xlfn.XLOOKUP($D1313,'Chart of Accounts'!$A:$A,'Chart of Accounts'!C:C,"")</f>
        <v>Expense</v>
      </c>
      <c r="G1313" s="14" t="s">
        <v>417</v>
      </c>
      <c r="H1313" s="16">
        <v>101.875384615385</v>
      </c>
      <c r="I1313" s="16"/>
      <c r="J1313" s="16">
        <v>101.875384615385</v>
      </c>
      <c r="K1313" s="14" t="s">
        <v>225</v>
      </c>
    </row>
    <row r="1314" spans="1:11" ht="15" customHeight="1">
      <c r="A1314" s="13">
        <v>46054</v>
      </c>
      <c r="B1314" s="14" t="s">
        <v>457</v>
      </c>
      <c r="C1314" s="19" t="s">
        <v>12</v>
      </c>
      <c r="D1314" s="14" t="s">
        <v>33</v>
      </c>
      <c r="E1314" s="14" t="str">
        <f>_xlfn.XLOOKUP($D1314,'Chart of Accounts'!$A:$A,'Chart of Accounts'!B:B,"")</f>
        <v>Utilities</v>
      </c>
      <c r="F1314" s="14" t="str">
        <f>_xlfn.XLOOKUP($D1314,'Chart of Accounts'!$A:$A,'Chart of Accounts'!C:C,"")</f>
        <v>Expense</v>
      </c>
      <c r="G1314" s="14" t="s">
        <v>417</v>
      </c>
      <c r="H1314" s="16">
        <v>178.28192307692299</v>
      </c>
      <c r="I1314" s="16"/>
      <c r="J1314" s="16">
        <v>178.28192307692299</v>
      </c>
      <c r="K1314" s="14" t="s">
        <v>225</v>
      </c>
    </row>
    <row r="1315" spans="1:11" ht="15" customHeight="1">
      <c r="A1315" s="13">
        <v>46054</v>
      </c>
      <c r="B1315" s="14" t="s">
        <v>457</v>
      </c>
      <c r="C1315" s="19" t="s">
        <v>14</v>
      </c>
      <c r="D1315" s="14" t="s">
        <v>33</v>
      </c>
      <c r="E1315" s="14" t="str">
        <f>_xlfn.XLOOKUP($D1315,'Chart of Accounts'!$A:$A,'Chart of Accounts'!B:B,"")</f>
        <v>Utilities</v>
      </c>
      <c r="F1315" s="14" t="str">
        <f>_xlfn.XLOOKUP($D1315,'Chart of Accounts'!$A:$A,'Chart of Accounts'!C:C,"")</f>
        <v>Expense</v>
      </c>
      <c r="G1315" s="14" t="s">
        <v>417</v>
      </c>
      <c r="H1315" s="16">
        <v>203.75076923076901</v>
      </c>
      <c r="I1315" s="16"/>
      <c r="J1315" s="16">
        <v>203.75076923076901</v>
      </c>
      <c r="K1315" s="14" t="s">
        <v>225</v>
      </c>
    </row>
    <row r="1316" spans="1:11" ht="15" customHeight="1">
      <c r="A1316" s="13">
        <v>46054</v>
      </c>
      <c r="B1316" s="14" t="s">
        <v>457</v>
      </c>
      <c r="C1316" s="19" t="s">
        <v>16</v>
      </c>
      <c r="D1316" s="14" t="s">
        <v>33</v>
      </c>
      <c r="E1316" s="14" t="str">
        <f>_xlfn.XLOOKUP($D1316,'Chart of Accounts'!$A:$A,'Chart of Accounts'!B:B,"")</f>
        <v>Utilities</v>
      </c>
      <c r="F1316" s="14" t="str">
        <f>_xlfn.XLOOKUP($D1316,'Chart of Accounts'!$A:$A,'Chart of Accounts'!C:C,"")</f>
        <v>Expense</v>
      </c>
      <c r="G1316" s="14" t="s">
        <v>417</v>
      </c>
      <c r="H1316" s="16">
        <v>152.81307692307701</v>
      </c>
      <c r="I1316" s="16"/>
      <c r="J1316" s="16">
        <v>152.81307692307701</v>
      </c>
      <c r="K1316" s="14" t="s">
        <v>225</v>
      </c>
    </row>
    <row r="1317" spans="1:11" ht="15" customHeight="1">
      <c r="A1317" s="13">
        <v>46054</v>
      </c>
      <c r="B1317" s="14" t="s">
        <v>457</v>
      </c>
      <c r="C1317" s="19" t="s">
        <v>18</v>
      </c>
      <c r="D1317" s="14" t="s">
        <v>33</v>
      </c>
      <c r="E1317" s="14" t="str">
        <f>_xlfn.XLOOKUP($D1317,'Chart of Accounts'!$A:$A,'Chart of Accounts'!B:B,"")</f>
        <v>Utilities</v>
      </c>
      <c r="F1317" s="14" t="str">
        <f>_xlfn.XLOOKUP($D1317,'Chart of Accounts'!$A:$A,'Chart of Accounts'!C:C,"")</f>
        <v>Expense</v>
      </c>
      <c r="G1317" s="14" t="s">
        <v>417</v>
      </c>
      <c r="H1317" s="16">
        <v>203.75076923076901</v>
      </c>
      <c r="I1317" s="16"/>
      <c r="J1317" s="16">
        <v>203.75076923076901</v>
      </c>
      <c r="K1317" s="14" t="s">
        <v>225</v>
      </c>
    </row>
    <row r="1318" spans="1:11" ht="15" customHeight="1">
      <c r="A1318" s="13">
        <v>46054</v>
      </c>
      <c r="B1318" s="14" t="s">
        <v>457</v>
      </c>
      <c r="C1318" s="19" t="s">
        <v>20</v>
      </c>
      <c r="D1318" s="14" t="s">
        <v>33</v>
      </c>
      <c r="E1318" s="14" t="str">
        <f>_xlfn.XLOOKUP($D1318,'Chart of Accounts'!$A:$A,'Chart of Accounts'!B:B,"")</f>
        <v>Utilities</v>
      </c>
      <c r="F1318" s="14" t="str">
        <f>_xlfn.XLOOKUP($D1318,'Chart of Accounts'!$A:$A,'Chart of Accounts'!C:C,"")</f>
        <v>Expense</v>
      </c>
      <c r="G1318" s="14" t="s">
        <v>417</v>
      </c>
      <c r="H1318" s="16">
        <v>203.75076923076901</v>
      </c>
      <c r="I1318" s="16"/>
      <c r="J1318" s="16">
        <v>203.75076923076901</v>
      </c>
      <c r="K1318" s="14" t="s">
        <v>225</v>
      </c>
    </row>
    <row r="1319" spans="1:11" ht="15" customHeight="1">
      <c r="A1319" s="13">
        <v>46023</v>
      </c>
      <c r="B1319" s="14" t="s">
        <v>535</v>
      </c>
      <c r="C1319" s="19" t="s">
        <v>8</v>
      </c>
      <c r="D1319" s="14" t="s">
        <v>117</v>
      </c>
      <c r="E1319" s="14" t="str">
        <f>_xlfn.XLOOKUP($D1319,'Chart of Accounts'!$A:$A,'Chart of Accounts'!B:B,"")</f>
        <v>Insurance</v>
      </c>
      <c r="F1319" s="14" t="str">
        <f>_xlfn.XLOOKUP($D1319,'Chart of Accounts'!$A:$A,'Chart of Accounts'!C:C,"")</f>
        <v>Expense</v>
      </c>
      <c r="G1319" s="14" t="s">
        <v>479</v>
      </c>
      <c r="H1319" s="16">
        <v>563.47</v>
      </c>
      <c r="I1319" s="16"/>
      <c r="J1319" s="16">
        <v>563.47</v>
      </c>
      <c r="K1319" s="14" t="s">
        <v>225</v>
      </c>
    </row>
    <row r="1320" spans="1:11" ht="15" customHeight="1">
      <c r="A1320" s="13">
        <v>46054</v>
      </c>
      <c r="B1320" s="14" t="s">
        <v>508</v>
      </c>
      <c r="C1320" s="14"/>
      <c r="D1320" s="14" t="s">
        <v>63</v>
      </c>
      <c r="E1320" s="14" t="str">
        <f>_xlfn.XLOOKUP($D1320,'Chart of Accounts'!$A:$A,'Chart of Accounts'!B:B,"")</f>
        <v>Accounts Payable</v>
      </c>
      <c r="F1320" s="14" t="str">
        <f>_xlfn.XLOOKUP($D1320,'Chart of Accounts'!$A:$A,'Chart of Accounts'!C:C,"")</f>
        <v>Liability</v>
      </c>
      <c r="G1320" s="14" t="s">
        <v>509</v>
      </c>
      <c r="H1320" s="16"/>
      <c r="I1320" s="16">
        <v>9800</v>
      </c>
      <c r="J1320" s="16">
        <v>-9800</v>
      </c>
      <c r="K1320" s="14" t="s">
        <v>225</v>
      </c>
    </row>
    <row r="1321" spans="1:11" ht="15" customHeight="1">
      <c r="A1321" s="13">
        <v>46036</v>
      </c>
      <c r="B1321" s="14" t="s">
        <v>548</v>
      </c>
      <c r="C1321" s="19" t="s">
        <v>46</v>
      </c>
      <c r="D1321" s="14" t="s">
        <v>94</v>
      </c>
      <c r="E1321" s="14" t="str">
        <f>_xlfn.XLOOKUP($D1321,'Chart of Accounts'!$A:$A,'Chart of Accounts'!B:B,"")</f>
        <v>Other Revenue</v>
      </c>
      <c r="F1321" s="14" t="str">
        <f>_xlfn.XLOOKUP($D1321,'Chart of Accounts'!$A:$A,'Chart of Accounts'!C:C,"")</f>
        <v>Revenue</v>
      </c>
      <c r="G1321" s="14" t="s">
        <v>511</v>
      </c>
      <c r="H1321" s="16"/>
      <c r="I1321" s="16">
        <v>790.79</v>
      </c>
      <c r="J1321" s="16">
        <v>-790.79</v>
      </c>
      <c r="K1321" s="14" t="s">
        <v>225</v>
      </c>
    </row>
    <row r="1322" spans="1:11" ht="15" customHeight="1">
      <c r="A1322" s="13">
        <v>46036</v>
      </c>
      <c r="B1322" s="14" t="s">
        <v>548</v>
      </c>
      <c r="C1322" s="14"/>
      <c r="D1322" s="14" t="s">
        <v>40</v>
      </c>
      <c r="E1322" s="14" t="str">
        <f>_xlfn.XLOOKUP($D1322,'Chart of Accounts'!$A:$A,'Chart of Accounts'!B:B,"")</f>
        <v>Cash - Operating</v>
      </c>
      <c r="F1322" s="14" t="str">
        <f>_xlfn.XLOOKUP($D1322,'Chart of Accounts'!$A:$A,'Chart of Accounts'!C:C,"")</f>
        <v>Asset</v>
      </c>
      <c r="G1322" s="14" t="s">
        <v>511</v>
      </c>
      <c r="H1322" s="16">
        <v>790.79</v>
      </c>
      <c r="I1322" s="16"/>
      <c r="J1322" s="16">
        <v>790.79</v>
      </c>
      <c r="K1322" s="14" t="s">
        <v>225</v>
      </c>
    </row>
    <row r="1323" spans="1:11" ht="15" customHeight="1">
      <c r="A1323" s="13">
        <v>46053</v>
      </c>
      <c r="B1323" s="14" t="s">
        <v>549</v>
      </c>
      <c r="C1323" s="14"/>
      <c r="D1323" s="14" t="s">
        <v>75</v>
      </c>
      <c r="E1323" s="14" t="str">
        <f>_xlfn.XLOOKUP($D1323,'Chart of Accounts'!$A:$A,'Chart of Accounts'!B:B,"")</f>
        <v>Notes Payable - Long Term</v>
      </c>
      <c r="F1323" s="14" t="str">
        <f>_xlfn.XLOOKUP($D1323,'Chart of Accounts'!$A:$A,'Chart of Accounts'!C:C,"")</f>
        <v>Liability</v>
      </c>
      <c r="G1323" s="14" t="s">
        <v>491</v>
      </c>
      <c r="H1323" s="16">
        <v>1180</v>
      </c>
      <c r="I1323" s="16"/>
      <c r="J1323" s="16">
        <v>1180</v>
      </c>
      <c r="K1323" s="14" t="s">
        <v>225</v>
      </c>
    </row>
    <row r="1324" spans="1:11" ht="15" customHeight="1">
      <c r="A1324" s="13">
        <v>46053</v>
      </c>
      <c r="B1324" s="14" t="s">
        <v>549</v>
      </c>
      <c r="C1324" s="14"/>
      <c r="D1324" s="14" t="s">
        <v>40</v>
      </c>
      <c r="E1324" s="14" t="str">
        <f>_xlfn.XLOOKUP($D1324,'Chart of Accounts'!$A:$A,'Chart of Accounts'!B:B,"")</f>
        <v>Cash - Operating</v>
      </c>
      <c r="F1324" s="14" t="str">
        <f>_xlfn.XLOOKUP($D1324,'Chart of Accounts'!$A:$A,'Chart of Accounts'!C:C,"")</f>
        <v>Asset</v>
      </c>
      <c r="G1324" s="14" t="s">
        <v>491</v>
      </c>
      <c r="H1324" s="16"/>
      <c r="I1324" s="16">
        <v>1569.58</v>
      </c>
      <c r="J1324" s="16">
        <v>-1569.58</v>
      </c>
      <c r="K1324" s="14" t="s">
        <v>225</v>
      </c>
    </row>
    <row r="1325" spans="1:11" ht="15" customHeight="1">
      <c r="A1325" s="13">
        <v>46053</v>
      </c>
      <c r="B1325" s="14" t="s">
        <v>550</v>
      </c>
      <c r="C1325" s="17" t="s">
        <v>16</v>
      </c>
      <c r="D1325" s="14" t="s">
        <v>105</v>
      </c>
      <c r="E1325" s="14" t="str">
        <f>_xlfn.XLOOKUP($D1325,'Chart of Accounts'!$A:$A,'Chart of Accounts'!B:B,"")</f>
        <v>Office Supplies</v>
      </c>
      <c r="F1325" s="14" t="str">
        <f>_xlfn.XLOOKUP($D1325,'Chart of Accounts'!$A:$A,'Chart of Accounts'!C:C,"")</f>
        <v>Expense</v>
      </c>
      <c r="G1325" s="14" t="s">
        <v>421</v>
      </c>
      <c r="H1325" s="16">
        <v>1449.23</v>
      </c>
      <c r="I1325" s="16"/>
      <c r="J1325" s="16">
        <v>1449.23</v>
      </c>
      <c r="K1325" s="14" t="s">
        <v>225</v>
      </c>
    </row>
    <row r="1326" spans="1:11" ht="15" customHeight="1">
      <c r="A1326" s="13">
        <v>46023</v>
      </c>
      <c r="B1326" s="14" t="s">
        <v>535</v>
      </c>
      <c r="C1326" s="19" t="s">
        <v>10</v>
      </c>
      <c r="D1326" s="14" t="s">
        <v>117</v>
      </c>
      <c r="E1326" s="14" t="str">
        <f>_xlfn.XLOOKUP($D1326,'Chart of Accounts'!$A:$A,'Chart of Accounts'!B:B,"")</f>
        <v>Insurance</v>
      </c>
      <c r="F1326" s="14" t="str">
        <f>_xlfn.XLOOKUP($D1326,'Chart of Accounts'!$A:$A,'Chart of Accounts'!C:C,"")</f>
        <v>Expense</v>
      </c>
      <c r="G1326" s="14" t="s">
        <v>479</v>
      </c>
      <c r="H1326" s="16">
        <v>563.47</v>
      </c>
      <c r="I1326" s="16"/>
      <c r="J1326" s="16">
        <v>563.47</v>
      </c>
      <c r="K1326" s="14" t="s">
        <v>225</v>
      </c>
    </row>
    <row r="1327" spans="1:11" ht="15" customHeight="1">
      <c r="A1327" s="13">
        <v>46053</v>
      </c>
      <c r="B1327" s="14" t="s">
        <v>494</v>
      </c>
      <c r="C1327" s="14"/>
      <c r="D1327" s="14" t="s">
        <v>58</v>
      </c>
      <c r="E1327" s="14" t="str">
        <f>_xlfn.XLOOKUP($D1327,'Chart of Accounts'!$A:$A,'Chart of Accounts'!B:B,"")</f>
        <v>Accumulated Depreciation</v>
      </c>
      <c r="F1327" s="14" t="str">
        <f>_xlfn.XLOOKUP($D1327,'Chart of Accounts'!$A:$A,'Chart of Accounts'!C:C,"")</f>
        <v>Asset</v>
      </c>
      <c r="G1327" s="14" t="s">
        <v>495</v>
      </c>
      <c r="H1327" s="16"/>
      <c r="I1327" s="16">
        <v>2450</v>
      </c>
      <c r="J1327" s="16">
        <v>-2450</v>
      </c>
      <c r="K1327" s="14" t="s">
        <v>225</v>
      </c>
    </row>
    <row r="1328" spans="1:11" ht="15" customHeight="1">
      <c r="A1328" s="13">
        <v>46053</v>
      </c>
      <c r="B1328" s="14" t="s">
        <v>551</v>
      </c>
      <c r="C1328" s="19" t="s">
        <v>46</v>
      </c>
      <c r="D1328" s="14" t="s">
        <v>92</v>
      </c>
      <c r="E1328" s="14" t="str">
        <f>_xlfn.XLOOKUP($D1328,'Chart of Accounts'!$A:$A,'Chart of Accounts'!B:B,"")</f>
        <v>Interest Income</v>
      </c>
      <c r="F1328" s="14" t="str">
        <f>_xlfn.XLOOKUP($D1328,'Chart of Accounts'!$A:$A,'Chart of Accounts'!C:C,"")</f>
        <v>Revenue</v>
      </c>
      <c r="G1328" s="14" t="s">
        <v>497</v>
      </c>
      <c r="H1328" s="16"/>
      <c r="I1328" s="16">
        <v>891.8</v>
      </c>
      <c r="J1328" s="16">
        <v>-891.8</v>
      </c>
      <c r="K1328" s="14" t="s">
        <v>225</v>
      </c>
    </row>
    <row r="1329" spans="1:11" ht="15" customHeight="1">
      <c r="A1329" s="13">
        <v>46053</v>
      </c>
      <c r="B1329" s="14" t="s">
        <v>551</v>
      </c>
      <c r="C1329" s="14"/>
      <c r="D1329" s="14" t="s">
        <v>46</v>
      </c>
      <c r="E1329" s="14" t="str">
        <f>_xlfn.XLOOKUP($D1329,'Chart of Accounts'!$A:$A,'Chart of Accounts'!B:B,"")</f>
        <v>Cash - Money Market/Reserve</v>
      </c>
      <c r="F1329" s="14" t="str">
        <f>_xlfn.XLOOKUP($D1329,'Chart of Accounts'!$A:$A,'Chart of Accounts'!C:C,"")</f>
        <v>Asset</v>
      </c>
      <c r="G1329" s="14" t="s">
        <v>497</v>
      </c>
      <c r="H1329" s="16">
        <v>891.8</v>
      </c>
      <c r="I1329" s="16"/>
      <c r="J1329" s="16">
        <v>891.8</v>
      </c>
      <c r="K1329" s="14" t="s">
        <v>225</v>
      </c>
    </row>
    <row r="1330" spans="1:11" ht="15" customHeight="1">
      <c r="A1330" s="13">
        <v>46030</v>
      </c>
      <c r="B1330" s="14" t="s">
        <v>358</v>
      </c>
      <c r="C1330" s="14"/>
      <c r="D1330" s="14" t="s">
        <v>48</v>
      </c>
      <c r="E1330" s="14" t="str">
        <f>_xlfn.XLOOKUP($D1330,'Chart of Accounts'!$A:$A,'Chart of Accounts'!B:B,"")</f>
        <v>Accounts Receivable - Trade</v>
      </c>
      <c r="F1330" s="14" t="str">
        <f>_xlfn.XLOOKUP($D1330,'Chart of Accounts'!$A:$A,'Chart of Accounts'!C:C,"")</f>
        <v>Asset</v>
      </c>
      <c r="G1330" s="14" t="s">
        <v>525</v>
      </c>
      <c r="H1330" s="16">
        <v>89973.02</v>
      </c>
      <c r="I1330" s="16"/>
      <c r="J1330" s="16">
        <v>89973.02</v>
      </c>
      <c r="K1330" s="14" t="s">
        <v>225</v>
      </c>
    </row>
    <row r="1331" spans="1:11" ht="15" customHeight="1">
      <c r="A1331" s="13">
        <v>46034</v>
      </c>
      <c r="B1331" s="14" t="s">
        <v>358</v>
      </c>
      <c r="C1331" s="14"/>
      <c r="D1331" s="14" t="s">
        <v>40</v>
      </c>
      <c r="E1331" s="14" t="str">
        <f>_xlfn.XLOOKUP($D1331,'Chart of Accounts'!$A:$A,'Chart of Accounts'!B:B,"")</f>
        <v>Cash - Operating</v>
      </c>
      <c r="F1331" s="14" t="str">
        <f>_xlfn.XLOOKUP($D1331,'Chart of Accounts'!$A:$A,'Chart of Accounts'!C:C,"")</f>
        <v>Asset</v>
      </c>
      <c r="G1331" s="14" t="s">
        <v>501</v>
      </c>
      <c r="H1331" s="16">
        <v>149261.82999999999</v>
      </c>
      <c r="I1331" s="16"/>
      <c r="J1331" s="16">
        <v>149261.82999999999</v>
      </c>
      <c r="K1331" s="14" t="s">
        <v>225</v>
      </c>
    </row>
    <row r="1332" spans="1:11" ht="15" customHeight="1">
      <c r="A1332" s="13">
        <v>46054</v>
      </c>
      <c r="B1332" s="14" t="s">
        <v>552</v>
      </c>
      <c r="C1332" s="19" t="s">
        <v>46</v>
      </c>
      <c r="D1332" s="15" t="s">
        <v>53</v>
      </c>
      <c r="E1332" s="14" t="str">
        <f>_xlfn.XLOOKUP($D1332,'Chart of Accounts'!$A:$A,'Chart of Accounts'!B:B,"")</f>
        <v>Prepaid Expenses</v>
      </c>
      <c r="F1332" s="14" t="str">
        <f>_xlfn.XLOOKUP($D1332,'Chart of Accounts'!$A:$A,'Chart of Accounts'!C:C,"")</f>
        <v>Asset</v>
      </c>
      <c r="G1332" s="14" t="s">
        <v>479</v>
      </c>
      <c r="H1332" s="16"/>
      <c r="I1332" s="16">
        <v>2700.01</v>
      </c>
      <c r="J1332" s="16">
        <v>-2700</v>
      </c>
      <c r="K1332" s="14" t="s">
        <v>225</v>
      </c>
    </row>
    <row r="1333" spans="1:11" ht="15" customHeight="1">
      <c r="A1333" s="13">
        <v>46054</v>
      </c>
      <c r="B1333" s="14" t="s">
        <v>552</v>
      </c>
      <c r="C1333" s="19" t="s">
        <v>12</v>
      </c>
      <c r="D1333" s="14" t="s">
        <v>117</v>
      </c>
      <c r="E1333" s="14" t="str">
        <f>_xlfn.XLOOKUP($D1333,'Chart of Accounts'!$A:$A,'Chart of Accounts'!B:B,"")</f>
        <v>Insurance</v>
      </c>
      <c r="F1333" s="14" t="str">
        <f>_xlfn.XLOOKUP($D1333,'Chart of Accounts'!$A:$A,'Chart of Accounts'!C:C,"")</f>
        <v>Expense</v>
      </c>
      <c r="G1333" s="14" t="s">
        <v>479</v>
      </c>
      <c r="H1333" s="16">
        <v>111.04</v>
      </c>
      <c r="I1333" s="16"/>
      <c r="J1333" s="16">
        <v>111.04</v>
      </c>
      <c r="K1333" s="14" t="s">
        <v>225</v>
      </c>
    </row>
    <row r="1334" spans="1:11" ht="15" customHeight="1">
      <c r="A1334" s="13">
        <v>46042</v>
      </c>
      <c r="B1334" s="14" t="s">
        <v>456</v>
      </c>
      <c r="C1334" s="14"/>
      <c r="D1334" s="14" t="s">
        <v>40</v>
      </c>
      <c r="E1334" s="14" t="str">
        <f>_xlfn.XLOOKUP($D1334,'Chart of Accounts'!$A:$A,'Chart of Accounts'!B:B,"")</f>
        <v>Cash - Operating</v>
      </c>
      <c r="F1334" s="14" t="str">
        <f>_xlfn.XLOOKUP($D1334,'Chart of Accounts'!$A:$A,'Chart of Accounts'!C:C,"")</f>
        <v>Asset</v>
      </c>
      <c r="G1334" s="14" t="s">
        <v>423</v>
      </c>
      <c r="H1334" s="16"/>
      <c r="I1334" s="16">
        <v>18029.22</v>
      </c>
      <c r="J1334" s="16">
        <v>-18029.22</v>
      </c>
      <c r="K1334" s="14" t="s">
        <v>225</v>
      </c>
    </row>
    <row r="1335" spans="1:11" ht="15" customHeight="1">
      <c r="A1335" s="13">
        <v>46053</v>
      </c>
      <c r="B1335" s="14" t="s">
        <v>553</v>
      </c>
      <c r="C1335" s="19" t="s">
        <v>46</v>
      </c>
      <c r="D1335" s="14" t="s">
        <v>121</v>
      </c>
      <c r="E1335" s="14" t="str">
        <f>_xlfn.XLOOKUP($D1335,'Chart of Accounts'!$A:$A,'Chart of Accounts'!B:B,"")</f>
        <v>Bank Fees</v>
      </c>
      <c r="F1335" s="14" t="str">
        <f>_xlfn.XLOOKUP($D1335,'Chart of Accounts'!$A:$A,'Chart of Accounts'!C:C,"")</f>
        <v>Expense</v>
      </c>
      <c r="G1335" s="14" t="s">
        <v>503</v>
      </c>
      <c r="H1335" s="16">
        <v>91.86</v>
      </c>
      <c r="I1335" s="16"/>
      <c r="J1335" s="16">
        <v>91.86</v>
      </c>
      <c r="K1335" s="14" t="s">
        <v>225</v>
      </c>
    </row>
    <row r="1336" spans="1:11" ht="15" customHeight="1">
      <c r="A1336" s="13">
        <v>46053</v>
      </c>
      <c r="B1336" s="14" t="s">
        <v>553</v>
      </c>
      <c r="C1336" s="14"/>
      <c r="D1336" s="14" t="s">
        <v>40</v>
      </c>
      <c r="E1336" s="14" t="str">
        <f>_xlfn.XLOOKUP($D1336,'Chart of Accounts'!$A:$A,'Chart of Accounts'!B:B,"")</f>
        <v>Cash - Operating</v>
      </c>
      <c r="F1336" s="14" t="str">
        <f>_xlfn.XLOOKUP($D1336,'Chart of Accounts'!$A:$A,'Chart of Accounts'!C:C,"")</f>
        <v>Asset</v>
      </c>
      <c r="G1336" s="14" t="s">
        <v>503</v>
      </c>
      <c r="H1336" s="16"/>
      <c r="I1336" s="16">
        <v>91.86</v>
      </c>
      <c r="J1336" s="16">
        <v>-91.86</v>
      </c>
      <c r="K1336" s="14" t="s">
        <v>225</v>
      </c>
    </row>
    <row r="1337" spans="1:11" ht="15" customHeight="1">
      <c r="A1337" s="13">
        <v>46031</v>
      </c>
      <c r="B1337" s="14" t="s">
        <v>455</v>
      </c>
      <c r="C1337" s="19" t="s">
        <v>20</v>
      </c>
      <c r="D1337" s="14" t="s">
        <v>101</v>
      </c>
      <c r="E1337" s="14" t="str">
        <f>_xlfn.XLOOKUP($D1337,'Chart of Accounts'!$A:$A,'Chart of Accounts'!B:B,"")</f>
        <v>Contract Labor / Consultants</v>
      </c>
      <c r="F1337" s="14" t="str">
        <f>_xlfn.XLOOKUP($D1337,'Chart of Accounts'!$A:$A,'Chart of Accounts'!C:C,"")</f>
        <v>Expense</v>
      </c>
      <c r="G1337" s="14" t="s">
        <v>439</v>
      </c>
      <c r="H1337" s="16">
        <v>9412.7999999999993</v>
      </c>
      <c r="I1337" s="16"/>
      <c r="J1337" s="16">
        <v>9412.7999999999993</v>
      </c>
      <c r="K1337" s="14" t="s">
        <v>225</v>
      </c>
    </row>
    <row r="1338" spans="1:11" ht="15" customHeight="1">
      <c r="A1338" s="13">
        <v>46054</v>
      </c>
      <c r="B1338" s="14" t="s">
        <v>552</v>
      </c>
      <c r="C1338" s="19" t="s">
        <v>14</v>
      </c>
      <c r="D1338" s="14" t="s">
        <v>117</v>
      </c>
      <c r="E1338" s="14" t="str">
        <f>_xlfn.XLOOKUP($D1338,'Chart of Accounts'!$A:$A,'Chart of Accounts'!B:B,"")</f>
        <v>Insurance</v>
      </c>
      <c r="F1338" s="14" t="str">
        <f>_xlfn.XLOOKUP($D1338,'Chart of Accounts'!$A:$A,'Chart of Accounts'!C:C,"")</f>
        <v>Expense</v>
      </c>
      <c r="G1338" s="14" t="s">
        <v>479</v>
      </c>
      <c r="H1338" s="16">
        <v>126.93</v>
      </c>
      <c r="I1338" s="16"/>
      <c r="J1338" s="16">
        <v>126.93</v>
      </c>
      <c r="K1338" s="14" t="s">
        <v>225</v>
      </c>
    </row>
    <row r="1339" spans="1:11" ht="15" customHeight="1">
      <c r="A1339" s="13">
        <v>46050</v>
      </c>
      <c r="B1339" s="14" t="s">
        <v>554</v>
      </c>
      <c r="C1339" s="19" t="s">
        <v>16</v>
      </c>
      <c r="D1339" s="14" t="s">
        <v>111</v>
      </c>
      <c r="E1339" s="14" t="str">
        <f>_xlfn.XLOOKUP($D1339,'Chart of Accounts'!$A:$A,'Chart of Accounts'!B:B,"")</f>
        <v>Meals and Entertainment</v>
      </c>
      <c r="F1339" s="14" t="str">
        <f>_xlfn.XLOOKUP($D1339,'Chart of Accounts'!$A:$A,'Chart of Accounts'!C:C,"")</f>
        <v>Expense</v>
      </c>
      <c r="G1339" s="14" t="s">
        <v>505</v>
      </c>
      <c r="H1339" s="16">
        <v>596.09</v>
      </c>
      <c r="I1339" s="16"/>
      <c r="J1339" s="16">
        <v>596.09</v>
      </c>
      <c r="K1339" s="14" t="s">
        <v>225</v>
      </c>
    </row>
    <row r="1340" spans="1:11" ht="15" customHeight="1">
      <c r="A1340" s="13">
        <v>46050</v>
      </c>
      <c r="B1340" s="14" t="s">
        <v>554</v>
      </c>
      <c r="C1340" s="14"/>
      <c r="D1340" s="14" t="s">
        <v>40</v>
      </c>
      <c r="E1340" s="14" t="str">
        <f>_xlfn.XLOOKUP($D1340,'Chart of Accounts'!$A:$A,'Chart of Accounts'!B:B,"")</f>
        <v>Cash - Operating</v>
      </c>
      <c r="F1340" s="14" t="str">
        <f>_xlfn.XLOOKUP($D1340,'Chart of Accounts'!$A:$A,'Chart of Accounts'!C:C,"")</f>
        <v>Asset</v>
      </c>
      <c r="G1340" s="14" t="s">
        <v>505</v>
      </c>
      <c r="H1340" s="16"/>
      <c r="I1340" s="16">
        <v>596.09</v>
      </c>
      <c r="J1340" s="16">
        <v>-596.09</v>
      </c>
      <c r="K1340" s="14" t="s">
        <v>225</v>
      </c>
    </row>
    <row r="1341" spans="1:11" ht="15" customHeight="1">
      <c r="A1341" s="13">
        <v>46024</v>
      </c>
      <c r="B1341" s="14" t="s">
        <v>555</v>
      </c>
      <c r="C1341" s="19" t="s">
        <v>16</v>
      </c>
      <c r="D1341" s="14" t="s">
        <v>109</v>
      </c>
      <c r="E1341" s="14" t="str">
        <f>_xlfn.XLOOKUP($D1341,'Chart of Accounts'!$A:$A,'Chart of Accounts'!B:B,"")</f>
        <v>Travel</v>
      </c>
      <c r="F1341" s="14" t="str">
        <f>_xlfn.XLOOKUP($D1341,'Chart of Accounts'!$A:$A,'Chart of Accounts'!C:C,"")</f>
        <v>Expense</v>
      </c>
      <c r="G1341" s="14" t="s">
        <v>518</v>
      </c>
      <c r="H1341" s="16">
        <v>3148.23</v>
      </c>
      <c r="I1341" s="16"/>
      <c r="J1341" s="16">
        <v>3148.23</v>
      </c>
      <c r="K1341" s="14" t="s">
        <v>225</v>
      </c>
    </row>
    <row r="1342" spans="1:11" ht="15" customHeight="1">
      <c r="A1342" s="13">
        <v>46024</v>
      </c>
      <c r="B1342" s="14" t="s">
        <v>555</v>
      </c>
      <c r="C1342" s="14"/>
      <c r="D1342" s="14" t="s">
        <v>40</v>
      </c>
      <c r="E1342" s="14" t="str">
        <f>_xlfn.XLOOKUP($D1342,'Chart of Accounts'!$A:$A,'Chart of Accounts'!B:B,"")</f>
        <v>Cash - Operating</v>
      </c>
      <c r="F1342" s="14" t="str">
        <f>_xlfn.XLOOKUP($D1342,'Chart of Accounts'!$A:$A,'Chart of Accounts'!C:C,"")</f>
        <v>Asset</v>
      </c>
      <c r="G1342" s="14" t="s">
        <v>518</v>
      </c>
      <c r="H1342" s="16"/>
      <c r="I1342" s="16">
        <v>3148.23</v>
      </c>
      <c r="J1342" s="16">
        <v>-3148.23</v>
      </c>
      <c r="K1342" s="14" t="s">
        <v>225</v>
      </c>
    </row>
    <row r="1343" spans="1:11" ht="15" customHeight="1">
      <c r="A1343" s="13">
        <v>46030</v>
      </c>
      <c r="B1343" s="14" t="s">
        <v>454</v>
      </c>
      <c r="C1343" s="17" t="s">
        <v>12</v>
      </c>
      <c r="D1343" s="14" t="s">
        <v>105</v>
      </c>
      <c r="E1343" s="14" t="str">
        <f>_xlfn.XLOOKUP($D1343,'Chart of Accounts'!$A:$A,'Chart of Accounts'!B:B,"")</f>
        <v>Office Supplies</v>
      </c>
      <c r="F1343" s="14" t="str">
        <f>_xlfn.XLOOKUP($D1343,'Chart of Accounts'!$A:$A,'Chart of Accounts'!C:C,"")</f>
        <v>Expense</v>
      </c>
      <c r="G1343" s="14" t="s">
        <v>421</v>
      </c>
      <c r="H1343" s="16">
        <v>357.19</v>
      </c>
      <c r="I1343" s="16"/>
      <c r="J1343" s="16">
        <v>357.19</v>
      </c>
      <c r="K1343" s="14" t="s">
        <v>225</v>
      </c>
    </row>
    <row r="1344" spans="1:11" ht="15" customHeight="1">
      <c r="A1344" s="13">
        <v>46054</v>
      </c>
      <c r="B1344" s="14" t="s">
        <v>552</v>
      </c>
      <c r="C1344" s="19" t="s">
        <v>16</v>
      </c>
      <c r="D1344" s="14" t="s">
        <v>117</v>
      </c>
      <c r="E1344" s="14" t="str">
        <f>_xlfn.XLOOKUP($D1344,'Chart of Accounts'!$A:$A,'Chart of Accounts'!B:B,"")</f>
        <v>Insurance</v>
      </c>
      <c r="F1344" s="14" t="str">
        <f>_xlfn.XLOOKUP($D1344,'Chart of Accounts'!$A:$A,'Chart of Accounts'!C:C,"")</f>
        <v>Expense</v>
      </c>
      <c r="G1344" s="14" t="s">
        <v>479</v>
      </c>
      <c r="H1344" s="16">
        <v>95.19</v>
      </c>
      <c r="I1344" s="16"/>
      <c r="J1344" s="16">
        <v>95.19</v>
      </c>
      <c r="K1344" s="14" t="s">
        <v>225</v>
      </c>
    </row>
    <row r="1345" spans="1:11" ht="15" customHeight="1">
      <c r="A1345" s="13">
        <v>46040</v>
      </c>
      <c r="B1345" s="14" t="s">
        <v>453</v>
      </c>
      <c r="C1345" s="17" t="s">
        <v>14</v>
      </c>
      <c r="D1345" s="14" t="s">
        <v>105</v>
      </c>
      <c r="E1345" s="14" t="str">
        <f>_xlfn.XLOOKUP($D1345,'Chart of Accounts'!$A:$A,'Chart of Accounts'!B:B,"")</f>
        <v>Office Supplies</v>
      </c>
      <c r="F1345" s="14" t="str">
        <f>_xlfn.XLOOKUP($D1345,'Chart of Accounts'!$A:$A,'Chart of Accounts'!C:C,"")</f>
        <v>Expense</v>
      </c>
      <c r="G1345" s="14" t="s">
        <v>421</v>
      </c>
      <c r="H1345" s="16">
        <v>196.2</v>
      </c>
      <c r="I1345" s="16"/>
      <c r="J1345" s="16">
        <v>196.2</v>
      </c>
      <c r="K1345" s="14" t="s">
        <v>225</v>
      </c>
    </row>
    <row r="1346" spans="1:11" ht="15" customHeight="1">
      <c r="A1346" s="13">
        <v>46054</v>
      </c>
      <c r="B1346" s="14" t="s">
        <v>552</v>
      </c>
      <c r="C1346" s="19" t="s">
        <v>18</v>
      </c>
      <c r="D1346" s="14" t="s">
        <v>117</v>
      </c>
      <c r="E1346" s="14" t="str">
        <f>_xlfn.XLOOKUP($D1346,'Chart of Accounts'!$A:$A,'Chart of Accounts'!B:B,"")</f>
        <v>Insurance</v>
      </c>
      <c r="F1346" s="14" t="str">
        <f>_xlfn.XLOOKUP($D1346,'Chart of Accounts'!$A:$A,'Chart of Accounts'!C:C,"")</f>
        <v>Expense</v>
      </c>
      <c r="G1346" s="14" t="s">
        <v>479</v>
      </c>
      <c r="H1346" s="16">
        <v>126.92</v>
      </c>
      <c r="I1346" s="16"/>
      <c r="J1346" s="16">
        <v>126.92</v>
      </c>
      <c r="K1346" s="14" t="s">
        <v>225</v>
      </c>
    </row>
    <row r="1347" spans="1:11" ht="15" customHeight="1">
      <c r="A1347" s="13">
        <v>46054</v>
      </c>
      <c r="B1347" s="14" t="s">
        <v>552</v>
      </c>
      <c r="C1347" s="19" t="s">
        <v>20</v>
      </c>
      <c r="D1347" s="14" t="s">
        <v>117</v>
      </c>
      <c r="E1347" s="14" t="str">
        <f>_xlfn.XLOOKUP($D1347,'Chart of Accounts'!$A:$A,'Chart of Accounts'!B:B,"")</f>
        <v>Insurance</v>
      </c>
      <c r="F1347" s="14" t="str">
        <f>_xlfn.XLOOKUP($D1347,'Chart of Accounts'!$A:$A,'Chart of Accounts'!C:C,"")</f>
        <v>Expense</v>
      </c>
      <c r="G1347" s="14" t="s">
        <v>479</v>
      </c>
      <c r="H1347" s="16">
        <v>126.92</v>
      </c>
      <c r="I1347" s="16"/>
      <c r="J1347" s="16">
        <v>126.92</v>
      </c>
      <c r="K1347" s="14" t="s">
        <v>225</v>
      </c>
    </row>
    <row r="1348" spans="1:11" ht="15" customHeight="1">
      <c r="A1348" s="13">
        <v>46054</v>
      </c>
      <c r="B1348" s="14" t="s">
        <v>552</v>
      </c>
      <c r="C1348" s="19" t="s">
        <v>4</v>
      </c>
      <c r="D1348" s="14" t="s">
        <v>117</v>
      </c>
      <c r="E1348" s="14" t="str">
        <f>_xlfn.XLOOKUP($D1348,'Chart of Accounts'!$A:$A,'Chart of Accounts'!B:B,"")</f>
        <v>Insurance</v>
      </c>
      <c r="F1348" s="14" t="str">
        <f>_xlfn.XLOOKUP($D1348,'Chart of Accounts'!$A:$A,'Chart of Accounts'!C:C,"")</f>
        <v>Expense</v>
      </c>
      <c r="G1348" s="14" t="s">
        <v>479</v>
      </c>
      <c r="H1348" s="16">
        <v>422.6</v>
      </c>
      <c r="I1348" s="16"/>
      <c r="J1348" s="16">
        <v>422.6</v>
      </c>
      <c r="K1348" s="14" t="s">
        <v>225</v>
      </c>
    </row>
    <row r="1349" spans="1:11" ht="15" customHeight="1">
      <c r="A1349" s="13">
        <v>46032</v>
      </c>
      <c r="B1349" s="14" t="s">
        <v>452</v>
      </c>
      <c r="C1349" s="14"/>
      <c r="D1349" s="14" t="s">
        <v>40</v>
      </c>
      <c r="E1349" s="14" t="str">
        <f>_xlfn.XLOOKUP($D1349,'Chart of Accounts'!$A:$A,'Chart of Accounts'!B:B,"")</f>
        <v>Cash - Operating</v>
      </c>
      <c r="F1349" s="14" t="str">
        <f>_xlfn.XLOOKUP($D1349,'Chart of Accounts'!$A:$A,'Chart of Accounts'!C:C,"")</f>
        <v>Asset</v>
      </c>
      <c r="G1349" s="14" t="s">
        <v>419</v>
      </c>
      <c r="H1349" s="16"/>
      <c r="I1349" s="16">
        <v>8100</v>
      </c>
      <c r="J1349" s="16">
        <v>-8100</v>
      </c>
      <c r="K1349" s="14" t="s">
        <v>225</v>
      </c>
    </row>
    <row r="1350" spans="1:11" ht="15" customHeight="1">
      <c r="A1350" s="13">
        <v>46025</v>
      </c>
      <c r="B1350" s="14" t="s">
        <v>556</v>
      </c>
      <c r="C1350" s="17" t="s">
        <v>12</v>
      </c>
      <c r="D1350" s="14" t="s">
        <v>107</v>
      </c>
      <c r="E1350" s="14" t="str">
        <f>_xlfn.XLOOKUP($D1350,'Chart of Accounts'!$A:$A,'Chart of Accounts'!B:B,"")</f>
        <v>Software and Subscriptions</v>
      </c>
      <c r="F1350" s="14" t="str">
        <f>_xlfn.XLOOKUP($D1350,'Chart of Accounts'!$A:$A,'Chart of Accounts'!C:C,"")</f>
        <v>Expense</v>
      </c>
      <c r="G1350" s="14" t="s">
        <v>507</v>
      </c>
      <c r="H1350" s="16">
        <v>2469.64</v>
      </c>
      <c r="I1350" s="16"/>
      <c r="J1350" s="16">
        <v>2469.64</v>
      </c>
      <c r="K1350" s="14" t="s">
        <v>225</v>
      </c>
    </row>
    <row r="1351" spans="1:11" ht="15" customHeight="1">
      <c r="A1351" s="13">
        <v>46025</v>
      </c>
      <c r="B1351" s="14" t="s">
        <v>556</v>
      </c>
      <c r="C1351" s="14"/>
      <c r="D1351" s="14" t="s">
        <v>40</v>
      </c>
      <c r="E1351" s="14" t="str">
        <f>_xlfn.XLOOKUP($D1351,'Chart of Accounts'!$A:$A,'Chart of Accounts'!B:B,"")</f>
        <v>Cash - Operating</v>
      </c>
      <c r="F1351" s="14" t="str">
        <f>_xlfn.XLOOKUP($D1351,'Chart of Accounts'!$A:$A,'Chart of Accounts'!C:C,"")</f>
        <v>Asset</v>
      </c>
      <c r="G1351" s="14" t="s">
        <v>507</v>
      </c>
      <c r="H1351" s="16"/>
      <c r="I1351" s="16">
        <v>2469.64</v>
      </c>
      <c r="J1351" s="16">
        <v>-2469.64</v>
      </c>
      <c r="K1351" s="14" t="s">
        <v>225</v>
      </c>
    </row>
    <row r="1352" spans="1:11" ht="15" customHeight="1">
      <c r="A1352" s="13">
        <v>46023</v>
      </c>
      <c r="B1352" s="14" t="s">
        <v>451</v>
      </c>
      <c r="C1352" s="19" t="s">
        <v>4</v>
      </c>
      <c r="D1352" s="14" t="s">
        <v>33</v>
      </c>
      <c r="E1352" s="14" t="str">
        <f>_xlfn.XLOOKUP($D1352,'Chart of Accounts'!$A:$A,'Chart of Accounts'!B:B,"")</f>
        <v>Utilities</v>
      </c>
      <c r="F1352" s="14" t="str">
        <f>_xlfn.XLOOKUP($D1352,'Chart of Accounts'!$A:$A,'Chart of Accounts'!C:C,"")</f>
        <v>Expense</v>
      </c>
      <c r="G1352" s="14" t="s">
        <v>417</v>
      </c>
      <c r="H1352" s="16">
        <v>81.266999999999996</v>
      </c>
      <c r="I1352" s="16"/>
      <c r="J1352" s="16">
        <v>81.266999999999996</v>
      </c>
      <c r="K1352" s="14" t="s">
        <v>225</v>
      </c>
    </row>
    <row r="1353" spans="1:11" ht="15" customHeight="1">
      <c r="A1353" s="13">
        <v>46023</v>
      </c>
      <c r="B1353" s="14" t="s">
        <v>451</v>
      </c>
      <c r="C1353" s="19" t="s">
        <v>6</v>
      </c>
      <c r="D1353" s="14" t="s">
        <v>33</v>
      </c>
      <c r="E1353" s="14" t="str">
        <f>_xlfn.XLOOKUP($D1353,'Chart of Accounts'!$A:$A,'Chart of Accounts'!B:B,"")</f>
        <v>Utilities</v>
      </c>
      <c r="F1353" s="14" t="str">
        <f>_xlfn.XLOOKUP($D1353,'Chart of Accounts'!$A:$A,'Chart of Accounts'!C:C,"")</f>
        <v>Expense</v>
      </c>
      <c r="G1353" s="14" t="s">
        <v>417</v>
      </c>
      <c r="H1353" s="16">
        <v>108.35599999999999</v>
      </c>
      <c r="I1353" s="16"/>
      <c r="J1353" s="16">
        <v>108.35599999999999</v>
      </c>
      <c r="K1353" s="14" t="s">
        <v>225</v>
      </c>
    </row>
    <row r="1354" spans="1:11" ht="15" customHeight="1">
      <c r="A1354" s="13">
        <v>46023</v>
      </c>
      <c r="B1354" s="14" t="s">
        <v>451</v>
      </c>
      <c r="C1354" s="19" t="s">
        <v>8</v>
      </c>
      <c r="D1354" s="14" t="s">
        <v>33</v>
      </c>
      <c r="E1354" s="14" t="str">
        <f>_xlfn.XLOOKUP($D1354,'Chart of Accounts'!$A:$A,'Chart of Accounts'!B:B,"")</f>
        <v>Utilities</v>
      </c>
      <c r="F1354" s="14" t="str">
        <f>_xlfn.XLOOKUP($D1354,'Chart of Accounts'!$A:$A,'Chart of Accounts'!C:C,"")</f>
        <v>Expense</v>
      </c>
      <c r="G1354" s="14" t="s">
        <v>417</v>
      </c>
      <c r="H1354" s="16">
        <v>108.35599999999999</v>
      </c>
      <c r="I1354" s="16"/>
      <c r="J1354" s="16">
        <v>108.35599999999999</v>
      </c>
      <c r="K1354" s="14" t="s">
        <v>225</v>
      </c>
    </row>
    <row r="1355" spans="1:11" ht="15" customHeight="1">
      <c r="A1355" s="13">
        <v>46023</v>
      </c>
      <c r="B1355" s="14" t="s">
        <v>451</v>
      </c>
      <c r="C1355" s="19" t="s">
        <v>10</v>
      </c>
      <c r="D1355" s="14" t="s">
        <v>33</v>
      </c>
      <c r="E1355" s="14" t="str">
        <f>_xlfn.XLOOKUP($D1355,'Chart of Accounts'!$A:$A,'Chart of Accounts'!B:B,"")</f>
        <v>Utilities</v>
      </c>
      <c r="F1355" s="14" t="str">
        <f>_xlfn.XLOOKUP($D1355,'Chart of Accounts'!$A:$A,'Chart of Accounts'!C:C,"")</f>
        <v>Expense</v>
      </c>
      <c r="G1355" s="14" t="s">
        <v>417</v>
      </c>
      <c r="H1355" s="16">
        <v>108.35599999999999</v>
      </c>
      <c r="I1355" s="16"/>
      <c r="J1355" s="16">
        <v>108.35599999999999</v>
      </c>
      <c r="K1355" s="14" t="s">
        <v>225</v>
      </c>
    </row>
    <row r="1356" spans="1:11" ht="15" customHeight="1">
      <c r="A1356" s="13">
        <v>46023</v>
      </c>
      <c r="B1356" s="14" t="s">
        <v>451</v>
      </c>
      <c r="C1356" s="19" t="s">
        <v>12</v>
      </c>
      <c r="D1356" s="14" t="s">
        <v>33</v>
      </c>
      <c r="E1356" s="14" t="str">
        <f>_xlfn.XLOOKUP($D1356,'Chart of Accounts'!$A:$A,'Chart of Accounts'!B:B,"")</f>
        <v>Utilities</v>
      </c>
      <c r="F1356" s="14" t="str">
        <f>_xlfn.XLOOKUP($D1356,'Chart of Accounts'!$A:$A,'Chart of Accounts'!C:C,"")</f>
        <v>Expense</v>
      </c>
      <c r="G1356" s="14" t="s">
        <v>417</v>
      </c>
      <c r="H1356" s="16">
        <v>189.62299999999999</v>
      </c>
      <c r="I1356" s="16"/>
      <c r="J1356" s="16">
        <v>189.62299999999999</v>
      </c>
      <c r="K1356" s="14" t="s">
        <v>225</v>
      </c>
    </row>
    <row r="1357" spans="1:11" ht="15" customHeight="1">
      <c r="A1357" s="13">
        <v>46023</v>
      </c>
      <c r="B1357" s="14" t="s">
        <v>451</v>
      </c>
      <c r="C1357" s="19" t="s">
        <v>14</v>
      </c>
      <c r="D1357" s="14" t="s">
        <v>33</v>
      </c>
      <c r="E1357" s="14" t="str">
        <f>_xlfn.XLOOKUP($D1357,'Chart of Accounts'!$A:$A,'Chart of Accounts'!B:B,"")</f>
        <v>Utilities</v>
      </c>
      <c r="F1357" s="14" t="str">
        <f>_xlfn.XLOOKUP($D1357,'Chart of Accounts'!$A:$A,'Chart of Accounts'!C:C,"")</f>
        <v>Expense</v>
      </c>
      <c r="G1357" s="14" t="s">
        <v>417</v>
      </c>
      <c r="H1357" s="16">
        <v>216.71199999999999</v>
      </c>
      <c r="I1357" s="16"/>
      <c r="J1357" s="16">
        <v>216.71199999999999</v>
      </c>
      <c r="K1357" s="14" t="s">
        <v>225</v>
      </c>
    </row>
    <row r="1358" spans="1:11" ht="15" customHeight="1">
      <c r="A1358" s="13">
        <v>46023</v>
      </c>
      <c r="B1358" s="14" t="s">
        <v>451</v>
      </c>
      <c r="C1358" s="19" t="s">
        <v>16</v>
      </c>
      <c r="D1358" s="14" t="s">
        <v>33</v>
      </c>
      <c r="E1358" s="14" t="str">
        <f>_xlfn.XLOOKUP($D1358,'Chart of Accounts'!$A:$A,'Chart of Accounts'!B:B,"")</f>
        <v>Utilities</v>
      </c>
      <c r="F1358" s="14" t="str">
        <f>_xlfn.XLOOKUP($D1358,'Chart of Accounts'!$A:$A,'Chart of Accounts'!C:C,"")</f>
        <v>Expense</v>
      </c>
      <c r="G1358" s="14" t="s">
        <v>417</v>
      </c>
      <c r="H1358" s="16">
        <v>162.53399999999999</v>
      </c>
      <c r="I1358" s="16"/>
      <c r="J1358" s="16">
        <v>162.53399999999999</v>
      </c>
      <c r="K1358" s="14" t="s">
        <v>225</v>
      </c>
    </row>
    <row r="1359" spans="1:11" ht="15" customHeight="1">
      <c r="A1359" s="13">
        <v>46023</v>
      </c>
      <c r="B1359" s="14" t="s">
        <v>451</v>
      </c>
      <c r="C1359" s="19" t="s">
        <v>18</v>
      </c>
      <c r="D1359" s="14" t="s">
        <v>33</v>
      </c>
      <c r="E1359" s="14" t="str">
        <f>_xlfn.XLOOKUP($D1359,'Chart of Accounts'!$A:$A,'Chart of Accounts'!B:B,"")</f>
        <v>Utilities</v>
      </c>
      <c r="F1359" s="14" t="str">
        <f>_xlfn.XLOOKUP($D1359,'Chart of Accounts'!$A:$A,'Chart of Accounts'!C:C,"")</f>
        <v>Expense</v>
      </c>
      <c r="G1359" s="14" t="s">
        <v>417</v>
      </c>
      <c r="H1359" s="16">
        <v>162.53399999999999</v>
      </c>
      <c r="I1359" s="16"/>
      <c r="J1359" s="16">
        <v>162.53399999999999</v>
      </c>
      <c r="K1359" s="14" t="s">
        <v>225</v>
      </c>
    </row>
    <row r="1360" spans="1:11" ht="15" customHeight="1">
      <c r="A1360" s="13">
        <v>46023</v>
      </c>
      <c r="B1360" s="14" t="s">
        <v>451</v>
      </c>
      <c r="C1360" s="19" t="s">
        <v>20</v>
      </c>
      <c r="D1360" s="14" t="s">
        <v>33</v>
      </c>
      <c r="E1360" s="14" t="str">
        <f>_xlfn.XLOOKUP($D1360,'Chart of Accounts'!$A:$A,'Chart of Accounts'!B:B,"")</f>
        <v>Utilities</v>
      </c>
      <c r="F1360" s="14" t="str">
        <f>_xlfn.XLOOKUP($D1360,'Chart of Accounts'!$A:$A,'Chart of Accounts'!C:C,"")</f>
        <v>Expense</v>
      </c>
      <c r="G1360" s="14" t="s">
        <v>417</v>
      </c>
      <c r="H1360" s="16">
        <v>216.71199999999999</v>
      </c>
      <c r="I1360" s="16"/>
      <c r="J1360" s="16">
        <v>216.71199999999999</v>
      </c>
      <c r="K1360" s="14" t="s">
        <v>225</v>
      </c>
    </row>
    <row r="1361" spans="1:11" ht="15" customHeight="1">
      <c r="A1361" s="13">
        <v>46054</v>
      </c>
      <c r="B1361" s="14" t="s">
        <v>552</v>
      </c>
      <c r="C1361" s="19" t="s">
        <v>6</v>
      </c>
      <c r="D1361" s="14" t="s">
        <v>117</v>
      </c>
      <c r="E1361" s="14" t="str">
        <f>_xlfn.XLOOKUP($D1361,'Chart of Accounts'!$A:$A,'Chart of Accounts'!B:B,"")</f>
        <v>Insurance</v>
      </c>
      <c r="F1361" s="14" t="str">
        <f>_xlfn.XLOOKUP($D1361,'Chart of Accounts'!$A:$A,'Chart of Accounts'!C:C,"")</f>
        <v>Expense</v>
      </c>
      <c r="G1361" s="14" t="s">
        <v>479</v>
      </c>
      <c r="H1361" s="16">
        <v>563.47</v>
      </c>
      <c r="I1361" s="16"/>
      <c r="J1361" s="16">
        <v>563.47</v>
      </c>
      <c r="K1361" s="14" t="s">
        <v>225</v>
      </c>
    </row>
    <row r="1362" spans="1:11" ht="15" customHeight="1">
      <c r="A1362" s="13">
        <v>46023</v>
      </c>
      <c r="B1362" s="14" t="s">
        <v>508</v>
      </c>
      <c r="C1362" s="14"/>
      <c r="D1362" s="14" t="s">
        <v>63</v>
      </c>
      <c r="E1362" s="14" t="str">
        <f>_xlfn.XLOOKUP($D1362,'Chart of Accounts'!$A:$A,'Chart of Accounts'!B:B,"")</f>
        <v>Accounts Payable</v>
      </c>
      <c r="F1362" s="14" t="str">
        <f>_xlfn.XLOOKUP($D1362,'Chart of Accounts'!$A:$A,'Chart of Accounts'!C:C,"")</f>
        <v>Liability</v>
      </c>
      <c r="G1362" s="14" t="s">
        <v>509</v>
      </c>
      <c r="H1362" s="16"/>
      <c r="I1362" s="16">
        <v>9800</v>
      </c>
      <c r="J1362" s="16">
        <v>-9800</v>
      </c>
      <c r="K1362" s="14" t="s">
        <v>225</v>
      </c>
    </row>
    <row r="1363" spans="1:11" ht="15" customHeight="1">
      <c r="A1363" s="13">
        <v>46022</v>
      </c>
      <c r="B1363" s="14" t="s">
        <v>557</v>
      </c>
      <c r="C1363" s="14"/>
      <c r="D1363" s="14" t="s">
        <v>75</v>
      </c>
      <c r="E1363" s="14" t="str">
        <f>_xlfn.XLOOKUP($D1363,'Chart of Accounts'!$A:$A,'Chart of Accounts'!B:B,"")</f>
        <v>Notes Payable - Long Term</v>
      </c>
      <c r="F1363" s="14" t="str">
        <f>_xlfn.XLOOKUP($D1363,'Chart of Accounts'!$A:$A,'Chart of Accounts'!C:C,"")</f>
        <v>Liability</v>
      </c>
      <c r="G1363" s="14" t="s">
        <v>491</v>
      </c>
      <c r="H1363" s="16">
        <v>1180</v>
      </c>
      <c r="I1363" s="16"/>
      <c r="J1363" s="16">
        <v>1180</v>
      </c>
      <c r="K1363" s="14" t="s">
        <v>225</v>
      </c>
    </row>
    <row r="1364" spans="1:11" ht="15" customHeight="1">
      <c r="A1364" s="13">
        <v>46022</v>
      </c>
      <c r="B1364" s="14" t="s">
        <v>557</v>
      </c>
      <c r="C1364" s="14"/>
      <c r="D1364" s="14" t="s">
        <v>40</v>
      </c>
      <c r="E1364" s="14" t="str">
        <f>_xlfn.XLOOKUP($D1364,'Chart of Accounts'!$A:$A,'Chart of Accounts'!B:B,"")</f>
        <v>Cash - Operating</v>
      </c>
      <c r="F1364" s="14" t="str">
        <f>_xlfn.XLOOKUP($D1364,'Chart of Accounts'!$A:$A,'Chart of Accounts'!C:C,"")</f>
        <v>Asset</v>
      </c>
      <c r="G1364" s="14" t="s">
        <v>491</v>
      </c>
      <c r="H1364" s="16"/>
      <c r="I1364" s="16">
        <v>1569.58</v>
      </c>
      <c r="J1364" s="16">
        <v>-1569.58</v>
      </c>
      <c r="K1364" s="14" t="s">
        <v>225</v>
      </c>
    </row>
    <row r="1365" spans="1:11" ht="15" customHeight="1">
      <c r="A1365" s="13">
        <v>46022</v>
      </c>
      <c r="B1365" s="14" t="s">
        <v>558</v>
      </c>
      <c r="C1365" s="17" t="s">
        <v>10</v>
      </c>
      <c r="D1365" s="14" t="s">
        <v>105</v>
      </c>
      <c r="E1365" s="14" t="str">
        <f>_xlfn.XLOOKUP($D1365,'Chart of Accounts'!$A:$A,'Chart of Accounts'!B:B,"")</f>
        <v>Office Supplies</v>
      </c>
      <c r="F1365" s="14" t="str">
        <f>_xlfn.XLOOKUP($D1365,'Chart of Accounts'!$A:$A,'Chart of Accounts'!C:C,"")</f>
        <v>Expense</v>
      </c>
      <c r="G1365" s="14" t="s">
        <v>421</v>
      </c>
      <c r="H1365" s="16">
        <v>1040.81</v>
      </c>
      <c r="I1365" s="16"/>
      <c r="J1365" s="16">
        <v>1040.81</v>
      </c>
      <c r="K1365" s="14" t="s">
        <v>225</v>
      </c>
    </row>
    <row r="1366" spans="1:11" ht="15" customHeight="1">
      <c r="A1366" s="13">
        <v>46054</v>
      </c>
      <c r="B1366" s="14" t="s">
        <v>552</v>
      </c>
      <c r="C1366" s="19" t="s">
        <v>8</v>
      </c>
      <c r="D1366" s="14" t="s">
        <v>117</v>
      </c>
      <c r="E1366" s="14" t="str">
        <f>_xlfn.XLOOKUP($D1366,'Chart of Accounts'!$A:$A,'Chart of Accounts'!B:B,"")</f>
        <v>Insurance</v>
      </c>
      <c r="F1366" s="14" t="str">
        <f>_xlfn.XLOOKUP($D1366,'Chart of Accounts'!$A:$A,'Chart of Accounts'!C:C,"")</f>
        <v>Expense</v>
      </c>
      <c r="G1366" s="14" t="s">
        <v>479</v>
      </c>
      <c r="H1366" s="16">
        <v>563.47</v>
      </c>
      <c r="I1366" s="16"/>
      <c r="J1366" s="16">
        <v>563.47</v>
      </c>
      <c r="K1366" s="14" t="s">
        <v>225</v>
      </c>
    </row>
    <row r="1367" spans="1:11" ht="15" customHeight="1">
      <c r="A1367" s="13">
        <v>46022</v>
      </c>
      <c r="B1367" s="14" t="s">
        <v>494</v>
      </c>
      <c r="C1367" s="14"/>
      <c r="D1367" s="14" t="s">
        <v>58</v>
      </c>
      <c r="E1367" s="14" t="str">
        <f>_xlfn.XLOOKUP($D1367,'Chart of Accounts'!$A:$A,'Chart of Accounts'!B:B,"")</f>
        <v>Accumulated Depreciation</v>
      </c>
      <c r="F1367" s="14" t="str">
        <f>_xlfn.XLOOKUP($D1367,'Chart of Accounts'!$A:$A,'Chart of Accounts'!C:C,"")</f>
        <v>Asset</v>
      </c>
      <c r="G1367" s="14" t="s">
        <v>495</v>
      </c>
      <c r="H1367" s="16"/>
      <c r="I1367" s="16">
        <v>2450</v>
      </c>
      <c r="J1367" s="16">
        <v>-2450</v>
      </c>
      <c r="K1367" s="14" t="s">
        <v>225</v>
      </c>
    </row>
    <row r="1368" spans="1:11" ht="15" customHeight="1">
      <c r="A1368" s="13">
        <v>46022</v>
      </c>
      <c r="B1368" s="14" t="s">
        <v>559</v>
      </c>
      <c r="C1368" s="19" t="s">
        <v>46</v>
      </c>
      <c r="D1368" s="14" t="s">
        <v>92</v>
      </c>
      <c r="E1368" s="14" t="str">
        <f>_xlfn.XLOOKUP($D1368,'Chart of Accounts'!$A:$A,'Chart of Accounts'!B:B,"")</f>
        <v>Interest Income</v>
      </c>
      <c r="F1368" s="14" t="str">
        <f>_xlfn.XLOOKUP($D1368,'Chart of Accounts'!$A:$A,'Chart of Accounts'!C:C,"")</f>
        <v>Revenue</v>
      </c>
      <c r="G1368" s="14" t="s">
        <v>497</v>
      </c>
      <c r="H1368" s="16"/>
      <c r="I1368" s="16">
        <v>968.98</v>
      </c>
      <c r="J1368" s="16">
        <v>-968.98</v>
      </c>
      <c r="K1368" s="14" t="s">
        <v>225</v>
      </c>
    </row>
    <row r="1369" spans="1:11" ht="15" customHeight="1">
      <c r="A1369" s="13">
        <v>46022</v>
      </c>
      <c r="B1369" s="14" t="s">
        <v>559</v>
      </c>
      <c r="C1369" s="14"/>
      <c r="D1369" s="14" t="s">
        <v>46</v>
      </c>
      <c r="E1369" s="14" t="str">
        <f>_xlfn.XLOOKUP($D1369,'Chart of Accounts'!$A:$A,'Chart of Accounts'!B:B,"")</f>
        <v>Cash - Money Market/Reserve</v>
      </c>
      <c r="F1369" s="14" t="str">
        <f>_xlfn.XLOOKUP($D1369,'Chart of Accounts'!$A:$A,'Chart of Accounts'!C:C,"")</f>
        <v>Asset</v>
      </c>
      <c r="G1369" s="14" t="s">
        <v>497</v>
      </c>
      <c r="H1369" s="16">
        <v>968.98</v>
      </c>
      <c r="I1369" s="16"/>
      <c r="J1369" s="16">
        <v>968.98</v>
      </c>
      <c r="K1369" s="14" t="s">
        <v>225</v>
      </c>
    </row>
    <row r="1370" spans="1:11" ht="15" customHeight="1">
      <c r="A1370" s="13">
        <v>46022</v>
      </c>
      <c r="B1370" s="14" t="s">
        <v>351</v>
      </c>
      <c r="C1370" s="14"/>
      <c r="D1370" s="14" t="s">
        <v>51</v>
      </c>
      <c r="E1370" s="14" t="str">
        <f>_xlfn.XLOOKUP($D1370,'Chart of Accounts'!$A:$A,'Chart of Accounts'!B:B,"")</f>
        <v>Grants Receivable</v>
      </c>
      <c r="F1370" s="14" t="str">
        <f>_xlfn.XLOOKUP($D1370,'Chart of Accounts'!$A:$A,'Chart of Accounts'!C:C,"")</f>
        <v>Asset</v>
      </c>
      <c r="G1370" s="14" t="s">
        <v>498</v>
      </c>
      <c r="H1370" s="16">
        <v>66964.800000000003</v>
      </c>
      <c r="I1370" s="16"/>
      <c r="J1370" s="16">
        <v>66964.800000000003</v>
      </c>
      <c r="K1370" s="14" t="s">
        <v>225</v>
      </c>
    </row>
    <row r="1371" spans="1:11" ht="15" customHeight="1">
      <c r="A1371" s="13">
        <v>46009</v>
      </c>
      <c r="B1371" s="14" t="s">
        <v>560</v>
      </c>
      <c r="C1371" s="14"/>
      <c r="D1371" s="14" t="s">
        <v>40</v>
      </c>
      <c r="E1371" s="14" t="str">
        <f>_xlfn.XLOOKUP($D1371,'Chart of Accounts'!$A:$A,'Chart of Accounts'!B:B,"")</f>
        <v>Cash - Operating</v>
      </c>
      <c r="F1371" s="14" t="str">
        <f>_xlfn.XLOOKUP($D1371,'Chart of Accounts'!$A:$A,'Chart of Accounts'!C:C,"")</f>
        <v>Asset</v>
      </c>
      <c r="G1371" s="14" t="s">
        <v>500</v>
      </c>
      <c r="H1371" s="16">
        <v>55589.91</v>
      </c>
      <c r="I1371" s="16"/>
      <c r="J1371" s="16">
        <v>55589.91</v>
      </c>
      <c r="K1371" s="14" t="s">
        <v>225</v>
      </c>
    </row>
    <row r="1372" spans="1:11" ht="15" customHeight="1">
      <c r="A1372" s="13">
        <v>46009</v>
      </c>
      <c r="B1372" s="14" t="s">
        <v>560</v>
      </c>
      <c r="C1372" s="14"/>
      <c r="D1372" s="14" t="s">
        <v>51</v>
      </c>
      <c r="E1372" s="14" t="str">
        <f>_xlfn.XLOOKUP($D1372,'Chart of Accounts'!$A:$A,'Chart of Accounts'!B:B,"")</f>
        <v>Grants Receivable</v>
      </c>
      <c r="F1372" s="14" t="str">
        <f>_xlfn.XLOOKUP($D1372,'Chart of Accounts'!$A:$A,'Chart of Accounts'!C:C,"")</f>
        <v>Asset</v>
      </c>
      <c r="G1372" s="14" t="s">
        <v>500</v>
      </c>
      <c r="H1372" s="16"/>
      <c r="I1372" s="16">
        <v>55589.91</v>
      </c>
      <c r="J1372" s="16">
        <v>-55589.91</v>
      </c>
      <c r="K1372" s="14" t="s">
        <v>225</v>
      </c>
    </row>
    <row r="1373" spans="1:11" ht="15" customHeight="1">
      <c r="A1373" s="13">
        <v>46003</v>
      </c>
      <c r="B1373" s="14" t="s">
        <v>351</v>
      </c>
      <c r="C1373" s="14"/>
      <c r="D1373" s="14" t="s">
        <v>40</v>
      </c>
      <c r="E1373" s="14" t="str">
        <f>_xlfn.XLOOKUP($D1373,'Chart of Accounts'!$A:$A,'Chart of Accounts'!B:B,"")</f>
        <v>Cash - Operating</v>
      </c>
      <c r="F1373" s="14" t="str">
        <f>_xlfn.XLOOKUP($D1373,'Chart of Accounts'!$A:$A,'Chart of Accounts'!C:C,"")</f>
        <v>Asset</v>
      </c>
      <c r="G1373" s="14" t="s">
        <v>501</v>
      </c>
      <c r="H1373" s="16">
        <v>201070.31</v>
      </c>
      <c r="I1373" s="16"/>
      <c r="J1373" s="16">
        <v>201070.31</v>
      </c>
      <c r="K1373" s="14" t="s">
        <v>225</v>
      </c>
    </row>
    <row r="1374" spans="1:11" ht="15" customHeight="1">
      <c r="A1374" s="13">
        <v>46054</v>
      </c>
      <c r="B1374" s="14" t="s">
        <v>552</v>
      </c>
      <c r="C1374" s="19" t="s">
        <v>10</v>
      </c>
      <c r="D1374" s="14" t="s">
        <v>117</v>
      </c>
      <c r="E1374" s="14" t="str">
        <f>_xlfn.XLOOKUP($D1374,'Chart of Accounts'!$A:$A,'Chart of Accounts'!B:B,"")</f>
        <v>Insurance</v>
      </c>
      <c r="F1374" s="14" t="str">
        <f>_xlfn.XLOOKUP($D1374,'Chart of Accounts'!$A:$A,'Chart of Accounts'!C:C,"")</f>
        <v>Expense</v>
      </c>
      <c r="G1374" s="14" t="s">
        <v>479</v>
      </c>
      <c r="H1374" s="16">
        <v>563.47</v>
      </c>
      <c r="I1374" s="16"/>
      <c r="J1374" s="16">
        <v>563.47</v>
      </c>
      <c r="K1374" s="14" t="s">
        <v>225</v>
      </c>
    </row>
    <row r="1375" spans="1:11" ht="15" customHeight="1">
      <c r="A1375" s="13">
        <v>46011</v>
      </c>
      <c r="B1375" s="14" t="s">
        <v>450</v>
      </c>
      <c r="C1375" s="14"/>
      <c r="D1375" s="14" t="s">
        <v>40</v>
      </c>
      <c r="E1375" s="14" t="str">
        <f>_xlfn.XLOOKUP($D1375,'Chart of Accounts'!$A:$A,'Chart of Accounts'!B:B,"")</f>
        <v>Cash - Operating</v>
      </c>
      <c r="F1375" s="14" t="str">
        <f>_xlfn.XLOOKUP($D1375,'Chart of Accounts'!$A:$A,'Chart of Accounts'!C:C,"")</f>
        <v>Asset</v>
      </c>
      <c r="G1375" s="14" t="s">
        <v>423</v>
      </c>
      <c r="H1375" s="16"/>
      <c r="I1375" s="16">
        <v>13854.94</v>
      </c>
      <c r="J1375" s="16">
        <v>-13854.94</v>
      </c>
      <c r="K1375" s="14" t="s">
        <v>225</v>
      </c>
    </row>
    <row r="1376" spans="1:11" ht="15" customHeight="1">
      <c r="A1376" s="13">
        <v>46022</v>
      </c>
      <c r="B1376" s="14" t="s">
        <v>561</v>
      </c>
      <c r="C1376" s="19" t="s">
        <v>46</v>
      </c>
      <c r="D1376" s="14" t="s">
        <v>121</v>
      </c>
      <c r="E1376" s="14" t="str">
        <f>_xlfn.XLOOKUP($D1376,'Chart of Accounts'!$A:$A,'Chart of Accounts'!B:B,"")</f>
        <v>Bank Fees</v>
      </c>
      <c r="F1376" s="14" t="str">
        <f>_xlfn.XLOOKUP($D1376,'Chart of Accounts'!$A:$A,'Chart of Accounts'!C:C,"")</f>
        <v>Expense</v>
      </c>
      <c r="G1376" s="14" t="s">
        <v>503</v>
      </c>
      <c r="H1376" s="16">
        <v>81.73</v>
      </c>
      <c r="I1376" s="16"/>
      <c r="J1376" s="16">
        <v>81.73</v>
      </c>
      <c r="K1376" s="14" t="s">
        <v>225</v>
      </c>
    </row>
    <row r="1377" spans="1:11" ht="15" customHeight="1">
      <c r="A1377" s="13">
        <v>46022</v>
      </c>
      <c r="B1377" s="14" t="s">
        <v>561</v>
      </c>
      <c r="C1377" s="14"/>
      <c r="D1377" s="14" t="s">
        <v>40</v>
      </c>
      <c r="E1377" s="14" t="str">
        <f>_xlfn.XLOOKUP($D1377,'Chart of Accounts'!$A:$A,'Chart of Accounts'!B:B,"")</f>
        <v>Cash - Operating</v>
      </c>
      <c r="F1377" s="14" t="str">
        <f>_xlfn.XLOOKUP($D1377,'Chart of Accounts'!$A:$A,'Chart of Accounts'!C:C,"")</f>
        <v>Asset</v>
      </c>
      <c r="G1377" s="14" t="s">
        <v>503</v>
      </c>
      <c r="H1377" s="16"/>
      <c r="I1377" s="16">
        <v>81.73</v>
      </c>
      <c r="J1377" s="16">
        <v>-81.73</v>
      </c>
      <c r="K1377" s="14" t="s">
        <v>225</v>
      </c>
    </row>
    <row r="1378" spans="1:11" ht="15" customHeight="1">
      <c r="A1378" s="13">
        <v>46022</v>
      </c>
      <c r="B1378" s="14" t="s">
        <v>449</v>
      </c>
      <c r="C1378" s="19" t="s">
        <v>18</v>
      </c>
      <c r="D1378" s="14" t="s">
        <v>101</v>
      </c>
      <c r="E1378" s="14" t="str">
        <f>_xlfn.XLOOKUP($D1378,'Chart of Accounts'!$A:$A,'Chart of Accounts'!B:B,"")</f>
        <v>Contract Labor / Consultants</v>
      </c>
      <c r="F1378" s="14" t="str">
        <f>_xlfn.XLOOKUP($D1378,'Chart of Accounts'!$A:$A,'Chart of Accounts'!C:C,"")</f>
        <v>Expense</v>
      </c>
      <c r="G1378" s="14" t="s">
        <v>439</v>
      </c>
      <c r="H1378" s="16">
        <v>11087.13</v>
      </c>
      <c r="I1378" s="16"/>
      <c r="J1378" s="16">
        <v>11087.13</v>
      </c>
      <c r="K1378" s="14" t="s">
        <v>225</v>
      </c>
    </row>
    <row r="1379" spans="1:11" ht="15" customHeight="1">
      <c r="A1379" s="13">
        <v>46082</v>
      </c>
      <c r="B1379" s="14" t="s">
        <v>562</v>
      </c>
      <c r="C1379" s="19" t="s">
        <v>46</v>
      </c>
      <c r="D1379" s="15" t="s">
        <v>53</v>
      </c>
      <c r="E1379" s="14" t="str">
        <f>_xlfn.XLOOKUP($D1379,'Chart of Accounts'!$A:$A,'Chart of Accounts'!B:B,"")</f>
        <v>Prepaid Expenses</v>
      </c>
      <c r="F1379" s="14" t="str">
        <f>_xlfn.XLOOKUP($D1379,'Chart of Accounts'!$A:$A,'Chart of Accounts'!C:C,"")</f>
        <v>Asset</v>
      </c>
      <c r="G1379" s="14" t="s">
        <v>479</v>
      </c>
      <c r="H1379" s="16"/>
      <c r="I1379" s="16">
        <v>2700</v>
      </c>
      <c r="J1379" s="16">
        <v>-2700</v>
      </c>
      <c r="K1379" s="14" t="s">
        <v>225</v>
      </c>
    </row>
    <row r="1380" spans="1:11" ht="15" customHeight="1">
      <c r="A1380" s="13">
        <v>46082</v>
      </c>
      <c r="B1380" s="14" t="s">
        <v>562</v>
      </c>
      <c r="C1380" s="19" t="s">
        <v>12</v>
      </c>
      <c r="D1380" s="14" t="s">
        <v>117</v>
      </c>
      <c r="E1380" s="14" t="str">
        <f>_xlfn.XLOOKUP($D1380,'Chart of Accounts'!$A:$A,'Chart of Accounts'!B:B,"")</f>
        <v>Insurance</v>
      </c>
      <c r="F1380" s="14" t="str">
        <f>_xlfn.XLOOKUP($D1380,'Chart of Accounts'!$A:$A,'Chart of Accounts'!C:C,"")</f>
        <v>Expense</v>
      </c>
      <c r="G1380" s="14" t="s">
        <v>479</v>
      </c>
      <c r="H1380" s="16">
        <v>105.35</v>
      </c>
      <c r="I1380" s="16"/>
      <c r="J1380" s="16">
        <v>105.35</v>
      </c>
      <c r="K1380" s="14" t="s">
        <v>225</v>
      </c>
    </row>
    <row r="1381" spans="1:11" ht="15" customHeight="1">
      <c r="A1381" s="13">
        <v>46016</v>
      </c>
      <c r="B1381" s="14" t="s">
        <v>563</v>
      </c>
      <c r="C1381" s="19" t="s">
        <v>20</v>
      </c>
      <c r="D1381" s="14" t="s">
        <v>111</v>
      </c>
      <c r="E1381" s="14" t="str">
        <f>_xlfn.XLOOKUP($D1381,'Chart of Accounts'!$A:$A,'Chart of Accounts'!B:B,"")</f>
        <v>Meals and Entertainment</v>
      </c>
      <c r="F1381" s="14" t="str">
        <f>_xlfn.XLOOKUP($D1381,'Chart of Accounts'!$A:$A,'Chart of Accounts'!C:C,"")</f>
        <v>Expense</v>
      </c>
      <c r="G1381" s="14" t="s">
        <v>505</v>
      </c>
      <c r="H1381" s="16">
        <v>513.54</v>
      </c>
      <c r="I1381" s="16"/>
      <c r="J1381" s="16">
        <v>513.54</v>
      </c>
      <c r="K1381" s="14" t="s">
        <v>225</v>
      </c>
    </row>
    <row r="1382" spans="1:11" ht="15" customHeight="1">
      <c r="A1382" s="13">
        <v>46016</v>
      </c>
      <c r="B1382" s="14" t="s">
        <v>563</v>
      </c>
      <c r="C1382" s="14"/>
      <c r="D1382" s="14" t="s">
        <v>40</v>
      </c>
      <c r="E1382" s="14" t="str">
        <f>_xlfn.XLOOKUP($D1382,'Chart of Accounts'!$A:$A,'Chart of Accounts'!B:B,"")</f>
        <v>Cash - Operating</v>
      </c>
      <c r="F1382" s="14" t="str">
        <f>_xlfn.XLOOKUP($D1382,'Chart of Accounts'!$A:$A,'Chart of Accounts'!C:C,"")</f>
        <v>Asset</v>
      </c>
      <c r="G1382" s="14" t="s">
        <v>505</v>
      </c>
      <c r="H1382" s="16"/>
      <c r="I1382" s="16">
        <v>513.54</v>
      </c>
      <c r="J1382" s="16">
        <v>-513.54</v>
      </c>
      <c r="K1382" s="14" t="s">
        <v>225</v>
      </c>
    </row>
    <row r="1383" spans="1:11" ht="15" customHeight="1">
      <c r="A1383" s="13">
        <v>46018</v>
      </c>
      <c r="B1383" s="14" t="s">
        <v>564</v>
      </c>
      <c r="C1383" s="19" t="s">
        <v>20</v>
      </c>
      <c r="D1383" s="14" t="s">
        <v>109</v>
      </c>
      <c r="E1383" s="14" t="str">
        <f>_xlfn.XLOOKUP($D1383,'Chart of Accounts'!$A:$A,'Chart of Accounts'!B:B,"")</f>
        <v>Travel</v>
      </c>
      <c r="F1383" s="14" t="str">
        <f>_xlfn.XLOOKUP($D1383,'Chart of Accounts'!$A:$A,'Chart of Accounts'!C:C,"")</f>
        <v>Expense</v>
      </c>
      <c r="G1383" s="14" t="s">
        <v>518</v>
      </c>
      <c r="H1383" s="16">
        <v>3234.87</v>
      </c>
      <c r="I1383" s="16"/>
      <c r="J1383" s="16">
        <v>3234.87</v>
      </c>
      <c r="K1383" s="14" t="s">
        <v>225</v>
      </c>
    </row>
    <row r="1384" spans="1:11" ht="15" customHeight="1">
      <c r="A1384" s="13">
        <v>46018</v>
      </c>
      <c r="B1384" s="14" t="s">
        <v>564</v>
      </c>
      <c r="C1384" s="14"/>
      <c r="D1384" s="14" t="s">
        <v>40</v>
      </c>
      <c r="E1384" s="14" t="str">
        <f>_xlfn.XLOOKUP($D1384,'Chart of Accounts'!$A:$A,'Chart of Accounts'!B:B,"")</f>
        <v>Cash - Operating</v>
      </c>
      <c r="F1384" s="14" t="str">
        <f>_xlfn.XLOOKUP($D1384,'Chart of Accounts'!$A:$A,'Chart of Accounts'!C:C,"")</f>
        <v>Asset</v>
      </c>
      <c r="G1384" s="14" t="s">
        <v>518</v>
      </c>
      <c r="H1384" s="16"/>
      <c r="I1384" s="16">
        <v>3234.87</v>
      </c>
      <c r="J1384" s="16">
        <v>-3234.87</v>
      </c>
      <c r="K1384" s="14" t="s">
        <v>225</v>
      </c>
    </row>
    <row r="1385" spans="1:11" ht="15" customHeight="1">
      <c r="A1385" s="13">
        <v>46022</v>
      </c>
      <c r="B1385" s="14" t="s">
        <v>448</v>
      </c>
      <c r="C1385" s="17" t="s">
        <v>8</v>
      </c>
      <c r="D1385" s="14" t="s">
        <v>105</v>
      </c>
      <c r="E1385" s="14" t="str">
        <f>_xlfn.XLOOKUP($D1385,'Chart of Accounts'!$A:$A,'Chart of Accounts'!B:B,"")</f>
        <v>Office Supplies</v>
      </c>
      <c r="F1385" s="14" t="str">
        <f>_xlfn.XLOOKUP($D1385,'Chart of Accounts'!$A:$A,'Chart of Accounts'!C:C,"")</f>
        <v>Expense</v>
      </c>
      <c r="G1385" s="14" t="s">
        <v>421</v>
      </c>
      <c r="H1385" s="16">
        <v>856.07</v>
      </c>
      <c r="I1385" s="16"/>
      <c r="J1385" s="16">
        <v>856.07</v>
      </c>
      <c r="K1385" s="14" t="s">
        <v>225</v>
      </c>
    </row>
    <row r="1386" spans="1:11" ht="15" customHeight="1">
      <c r="A1386" s="13">
        <v>46082</v>
      </c>
      <c r="B1386" s="14" t="s">
        <v>562</v>
      </c>
      <c r="C1386" s="19" t="s">
        <v>14</v>
      </c>
      <c r="D1386" s="14" t="s">
        <v>117</v>
      </c>
      <c r="E1386" s="14" t="str">
        <f>_xlfn.XLOOKUP($D1386,'Chart of Accounts'!$A:$A,'Chart of Accounts'!B:B,"")</f>
        <v>Insurance</v>
      </c>
      <c r="F1386" s="14" t="str">
        <f>_xlfn.XLOOKUP($D1386,'Chart of Accounts'!$A:$A,'Chart of Accounts'!C:C,"")</f>
        <v>Expense</v>
      </c>
      <c r="G1386" s="14" t="s">
        <v>479</v>
      </c>
      <c r="H1386" s="16">
        <v>120.42</v>
      </c>
      <c r="I1386" s="16"/>
      <c r="J1386" s="16">
        <v>120.42</v>
      </c>
      <c r="K1386" s="14" t="s">
        <v>225</v>
      </c>
    </row>
    <row r="1387" spans="1:11" ht="15" customHeight="1">
      <c r="A1387" s="13">
        <v>45999</v>
      </c>
      <c r="B1387" s="14" t="s">
        <v>447</v>
      </c>
      <c r="C1387" s="17" t="s">
        <v>6</v>
      </c>
      <c r="D1387" s="14" t="s">
        <v>105</v>
      </c>
      <c r="E1387" s="14" t="str">
        <f>_xlfn.XLOOKUP($D1387,'Chart of Accounts'!$A:$A,'Chart of Accounts'!B:B,"")</f>
        <v>Office Supplies</v>
      </c>
      <c r="F1387" s="14" t="str">
        <f>_xlfn.XLOOKUP($D1387,'Chart of Accounts'!$A:$A,'Chart of Accounts'!C:C,"")</f>
        <v>Expense</v>
      </c>
      <c r="G1387" s="14" t="s">
        <v>421</v>
      </c>
      <c r="H1387" s="16">
        <v>364.38</v>
      </c>
      <c r="I1387" s="16"/>
      <c r="J1387" s="16">
        <v>364.38</v>
      </c>
      <c r="K1387" s="14" t="s">
        <v>225</v>
      </c>
    </row>
    <row r="1388" spans="1:11" ht="15" customHeight="1">
      <c r="A1388" s="13">
        <v>46082</v>
      </c>
      <c r="B1388" s="14" t="s">
        <v>562</v>
      </c>
      <c r="C1388" s="19" t="s">
        <v>16</v>
      </c>
      <c r="D1388" s="14" t="s">
        <v>117</v>
      </c>
      <c r="E1388" s="14" t="str">
        <f>_xlfn.XLOOKUP($D1388,'Chart of Accounts'!$A:$A,'Chart of Accounts'!B:B,"")</f>
        <v>Insurance</v>
      </c>
      <c r="F1388" s="14" t="str">
        <f>_xlfn.XLOOKUP($D1388,'Chart of Accounts'!$A:$A,'Chart of Accounts'!C:C,"")</f>
        <v>Expense</v>
      </c>
      <c r="G1388" s="14" t="s">
        <v>479</v>
      </c>
      <c r="H1388" s="16">
        <v>90.31</v>
      </c>
      <c r="I1388" s="16"/>
      <c r="J1388" s="16">
        <v>90.31</v>
      </c>
      <c r="K1388" s="14" t="s">
        <v>225</v>
      </c>
    </row>
    <row r="1389" spans="1:11" ht="15" customHeight="1">
      <c r="A1389" s="13">
        <v>45994</v>
      </c>
      <c r="B1389" s="14" t="s">
        <v>565</v>
      </c>
      <c r="C1389" s="17" t="s">
        <v>10</v>
      </c>
      <c r="D1389" s="14" t="s">
        <v>107</v>
      </c>
      <c r="E1389" s="14" t="str">
        <f>_xlfn.XLOOKUP($D1389,'Chart of Accounts'!$A:$A,'Chart of Accounts'!B:B,"")</f>
        <v>Software and Subscriptions</v>
      </c>
      <c r="F1389" s="14" t="str">
        <f>_xlfn.XLOOKUP($D1389,'Chart of Accounts'!$A:$A,'Chart of Accounts'!C:C,"")</f>
        <v>Expense</v>
      </c>
      <c r="G1389" s="14" t="s">
        <v>507</v>
      </c>
      <c r="H1389" s="16">
        <v>2635.58</v>
      </c>
      <c r="I1389" s="16"/>
      <c r="J1389" s="16">
        <v>2635.58</v>
      </c>
      <c r="K1389" s="14" t="s">
        <v>225</v>
      </c>
    </row>
    <row r="1390" spans="1:11" ht="15" customHeight="1">
      <c r="A1390" s="13">
        <v>45994</v>
      </c>
      <c r="B1390" s="14" t="s">
        <v>565</v>
      </c>
      <c r="C1390" s="14"/>
      <c r="D1390" s="14" t="s">
        <v>40</v>
      </c>
      <c r="E1390" s="14" t="str">
        <f>_xlfn.XLOOKUP($D1390,'Chart of Accounts'!$A:$A,'Chart of Accounts'!B:B,"")</f>
        <v>Cash - Operating</v>
      </c>
      <c r="F1390" s="14" t="str">
        <f>_xlfn.XLOOKUP($D1390,'Chart of Accounts'!$A:$A,'Chart of Accounts'!C:C,"")</f>
        <v>Asset</v>
      </c>
      <c r="G1390" s="14" t="s">
        <v>507</v>
      </c>
      <c r="H1390" s="16"/>
      <c r="I1390" s="16">
        <v>2635.58</v>
      </c>
      <c r="J1390" s="16">
        <v>-2635.58</v>
      </c>
      <c r="K1390" s="14" t="s">
        <v>225</v>
      </c>
    </row>
    <row r="1391" spans="1:11" ht="15" customHeight="1">
      <c r="A1391" s="13">
        <v>45992</v>
      </c>
      <c r="B1391" s="14" t="s">
        <v>446</v>
      </c>
      <c r="C1391" s="19" t="s">
        <v>4</v>
      </c>
      <c r="D1391" s="14" t="s">
        <v>33</v>
      </c>
      <c r="E1391" s="14" t="str">
        <f>_xlfn.XLOOKUP($D1391,'Chart of Accounts'!$A:$A,'Chart of Accounts'!B:B,"")</f>
        <v>Utilities</v>
      </c>
      <c r="F1391" s="14" t="str">
        <f>_xlfn.XLOOKUP($D1391,'Chart of Accounts'!$A:$A,'Chart of Accounts'!C:C,"")</f>
        <v>Expense</v>
      </c>
      <c r="G1391" s="14" t="s">
        <v>417</v>
      </c>
      <c r="H1391" s="16">
        <v>77.904230769230793</v>
      </c>
      <c r="I1391" s="16"/>
      <c r="J1391" s="16">
        <v>77.904230769230793</v>
      </c>
      <c r="K1391" s="14" t="s">
        <v>225</v>
      </c>
    </row>
    <row r="1392" spans="1:11" ht="15" customHeight="1">
      <c r="A1392" s="13">
        <v>45992</v>
      </c>
      <c r="B1392" s="14" t="s">
        <v>446</v>
      </c>
      <c r="C1392" s="19" t="s">
        <v>6</v>
      </c>
      <c r="D1392" s="14" t="s">
        <v>33</v>
      </c>
      <c r="E1392" s="14" t="str">
        <f>_xlfn.XLOOKUP($D1392,'Chart of Accounts'!$A:$A,'Chart of Accounts'!B:B,"")</f>
        <v>Utilities</v>
      </c>
      <c r="F1392" s="14" t="str">
        <f>_xlfn.XLOOKUP($D1392,'Chart of Accounts'!$A:$A,'Chart of Accounts'!C:C,"")</f>
        <v>Expense</v>
      </c>
      <c r="G1392" s="14" t="s">
        <v>417</v>
      </c>
      <c r="H1392" s="16">
        <v>103.872307692308</v>
      </c>
      <c r="I1392" s="16"/>
      <c r="J1392" s="16">
        <v>103.872307692308</v>
      </c>
      <c r="K1392" s="14" t="s">
        <v>225</v>
      </c>
    </row>
    <row r="1393" spans="1:11" ht="15" customHeight="1">
      <c r="A1393" s="13">
        <v>45992</v>
      </c>
      <c r="B1393" s="14" t="s">
        <v>446</v>
      </c>
      <c r="C1393" s="19" t="s">
        <v>8</v>
      </c>
      <c r="D1393" s="14" t="s">
        <v>33</v>
      </c>
      <c r="E1393" s="14" t="str">
        <f>_xlfn.XLOOKUP($D1393,'Chart of Accounts'!$A:$A,'Chart of Accounts'!B:B,"")</f>
        <v>Utilities</v>
      </c>
      <c r="F1393" s="14" t="str">
        <f>_xlfn.XLOOKUP($D1393,'Chart of Accounts'!$A:$A,'Chart of Accounts'!C:C,"")</f>
        <v>Expense</v>
      </c>
      <c r="G1393" s="14" t="s">
        <v>417</v>
      </c>
      <c r="H1393" s="16">
        <v>103.872307692308</v>
      </c>
      <c r="I1393" s="16"/>
      <c r="J1393" s="16">
        <v>103.872307692308</v>
      </c>
      <c r="K1393" s="14" t="s">
        <v>225</v>
      </c>
    </row>
    <row r="1394" spans="1:11" ht="15" customHeight="1">
      <c r="A1394" s="13">
        <v>45992</v>
      </c>
      <c r="B1394" s="14" t="s">
        <v>446</v>
      </c>
      <c r="C1394" s="19" t="s">
        <v>10</v>
      </c>
      <c r="D1394" s="14" t="s">
        <v>33</v>
      </c>
      <c r="E1394" s="14" t="str">
        <f>_xlfn.XLOOKUP($D1394,'Chart of Accounts'!$A:$A,'Chart of Accounts'!B:B,"")</f>
        <v>Utilities</v>
      </c>
      <c r="F1394" s="14" t="str">
        <f>_xlfn.XLOOKUP($D1394,'Chart of Accounts'!$A:$A,'Chart of Accounts'!C:C,"")</f>
        <v>Expense</v>
      </c>
      <c r="G1394" s="14" t="s">
        <v>417</v>
      </c>
      <c r="H1394" s="16">
        <v>103.872307692308</v>
      </c>
      <c r="I1394" s="16"/>
      <c r="J1394" s="16">
        <v>103.872307692308</v>
      </c>
      <c r="K1394" s="14" t="s">
        <v>225</v>
      </c>
    </row>
    <row r="1395" spans="1:11" ht="15" customHeight="1">
      <c r="A1395" s="13">
        <v>45992</v>
      </c>
      <c r="B1395" s="14" t="s">
        <v>446</v>
      </c>
      <c r="C1395" s="19" t="s">
        <v>12</v>
      </c>
      <c r="D1395" s="14" t="s">
        <v>33</v>
      </c>
      <c r="E1395" s="14" t="str">
        <f>_xlfn.XLOOKUP($D1395,'Chart of Accounts'!$A:$A,'Chart of Accounts'!B:B,"")</f>
        <v>Utilities</v>
      </c>
      <c r="F1395" s="14" t="str">
        <f>_xlfn.XLOOKUP($D1395,'Chart of Accounts'!$A:$A,'Chart of Accounts'!C:C,"")</f>
        <v>Expense</v>
      </c>
      <c r="G1395" s="14" t="s">
        <v>417</v>
      </c>
      <c r="H1395" s="16">
        <v>181.77653846153899</v>
      </c>
      <c r="I1395" s="16"/>
      <c r="J1395" s="16">
        <v>181.77653846153899</v>
      </c>
      <c r="K1395" s="14" t="s">
        <v>225</v>
      </c>
    </row>
    <row r="1396" spans="1:11" ht="15" customHeight="1">
      <c r="A1396" s="13">
        <v>45992</v>
      </c>
      <c r="B1396" s="14" t="s">
        <v>446</v>
      </c>
      <c r="C1396" s="19" t="s">
        <v>14</v>
      </c>
      <c r="D1396" s="14" t="s">
        <v>33</v>
      </c>
      <c r="E1396" s="14" t="str">
        <f>_xlfn.XLOOKUP($D1396,'Chart of Accounts'!$A:$A,'Chart of Accounts'!B:B,"")</f>
        <v>Utilities</v>
      </c>
      <c r="F1396" s="14" t="str">
        <f>_xlfn.XLOOKUP($D1396,'Chart of Accounts'!$A:$A,'Chart of Accounts'!C:C,"")</f>
        <v>Expense</v>
      </c>
      <c r="G1396" s="14" t="s">
        <v>417</v>
      </c>
      <c r="H1396" s="16">
        <v>207.744615384615</v>
      </c>
      <c r="I1396" s="16"/>
      <c r="J1396" s="16">
        <v>207.744615384615</v>
      </c>
      <c r="K1396" s="14" t="s">
        <v>225</v>
      </c>
    </row>
    <row r="1397" spans="1:11" ht="15" customHeight="1">
      <c r="A1397" s="13">
        <v>45992</v>
      </c>
      <c r="B1397" s="14" t="s">
        <v>446</v>
      </c>
      <c r="C1397" s="19" t="s">
        <v>16</v>
      </c>
      <c r="D1397" s="14" t="s">
        <v>33</v>
      </c>
      <c r="E1397" s="14" t="str">
        <f>_xlfn.XLOOKUP($D1397,'Chart of Accounts'!$A:$A,'Chart of Accounts'!B:B,"")</f>
        <v>Utilities</v>
      </c>
      <c r="F1397" s="14" t="str">
        <f>_xlfn.XLOOKUP($D1397,'Chart of Accounts'!$A:$A,'Chart of Accounts'!C:C,"")</f>
        <v>Expense</v>
      </c>
      <c r="G1397" s="14" t="s">
        <v>417</v>
      </c>
      <c r="H1397" s="16">
        <v>155.80846153846201</v>
      </c>
      <c r="I1397" s="16"/>
      <c r="J1397" s="16">
        <v>155.80846153846201</v>
      </c>
      <c r="K1397" s="14" t="s">
        <v>225</v>
      </c>
    </row>
    <row r="1398" spans="1:11" ht="15" customHeight="1">
      <c r="A1398" s="13">
        <v>45992</v>
      </c>
      <c r="B1398" s="14" t="s">
        <v>446</v>
      </c>
      <c r="C1398" s="19" t="s">
        <v>18</v>
      </c>
      <c r="D1398" s="14" t="s">
        <v>33</v>
      </c>
      <c r="E1398" s="14" t="str">
        <f>_xlfn.XLOOKUP($D1398,'Chart of Accounts'!$A:$A,'Chart of Accounts'!B:B,"")</f>
        <v>Utilities</v>
      </c>
      <c r="F1398" s="14" t="str">
        <f>_xlfn.XLOOKUP($D1398,'Chart of Accounts'!$A:$A,'Chart of Accounts'!C:C,"")</f>
        <v>Expense</v>
      </c>
      <c r="G1398" s="14" t="s">
        <v>417</v>
      </c>
      <c r="H1398" s="16">
        <v>207.744615384615</v>
      </c>
      <c r="I1398" s="16"/>
      <c r="J1398" s="16">
        <v>207.744615384615</v>
      </c>
      <c r="K1398" s="14" t="s">
        <v>225</v>
      </c>
    </row>
    <row r="1399" spans="1:11" ht="15" customHeight="1">
      <c r="A1399" s="13">
        <v>45992</v>
      </c>
      <c r="B1399" s="14" t="s">
        <v>446</v>
      </c>
      <c r="C1399" s="19" t="s">
        <v>20</v>
      </c>
      <c r="D1399" s="14" t="s">
        <v>33</v>
      </c>
      <c r="E1399" s="14" t="str">
        <f>_xlfn.XLOOKUP($D1399,'Chart of Accounts'!$A:$A,'Chart of Accounts'!B:B,"")</f>
        <v>Utilities</v>
      </c>
      <c r="F1399" s="14" t="str">
        <f>_xlfn.XLOOKUP($D1399,'Chart of Accounts'!$A:$A,'Chart of Accounts'!C:C,"")</f>
        <v>Expense</v>
      </c>
      <c r="G1399" s="14" t="s">
        <v>417</v>
      </c>
      <c r="H1399" s="16">
        <v>207.744615384615</v>
      </c>
      <c r="I1399" s="16"/>
      <c r="J1399" s="16">
        <v>207.744615384615</v>
      </c>
      <c r="K1399" s="14" t="s">
        <v>225</v>
      </c>
    </row>
    <row r="1400" spans="1:11" ht="15" customHeight="1">
      <c r="A1400" s="13">
        <v>46082</v>
      </c>
      <c r="B1400" s="14" t="s">
        <v>562</v>
      </c>
      <c r="C1400" s="19" t="s">
        <v>18</v>
      </c>
      <c r="D1400" s="14" t="s">
        <v>117</v>
      </c>
      <c r="E1400" s="14" t="str">
        <f>_xlfn.XLOOKUP($D1400,'Chart of Accounts'!$A:$A,'Chart of Accounts'!B:B,"")</f>
        <v>Insurance</v>
      </c>
      <c r="F1400" s="14" t="str">
        <f>_xlfn.XLOOKUP($D1400,'Chart of Accounts'!$A:$A,'Chart of Accounts'!C:C,"")</f>
        <v>Expense</v>
      </c>
      <c r="G1400" s="14" t="s">
        <v>479</v>
      </c>
      <c r="H1400" s="16">
        <v>120.41</v>
      </c>
      <c r="I1400" s="16"/>
      <c r="J1400" s="16">
        <v>120.41</v>
      </c>
      <c r="K1400" s="14" t="s">
        <v>225</v>
      </c>
    </row>
    <row r="1401" spans="1:11" ht="15" customHeight="1">
      <c r="A1401" s="13">
        <v>45992</v>
      </c>
      <c r="B1401" s="14" t="s">
        <v>508</v>
      </c>
      <c r="C1401" s="14"/>
      <c r="D1401" s="14" t="s">
        <v>63</v>
      </c>
      <c r="E1401" s="14" t="str">
        <f>_xlfn.XLOOKUP($D1401,'Chart of Accounts'!$A:$A,'Chart of Accounts'!B:B,"")</f>
        <v>Accounts Payable</v>
      </c>
      <c r="F1401" s="14" t="str">
        <f>_xlfn.XLOOKUP($D1401,'Chart of Accounts'!$A:$A,'Chart of Accounts'!C:C,"")</f>
        <v>Liability</v>
      </c>
      <c r="G1401" s="14" t="s">
        <v>509</v>
      </c>
      <c r="H1401" s="16"/>
      <c r="I1401" s="16">
        <v>9800</v>
      </c>
      <c r="J1401" s="16">
        <v>-9800</v>
      </c>
      <c r="K1401" s="14" t="s">
        <v>225</v>
      </c>
    </row>
    <row r="1402" spans="1:11" ht="15" customHeight="1">
      <c r="A1402" s="13">
        <v>45991</v>
      </c>
      <c r="B1402" s="14" t="s">
        <v>566</v>
      </c>
      <c r="C1402" s="14"/>
      <c r="D1402" s="14" t="s">
        <v>75</v>
      </c>
      <c r="E1402" s="14" t="str">
        <f>_xlfn.XLOOKUP($D1402,'Chart of Accounts'!$A:$A,'Chart of Accounts'!B:B,"")</f>
        <v>Notes Payable - Long Term</v>
      </c>
      <c r="F1402" s="14" t="str">
        <f>_xlfn.XLOOKUP($D1402,'Chart of Accounts'!$A:$A,'Chart of Accounts'!C:C,"")</f>
        <v>Liability</v>
      </c>
      <c r="G1402" s="14" t="s">
        <v>491</v>
      </c>
      <c r="H1402" s="16">
        <v>1180</v>
      </c>
      <c r="I1402" s="16"/>
      <c r="J1402" s="16">
        <v>1180</v>
      </c>
      <c r="K1402" s="14" t="s">
        <v>225</v>
      </c>
    </row>
    <row r="1403" spans="1:11" ht="15" customHeight="1">
      <c r="A1403" s="13">
        <v>45991</v>
      </c>
      <c r="B1403" s="14" t="s">
        <v>566</v>
      </c>
      <c r="C1403" s="14"/>
      <c r="D1403" s="14" t="s">
        <v>40</v>
      </c>
      <c r="E1403" s="14" t="str">
        <f>_xlfn.XLOOKUP($D1403,'Chart of Accounts'!$A:$A,'Chart of Accounts'!B:B,"")</f>
        <v>Cash - Operating</v>
      </c>
      <c r="F1403" s="14" t="str">
        <f>_xlfn.XLOOKUP($D1403,'Chart of Accounts'!$A:$A,'Chart of Accounts'!C:C,"")</f>
        <v>Asset</v>
      </c>
      <c r="G1403" s="14" t="s">
        <v>491</v>
      </c>
      <c r="H1403" s="16"/>
      <c r="I1403" s="16">
        <v>1569.58</v>
      </c>
      <c r="J1403" s="16">
        <v>-1569.58</v>
      </c>
      <c r="K1403" s="14" t="s">
        <v>225</v>
      </c>
    </row>
    <row r="1404" spans="1:11" ht="15" customHeight="1">
      <c r="A1404" s="13">
        <v>45991</v>
      </c>
      <c r="B1404" s="14" t="s">
        <v>567</v>
      </c>
      <c r="C1404" s="17" t="s">
        <v>46</v>
      </c>
      <c r="D1404" s="14" t="s">
        <v>105</v>
      </c>
      <c r="E1404" s="14" t="str">
        <f>_xlfn.XLOOKUP($D1404,'Chart of Accounts'!$A:$A,'Chart of Accounts'!B:B,"")</f>
        <v>Office Supplies</v>
      </c>
      <c r="F1404" s="14" t="str">
        <f>_xlfn.XLOOKUP($D1404,'Chart of Accounts'!$A:$A,'Chart of Accounts'!C:C,"")</f>
        <v>Expense</v>
      </c>
      <c r="G1404" s="14" t="s">
        <v>421</v>
      </c>
      <c r="H1404" s="16">
        <v>1013.08</v>
      </c>
      <c r="I1404" s="16"/>
      <c r="J1404" s="16">
        <v>1013.08</v>
      </c>
      <c r="K1404" s="14" t="s">
        <v>225</v>
      </c>
    </row>
    <row r="1405" spans="1:11" ht="15" customHeight="1">
      <c r="A1405" s="13">
        <v>46082</v>
      </c>
      <c r="B1405" s="14" t="s">
        <v>562</v>
      </c>
      <c r="C1405" s="19" t="s">
        <v>20</v>
      </c>
      <c r="D1405" s="14" t="s">
        <v>117</v>
      </c>
      <c r="E1405" s="14" t="str">
        <f>_xlfn.XLOOKUP($D1405,'Chart of Accounts'!$A:$A,'Chart of Accounts'!B:B,"")</f>
        <v>Insurance</v>
      </c>
      <c r="F1405" s="14" t="str">
        <f>_xlfn.XLOOKUP($D1405,'Chart of Accounts'!$A:$A,'Chart of Accounts'!C:C,"")</f>
        <v>Expense</v>
      </c>
      <c r="G1405" s="14" t="s">
        <v>479</v>
      </c>
      <c r="H1405" s="16">
        <v>150.51</v>
      </c>
      <c r="I1405" s="16"/>
      <c r="J1405" s="16">
        <v>150.51</v>
      </c>
      <c r="K1405" s="14" t="s">
        <v>225</v>
      </c>
    </row>
    <row r="1406" spans="1:11" ht="15" customHeight="1">
      <c r="A1406" s="13">
        <v>45991</v>
      </c>
      <c r="B1406" s="14" t="s">
        <v>494</v>
      </c>
      <c r="C1406" s="14"/>
      <c r="D1406" s="14" t="s">
        <v>58</v>
      </c>
      <c r="E1406" s="14" t="str">
        <f>_xlfn.XLOOKUP($D1406,'Chart of Accounts'!$A:$A,'Chart of Accounts'!B:B,"")</f>
        <v>Accumulated Depreciation</v>
      </c>
      <c r="F1406" s="14" t="str">
        <f>_xlfn.XLOOKUP($D1406,'Chart of Accounts'!$A:$A,'Chart of Accounts'!C:C,"")</f>
        <v>Asset</v>
      </c>
      <c r="G1406" s="14" t="s">
        <v>495</v>
      </c>
      <c r="H1406" s="16"/>
      <c r="I1406" s="16">
        <v>2450</v>
      </c>
      <c r="J1406" s="16">
        <v>-2450</v>
      </c>
      <c r="K1406" s="14" t="s">
        <v>225</v>
      </c>
    </row>
    <row r="1407" spans="1:11" ht="15" customHeight="1">
      <c r="A1407" s="13">
        <v>45991</v>
      </c>
      <c r="B1407" s="14" t="s">
        <v>568</v>
      </c>
      <c r="C1407" s="19" t="s">
        <v>46</v>
      </c>
      <c r="D1407" s="14" t="s">
        <v>92</v>
      </c>
      <c r="E1407" s="14" t="str">
        <f>_xlfn.XLOOKUP($D1407,'Chart of Accounts'!$A:$A,'Chart of Accounts'!B:B,"")</f>
        <v>Interest Income</v>
      </c>
      <c r="F1407" s="14" t="str">
        <f>_xlfn.XLOOKUP($D1407,'Chart of Accounts'!$A:$A,'Chart of Accounts'!C:C,"")</f>
        <v>Revenue</v>
      </c>
      <c r="G1407" s="14" t="s">
        <v>497</v>
      </c>
      <c r="H1407" s="16"/>
      <c r="I1407" s="16">
        <v>862.17</v>
      </c>
      <c r="J1407" s="16">
        <v>-862.17</v>
      </c>
      <c r="K1407" s="14" t="s">
        <v>225</v>
      </c>
    </row>
    <row r="1408" spans="1:11" ht="15" customHeight="1">
      <c r="A1408" s="13">
        <v>45991</v>
      </c>
      <c r="B1408" s="14" t="s">
        <v>568</v>
      </c>
      <c r="C1408" s="14"/>
      <c r="D1408" s="14" t="s">
        <v>46</v>
      </c>
      <c r="E1408" s="14" t="str">
        <f>_xlfn.XLOOKUP($D1408,'Chart of Accounts'!$A:$A,'Chart of Accounts'!B:B,"")</f>
        <v>Cash - Money Market/Reserve</v>
      </c>
      <c r="F1408" s="14" t="str">
        <f>_xlfn.XLOOKUP($D1408,'Chart of Accounts'!$A:$A,'Chart of Accounts'!C:C,"")</f>
        <v>Asset</v>
      </c>
      <c r="G1408" s="14" t="s">
        <v>497</v>
      </c>
      <c r="H1408" s="16">
        <v>862.17</v>
      </c>
      <c r="I1408" s="16"/>
      <c r="J1408" s="16">
        <v>862.17</v>
      </c>
      <c r="K1408" s="14" t="s">
        <v>225</v>
      </c>
    </row>
    <row r="1409" spans="1:11" ht="15" customHeight="1">
      <c r="A1409" s="13">
        <v>45991</v>
      </c>
      <c r="B1409" s="14" t="s">
        <v>359</v>
      </c>
      <c r="C1409" s="14"/>
      <c r="D1409" s="14" t="s">
        <v>51</v>
      </c>
      <c r="E1409" s="14" t="str">
        <f>_xlfn.XLOOKUP($D1409,'Chart of Accounts'!$A:$A,'Chart of Accounts'!B:B,"")</f>
        <v>Grants Receivable</v>
      </c>
      <c r="F1409" s="14" t="str">
        <f>_xlfn.XLOOKUP($D1409,'Chart of Accounts'!$A:$A,'Chart of Accounts'!C:C,"")</f>
        <v>Asset</v>
      </c>
      <c r="G1409" s="14" t="s">
        <v>498</v>
      </c>
      <c r="H1409" s="16">
        <v>49945.56</v>
      </c>
      <c r="I1409" s="16"/>
      <c r="J1409" s="16">
        <v>49945.56</v>
      </c>
      <c r="K1409" s="14" t="s">
        <v>225</v>
      </c>
    </row>
    <row r="1410" spans="1:11" ht="15" customHeight="1">
      <c r="A1410" s="13">
        <v>45979</v>
      </c>
      <c r="B1410" s="14" t="s">
        <v>569</v>
      </c>
      <c r="C1410" s="14"/>
      <c r="D1410" s="14" t="s">
        <v>40</v>
      </c>
      <c r="E1410" s="14" t="str">
        <f>_xlfn.XLOOKUP($D1410,'Chart of Accounts'!$A:$A,'Chart of Accounts'!B:B,"")</f>
        <v>Cash - Operating</v>
      </c>
      <c r="F1410" s="14" t="str">
        <f>_xlfn.XLOOKUP($D1410,'Chart of Accounts'!$A:$A,'Chart of Accounts'!C:C,"")</f>
        <v>Asset</v>
      </c>
      <c r="G1410" s="14" t="s">
        <v>500</v>
      </c>
      <c r="H1410" s="16">
        <v>70383.14</v>
      </c>
      <c r="I1410" s="16"/>
      <c r="J1410" s="16">
        <v>70383.14</v>
      </c>
      <c r="K1410" s="14" t="s">
        <v>225</v>
      </c>
    </row>
    <row r="1411" spans="1:11" ht="15" customHeight="1">
      <c r="A1411" s="13">
        <v>45979</v>
      </c>
      <c r="B1411" s="14" t="s">
        <v>569</v>
      </c>
      <c r="C1411" s="14"/>
      <c r="D1411" s="14" t="s">
        <v>51</v>
      </c>
      <c r="E1411" s="14" t="str">
        <f>_xlfn.XLOOKUP($D1411,'Chart of Accounts'!$A:$A,'Chart of Accounts'!B:B,"")</f>
        <v>Grants Receivable</v>
      </c>
      <c r="F1411" s="14" t="str">
        <f>_xlfn.XLOOKUP($D1411,'Chart of Accounts'!$A:$A,'Chart of Accounts'!C:C,"")</f>
        <v>Asset</v>
      </c>
      <c r="G1411" s="14" t="s">
        <v>500</v>
      </c>
      <c r="H1411" s="16"/>
      <c r="I1411" s="16">
        <v>70383.14</v>
      </c>
      <c r="J1411" s="16">
        <v>-70383.14</v>
      </c>
      <c r="K1411" s="14" t="s">
        <v>225</v>
      </c>
    </row>
    <row r="1412" spans="1:11" ht="15" customHeight="1">
      <c r="A1412" s="13">
        <v>45973</v>
      </c>
      <c r="B1412" s="14" t="s">
        <v>359</v>
      </c>
      <c r="C1412" s="14"/>
      <c r="D1412" s="14" t="s">
        <v>40</v>
      </c>
      <c r="E1412" s="14" t="str">
        <f>_xlfn.XLOOKUP($D1412,'Chart of Accounts'!$A:$A,'Chart of Accounts'!B:B,"")</f>
        <v>Cash - Operating</v>
      </c>
      <c r="F1412" s="14" t="str">
        <f>_xlfn.XLOOKUP($D1412,'Chart of Accounts'!$A:$A,'Chart of Accounts'!C:C,"")</f>
        <v>Asset</v>
      </c>
      <c r="G1412" s="14" t="s">
        <v>501</v>
      </c>
      <c r="H1412" s="16">
        <v>183771.01</v>
      </c>
      <c r="I1412" s="16"/>
      <c r="J1412" s="16">
        <v>183771.01</v>
      </c>
      <c r="K1412" s="14" t="s">
        <v>225</v>
      </c>
    </row>
    <row r="1413" spans="1:11" ht="15" customHeight="1">
      <c r="A1413" s="13">
        <v>46082</v>
      </c>
      <c r="B1413" s="14" t="s">
        <v>562</v>
      </c>
      <c r="C1413" s="19" t="s">
        <v>4</v>
      </c>
      <c r="D1413" s="14" t="s">
        <v>117</v>
      </c>
      <c r="E1413" s="14" t="str">
        <f>_xlfn.XLOOKUP($D1413,'Chart of Accounts'!$A:$A,'Chart of Accounts'!B:B,"")</f>
        <v>Insurance</v>
      </c>
      <c r="F1413" s="14" t="str">
        <f>_xlfn.XLOOKUP($D1413,'Chart of Accounts'!$A:$A,'Chart of Accounts'!C:C,"")</f>
        <v>Expense</v>
      </c>
      <c r="G1413" s="14" t="s">
        <v>479</v>
      </c>
      <c r="H1413" s="16">
        <v>487.62</v>
      </c>
      <c r="I1413" s="16"/>
      <c r="J1413" s="16">
        <v>487.62</v>
      </c>
      <c r="K1413" s="14" t="s">
        <v>225</v>
      </c>
    </row>
    <row r="1414" spans="1:11" ht="15" customHeight="1">
      <c r="A1414" s="13">
        <v>45981</v>
      </c>
      <c r="B1414" s="14" t="s">
        <v>445</v>
      </c>
      <c r="C1414" s="14"/>
      <c r="D1414" s="14" t="s">
        <v>40</v>
      </c>
      <c r="E1414" s="14" t="str">
        <f>_xlfn.XLOOKUP($D1414,'Chart of Accounts'!$A:$A,'Chart of Accounts'!B:B,"")</f>
        <v>Cash - Operating</v>
      </c>
      <c r="F1414" s="14" t="str">
        <f>_xlfn.XLOOKUP($D1414,'Chart of Accounts'!$A:$A,'Chart of Accounts'!C:C,"")</f>
        <v>Asset</v>
      </c>
      <c r="G1414" s="14" t="s">
        <v>423</v>
      </c>
      <c r="H1414" s="16"/>
      <c r="I1414" s="16">
        <v>14446.02</v>
      </c>
      <c r="J1414" s="16">
        <v>-14446.02</v>
      </c>
      <c r="K1414" s="14" t="s">
        <v>225</v>
      </c>
    </row>
    <row r="1415" spans="1:11" ht="15" customHeight="1">
      <c r="A1415" s="13">
        <v>45991</v>
      </c>
      <c r="B1415" s="14" t="s">
        <v>570</v>
      </c>
      <c r="C1415" s="19" t="s">
        <v>46</v>
      </c>
      <c r="D1415" s="14" t="s">
        <v>121</v>
      </c>
      <c r="E1415" s="14" t="str">
        <f>_xlfn.XLOOKUP($D1415,'Chart of Accounts'!$A:$A,'Chart of Accounts'!B:B,"")</f>
        <v>Bank Fees</v>
      </c>
      <c r="F1415" s="14" t="str">
        <f>_xlfn.XLOOKUP($D1415,'Chart of Accounts'!$A:$A,'Chart of Accounts'!C:C,"")</f>
        <v>Expense</v>
      </c>
      <c r="G1415" s="14" t="s">
        <v>503</v>
      </c>
      <c r="H1415" s="16">
        <v>78.150000000000006</v>
      </c>
      <c r="I1415" s="16"/>
      <c r="J1415" s="16">
        <v>78.150000000000006</v>
      </c>
      <c r="K1415" s="14" t="s">
        <v>225</v>
      </c>
    </row>
    <row r="1416" spans="1:11" ht="15" customHeight="1">
      <c r="A1416" s="13">
        <v>45991</v>
      </c>
      <c r="B1416" s="14" t="s">
        <v>570</v>
      </c>
      <c r="C1416" s="14"/>
      <c r="D1416" s="14" t="s">
        <v>40</v>
      </c>
      <c r="E1416" s="14" t="str">
        <f>_xlfn.XLOOKUP($D1416,'Chart of Accounts'!$A:$A,'Chart of Accounts'!B:B,"")</f>
        <v>Cash - Operating</v>
      </c>
      <c r="F1416" s="14" t="str">
        <f>_xlfn.XLOOKUP($D1416,'Chart of Accounts'!$A:$A,'Chart of Accounts'!C:C,"")</f>
        <v>Asset</v>
      </c>
      <c r="G1416" s="14" t="s">
        <v>503</v>
      </c>
      <c r="H1416" s="16"/>
      <c r="I1416" s="16">
        <v>78.150000000000006</v>
      </c>
      <c r="J1416" s="16">
        <v>-78.150000000000006</v>
      </c>
      <c r="K1416" s="14" t="s">
        <v>225</v>
      </c>
    </row>
    <row r="1417" spans="1:11" ht="15" customHeight="1">
      <c r="A1417" s="13">
        <v>45967</v>
      </c>
      <c r="B1417" s="14" t="s">
        <v>444</v>
      </c>
      <c r="C1417" s="19" t="s">
        <v>16</v>
      </c>
      <c r="D1417" s="14" t="s">
        <v>101</v>
      </c>
      <c r="E1417" s="14" t="str">
        <f>_xlfn.XLOOKUP($D1417,'Chart of Accounts'!$A:$A,'Chart of Accounts'!B:B,"")</f>
        <v>Contract Labor / Consultants</v>
      </c>
      <c r="F1417" s="14" t="str">
        <f>_xlfn.XLOOKUP($D1417,'Chart of Accounts'!$A:$A,'Chart of Accounts'!C:C,"")</f>
        <v>Expense</v>
      </c>
      <c r="G1417" s="14" t="s">
        <v>439</v>
      </c>
      <c r="H1417" s="16">
        <v>9256.74</v>
      </c>
      <c r="I1417" s="16"/>
      <c r="J1417" s="16">
        <v>9256.74</v>
      </c>
      <c r="K1417" s="14" t="s">
        <v>225</v>
      </c>
    </row>
    <row r="1418" spans="1:11" ht="15" customHeight="1">
      <c r="A1418" s="13">
        <v>46082</v>
      </c>
      <c r="B1418" s="14" t="s">
        <v>562</v>
      </c>
      <c r="C1418" s="19" t="s">
        <v>6</v>
      </c>
      <c r="D1418" s="14" t="s">
        <v>117</v>
      </c>
      <c r="E1418" s="14" t="str">
        <f>_xlfn.XLOOKUP($D1418,'Chart of Accounts'!$A:$A,'Chart of Accounts'!B:B,"")</f>
        <v>Insurance</v>
      </c>
      <c r="F1418" s="14" t="str">
        <f>_xlfn.XLOOKUP($D1418,'Chart of Accounts'!$A:$A,'Chart of Accounts'!C:C,"")</f>
        <v>Expense</v>
      </c>
      <c r="G1418" s="14" t="s">
        <v>479</v>
      </c>
      <c r="H1418" s="16">
        <v>650.15</v>
      </c>
      <c r="I1418" s="16"/>
      <c r="J1418" s="16">
        <v>650.15</v>
      </c>
      <c r="K1418" s="14" t="s">
        <v>225</v>
      </c>
    </row>
    <row r="1419" spans="1:11" ht="15" customHeight="1">
      <c r="A1419" s="13">
        <v>45985</v>
      </c>
      <c r="B1419" s="14" t="s">
        <v>571</v>
      </c>
      <c r="C1419" s="19" t="s">
        <v>18</v>
      </c>
      <c r="D1419" s="14" t="s">
        <v>109</v>
      </c>
      <c r="E1419" s="14" t="str">
        <f>_xlfn.XLOOKUP($D1419,'Chart of Accounts'!$A:$A,'Chart of Accounts'!B:B,"")</f>
        <v>Travel</v>
      </c>
      <c r="F1419" s="14" t="str">
        <f>_xlfn.XLOOKUP($D1419,'Chart of Accounts'!$A:$A,'Chart of Accounts'!C:C,"")</f>
        <v>Expense</v>
      </c>
      <c r="G1419" s="14" t="s">
        <v>518</v>
      </c>
      <c r="H1419" s="16">
        <v>611.67999999999995</v>
      </c>
      <c r="I1419" s="16"/>
      <c r="J1419" s="16">
        <v>611.67999999999995</v>
      </c>
      <c r="K1419" s="14" t="s">
        <v>225</v>
      </c>
    </row>
    <row r="1420" spans="1:11" ht="15" customHeight="1">
      <c r="A1420" s="13">
        <v>45985</v>
      </c>
      <c r="B1420" s="14" t="s">
        <v>571</v>
      </c>
      <c r="C1420" s="14"/>
      <c r="D1420" s="14" t="s">
        <v>40</v>
      </c>
      <c r="E1420" s="14" t="str">
        <f>_xlfn.XLOOKUP($D1420,'Chart of Accounts'!$A:$A,'Chart of Accounts'!B:B,"")</f>
        <v>Cash - Operating</v>
      </c>
      <c r="F1420" s="14" t="str">
        <f>_xlfn.XLOOKUP($D1420,'Chart of Accounts'!$A:$A,'Chart of Accounts'!C:C,"")</f>
        <v>Asset</v>
      </c>
      <c r="G1420" s="14" t="s">
        <v>518</v>
      </c>
      <c r="H1420" s="16"/>
      <c r="I1420" s="16">
        <v>611.67999999999995</v>
      </c>
      <c r="J1420" s="16">
        <v>-611.67999999999995</v>
      </c>
      <c r="K1420" s="14" t="s">
        <v>225</v>
      </c>
    </row>
    <row r="1421" spans="1:11" ht="15" customHeight="1">
      <c r="A1421" s="13">
        <v>45975</v>
      </c>
      <c r="B1421" s="14" t="s">
        <v>443</v>
      </c>
      <c r="C1421" s="17" t="s">
        <v>4</v>
      </c>
      <c r="D1421" s="14" t="s">
        <v>105</v>
      </c>
      <c r="E1421" s="14" t="str">
        <f>_xlfn.XLOOKUP($D1421,'Chart of Accounts'!$A:$A,'Chart of Accounts'!B:B,"")</f>
        <v>Office Supplies</v>
      </c>
      <c r="F1421" s="14" t="str">
        <f>_xlfn.XLOOKUP($D1421,'Chart of Accounts'!$A:$A,'Chart of Accounts'!C:C,"")</f>
        <v>Expense</v>
      </c>
      <c r="G1421" s="14" t="s">
        <v>421</v>
      </c>
      <c r="H1421" s="16">
        <v>265.89999999999998</v>
      </c>
      <c r="I1421" s="16"/>
      <c r="J1421" s="16">
        <v>265.89999999999998</v>
      </c>
      <c r="K1421" s="14" t="s">
        <v>225</v>
      </c>
    </row>
    <row r="1422" spans="1:11" ht="15" customHeight="1">
      <c r="A1422" s="13">
        <v>46082</v>
      </c>
      <c r="B1422" s="14" t="s">
        <v>562</v>
      </c>
      <c r="C1422" s="19" t="s">
        <v>8</v>
      </c>
      <c r="D1422" s="14" t="s">
        <v>117</v>
      </c>
      <c r="E1422" s="14" t="str">
        <f>_xlfn.XLOOKUP($D1422,'Chart of Accounts'!$A:$A,'Chart of Accounts'!B:B,"")</f>
        <v>Insurance</v>
      </c>
      <c r="F1422" s="14" t="str">
        <f>_xlfn.XLOOKUP($D1422,'Chart of Accounts'!$A:$A,'Chart of Accounts'!C:C,"")</f>
        <v>Expense</v>
      </c>
      <c r="G1422" s="14" t="s">
        <v>479</v>
      </c>
      <c r="H1422" s="16">
        <v>650.15</v>
      </c>
      <c r="I1422" s="16"/>
      <c r="J1422" s="16">
        <v>650.15</v>
      </c>
      <c r="K1422" s="14" t="s">
        <v>225</v>
      </c>
    </row>
    <row r="1423" spans="1:11" ht="15" customHeight="1">
      <c r="A1423" s="13">
        <v>45972</v>
      </c>
      <c r="B1423" s="14" t="s">
        <v>442</v>
      </c>
      <c r="C1423" s="17" t="s">
        <v>20</v>
      </c>
      <c r="D1423" s="14" t="s">
        <v>105</v>
      </c>
      <c r="E1423" s="14" t="str">
        <f>_xlfn.XLOOKUP($D1423,'Chart of Accounts'!$A:$A,'Chart of Accounts'!B:B,"")</f>
        <v>Office Supplies</v>
      </c>
      <c r="F1423" s="14" t="str">
        <f>_xlfn.XLOOKUP($D1423,'Chart of Accounts'!$A:$A,'Chart of Accounts'!C:C,"")</f>
        <v>Expense</v>
      </c>
      <c r="G1423" s="14" t="s">
        <v>421</v>
      </c>
      <c r="H1423" s="16">
        <v>771.82</v>
      </c>
      <c r="I1423" s="16"/>
      <c r="J1423" s="16">
        <v>771.82</v>
      </c>
      <c r="K1423" s="14" t="s">
        <v>225</v>
      </c>
    </row>
    <row r="1424" spans="1:11" ht="15" customHeight="1">
      <c r="A1424" s="13">
        <v>46082</v>
      </c>
      <c r="B1424" s="14" t="s">
        <v>562</v>
      </c>
      <c r="C1424" s="19" t="s">
        <v>10</v>
      </c>
      <c r="D1424" s="14" t="s">
        <v>117</v>
      </c>
      <c r="E1424" s="14" t="str">
        <f>_xlfn.XLOOKUP($D1424,'Chart of Accounts'!$A:$A,'Chart of Accounts'!B:B,"")</f>
        <v>Insurance</v>
      </c>
      <c r="F1424" s="14" t="str">
        <f>_xlfn.XLOOKUP($D1424,'Chart of Accounts'!$A:$A,'Chart of Accounts'!C:C,"")</f>
        <v>Expense</v>
      </c>
      <c r="G1424" s="14" t="s">
        <v>479</v>
      </c>
      <c r="H1424" s="16">
        <v>325.08</v>
      </c>
      <c r="I1424" s="16"/>
      <c r="J1424" s="16">
        <v>325.08</v>
      </c>
      <c r="K1424" s="14" t="s">
        <v>225</v>
      </c>
    </row>
    <row r="1425" spans="1:11" ht="15" customHeight="1">
      <c r="A1425" s="13">
        <v>45964</v>
      </c>
      <c r="B1425" s="14" t="s">
        <v>572</v>
      </c>
      <c r="C1425" s="17" t="s">
        <v>8</v>
      </c>
      <c r="D1425" s="14" t="s">
        <v>107</v>
      </c>
      <c r="E1425" s="14" t="str">
        <f>_xlfn.XLOOKUP($D1425,'Chart of Accounts'!$A:$A,'Chart of Accounts'!B:B,"")</f>
        <v>Software and Subscriptions</v>
      </c>
      <c r="F1425" s="14" t="str">
        <f>_xlfn.XLOOKUP($D1425,'Chart of Accounts'!$A:$A,'Chart of Accounts'!C:C,"")</f>
        <v>Expense</v>
      </c>
      <c r="G1425" s="14" t="s">
        <v>507</v>
      </c>
      <c r="H1425" s="16">
        <v>3018.05</v>
      </c>
      <c r="I1425" s="16"/>
      <c r="J1425" s="16">
        <v>3018.05</v>
      </c>
      <c r="K1425" s="14" t="s">
        <v>225</v>
      </c>
    </row>
    <row r="1426" spans="1:11" ht="15" customHeight="1">
      <c r="A1426" s="13">
        <v>45964</v>
      </c>
      <c r="B1426" s="14" t="s">
        <v>572</v>
      </c>
      <c r="C1426" s="14"/>
      <c r="D1426" s="14" t="s">
        <v>40</v>
      </c>
      <c r="E1426" s="14" t="str">
        <f>_xlfn.XLOOKUP($D1426,'Chart of Accounts'!$A:$A,'Chart of Accounts'!B:B,"")</f>
        <v>Cash - Operating</v>
      </c>
      <c r="F1426" s="14" t="str">
        <f>_xlfn.XLOOKUP($D1426,'Chart of Accounts'!$A:$A,'Chart of Accounts'!C:C,"")</f>
        <v>Asset</v>
      </c>
      <c r="G1426" s="14" t="s">
        <v>507</v>
      </c>
      <c r="H1426" s="16"/>
      <c r="I1426" s="16">
        <v>3018.05</v>
      </c>
      <c r="J1426" s="16">
        <v>-3018.05</v>
      </c>
      <c r="K1426" s="14" t="s">
        <v>225</v>
      </c>
    </row>
    <row r="1427" spans="1:11" ht="15" customHeight="1">
      <c r="A1427" s="13">
        <v>45962</v>
      </c>
      <c r="B1427" s="14" t="s">
        <v>441</v>
      </c>
      <c r="C1427" s="19" t="s">
        <v>4</v>
      </c>
      <c r="D1427" s="14" t="s">
        <v>33</v>
      </c>
      <c r="E1427" s="14" t="str">
        <f>_xlfn.XLOOKUP($D1427,'Chart of Accounts'!$A:$A,'Chart of Accounts'!B:B,"")</f>
        <v>Utilities</v>
      </c>
      <c r="F1427" s="14" t="str">
        <f>_xlfn.XLOOKUP($D1427,'Chart of Accounts'!$A:$A,'Chart of Accounts'!C:C,"")</f>
        <v>Expense</v>
      </c>
      <c r="G1427" s="14" t="s">
        <v>417</v>
      </c>
      <c r="H1427" s="16">
        <v>64.864615384615405</v>
      </c>
      <c r="I1427" s="16"/>
      <c r="J1427" s="16">
        <v>64.864615384615405</v>
      </c>
      <c r="K1427" s="14" t="s">
        <v>225</v>
      </c>
    </row>
    <row r="1428" spans="1:11" ht="15" customHeight="1">
      <c r="A1428" s="13">
        <v>45962</v>
      </c>
      <c r="B1428" s="14" t="s">
        <v>441</v>
      </c>
      <c r="C1428" s="19" t="s">
        <v>6</v>
      </c>
      <c r="D1428" s="14" t="s">
        <v>33</v>
      </c>
      <c r="E1428" s="14" t="str">
        <f>_xlfn.XLOOKUP($D1428,'Chart of Accounts'!$A:$A,'Chart of Accounts'!B:B,"")</f>
        <v>Utilities</v>
      </c>
      <c r="F1428" s="14" t="str">
        <f>_xlfn.XLOOKUP($D1428,'Chart of Accounts'!$A:$A,'Chart of Accounts'!C:C,"")</f>
        <v>Expense</v>
      </c>
      <c r="G1428" s="14" t="s">
        <v>417</v>
      </c>
      <c r="H1428" s="16">
        <v>86.486153846153798</v>
      </c>
      <c r="I1428" s="16"/>
      <c r="J1428" s="16">
        <v>86.486153846153798</v>
      </c>
      <c r="K1428" s="14" t="s">
        <v>225</v>
      </c>
    </row>
    <row r="1429" spans="1:11" ht="15" customHeight="1">
      <c r="A1429" s="13">
        <v>45962</v>
      </c>
      <c r="B1429" s="14" t="s">
        <v>441</v>
      </c>
      <c r="C1429" s="19" t="s">
        <v>8</v>
      </c>
      <c r="D1429" s="14" t="s">
        <v>33</v>
      </c>
      <c r="E1429" s="14" t="str">
        <f>_xlfn.XLOOKUP($D1429,'Chart of Accounts'!$A:$A,'Chart of Accounts'!B:B,"")</f>
        <v>Utilities</v>
      </c>
      <c r="F1429" s="14" t="str">
        <f>_xlfn.XLOOKUP($D1429,'Chart of Accounts'!$A:$A,'Chart of Accounts'!C:C,"")</f>
        <v>Expense</v>
      </c>
      <c r="G1429" s="14" t="s">
        <v>417</v>
      </c>
      <c r="H1429" s="16">
        <v>86.486153846153798</v>
      </c>
      <c r="I1429" s="16"/>
      <c r="J1429" s="16">
        <v>86.486153846153798</v>
      </c>
      <c r="K1429" s="14" t="s">
        <v>225</v>
      </c>
    </row>
    <row r="1430" spans="1:11" ht="15" customHeight="1">
      <c r="A1430" s="13">
        <v>45962</v>
      </c>
      <c r="B1430" s="14" t="s">
        <v>441</v>
      </c>
      <c r="C1430" s="19" t="s">
        <v>10</v>
      </c>
      <c r="D1430" s="14" t="s">
        <v>33</v>
      </c>
      <c r="E1430" s="14" t="str">
        <f>_xlfn.XLOOKUP($D1430,'Chart of Accounts'!$A:$A,'Chart of Accounts'!B:B,"")</f>
        <v>Utilities</v>
      </c>
      <c r="F1430" s="14" t="str">
        <f>_xlfn.XLOOKUP($D1430,'Chart of Accounts'!$A:$A,'Chart of Accounts'!C:C,"")</f>
        <v>Expense</v>
      </c>
      <c r="G1430" s="14" t="s">
        <v>417</v>
      </c>
      <c r="H1430" s="16">
        <v>86.486153846153798</v>
      </c>
      <c r="I1430" s="16"/>
      <c r="J1430" s="16">
        <v>86.486153846153798</v>
      </c>
      <c r="K1430" s="14" t="s">
        <v>225</v>
      </c>
    </row>
    <row r="1431" spans="1:11" ht="15" customHeight="1">
      <c r="A1431" s="13">
        <v>45962</v>
      </c>
      <c r="B1431" s="14" t="s">
        <v>441</v>
      </c>
      <c r="C1431" s="19" t="s">
        <v>12</v>
      </c>
      <c r="D1431" s="14" t="s">
        <v>33</v>
      </c>
      <c r="E1431" s="14" t="str">
        <f>_xlfn.XLOOKUP($D1431,'Chart of Accounts'!$A:$A,'Chart of Accounts'!B:B,"")</f>
        <v>Utilities</v>
      </c>
      <c r="F1431" s="14" t="str">
        <f>_xlfn.XLOOKUP($D1431,'Chart of Accounts'!$A:$A,'Chart of Accounts'!C:C,"")</f>
        <v>Expense</v>
      </c>
      <c r="G1431" s="14" t="s">
        <v>417</v>
      </c>
      <c r="H1431" s="16">
        <v>151.350769230769</v>
      </c>
      <c r="I1431" s="16"/>
      <c r="J1431" s="16">
        <v>151.350769230769</v>
      </c>
      <c r="K1431" s="14" t="s">
        <v>225</v>
      </c>
    </row>
    <row r="1432" spans="1:11" ht="15" customHeight="1">
      <c r="A1432" s="13">
        <v>45962</v>
      </c>
      <c r="B1432" s="14" t="s">
        <v>441</v>
      </c>
      <c r="C1432" s="19" t="s">
        <v>14</v>
      </c>
      <c r="D1432" s="14" t="s">
        <v>33</v>
      </c>
      <c r="E1432" s="14" t="str">
        <f>_xlfn.XLOOKUP($D1432,'Chart of Accounts'!$A:$A,'Chart of Accounts'!B:B,"")</f>
        <v>Utilities</v>
      </c>
      <c r="F1432" s="14" t="str">
        <f>_xlfn.XLOOKUP($D1432,'Chart of Accounts'!$A:$A,'Chart of Accounts'!C:C,"")</f>
        <v>Expense</v>
      </c>
      <c r="G1432" s="14" t="s">
        <v>417</v>
      </c>
      <c r="H1432" s="16">
        <v>172.97230769230799</v>
      </c>
      <c r="I1432" s="16"/>
      <c r="J1432" s="16">
        <v>172.97230769230799</v>
      </c>
      <c r="K1432" s="14" t="s">
        <v>225</v>
      </c>
    </row>
    <row r="1433" spans="1:11" ht="15" customHeight="1">
      <c r="A1433" s="13">
        <v>45962</v>
      </c>
      <c r="B1433" s="14" t="s">
        <v>441</v>
      </c>
      <c r="C1433" s="19" t="s">
        <v>16</v>
      </c>
      <c r="D1433" s="14" t="s">
        <v>33</v>
      </c>
      <c r="E1433" s="14" t="str">
        <f>_xlfn.XLOOKUP($D1433,'Chart of Accounts'!$A:$A,'Chart of Accounts'!B:B,"")</f>
        <v>Utilities</v>
      </c>
      <c r="F1433" s="14" t="str">
        <f>_xlfn.XLOOKUP($D1433,'Chart of Accounts'!$A:$A,'Chart of Accounts'!C:C,"")</f>
        <v>Expense</v>
      </c>
      <c r="G1433" s="14" t="s">
        <v>417</v>
      </c>
      <c r="H1433" s="16">
        <v>129.72923076923101</v>
      </c>
      <c r="I1433" s="16"/>
      <c r="J1433" s="16">
        <v>129.72923076923101</v>
      </c>
      <c r="K1433" s="14" t="s">
        <v>225</v>
      </c>
    </row>
    <row r="1434" spans="1:11" ht="15" customHeight="1">
      <c r="A1434" s="13">
        <v>45962</v>
      </c>
      <c r="B1434" s="14" t="s">
        <v>441</v>
      </c>
      <c r="C1434" s="19" t="s">
        <v>18</v>
      </c>
      <c r="D1434" s="14" t="s">
        <v>33</v>
      </c>
      <c r="E1434" s="14" t="str">
        <f>_xlfn.XLOOKUP($D1434,'Chart of Accounts'!$A:$A,'Chart of Accounts'!B:B,"")</f>
        <v>Utilities</v>
      </c>
      <c r="F1434" s="14" t="str">
        <f>_xlfn.XLOOKUP($D1434,'Chart of Accounts'!$A:$A,'Chart of Accounts'!C:C,"")</f>
        <v>Expense</v>
      </c>
      <c r="G1434" s="14" t="s">
        <v>417</v>
      </c>
      <c r="H1434" s="16">
        <v>172.97230769230799</v>
      </c>
      <c r="I1434" s="16"/>
      <c r="J1434" s="16">
        <v>172.97230769230799</v>
      </c>
      <c r="K1434" s="14" t="s">
        <v>225</v>
      </c>
    </row>
    <row r="1435" spans="1:11" ht="15" customHeight="1">
      <c r="A1435" s="13">
        <v>45962</v>
      </c>
      <c r="B1435" s="14" t="s">
        <v>441</v>
      </c>
      <c r="C1435" s="19" t="s">
        <v>20</v>
      </c>
      <c r="D1435" s="14" t="s">
        <v>33</v>
      </c>
      <c r="E1435" s="14" t="str">
        <f>_xlfn.XLOOKUP($D1435,'Chart of Accounts'!$A:$A,'Chart of Accounts'!B:B,"")</f>
        <v>Utilities</v>
      </c>
      <c r="F1435" s="14" t="str">
        <f>_xlfn.XLOOKUP($D1435,'Chart of Accounts'!$A:$A,'Chart of Accounts'!C:C,"")</f>
        <v>Expense</v>
      </c>
      <c r="G1435" s="14" t="s">
        <v>417</v>
      </c>
      <c r="H1435" s="16">
        <v>172.97230769230799</v>
      </c>
      <c r="I1435" s="16"/>
      <c r="J1435" s="16">
        <v>172.97230769230799</v>
      </c>
      <c r="K1435" s="14" t="s">
        <v>225</v>
      </c>
    </row>
    <row r="1436" spans="1:11" ht="15" customHeight="1">
      <c r="A1436" s="13">
        <v>46113</v>
      </c>
      <c r="B1436" s="14" t="s">
        <v>573</v>
      </c>
      <c r="C1436" s="19" t="s">
        <v>46</v>
      </c>
      <c r="D1436" s="15" t="s">
        <v>53</v>
      </c>
      <c r="E1436" s="14" t="str">
        <f>_xlfn.XLOOKUP($D1436,'Chart of Accounts'!$A:$A,'Chart of Accounts'!B:B,"")</f>
        <v>Prepaid Expenses</v>
      </c>
      <c r="F1436" s="14" t="str">
        <f>_xlfn.XLOOKUP($D1436,'Chart of Accounts'!$A:$A,'Chart of Accounts'!C:C,"")</f>
        <v>Asset</v>
      </c>
      <c r="G1436" s="14" t="s">
        <v>479</v>
      </c>
      <c r="H1436" s="16"/>
      <c r="I1436" s="16">
        <v>2700</v>
      </c>
      <c r="J1436" s="16">
        <v>-2700</v>
      </c>
      <c r="K1436" s="14" t="s">
        <v>225</v>
      </c>
    </row>
    <row r="1437" spans="1:11" ht="15" customHeight="1">
      <c r="A1437" s="13">
        <v>46113</v>
      </c>
      <c r="B1437" s="14" t="s">
        <v>573</v>
      </c>
      <c r="C1437" s="19" t="s">
        <v>12</v>
      </c>
      <c r="D1437" s="14" t="s">
        <v>117</v>
      </c>
      <c r="E1437" s="14" t="str">
        <f>_xlfn.XLOOKUP($D1437,'Chart of Accounts'!$A:$A,'Chart of Accounts'!B:B,"")</f>
        <v>Insurance</v>
      </c>
      <c r="F1437" s="14" t="str">
        <f>_xlfn.XLOOKUP($D1437,'Chart of Accounts'!$A:$A,'Chart of Accounts'!C:C,"")</f>
        <v>Expense</v>
      </c>
      <c r="G1437" s="14" t="s">
        <v>479</v>
      </c>
      <c r="H1437" s="16">
        <v>105.35</v>
      </c>
      <c r="I1437" s="16"/>
      <c r="J1437" s="16">
        <v>105.35</v>
      </c>
      <c r="K1437" s="14" t="s">
        <v>225</v>
      </c>
    </row>
    <row r="1438" spans="1:11" ht="15" customHeight="1">
      <c r="A1438" s="13">
        <v>45962</v>
      </c>
      <c r="B1438" s="14" t="s">
        <v>508</v>
      </c>
      <c r="C1438" s="14"/>
      <c r="D1438" s="14" t="s">
        <v>63</v>
      </c>
      <c r="E1438" s="14" t="str">
        <f>_xlfn.XLOOKUP($D1438,'Chart of Accounts'!$A:$A,'Chart of Accounts'!B:B,"")</f>
        <v>Accounts Payable</v>
      </c>
      <c r="F1438" s="14" t="str">
        <f>_xlfn.XLOOKUP($D1438,'Chart of Accounts'!$A:$A,'Chart of Accounts'!C:C,"")</f>
        <v>Liability</v>
      </c>
      <c r="G1438" s="14" t="s">
        <v>509</v>
      </c>
      <c r="H1438" s="16"/>
      <c r="I1438" s="16">
        <v>9800</v>
      </c>
      <c r="J1438" s="16">
        <v>-9800</v>
      </c>
      <c r="K1438" s="14" t="s">
        <v>225</v>
      </c>
    </row>
    <row r="1439" spans="1:11" ht="15" customHeight="1">
      <c r="A1439" s="13">
        <v>45961</v>
      </c>
      <c r="B1439" s="14" t="s">
        <v>574</v>
      </c>
      <c r="C1439" s="14"/>
      <c r="D1439" s="14" t="s">
        <v>75</v>
      </c>
      <c r="E1439" s="14" t="str">
        <f>_xlfn.XLOOKUP($D1439,'Chart of Accounts'!$A:$A,'Chart of Accounts'!B:B,"")</f>
        <v>Notes Payable - Long Term</v>
      </c>
      <c r="F1439" s="14" t="str">
        <f>_xlfn.XLOOKUP($D1439,'Chart of Accounts'!$A:$A,'Chart of Accounts'!C:C,"")</f>
        <v>Liability</v>
      </c>
      <c r="G1439" s="14" t="s">
        <v>491</v>
      </c>
      <c r="H1439" s="16">
        <v>1180</v>
      </c>
      <c r="I1439" s="16"/>
      <c r="J1439" s="16">
        <v>1180</v>
      </c>
      <c r="K1439" s="14" t="s">
        <v>225</v>
      </c>
    </row>
    <row r="1440" spans="1:11" ht="15" customHeight="1">
      <c r="A1440" s="13">
        <v>45961</v>
      </c>
      <c r="B1440" s="14" t="s">
        <v>574</v>
      </c>
      <c r="C1440" s="14"/>
      <c r="D1440" s="14" t="s">
        <v>40</v>
      </c>
      <c r="E1440" s="14" t="str">
        <f>_xlfn.XLOOKUP($D1440,'Chart of Accounts'!$A:$A,'Chart of Accounts'!B:B,"")</f>
        <v>Cash - Operating</v>
      </c>
      <c r="F1440" s="14" t="str">
        <f>_xlfn.XLOOKUP($D1440,'Chart of Accounts'!$A:$A,'Chart of Accounts'!C:C,"")</f>
        <v>Asset</v>
      </c>
      <c r="G1440" s="14" t="s">
        <v>491</v>
      </c>
      <c r="H1440" s="16"/>
      <c r="I1440" s="16">
        <v>1569.58</v>
      </c>
      <c r="J1440" s="16">
        <v>-1569.58</v>
      </c>
      <c r="K1440" s="14" t="s">
        <v>225</v>
      </c>
    </row>
    <row r="1441" spans="1:11" ht="15" customHeight="1">
      <c r="A1441" s="13">
        <v>45961</v>
      </c>
      <c r="B1441" s="14" t="s">
        <v>575</v>
      </c>
      <c r="C1441" s="17" t="s">
        <v>18</v>
      </c>
      <c r="D1441" s="14" t="s">
        <v>105</v>
      </c>
      <c r="E1441" s="14" t="str">
        <f>_xlfn.XLOOKUP($D1441,'Chart of Accounts'!$A:$A,'Chart of Accounts'!B:B,"")</f>
        <v>Office Supplies</v>
      </c>
      <c r="F1441" s="14" t="str">
        <f>_xlfn.XLOOKUP($D1441,'Chart of Accounts'!$A:$A,'Chart of Accounts'!C:C,"")</f>
        <v>Expense</v>
      </c>
      <c r="G1441" s="14" t="s">
        <v>421</v>
      </c>
      <c r="H1441" s="16">
        <v>1167.1300000000001</v>
      </c>
      <c r="I1441" s="16"/>
      <c r="J1441" s="16">
        <v>1167.1300000000001</v>
      </c>
      <c r="K1441" s="14" t="s">
        <v>225</v>
      </c>
    </row>
    <row r="1442" spans="1:11" ht="15" customHeight="1">
      <c r="A1442" s="13">
        <v>46113</v>
      </c>
      <c r="B1442" s="14" t="s">
        <v>573</v>
      </c>
      <c r="C1442" s="19" t="s">
        <v>14</v>
      </c>
      <c r="D1442" s="14" t="s">
        <v>117</v>
      </c>
      <c r="E1442" s="14" t="str">
        <f>_xlfn.XLOOKUP($D1442,'Chart of Accounts'!$A:$A,'Chart of Accounts'!B:B,"")</f>
        <v>Insurance</v>
      </c>
      <c r="F1442" s="14" t="str">
        <f>_xlfn.XLOOKUP($D1442,'Chart of Accounts'!$A:$A,'Chart of Accounts'!C:C,"")</f>
        <v>Expense</v>
      </c>
      <c r="G1442" s="14" t="s">
        <v>479</v>
      </c>
      <c r="H1442" s="16">
        <v>120.42</v>
      </c>
      <c r="I1442" s="16"/>
      <c r="J1442" s="16">
        <v>120.42</v>
      </c>
      <c r="K1442" s="14" t="s">
        <v>225</v>
      </c>
    </row>
    <row r="1443" spans="1:11" ht="15" customHeight="1">
      <c r="A1443" s="13">
        <v>45961</v>
      </c>
      <c r="B1443" s="14" t="s">
        <v>494</v>
      </c>
      <c r="C1443" s="14"/>
      <c r="D1443" s="14" t="s">
        <v>58</v>
      </c>
      <c r="E1443" s="14" t="str">
        <f>_xlfn.XLOOKUP($D1443,'Chart of Accounts'!$A:$A,'Chart of Accounts'!B:B,"")</f>
        <v>Accumulated Depreciation</v>
      </c>
      <c r="F1443" s="14" t="str">
        <f>_xlfn.XLOOKUP($D1443,'Chart of Accounts'!$A:$A,'Chart of Accounts'!C:C,"")</f>
        <v>Asset</v>
      </c>
      <c r="G1443" s="14" t="s">
        <v>495</v>
      </c>
      <c r="H1443" s="16"/>
      <c r="I1443" s="16">
        <v>2450</v>
      </c>
      <c r="J1443" s="16">
        <v>-2450</v>
      </c>
      <c r="K1443" s="14" t="s">
        <v>225</v>
      </c>
    </row>
    <row r="1444" spans="1:11" ht="15" customHeight="1">
      <c r="A1444" s="13">
        <v>45961</v>
      </c>
      <c r="B1444" s="14" t="s">
        <v>576</v>
      </c>
      <c r="C1444" s="19" t="s">
        <v>46</v>
      </c>
      <c r="D1444" s="14" t="s">
        <v>92</v>
      </c>
      <c r="E1444" s="14" t="str">
        <f>_xlfn.XLOOKUP($D1444,'Chart of Accounts'!$A:$A,'Chart of Accounts'!B:B,"")</f>
        <v>Interest Income</v>
      </c>
      <c r="F1444" s="14" t="str">
        <f>_xlfn.XLOOKUP($D1444,'Chart of Accounts'!$A:$A,'Chart of Accounts'!C:C,"")</f>
        <v>Revenue</v>
      </c>
      <c r="G1444" s="14" t="s">
        <v>497</v>
      </c>
      <c r="H1444" s="16"/>
      <c r="I1444" s="16">
        <v>769.06</v>
      </c>
      <c r="J1444" s="16">
        <v>-769.06</v>
      </c>
      <c r="K1444" s="14" t="s">
        <v>225</v>
      </c>
    </row>
    <row r="1445" spans="1:11" ht="15" customHeight="1">
      <c r="A1445" s="13">
        <v>45961</v>
      </c>
      <c r="B1445" s="14" t="s">
        <v>576</v>
      </c>
      <c r="C1445" s="14"/>
      <c r="D1445" s="14" t="s">
        <v>46</v>
      </c>
      <c r="E1445" s="14" t="str">
        <f>_xlfn.XLOOKUP($D1445,'Chart of Accounts'!$A:$A,'Chart of Accounts'!B:B,"")</f>
        <v>Cash - Money Market/Reserve</v>
      </c>
      <c r="F1445" s="14" t="str">
        <f>_xlfn.XLOOKUP($D1445,'Chart of Accounts'!$A:$A,'Chart of Accounts'!C:C,"")</f>
        <v>Asset</v>
      </c>
      <c r="G1445" s="14" t="s">
        <v>497</v>
      </c>
      <c r="H1445" s="16">
        <v>769.06</v>
      </c>
      <c r="I1445" s="16"/>
      <c r="J1445" s="16">
        <v>769.06</v>
      </c>
      <c r="K1445" s="14" t="s">
        <v>225</v>
      </c>
    </row>
    <row r="1446" spans="1:11" ht="15" customHeight="1">
      <c r="A1446" s="13">
        <v>45938</v>
      </c>
      <c r="B1446" s="14" t="s">
        <v>360</v>
      </c>
      <c r="C1446" s="14"/>
      <c r="D1446" s="14" t="s">
        <v>48</v>
      </c>
      <c r="E1446" s="14" t="str">
        <f>_xlfn.XLOOKUP($D1446,'Chart of Accounts'!$A:$A,'Chart of Accounts'!B:B,"")</f>
        <v>Accounts Receivable - Trade</v>
      </c>
      <c r="F1446" s="14" t="str">
        <f>_xlfn.XLOOKUP($D1446,'Chart of Accounts'!$A:$A,'Chart of Accounts'!C:C,"")</f>
        <v>Asset</v>
      </c>
      <c r="G1446" s="14" t="s">
        <v>525</v>
      </c>
      <c r="H1446" s="16">
        <v>79551.199999999997</v>
      </c>
      <c r="I1446" s="16"/>
      <c r="J1446" s="16">
        <v>79551.199999999997</v>
      </c>
      <c r="K1446" s="14" t="s">
        <v>225</v>
      </c>
    </row>
    <row r="1447" spans="1:11" ht="15" customHeight="1">
      <c r="A1447" s="13">
        <v>45961</v>
      </c>
      <c r="B1447" s="14" t="s">
        <v>360</v>
      </c>
      <c r="C1447" s="14"/>
      <c r="D1447" s="14" t="s">
        <v>51</v>
      </c>
      <c r="E1447" s="14" t="str">
        <f>_xlfn.XLOOKUP($D1447,'Chart of Accounts'!$A:$A,'Chart of Accounts'!B:B,"")</f>
        <v>Grants Receivable</v>
      </c>
      <c r="F1447" s="14" t="str">
        <f>_xlfn.XLOOKUP($D1447,'Chart of Accounts'!$A:$A,'Chart of Accounts'!C:C,"")</f>
        <v>Asset</v>
      </c>
      <c r="G1447" s="14" t="s">
        <v>498</v>
      </c>
      <c r="H1447" s="16">
        <v>79603.97</v>
      </c>
      <c r="I1447" s="16"/>
      <c r="J1447" s="16">
        <v>79603.97</v>
      </c>
      <c r="K1447" s="14" t="s">
        <v>225</v>
      </c>
    </row>
    <row r="1448" spans="1:11" ht="15" customHeight="1">
      <c r="A1448" s="13">
        <v>45948</v>
      </c>
      <c r="B1448" s="14" t="s">
        <v>577</v>
      </c>
      <c r="C1448" s="14"/>
      <c r="D1448" s="14" t="s">
        <v>40</v>
      </c>
      <c r="E1448" s="14" t="str">
        <f>_xlfn.XLOOKUP($D1448,'Chart of Accounts'!$A:$A,'Chart of Accounts'!B:B,"")</f>
        <v>Cash - Operating</v>
      </c>
      <c r="F1448" s="14" t="str">
        <f>_xlfn.XLOOKUP($D1448,'Chart of Accounts'!$A:$A,'Chart of Accounts'!C:C,"")</f>
        <v>Asset</v>
      </c>
      <c r="G1448" s="14" t="s">
        <v>500</v>
      </c>
      <c r="H1448" s="16">
        <v>76372.3</v>
      </c>
      <c r="I1448" s="16"/>
      <c r="J1448" s="16">
        <v>76372.3</v>
      </c>
      <c r="K1448" s="14" t="s">
        <v>225</v>
      </c>
    </row>
    <row r="1449" spans="1:11" ht="15" customHeight="1">
      <c r="A1449" s="13">
        <v>45948</v>
      </c>
      <c r="B1449" s="14" t="s">
        <v>577</v>
      </c>
      <c r="C1449" s="14"/>
      <c r="D1449" s="14" t="s">
        <v>51</v>
      </c>
      <c r="E1449" s="14" t="str">
        <f>_xlfn.XLOOKUP($D1449,'Chart of Accounts'!$A:$A,'Chart of Accounts'!B:B,"")</f>
        <v>Grants Receivable</v>
      </c>
      <c r="F1449" s="14" t="str">
        <f>_xlfn.XLOOKUP($D1449,'Chart of Accounts'!$A:$A,'Chart of Accounts'!C:C,"")</f>
        <v>Asset</v>
      </c>
      <c r="G1449" s="14" t="s">
        <v>500</v>
      </c>
      <c r="H1449" s="16"/>
      <c r="I1449" s="16">
        <v>76372.3</v>
      </c>
      <c r="J1449" s="16">
        <v>-76372.3</v>
      </c>
      <c r="K1449" s="14" t="s">
        <v>225</v>
      </c>
    </row>
    <row r="1450" spans="1:11" ht="15" customHeight="1">
      <c r="A1450" s="13">
        <v>45942</v>
      </c>
      <c r="B1450" s="14" t="s">
        <v>360</v>
      </c>
      <c r="C1450" s="14"/>
      <c r="D1450" s="14" t="s">
        <v>40</v>
      </c>
      <c r="E1450" s="14" t="str">
        <f>_xlfn.XLOOKUP($D1450,'Chart of Accounts'!$A:$A,'Chart of Accounts'!B:B,"")</f>
        <v>Cash - Operating</v>
      </c>
      <c r="F1450" s="14" t="str">
        <f>_xlfn.XLOOKUP($D1450,'Chart of Accounts'!$A:$A,'Chart of Accounts'!C:C,"")</f>
        <v>Asset</v>
      </c>
      <c r="G1450" s="14" t="s">
        <v>501</v>
      </c>
      <c r="H1450" s="16">
        <v>143298.15</v>
      </c>
      <c r="I1450" s="16"/>
      <c r="J1450" s="16">
        <v>143298.15</v>
      </c>
      <c r="K1450" s="14" t="s">
        <v>225</v>
      </c>
    </row>
    <row r="1451" spans="1:11" ht="15" customHeight="1">
      <c r="A1451" s="13">
        <v>46113</v>
      </c>
      <c r="B1451" s="14" t="s">
        <v>573</v>
      </c>
      <c r="C1451" s="19" t="s">
        <v>16</v>
      </c>
      <c r="D1451" s="14" t="s">
        <v>117</v>
      </c>
      <c r="E1451" s="14" t="str">
        <f>_xlfn.XLOOKUP($D1451,'Chart of Accounts'!$A:$A,'Chart of Accounts'!B:B,"")</f>
        <v>Insurance</v>
      </c>
      <c r="F1451" s="14" t="str">
        <f>_xlfn.XLOOKUP($D1451,'Chart of Accounts'!$A:$A,'Chart of Accounts'!C:C,"")</f>
        <v>Expense</v>
      </c>
      <c r="G1451" s="14" t="s">
        <v>479</v>
      </c>
      <c r="H1451" s="16">
        <v>90.31</v>
      </c>
      <c r="I1451" s="16"/>
      <c r="J1451" s="16">
        <v>90.31</v>
      </c>
      <c r="K1451" s="14" t="s">
        <v>225</v>
      </c>
    </row>
    <row r="1452" spans="1:11" ht="15" customHeight="1">
      <c r="A1452" s="13">
        <v>45950</v>
      </c>
      <c r="B1452" s="14" t="s">
        <v>440</v>
      </c>
      <c r="C1452" s="14"/>
      <c r="D1452" s="14" t="s">
        <v>40</v>
      </c>
      <c r="E1452" s="14" t="str">
        <f>_xlfn.XLOOKUP($D1452,'Chart of Accounts'!$A:$A,'Chart of Accounts'!B:B,"")</f>
        <v>Cash - Operating</v>
      </c>
      <c r="F1452" s="14" t="str">
        <f>_xlfn.XLOOKUP($D1452,'Chart of Accounts'!$A:$A,'Chart of Accounts'!C:C,"")</f>
        <v>Asset</v>
      </c>
      <c r="G1452" s="14" t="s">
        <v>423</v>
      </c>
      <c r="H1452" s="16"/>
      <c r="I1452" s="16">
        <v>23527.74</v>
      </c>
      <c r="J1452" s="16">
        <v>-23527.74</v>
      </c>
      <c r="K1452" s="14" t="s">
        <v>225</v>
      </c>
    </row>
    <row r="1453" spans="1:11" ht="15" customHeight="1">
      <c r="A1453" s="13">
        <v>45961</v>
      </c>
      <c r="B1453" s="14" t="s">
        <v>578</v>
      </c>
      <c r="C1453" s="19" t="s">
        <v>46</v>
      </c>
      <c r="D1453" s="14" t="s">
        <v>121</v>
      </c>
      <c r="E1453" s="14" t="str">
        <f>_xlfn.XLOOKUP($D1453,'Chart of Accounts'!$A:$A,'Chart of Accounts'!B:B,"")</f>
        <v>Bank Fees</v>
      </c>
      <c r="F1453" s="14" t="str">
        <f>_xlfn.XLOOKUP($D1453,'Chart of Accounts'!$A:$A,'Chart of Accounts'!C:C,"")</f>
        <v>Expense</v>
      </c>
      <c r="G1453" s="14" t="s">
        <v>503</v>
      </c>
      <c r="H1453" s="16">
        <v>78.31</v>
      </c>
      <c r="I1453" s="16"/>
      <c r="J1453" s="16">
        <v>78.31</v>
      </c>
      <c r="K1453" s="14" t="s">
        <v>225</v>
      </c>
    </row>
    <row r="1454" spans="1:11" ht="15" customHeight="1">
      <c r="A1454" s="13">
        <v>45961</v>
      </c>
      <c r="B1454" s="14" t="s">
        <v>578</v>
      </c>
      <c r="C1454" s="14"/>
      <c r="D1454" s="14" t="s">
        <v>40</v>
      </c>
      <c r="E1454" s="14" t="str">
        <f>_xlfn.XLOOKUP($D1454,'Chart of Accounts'!$A:$A,'Chart of Accounts'!B:B,"")</f>
        <v>Cash - Operating</v>
      </c>
      <c r="F1454" s="14" t="str">
        <f>_xlfn.XLOOKUP($D1454,'Chart of Accounts'!$A:$A,'Chart of Accounts'!C:C,"")</f>
        <v>Asset</v>
      </c>
      <c r="G1454" s="14" t="s">
        <v>503</v>
      </c>
      <c r="H1454" s="16"/>
      <c r="I1454" s="16">
        <v>78.31</v>
      </c>
      <c r="J1454" s="16">
        <v>-78.31</v>
      </c>
      <c r="K1454" s="14" t="s">
        <v>225</v>
      </c>
    </row>
    <row r="1455" spans="1:11" ht="15" customHeight="1">
      <c r="A1455" s="13">
        <v>45935</v>
      </c>
      <c r="B1455" s="14" t="s">
        <v>438</v>
      </c>
      <c r="C1455" s="19" t="s">
        <v>14</v>
      </c>
      <c r="D1455" s="14" t="s">
        <v>101</v>
      </c>
      <c r="E1455" s="14" t="str">
        <f>_xlfn.XLOOKUP($D1455,'Chart of Accounts'!$A:$A,'Chart of Accounts'!B:B,"")</f>
        <v>Contract Labor / Consultants</v>
      </c>
      <c r="F1455" s="14" t="str">
        <f>_xlfn.XLOOKUP($D1455,'Chart of Accounts'!$A:$A,'Chart of Accounts'!C:C,"")</f>
        <v>Expense</v>
      </c>
      <c r="G1455" s="14" t="s">
        <v>439</v>
      </c>
      <c r="H1455" s="16">
        <v>14969.25</v>
      </c>
      <c r="I1455" s="16"/>
      <c r="J1455" s="16">
        <v>14969.25</v>
      </c>
      <c r="K1455" s="14" t="s">
        <v>225</v>
      </c>
    </row>
    <row r="1456" spans="1:11" ht="15" customHeight="1">
      <c r="A1456" s="13">
        <v>46113</v>
      </c>
      <c r="B1456" s="14" t="s">
        <v>573</v>
      </c>
      <c r="C1456" s="19" t="s">
        <v>18</v>
      </c>
      <c r="D1456" s="14" t="s">
        <v>117</v>
      </c>
      <c r="E1456" s="14" t="str">
        <f>_xlfn.XLOOKUP($D1456,'Chart of Accounts'!$A:$A,'Chart of Accounts'!B:B,"")</f>
        <v>Insurance</v>
      </c>
      <c r="F1456" s="14" t="str">
        <f>_xlfn.XLOOKUP($D1456,'Chart of Accounts'!$A:$A,'Chart of Accounts'!C:C,"")</f>
        <v>Expense</v>
      </c>
      <c r="G1456" s="14" t="s">
        <v>479</v>
      </c>
      <c r="H1456" s="16">
        <v>120.41</v>
      </c>
      <c r="I1456" s="16"/>
      <c r="J1456" s="16">
        <v>120.41</v>
      </c>
      <c r="K1456" s="14" t="s">
        <v>225</v>
      </c>
    </row>
    <row r="1457" spans="1:11" ht="15" customHeight="1">
      <c r="A1457" s="13">
        <v>45959</v>
      </c>
      <c r="B1457" s="14" t="s">
        <v>579</v>
      </c>
      <c r="C1457" s="19" t="s">
        <v>16</v>
      </c>
      <c r="D1457" s="14" t="s">
        <v>109</v>
      </c>
      <c r="E1457" s="14" t="str">
        <f>_xlfn.XLOOKUP($D1457,'Chart of Accounts'!$A:$A,'Chart of Accounts'!B:B,"")</f>
        <v>Travel</v>
      </c>
      <c r="F1457" s="14" t="str">
        <f>_xlfn.XLOOKUP($D1457,'Chart of Accounts'!$A:$A,'Chart of Accounts'!C:C,"")</f>
        <v>Expense</v>
      </c>
      <c r="G1457" s="14" t="s">
        <v>518</v>
      </c>
      <c r="H1457" s="16">
        <v>2704.51</v>
      </c>
      <c r="I1457" s="16"/>
      <c r="J1457" s="16">
        <v>2704.51</v>
      </c>
      <c r="K1457" s="14" t="s">
        <v>225</v>
      </c>
    </row>
    <row r="1458" spans="1:11" ht="15" customHeight="1">
      <c r="A1458" s="13">
        <v>45959</v>
      </c>
      <c r="B1458" s="14" t="s">
        <v>579</v>
      </c>
      <c r="C1458" s="14"/>
      <c r="D1458" s="14" t="s">
        <v>40</v>
      </c>
      <c r="E1458" s="14" t="str">
        <f>_xlfn.XLOOKUP($D1458,'Chart of Accounts'!$A:$A,'Chart of Accounts'!B:B,"")</f>
        <v>Cash - Operating</v>
      </c>
      <c r="F1458" s="14" t="str">
        <f>_xlfn.XLOOKUP($D1458,'Chart of Accounts'!$A:$A,'Chart of Accounts'!C:C,"")</f>
        <v>Asset</v>
      </c>
      <c r="G1458" s="14" t="s">
        <v>518</v>
      </c>
      <c r="H1458" s="16"/>
      <c r="I1458" s="16">
        <v>2704.51</v>
      </c>
      <c r="J1458" s="16">
        <v>-2704.51</v>
      </c>
      <c r="K1458" s="14" t="s">
        <v>225</v>
      </c>
    </row>
    <row r="1459" spans="1:11" ht="15" customHeight="1">
      <c r="A1459" s="13">
        <v>45948</v>
      </c>
      <c r="B1459" s="14" t="s">
        <v>437</v>
      </c>
      <c r="C1459" s="17" t="s">
        <v>16</v>
      </c>
      <c r="D1459" s="14" t="s">
        <v>105</v>
      </c>
      <c r="E1459" s="14" t="str">
        <f>_xlfn.XLOOKUP($D1459,'Chart of Accounts'!$A:$A,'Chart of Accounts'!B:B,"")</f>
        <v>Office Supplies</v>
      </c>
      <c r="F1459" s="14" t="str">
        <f>_xlfn.XLOOKUP($D1459,'Chart of Accounts'!$A:$A,'Chart of Accounts'!C:C,"")</f>
        <v>Expense</v>
      </c>
      <c r="G1459" s="14" t="s">
        <v>421</v>
      </c>
      <c r="H1459" s="16">
        <v>753.64</v>
      </c>
      <c r="I1459" s="16"/>
      <c r="J1459" s="16">
        <v>753.64</v>
      </c>
      <c r="K1459" s="14" t="s">
        <v>225</v>
      </c>
    </row>
    <row r="1460" spans="1:11" ht="15" customHeight="1">
      <c r="A1460" s="13">
        <v>46113</v>
      </c>
      <c r="B1460" s="14" t="s">
        <v>573</v>
      </c>
      <c r="C1460" s="19" t="s">
        <v>20</v>
      </c>
      <c r="D1460" s="14" t="s">
        <v>117</v>
      </c>
      <c r="E1460" s="14" t="str">
        <f>_xlfn.XLOOKUP($D1460,'Chart of Accounts'!$A:$A,'Chart of Accounts'!B:B,"")</f>
        <v>Insurance</v>
      </c>
      <c r="F1460" s="14" t="str">
        <f>_xlfn.XLOOKUP($D1460,'Chart of Accounts'!$A:$A,'Chart of Accounts'!C:C,"")</f>
        <v>Expense</v>
      </c>
      <c r="G1460" s="14" t="s">
        <v>479</v>
      </c>
      <c r="H1460" s="16">
        <v>150.51</v>
      </c>
      <c r="I1460" s="16"/>
      <c r="J1460" s="16">
        <v>150.51</v>
      </c>
      <c r="K1460" s="14" t="s">
        <v>225</v>
      </c>
    </row>
    <row r="1461" spans="1:11" ht="15" customHeight="1">
      <c r="A1461" s="13">
        <v>46113</v>
      </c>
      <c r="B1461" s="14" t="s">
        <v>573</v>
      </c>
      <c r="C1461" s="19" t="s">
        <v>4</v>
      </c>
      <c r="D1461" s="14" t="s">
        <v>117</v>
      </c>
      <c r="E1461" s="14" t="str">
        <f>_xlfn.XLOOKUP($D1461,'Chart of Accounts'!$A:$A,'Chart of Accounts'!B:B,"")</f>
        <v>Insurance</v>
      </c>
      <c r="F1461" s="14" t="str">
        <f>_xlfn.XLOOKUP($D1461,'Chart of Accounts'!$A:$A,'Chart of Accounts'!C:C,"")</f>
        <v>Expense</v>
      </c>
      <c r="G1461" s="14" t="s">
        <v>479</v>
      </c>
      <c r="H1461" s="16">
        <v>487.62</v>
      </c>
      <c r="I1461" s="16"/>
      <c r="J1461" s="16">
        <v>487.62</v>
      </c>
      <c r="K1461" s="14" t="s">
        <v>225</v>
      </c>
    </row>
    <row r="1462" spans="1:11" ht="15" customHeight="1">
      <c r="A1462" s="13">
        <v>46113</v>
      </c>
      <c r="B1462" s="14" t="s">
        <v>573</v>
      </c>
      <c r="C1462" s="19" t="s">
        <v>6</v>
      </c>
      <c r="D1462" s="14" t="s">
        <v>117</v>
      </c>
      <c r="E1462" s="14" t="str">
        <f>_xlfn.XLOOKUP($D1462,'Chart of Accounts'!$A:$A,'Chart of Accounts'!B:B,"")</f>
        <v>Insurance</v>
      </c>
      <c r="F1462" s="14" t="str">
        <f>_xlfn.XLOOKUP($D1462,'Chart of Accounts'!$A:$A,'Chart of Accounts'!C:C,"")</f>
        <v>Expense</v>
      </c>
      <c r="G1462" s="14" t="s">
        <v>479</v>
      </c>
      <c r="H1462" s="16">
        <v>650.15</v>
      </c>
      <c r="I1462" s="16"/>
      <c r="J1462" s="16">
        <v>650.15</v>
      </c>
      <c r="K1462" s="14" t="s">
        <v>225</v>
      </c>
    </row>
    <row r="1463" spans="1:11" ht="15" customHeight="1">
      <c r="A1463" s="13">
        <v>45940</v>
      </c>
      <c r="B1463" s="14" t="s">
        <v>436</v>
      </c>
      <c r="C1463" s="14"/>
      <c r="D1463" s="14" t="s">
        <v>40</v>
      </c>
      <c r="E1463" s="14" t="str">
        <f>_xlfn.XLOOKUP($D1463,'Chart of Accounts'!$A:$A,'Chart of Accounts'!B:B,"")</f>
        <v>Cash - Operating</v>
      </c>
      <c r="F1463" s="14" t="str">
        <f>_xlfn.XLOOKUP($D1463,'Chart of Accounts'!$A:$A,'Chart of Accounts'!C:C,"")</f>
        <v>Asset</v>
      </c>
      <c r="G1463" s="14" t="s">
        <v>419</v>
      </c>
      <c r="H1463" s="16"/>
      <c r="I1463" s="16">
        <v>8100</v>
      </c>
      <c r="J1463" s="16">
        <v>-8100</v>
      </c>
      <c r="K1463" s="14" t="s">
        <v>225</v>
      </c>
    </row>
    <row r="1464" spans="1:11" ht="15" customHeight="1">
      <c r="A1464" s="13">
        <v>45933</v>
      </c>
      <c r="B1464" s="14" t="s">
        <v>580</v>
      </c>
      <c r="C1464" s="17" t="s">
        <v>6</v>
      </c>
      <c r="D1464" s="14" t="s">
        <v>107</v>
      </c>
      <c r="E1464" s="14" t="str">
        <f>_xlfn.XLOOKUP($D1464,'Chart of Accounts'!$A:$A,'Chart of Accounts'!B:B,"")</f>
        <v>Software and Subscriptions</v>
      </c>
      <c r="F1464" s="14" t="str">
        <f>_xlfn.XLOOKUP($D1464,'Chart of Accounts'!$A:$A,'Chart of Accounts'!C:C,"")</f>
        <v>Expense</v>
      </c>
      <c r="G1464" s="14" t="s">
        <v>507</v>
      </c>
      <c r="H1464" s="16">
        <v>2517.86</v>
      </c>
      <c r="I1464" s="16"/>
      <c r="J1464" s="16">
        <v>2517.86</v>
      </c>
      <c r="K1464" s="14" t="s">
        <v>225</v>
      </c>
    </row>
    <row r="1465" spans="1:11" ht="15" customHeight="1">
      <c r="A1465" s="13">
        <v>45933</v>
      </c>
      <c r="B1465" s="14" t="s">
        <v>580</v>
      </c>
      <c r="C1465" s="14"/>
      <c r="D1465" s="14" t="s">
        <v>40</v>
      </c>
      <c r="E1465" s="14" t="str">
        <f>_xlfn.XLOOKUP($D1465,'Chart of Accounts'!$A:$A,'Chart of Accounts'!B:B,"")</f>
        <v>Cash - Operating</v>
      </c>
      <c r="F1465" s="14" t="str">
        <f>_xlfn.XLOOKUP($D1465,'Chart of Accounts'!$A:$A,'Chart of Accounts'!C:C,"")</f>
        <v>Asset</v>
      </c>
      <c r="G1465" s="14" t="s">
        <v>507</v>
      </c>
      <c r="H1465" s="16"/>
      <c r="I1465" s="16">
        <v>2517.86</v>
      </c>
      <c r="J1465" s="16">
        <v>-2517.86</v>
      </c>
      <c r="K1465" s="14" t="s">
        <v>225</v>
      </c>
    </row>
    <row r="1466" spans="1:11" ht="15" customHeight="1">
      <c r="A1466" s="13">
        <v>45931</v>
      </c>
      <c r="B1466" s="14" t="s">
        <v>435</v>
      </c>
      <c r="C1466" s="19" t="s">
        <v>4</v>
      </c>
      <c r="D1466" s="14" t="s">
        <v>33</v>
      </c>
      <c r="E1466" s="14" t="str">
        <f>_xlfn.XLOOKUP($D1466,'Chart of Accounts'!$A:$A,'Chart of Accounts'!B:B,"")</f>
        <v>Utilities</v>
      </c>
      <c r="F1466" s="14" t="str">
        <f>_xlfn.XLOOKUP($D1466,'Chart of Accounts'!$A:$A,'Chart of Accounts'!C:C,"")</f>
        <v>Expense</v>
      </c>
      <c r="G1466" s="14" t="s">
        <v>417</v>
      </c>
      <c r="H1466" s="16">
        <v>60.388800000000003</v>
      </c>
      <c r="I1466" s="16"/>
      <c r="J1466" s="16">
        <v>60.388800000000003</v>
      </c>
      <c r="K1466" s="14" t="s">
        <v>225</v>
      </c>
    </row>
    <row r="1467" spans="1:11" ht="15" customHeight="1">
      <c r="A1467" s="13">
        <v>45931</v>
      </c>
      <c r="B1467" s="14" t="s">
        <v>435</v>
      </c>
      <c r="C1467" s="19" t="s">
        <v>6</v>
      </c>
      <c r="D1467" s="14" t="s">
        <v>33</v>
      </c>
      <c r="E1467" s="14" t="str">
        <f>_xlfn.XLOOKUP($D1467,'Chart of Accounts'!$A:$A,'Chart of Accounts'!B:B,"")</f>
        <v>Utilities</v>
      </c>
      <c r="F1467" s="14" t="str">
        <f>_xlfn.XLOOKUP($D1467,'Chart of Accounts'!$A:$A,'Chart of Accounts'!C:C,"")</f>
        <v>Expense</v>
      </c>
      <c r="G1467" s="14" t="s">
        <v>417</v>
      </c>
      <c r="H1467" s="16">
        <v>80.5184</v>
      </c>
      <c r="I1467" s="16"/>
      <c r="J1467" s="16">
        <v>80.5184</v>
      </c>
      <c r="K1467" s="14" t="s">
        <v>225</v>
      </c>
    </row>
    <row r="1468" spans="1:11" ht="15" customHeight="1">
      <c r="A1468" s="13">
        <v>45931</v>
      </c>
      <c r="B1468" s="14" t="s">
        <v>435</v>
      </c>
      <c r="C1468" s="19" t="s">
        <v>8</v>
      </c>
      <c r="D1468" s="14" t="s">
        <v>33</v>
      </c>
      <c r="E1468" s="14" t="str">
        <f>_xlfn.XLOOKUP($D1468,'Chart of Accounts'!$A:$A,'Chart of Accounts'!B:B,"")</f>
        <v>Utilities</v>
      </c>
      <c r="F1468" s="14" t="str">
        <f>_xlfn.XLOOKUP($D1468,'Chart of Accounts'!$A:$A,'Chart of Accounts'!C:C,"")</f>
        <v>Expense</v>
      </c>
      <c r="G1468" s="14" t="s">
        <v>417</v>
      </c>
      <c r="H1468" s="16">
        <v>80.5184</v>
      </c>
      <c r="I1468" s="16"/>
      <c r="J1468" s="16">
        <v>80.5184</v>
      </c>
      <c r="K1468" s="14" t="s">
        <v>225</v>
      </c>
    </row>
    <row r="1469" spans="1:11" ht="15" customHeight="1">
      <c r="A1469" s="13">
        <v>45931</v>
      </c>
      <c r="B1469" s="14" t="s">
        <v>435</v>
      </c>
      <c r="C1469" s="19" t="s">
        <v>10</v>
      </c>
      <c r="D1469" s="14" t="s">
        <v>33</v>
      </c>
      <c r="E1469" s="14" t="str">
        <f>_xlfn.XLOOKUP($D1469,'Chart of Accounts'!$A:$A,'Chart of Accounts'!B:B,"")</f>
        <v>Utilities</v>
      </c>
      <c r="F1469" s="14" t="str">
        <f>_xlfn.XLOOKUP($D1469,'Chart of Accounts'!$A:$A,'Chart of Accounts'!C:C,"")</f>
        <v>Expense</v>
      </c>
      <c r="G1469" s="14" t="s">
        <v>417</v>
      </c>
      <c r="H1469" s="16">
        <v>80.5184</v>
      </c>
      <c r="I1469" s="16"/>
      <c r="J1469" s="16">
        <v>80.5184</v>
      </c>
      <c r="K1469" s="14" t="s">
        <v>225</v>
      </c>
    </row>
    <row r="1470" spans="1:11" ht="15" customHeight="1">
      <c r="A1470" s="13">
        <v>45931</v>
      </c>
      <c r="B1470" s="14" t="s">
        <v>435</v>
      </c>
      <c r="C1470" s="19" t="s">
        <v>12</v>
      </c>
      <c r="D1470" s="14" t="s">
        <v>33</v>
      </c>
      <c r="E1470" s="14" t="str">
        <f>_xlfn.XLOOKUP($D1470,'Chart of Accounts'!$A:$A,'Chart of Accounts'!B:B,"")</f>
        <v>Utilities</v>
      </c>
      <c r="F1470" s="14" t="str">
        <f>_xlfn.XLOOKUP($D1470,'Chart of Accounts'!$A:$A,'Chart of Accounts'!C:C,"")</f>
        <v>Expense</v>
      </c>
      <c r="G1470" s="14" t="s">
        <v>417</v>
      </c>
      <c r="H1470" s="16">
        <v>100.648</v>
      </c>
      <c r="I1470" s="16"/>
      <c r="J1470" s="16">
        <v>100.648</v>
      </c>
      <c r="K1470" s="14" t="s">
        <v>225</v>
      </c>
    </row>
    <row r="1471" spans="1:11" ht="15" customHeight="1">
      <c r="A1471" s="13">
        <v>45931</v>
      </c>
      <c r="B1471" s="14" t="s">
        <v>435</v>
      </c>
      <c r="C1471" s="19" t="s">
        <v>14</v>
      </c>
      <c r="D1471" s="14" t="s">
        <v>33</v>
      </c>
      <c r="E1471" s="14" t="str">
        <f>_xlfn.XLOOKUP($D1471,'Chart of Accounts'!$A:$A,'Chart of Accounts'!B:B,"")</f>
        <v>Utilities</v>
      </c>
      <c r="F1471" s="14" t="str">
        <f>_xlfn.XLOOKUP($D1471,'Chart of Accounts'!$A:$A,'Chart of Accounts'!C:C,"")</f>
        <v>Expense</v>
      </c>
      <c r="G1471" s="14" t="s">
        <v>417</v>
      </c>
      <c r="H1471" s="16">
        <v>161.0368</v>
      </c>
      <c r="I1471" s="16"/>
      <c r="J1471" s="16">
        <v>161.0368</v>
      </c>
      <c r="K1471" s="14" t="s">
        <v>225</v>
      </c>
    </row>
    <row r="1472" spans="1:11" ht="15" customHeight="1">
      <c r="A1472" s="13">
        <v>45931</v>
      </c>
      <c r="B1472" s="14" t="s">
        <v>435</v>
      </c>
      <c r="C1472" s="19" t="s">
        <v>16</v>
      </c>
      <c r="D1472" s="14" t="s">
        <v>33</v>
      </c>
      <c r="E1472" s="14" t="str">
        <f>_xlfn.XLOOKUP($D1472,'Chart of Accounts'!$A:$A,'Chart of Accounts'!B:B,"")</f>
        <v>Utilities</v>
      </c>
      <c r="F1472" s="14" t="str">
        <f>_xlfn.XLOOKUP($D1472,'Chart of Accounts'!$A:$A,'Chart of Accounts'!C:C,"")</f>
        <v>Expense</v>
      </c>
      <c r="G1472" s="14" t="s">
        <v>417</v>
      </c>
      <c r="H1472" s="16">
        <v>120.77760000000001</v>
      </c>
      <c r="I1472" s="16"/>
      <c r="J1472" s="16">
        <v>120.77760000000001</v>
      </c>
      <c r="K1472" s="14" t="s">
        <v>225</v>
      </c>
    </row>
    <row r="1473" spans="1:11" ht="15" customHeight="1">
      <c r="A1473" s="13">
        <v>45931</v>
      </c>
      <c r="B1473" s="14" t="s">
        <v>435</v>
      </c>
      <c r="C1473" s="19" t="s">
        <v>18</v>
      </c>
      <c r="D1473" s="14" t="s">
        <v>33</v>
      </c>
      <c r="E1473" s="14" t="str">
        <f>_xlfn.XLOOKUP($D1473,'Chart of Accounts'!$A:$A,'Chart of Accounts'!B:B,"")</f>
        <v>Utilities</v>
      </c>
      <c r="F1473" s="14" t="str">
        <f>_xlfn.XLOOKUP($D1473,'Chart of Accounts'!$A:$A,'Chart of Accounts'!C:C,"")</f>
        <v>Expense</v>
      </c>
      <c r="G1473" s="14" t="s">
        <v>417</v>
      </c>
      <c r="H1473" s="16">
        <v>161.0368</v>
      </c>
      <c r="I1473" s="16"/>
      <c r="J1473" s="16">
        <v>161.0368</v>
      </c>
      <c r="K1473" s="14" t="s">
        <v>225</v>
      </c>
    </row>
    <row r="1474" spans="1:11" ht="15" customHeight="1">
      <c r="A1474" s="13">
        <v>45931</v>
      </c>
      <c r="B1474" s="14" t="s">
        <v>435</v>
      </c>
      <c r="C1474" s="19" t="s">
        <v>20</v>
      </c>
      <c r="D1474" s="14" t="s">
        <v>33</v>
      </c>
      <c r="E1474" s="14" t="str">
        <f>_xlfn.XLOOKUP($D1474,'Chart of Accounts'!$A:$A,'Chart of Accounts'!B:B,"")</f>
        <v>Utilities</v>
      </c>
      <c r="F1474" s="14" t="str">
        <f>_xlfn.XLOOKUP($D1474,'Chart of Accounts'!$A:$A,'Chart of Accounts'!C:C,"")</f>
        <v>Expense</v>
      </c>
      <c r="G1474" s="14" t="s">
        <v>417</v>
      </c>
      <c r="H1474" s="16">
        <v>161.0368</v>
      </c>
      <c r="I1474" s="16"/>
      <c r="J1474" s="16">
        <v>161.0368</v>
      </c>
      <c r="K1474" s="14" t="s">
        <v>225</v>
      </c>
    </row>
    <row r="1475" spans="1:11" ht="15" customHeight="1">
      <c r="A1475" s="13">
        <v>46113</v>
      </c>
      <c r="B1475" s="14" t="s">
        <v>573</v>
      </c>
      <c r="C1475" s="19" t="s">
        <v>8</v>
      </c>
      <c r="D1475" s="14" t="s">
        <v>117</v>
      </c>
      <c r="E1475" s="14" t="str">
        <f>_xlfn.XLOOKUP($D1475,'Chart of Accounts'!$A:$A,'Chart of Accounts'!B:B,"")</f>
        <v>Insurance</v>
      </c>
      <c r="F1475" s="14" t="str">
        <f>_xlfn.XLOOKUP($D1475,'Chart of Accounts'!$A:$A,'Chart of Accounts'!C:C,"")</f>
        <v>Expense</v>
      </c>
      <c r="G1475" s="14" t="s">
        <v>479</v>
      </c>
      <c r="H1475" s="16">
        <v>650.15</v>
      </c>
      <c r="I1475" s="16"/>
      <c r="J1475" s="16">
        <v>650.15</v>
      </c>
      <c r="K1475" s="14" t="s">
        <v>225</v>
      </c>
    </row>
    <row r="1476" spans="1:11" ht="15" customHeight="1">
      <c r="A1476" s="13">
        <v>45931</v>
      </c>
      <c r="B1476" s="14" t="s">
        <v>508</v>
      </c>
      <c r="C1476" s="14"/>
      <c r="D1476" s="14" t="s">
        <v>63</v>
      </c>
      <c r="E1476" s="14" t="str">
        <f>_xlfn.XLOOKUP($D1476,'Chart of Accounts'!$A:$A,'Chart of Accounts'!B:B,"")</f>
        <v>Accounts Payable</v>
      </c>
      <c r="F1476" s="14" t="str">
        <f>_xlfn.XLOOKUP($D1476,'Chart of Accounts'!$A:$A,'Chart of Accounts'!C:C,"")</f>
        <v>Liability</v>
      </c>
      <c r="G1476" s="14" t="s">
        <v>509</v>
      </c>
      <c r="H1476" s="16"/>
      <c r="I1476" s="16">
        <v>9800</v>
      </c>
      <c r="J1476" s="16">
        <v>-9800</v>
      </c>
      <c r="K1476" s="14" t="s">
        <v>225</v>
      </c>
    </row>
    <row r="1477" spans="1:11" ht="15" customHeight="1">
      <c r="A1477" s="13">
        <v>45930</v>
      </c>
      <c r="B1477" s="14" t="s">
        <v>581</v>
      </c>
      <c r="C1477" s="14"/>
      <c r="D1477" s="14" t="s">
        <v>75</v>
      </c>
      <c r="E1477" s="14" t="str">
        <f>_xlfn.XLOOKUP($D1477,'Chart of Accounts'!$A:$A,'Chart of Accounts'!B:B,"")</f>
        <v>Notes Payable - Long Term</v>
      </c>
      <c r="F1477" s="14" t="str">
        <f>_xlfn.XLOOKUP($D1477,'Chart of Accounts'!$A:$A,'Chart of Accounts'!C:C,"")</f>
        <v>Liability</v>
      </c>
      <c r="G1477" s="14" t="s">
        <v>491</v>
      </c>
      <c r="H1477" s="16">
        <v>1180</v>
      </c>
      <c r="I1477" s="16"/>
      <c r="J1477" s="16">
        <v>1180</v>
      </c>
      <c r="K1477" s="14" t="s">
        <v>225</v>
      </c>
    </row>
    <row r="1478" spans="1:11" ht="15" customHeight="1">
      <c r="A1478" s="13">
        <v>45930</v>
      </c>
      <c r="B1478" s="14" t="s">
        <v>581</v>
      </c>
      <c r="C1478" s="14"/>
      <c r="D1478" s="14" t="s">
        <v>40</v>
      </c>
      <c r="E1478" s="14" t="str">
        <f>_xlfn.XLOOKUP($D1478,'Chart of Accounts'!$A:$A,'Chart of Accounts'!B:B,"")</f>
        <v>Cash - Operating</v>
      </c>
      <c r="F1478" s="14" t="str">
        <f>_xlfn.XLOOKUP($D1478,'Chart of Accounts'!$A:$A,'Chart of Accounts'!C:C,"")</f>
        <v>Asset</v>
      </c>
      <c r="G1478" s="14" t="s">
        <v>491</v>
      </c>
      <c r="H1478" s="16"/>
      <c r="I1478" s="16">
        <v>1569.58</v>
      </c>
      <c r="J1478" s="16">
        <v>-1569.58</v>
      </c>
      <c r="K1478" s="14" t="s">
        <v>225</v>
      </c>
    </row>
    <row r="1479" spans="1:11" ht="15" customHeight="1">
      <c r="A1479" s="13">
        <v>45925</v>
      </c>
      <c r="B1479" s="14" t="s">
        <v>433</v>
      </c>
      <c r="C1479" s="19" t="s">
        <v>46</v>
      </c>
      <c r="D1479" s="14" t="s">
        <v>115</v>
      </c>
      <c r="E1479" s="14" t="str">
        <f>_xlfn.XLOOKUP($D1479,'Chart of Accounts'!$A:$A,'Chart of Accounts'!B:B,"")</f>
        <v>Professional Fees - Accounting/Audit</v>
      </c>
      <c r="F1479" s="14" t="str">
        <f>_xlfn.XLOOKUP($D1479,'Chart of Accounts'!$A:$A,'Chart of Accounts'!C:C,"")</f>
        <v>Expense</v>
      </c>
      <c r="G1479" s="14" t="s">
        <v>434</v>
      </c>
      <c r="H1479" s="16">
        <v>21086.560000000001</v>
      </c>
      <c r="I1479" s="16"/>
      <c r="J1479" s="16">
        <v>21086.560000000001</v>
      </c>
      <c r="K1479" s="14" t="s">
        <v>225</v>
      </c>
    </row>
    <row r="1480" spans="1:11" ht="15" customHeight="1">
      <c r="A1480" s="13">
        <v>46113</v>
      </c>
      <c r="B1480" s="14" t="s">
        <v>573</v>
      </c>
      <c r="C1480" s="19" t="s">
        <v>10</v>
      </c>
      <c r="D1480" s="14" t="s">
        <v>117</v>
      </c>
      <c r="E1480" s="14" t="str">
        <f>_xlfn.XLOOKUP($D1480,'Chart of Accounts'!$A:$A,'Chart of Accounts'!B:B,"")</f>
        <v>Insurance</v>
      </c>
      <c r="F1480" s="14" t="str">
        <f>_xlfn.XLOOKUP($D1480,'Chart of Accounts'!$A:$A,'Chart of Accounts'!C:C,"")</f>
        <v>Expense</v>
      </c>
      <c r="G1480" s="14" t="s">
        <v>479</v>
      </c>
      <c r="H1480" s="16">
        <v>325.08</v>
      </c>
      <c r="I1480" s="16"/>
      <c r="J1480" s="16">
        <v>325.08</v>
      </c>
      <c r="K1480" s="14" t="s">
        <v>225</v>
      </c>
    </row>
    <row r="1481" spans="1:11" ht="15" customHeight="1">
      <c r="A1481" s="13">
        <v>45930</v>
      </c>
      <c r="B1481" s="14" t="s">
        <v>582</v>
      </c>
      <c r="C1481" s="17" t="s">
        <v>14</v>
      </c>
      <c r="D1481" s="14" t="s">
        <v>105</v>
      </c>
      <c r="E1481" s="14" t="str">
        <f>_xlfn.XLOOKUP($D1481,'Chart of Accounts'!$A:$A,'Chart of Accounts'!B:B,"")</f>
        <v>Office Supplies</v>
      </c>
      <c r="F1481" s="14" t="str">
        <f>_xlfn.XLOOKUP($D1481,'Chart of Accounts'!$A:$A,'Chart of Accounts'!C:C,"")</f>
        <v>Expense</v>
      </c>
      <c r="G1481" s="14" t="s">
        <v>421</v>
      </c>
      <c r="H1481" s="16">
        <v>1047.69</v>
      </c>
      <c r="I1481" s="16"/>
      <c r="J1481" s="16">
        <v>1047.69</v>
      </c>
      <c r="K1481" s="14" t="s">
        <v>225</v>
      </c>
    </row>
    <row r="1482" spans="1:11" ht="15" customHeight="1">
      <c r="A1482" s="13">
        <v>46143</v>
      </c>
      <c r="B1482" s="14" t="s">
        <v>583</v>
      </c>
      <c r="C1482" s="19" t="s">
        <v>46</v>
      </c>
      <c r="D1482" s="15" t="s">
        <v>53</v>
      </c>
      <c r="E1482" s="14" t="str">
        <f>_xlfn.XLOOKUP($D1482,'Chart of Accounts'!$A:$A,'Chart of Accounts'!B:B,"")</f>
        <v>Prepaid Expenses</v>
      </c>
      <c r="F1482" s="14" t="str">
        <f>_xlfn.XLOOKUP($D1482,'Chart of Accounts'!$A:$A,'Chart of Accounts'!C:C,"")</f>
        <v>Asset</v>
      </c>
      <c r="G1482" s="14" t="s">
        <v>479</v>
      </c>
      <c r="H1482" s="16"/>
      <c r="I1482" s="16">
        <v>2700</v>
      </c>
      <c r="J1482" s="16">
        <v>-2700</v>
      </c>
      <c r="K1482" s="14" t="s">
        <v>225</v>
      </c>
    </row>
    <row r="1483" spans="1:11" ht="15" customHeight="1">
      <c r="A1483" s="13">
        <v>46143</v>
      </c>
      <c r="B1483" s="14" t="s">
        <v>583</v>
      </c>
      <c r="C1483" s="19" t="s">
        <v>12</v>
      </c>
      <c r="D1483" s="14" t="s">
        <v>117</v>
      </c>
      <c r="E1483" s="14" t="str">
        <f>_xlfn.XLOOKUP($D1483,'Chart of Accounts'!$A:$A,'Chart of Accounts'!B:B,"")</f>
        <v>Insurance</v>
      </c>
      <c r="F1483" s="14" t="str">
        <f>_xlfn.XLOOKUP($D1483,'Chart of Accounts'!$A:$A,'Chart of Accounts'!C:C,"")</f>
        <v>Expense</v>
      </c>
      <c r="G1483" s="14" t="s">
        <v>479</v>
      </c>
      <c r="H1483" s="16">
        <v>111.04</v>
      </c>
      <c r="I1483" s="16"/>
      <c r="J1483" s="16">
        <v>111.04</v>
      </c>
      <c r="K1483" s="14" t="s">
        <v>225</v>
      </c>
    </row>
    <row r="1484" spans="1:11" ht="15" customHeight="1">
      <c r="A1484" s="13">
        <v>45930</v>
      </c>
      <c r="B1484" s="14" t="s">
        <v>494</v>
      </c>
      <c r="C1484" s="14"/>
      <c r="D1484" s="14" t="s">
        <v>58</v>
      </c>
      <c r="E1484" s="14" t="str">
        <f>_xlfn.XLOOKUP($D1484,'Chart of Accounts'!$A:$A,'Chart of Accounts'!B:B,"")</f>
        <v>Accumulated Depreciation</v>
      </c>
      <c r="F1484" s="14" t="str">
        <f>_xlfn.XLOOKUP($D1484,'Chart of Accounts'!$A:$A,'Chart of Accounts'!C:C,"")</f>
        <v>Asset</v>
      </c>
      <c r="G1484" s="14" t="s">
        <v>495</v>
      </c>
      <c r="H1484" s="16"/>
      <c r="I1484" s="16">
        <v>2450</v>
      </c>
      <c r="J1484" s="16">
        <v>-2450</v>
      </c>
      <c r="K1484" s="14" t="s">
        <v>225</v>
      </c>
    </row>
    <row r="1485" spans="1:11" ht="15" customHeight="1">
      <c r="A1485" s="13">
        <v>45930</v>
      </c>
      <c r="B1485" s="14" t="s">
        <v>584</v>
      </c>
      <c r="C1485" s="19" t="s">
        <v>46</v>
      </c>
      <c r="D1485" s="14" t="s">
        <v>92</v>
      </c>
      <c r="E1485" s="14" t="str">
        <f>_xlfn.XLOOKUP($D1485,'Chart of Accounts'!$A:$A,'Chart of Accounts'!B:B,"")</f>
        <v>Interest Income</v>
      </c>
      <c r="F1485" s="14" t="str">
        <f>_xlfn.XLOOKUP($D1485,'Chart of Accounts'!$A:$A,'Chart of Accounts'!C:C,"")</f>
        <v>Revenue</v>
      </c>
      <c r="G1485" s="14" t="s">
        <v>497</v>
      </c>
      <c r="H1485" s="16"/>
      <c r="I1485" s="16">
        <v>830.32</v>
      </c>
      <c r="J1485" s="16">
        <v>-830.32</v>
      </c>
      <c r="K1485" s="14" t="s">
        <v>225</v>
      </c>
    </row>
    <row r="1486" spans="1:11" ht="15" customHeight="1">
      <c r="A1486" s="13">
        <v>45930</v>
      </c>
      <c r="B1486" s="14" t="s">
        <v>584</v>
      </c>
      <c r="C1486" s="14"/>
      <c r="D1486" s="14" t="s">
        <v>46</v>
      </c>
      <c r="E1486" s="14" t="str">
        <f>_xlfn.XLOOKUP($D1486,'Chart of Accounts'!$A:$A,'Chart of Accounts'!B:B,"")</f>
        <v>Cash - Money Market/Reserve</v>
      </c>
      <c r="F1486" s="14" t="str">
        <f>_xlfn.XLOOKUP($D1486,'Chart of Accounts'!$A:$A,'Chart of Accounts'!C:C,"")</f>
        <v>Asset</v>
      </c>
      <c r="G1486" s="14" t="s">
        <v>497</v>
      </c>
      <c r="H1486" s="16">
        <v>830.32</v>
      </c>
      <c r="I1486" s="16"/>
      <c r="J1486" s="16">
        <v>830.32</v>
      </c>
      <c r="K1486" s="14" t="s">
        <v>225</v>
      </c>
    </row>
    <row r="1487" spans="1:11" ht="15" customHeight="1">
      <c r="A1487" s="13">
        <v>45930</v>
      </c>
      <c r="B1487" s="14" t="s">
        <v>361</v>
      </c>
      <c r="C1487" s="14"/>
      <c r="D1487" s="14" t="s">
        <v>51</v>
      </c>
      <c r="E1487" s="14" t="str">
        <f>_xlfn.XLOOKUP($D1487,'Chart of Accounts'!$A:$A,'Chart of Accounts'!B:B,"")</f>
        <v>Grants Receivable</v>
      </c>
      <c r="F1487" s="14" t="str">
        <f>_xlfn.XLOOKUP($D1487,'Chart of Accounts'!$A:$A,'Chart of Accounts'!C:C,"")</f>
        <v>Asset</v>
      </c>
      <c r="G1487" s="14" t="s">
        <v>498</v>
      </c>
      <c r="H1487" s="16">
        <v>55772.65</v>
      </c>
      <c r="I1487" s="16"/>
      <c r="J1487" s="16">
        <v>55772.65</v>
      </c>
      <c r="K1487" s="14" t="s">
        <v>225</v>
      </c>
    </row>
    <row r="1488" spans="1:11" ht="15" customHeight="1">
      <c r="A1488" s="13">
        <v>45918</v>
      </c>
      <c r="B1488" s="14" t="s">
        <v>585</v>
      </c>
      <c r="C1488" s="14"/>
      <c r="D1488" s="14" t="s">
        <v>40</v>
      </c>
      <c r="E1488" s="14" t="str">
        <f>_xlfn.XLOOKUP($D1488,'Chart of Accounts'!$A:$A,'Chart of Accounts'!B:B,"")</f>
        <v>Cash - Operating</v>
      </c>
      <c r="F1488" s="14" t="str">
        <f>_xlfn.XLOOKUP($D1488,'Chart of Accounts'!$A:$A,'Chart of Accounts'!C:C,"")</f>
        <v>Asset</v>
      </c>
      <c r="G1488" s="14" t="s">
        <v>500</v>
      </c>
      <c r="H1488" s="16">
        <v>46605.01</v>
      </c>
      <c r="I1488" s="16"/>
      <c r="J1488" s="16">
        <v>46605.01</v>
      </c>
      <c r="K1488" s="14" t="s">
        <v>225</v>
      </c>
    </row>
    <row r="1489" spans="1:11" ht="15" customHeight="1">
      <c r="A1489" s="13">
        <v>45918</v>
      </c>
      <c r="B1489" s="14" t="s">
        <v>585</v>
      </c>
      <c r="C1489" s="14"/>
      <c r="D1489" s="14" t="s">
        <v>51</v>
      </c>
      <c r="E1489" s="14" t="str">
        <f>_xlfn.XLOOKUP($D1489,'Chart of Accounts'!$A:$A,'Chart of Accounts'!B:B,"")</f>
        <v>Grants Receivable</v>
      </c>
      <c r="F1489" s="14" t="str">
        <f>_xlfn.XLOOKUP($D1489,'Chart of Accounts'!$A:$A,'Chart of Accounts'!C:C,"")</f>
        <v>Asset</v>
      </c>
      <c r="G1489" s="14" t="s">
        <v>500</v>
      </c>
      <c r="H1489" s="16"/>
      <c r="I1489" s="16">
        <v>46605.01</v>
      </c>
      <c r="J1489" s="16">
        <v>-46605.01</v>
      </c>
      <c r="K1489" s="14" t="s">
        <v>225</v>
      </c>
    </row>
    <row r="1490" spans="1:11" ht="15" customHeight="1">
      <c r="A1490" s="13">
        <v>45912</v>
      </c>
      <c r="B1490" s="14" t="s">
        <v>361</v>
      </c>
      <c r="C1490" s="14"/>
      <c r="D1490" s="14" t="s">
        <v>40</v>
      </c>
      <c r="E1490" s="14" t="str">
        <f>_xlfn.XLOOKUP($D1490,'Chart of Accounts'!$A:$A,'Chart of Accounts'!B:B,"")</f>
        <v>Cash - Operating</v>
      </c>
      <c r="F1490" s="14" t="str">
        <f>_xlfn.XLOOKUP($D1490,'Chart of Accounts'!$A:$A,'Chart of Accounts'!C:C,"")</f>
        <v>Asset</v>
      </c>
      <c r="G1490" s="14" t="s">
        <v>501</v>
      </c>
      <c r="H1490" s="16">
        <v>194319.99</v>
      </c>
      <c r="I1490" s="16"/>
      <c r="J1490" s="16">
        <v>194319.99</v>
      </c>
      <c r="K1490" s="14" t="s">
        <v>225</v>
      </c>
    </row>
    <row r="1491" spans="1:11" ht="15" customHeight="1">
      <c r="A1491" s="13">
        <v>46143</v>
      </c>
      <c r="B1491" s="14" t="s">
        <v>583</v>
      </c>
      <c r="C1491" s="19" t="s">
        <v>14</v>
      </c>
      <c r="D1491" s="14" t="s">
        <v>117</v>
      </c>
      <c r="E1491" s="14" t="str">
        <f>_xlfn.XLOOKUP($D1491,'Chart of Accounts'!$A:$A,'Chart of Accounts'!B:B,"")</f>
        <v>Insurance</v>
      </c>
      <c r="F1491" s="14" t="str">
        <f>_xlfn.XLOOKUP($D1491,'Chart of Accounts'!$A:$A,'Chart of Accounts'!C:C,"")</f>
        <v>Expense</v>
      </c>
      <c r="G1491" s="14" t="s">
        <v>479</v>
      </c>
      <c r="H1491" s="16">
        <v>126.93</v>
      </c>
      <c r="I1491" s="16"/>
      <c r="J1491" s="16">
        <v>126.93</v>
      </c>
      <c r="K1491" s="14" t="s">
        <v>225</v>
      </c>
    </row>
    <row r="1492" spans="1:11" ht="15" customHeight="1">
      <c r="A1492" s="13">
        <v>45920</v>
      </c>
      <c r="B1492" s="14" t="s">
        <v>432</v>
      </c>
      <c r="C1492" s="14"/>
      <c r="D1492" s="14" t="s">
        <v>40</v>
      </c>
      <c r="E1492" s="14" t="str">
        <f>_xlfn.XLOOKUP($D1492,'Chart of Accounts'!$A:$A,'Chart of Accounts'!B:B,"")</f>
        <v>Cash - Operating</v>
      </c>
      <c r="F1492" s="14" t="str">
        <f>_xlfn.XLOOKUP($D1492,'Chart of Accounts'!$A:$A,'Chart of Accounts'!C:C,"")</f>
        <v>Asset</v>
      </c>
      <c r="G1492" s="14" t="s">
        <v>423</v>
      </c>
      <c r="H1492" s="16"/>
      <c r="I1492" s="16">
        <v>19622.849999999999</v>
      </c>
      <c r="J1492" s="16">
        <v>-19622.849999999999</v>
      </c>
      <c r="K1492" s="14" t="s">
        <v>225</v>
      </c>
    </row>
    <row r="1493" spans="1:11" ht="15" customHeight="1">
      <c r="A1493" s="13">
        <v>45930</v>
      </c>
      <c r="B1493" s="14" t="s">
        <v>586</v>
      </c>
      <c r="C1493" s="19" t="s">
        <v>46</v>
      </c>
      <c r="D1493" s="14" t="s">
        <v>121</v>
      </c>
      <c r="E1493" s="14" t="str">
        <f>_xlfn.XLOOKUP($D1493,'Chart of Accounts'!$A:$A,'Chart of Accounts'!B:B,"")</f>
        <v>Bank Fees</v>
      </c>
      <c r="F1493" s="14" t="str">
        <f>_xlfn.XLOOKUP($D1493,'Chart of Accounts'!$A:$A,'Chart of Accounts'!C:C,"")</f>
        <v>Expense</v>
      </c>
      <c r="G1493" s="14" t="s">
        <v>503</v>
      </c>
      <c r="H1493" s="16">
        <v>93.19</v>
      </c>
      <c r="I1493" s="16"/>
      <c r="J1493" s="16">
        <v>93.19</v>
      </c>
      <c r="K1493" s="14" t="s">
        <v>225</v>
      </c>
    </row>
    <row r="1494" spans="1:11" ht="15" customHeight="1">
      <c r="A1494" s="13">
        <v>45930</v>
      </c>
      <c r="B1494" s="14" t="s">
        <v>586</v>
      </c>
      <c r="C1494" s="14"/>
      <c r="D1494" s="14" t="s">
        <v>40</v>
      </c>
      <c r="E1494" s="14" t="str">
        <f>_xlfn.XLOOKUP($D1494,'Chart of Accounts'!$A:$A,'Chart of Accounts'!B:B,"")</f>
        <v>Cash - Operating</v>
      </c>
      <c r="F1494" s="14" t="str">
        <f>_xlfn.XLOOKUP($D1494,'Chart of Accounts'!$A:$A,'Chart of Accounts'!C:C,"")</f>
        <v>Asset</v>
      </c>
      <c r="G1494" s="14" t="s">
        <v>503</v>
      </c>
      <c r="H1494" s="16"/>
      <c r="I1494" s="16">
        <v>93.19</v>
      </c>
      <c r="J1494" s="16">
        <v>-93.19</v>
      </c>
      <c r="K1494" s="14" t="s">
        <v>225</v>
      </c>
    </row>
    <row r="1495" spans="1:11" ht="15" customHeight="1">
      <c r="A1495" s="13">
        <v>45930</v>
      </c>
      <c r="B1495" s="14" t="s">
        <v>587</v>
      </c>
      <c r="C1495" s="19" t="s">
        <v>20</v>
      </c>
      <c r="D1495" s="14" t="s">
        <v>109</v>
      </c>
      <c r="E1495" s="14" t="str">
        <f>_xlfn.XLOOKUP($D1495,'Chart of Accounts'!$A:$A,'Chart of Accounts'!B:B,"")</f>
        <v>Travel</v>
      </c>
      <c r="F1495" s="14" t="str">
        <f>_xlfn.XLOOKUP($D1495,'Chart of Accounts'!$A:$A,'Chart of Accounts'!C:C,"")</f>
        <v>Expense</v>
      </c>
      <c r="G1495" s="14" t="s">
        <v>518</v>
      </c>
      <c r="H1495" s="16">
        <v>1966.04</v>
      </c>
      <c r="I1495" s="16"/>
      <c r="J1495" s="16">
        <v>1966.04</v>
      </c>
      <c r="K1495" s="14" t="s">
        <v>225</v>
      </c>
    </row>
    <row r="1496" spans="1:11" ht="15" customHeight="1">
      <c r="A1496" s="13">
        <v>45930</v>
      </c>
      <c r="B1496" s="14" t="s">
        <v>587</v>
      </c>
      <c r="C1496" s="14"/>
      <c r="D1496" s="14" t="s">
        <v>40</v>
      </c>
      <c r="E1496" s="14" t="str">
        <f>_xlfn.XLOOKUP($D1496,'Chart of Accounts'!$A:$A,'Chart of Accounts'!B:B,"")</f>
        <v>Cash - Operating</v>
      </c>
      <c r="F1496" s="14" t="str">
        <f>_xlfn.XLOOKUP($D1496,'Chart of Accounts'!$A:$A,'Chart of Accounts'!C:C,"")</f>
        <v>Asset</v>
      </c>
      <c r="G1496" s="14" t="s">
        <v>518</v>
      </c>
      <c r="H1496" s="16"/>
      <c r="I1496" s="16">
        <v>1966.04</v>
      </c>
      <c r="J1496" s="16">
        <v>-1966.04</v>
      </c>
      <c r="K1496" s="14" t="s">
        <v>225</v>
      </c>
    </row>
    <row r="1497" spans="1:11" ht="15" customHeight="1">
      <c r="A1497" s="13">
        <v>45908</v>
      </c>
      <c r="B1497" s="14" t="s">
        <v>431</v>
      </c>
      <c r="C1497" s="17" t="s">
        <v>12</v>
      </c>
      <c r="D1497" s="14" t="s">
        <v>105</v>
      </c>
      <c r="E1497" s="14" t="str">
        <f>_xlfn.XLOOKUP($D1497,'Chart of Accounts'!$A:$A,'Chart of Accounts'!B:B,"")</f>
        <v>Office Supplies</v>
      </c>
      <c r="F1497" s="14" t="str">
        <f>_xlfn.XLOOKUP($D1497,'Chart of Accounts'!$A:$A,'Chart of Accounts'!C:C,"")</f>
        <v>Expense</v>
      </c>
      <c r="G1497" s="14" t="s">
        <v>421</v>
      </c>
      <c r="H1497" s="16">
        <v>591.29</v>
      </c>
      <c r="I1497" s="16"/>
      <c r="J1497" s="16">
        <v>591.29</v>
      </c>
      <c r="K1497" s="14" t="s">
        <v>225</v>
      </c>
    </row>
    <row r="1498" spans="1:11" ht="15" customHeight="1">
      <c r="A1498" s="13">
        <v>46143</v>
      </c>
      <c r="B1498" s="14" t="s">
        <v>583</v>
      </c>
      <c r="C1498" s="19" t="s">
        <v>16</v>
      </c>
      <c r="D1498" s="14" t="s">
        <v>117</v>
      </c>
      <c r="E1498" s="14" t="str">
        <f>_xlfn.XLOOKUP($D1498,'Chart of Accounts'!$A:$A,'Chart of Accounts'!B:B,"")</f>
        <v>Insurance</v>
      </c>
      <c r="F1498" s="14" t="str">
        <f>_xlfn.XLOOKUP($D1498,'Chart of Accounts'!$A:$A,'Chart of Accounts'!C:C,"")</f>
        <v>Expense</v>
      </c>
      <c r="G1498" s="14" t="s">
        <v>479</v>
      </c>
      <c r="H1498" s="16">
        <v>63.46</v>
      </c>
      <c r="I1498" s="16"/>
      <c r="J1498" s="16">
        <v>63.46</v>
      </c>
      <c r="K1498" s="14" t="s">
        <v>225</v>
      </c>
    </row>
    <row r="1499" spans="1:11" ht="15" customHeight="1">
      <c r="A1499" s="13">
        <v>45903</v>
      </c>
      <c r="B1499" s="14" t="s">
        <v>588</v>
      </c>
      <c r="C1499" s="17" t="s">
        <v>46</v>
      </c>
      <c r="D1499" s="14" t="s">
        <v>107</v>
      </c>
      <c r="E1499" s="14" t="str">
        <f>_xlfn.XLOOKUP($D1499,'Chart of Accounts'!$A:$A,'Chart of Accounts'!B:B,"")</f>
        <v>Software and Subscriptions</v>
      </c>
      <c r="F1499" s="14" t="str">
        <f>_xlfn.XLOOKUP($D1499,'Chart of Accounts'!$A:$A,'Chart of Accounts'!C:C,"")</f>
        <v>Expense</v>
      </c>
      <c r="G1499" s="14" t="s">
        <v>507</v>
      </c>
      <c r="H1499" s="16">
        <v>2930.96</v>
      </c>
      <c r="I1499" s="16"/>
      <c r="J1499" s="16">
        <v>2930.96</v>
      </c>
      <c r="K1499" s="14" t="s">
        <v>225</v>
      </c>
    </row>
    <row r="1500" spans="1:11" ht="15" customHeight="1">
      <c r="A1500" s="13">
        <v>45903</v>
      </c>
      <c r="B1500" s="14" t="s">
        <v>588</v>
      </c>
      <c r="C1500" s="14"/>
      <c r="D1500" s="14" t="s">
        <v>40</v>
      </c>
      <c r="E1500" s="14" t="str">
        <f>_xlfn.XLOOKUP($D1500,'Chart of Accounts'!$A:$A,'Chart of Accounts'!B:B,"")</f>
        <v>Cash - Operating</v>
      </c>
      <c r="F1500" s="14" t="str">
        <f>_xlfn.XLOOKUP($D1500,'Chart of Accounts'!$A:$A,'Chart of Accounts'!C:C,"")</f>
        <v>Asset</v>
      </c>
      <c r="G1500" s="14" t="s">
        <v>507</v>
      </c>
      <c r="H1500" s="16"/>
      <c r="I1500" s="16">
        <v>2930.96</v>
      </c>
      <c r="J1500" s="16">
        <v>-2930.96</v>
      </c>
      <c r="K1500" s="14" t="s">
        <v>225</v>
      </c>
    </row>
    <row r="1501" spans="1:11" ht="15" customHeight="1">
      <c r="A1501" s="13">
        <v>45901</v>
      </c>
      <c r="B1501" s="14" t="s">
        <v>430</v>
      </c>
      <c r="C1501" s="19" t="s">
        <v>4</v>
      </c>
      <c r="D1501" s="14" t="s">
        <v>33</v>
      </c>
      <c r="E1501" s="14" t="str">
        <f>_xlfn.XLOOKUP($D1501,'Chart of Accounts'!$A:$A,'Chart of Accounts'!B:B,"")</f>
        <v>Utilities</v>
      </c>
      <c r="F1501" s="14" t="str">
        <f>_xlfn.XLOOKUP($D1501,'Chart of Accounts'!$A:$A,'Chart of Accounts'!C:C,"")</f>
        <v>Expense</v>
      </c>
      <c r="G1501" s="14" t="s">
        <v>417</v>
      </c>
      <c r="H1501" s="16">
        <v>65.497200000000007</v>
      </c>
      <c r="I1501" s="16"/>
      <c r="J1501" s="16">
        <v>65.497200000000007</v>
      </c>
      <c r="K1501" s="14" t="s">
        <v>225</v>
      </c>
    </row>
    <row r="1502" spans="1:11" ht="15" customHeight="1">
      <c r="A1502" s="13">
        <v>45901</v>
      </c>
      <c r="B1502" s="14" t="s">
        <v>430</v>
      </c>
      <c r="C1502" s="19" t="s">
        <v>6</v>
      </c>
      <c r="D1502" s="14" t="s">
        <v>33</v>
      </c>
      <c r="E1502" s="14" t="str">
        <f>_xlfn.XLOOKUP($D1502,'Chart of Accounts'!$A:$A,'Chart of Accounts'!B:B,"")</f>
        <v>Utilities</v>
      </c>
      <c r="F1502" s="14" t="str">
        <f>_xlfn.XLOOKUP($D1502,'Chart of Accounts'!$A:$A,'Chart of Accounts'!C:C,"")</f>
        <v>Expense</v>
      </c>
      <c r="G1502" s="14" t="s">
        <v>417</v>
      </c>
      <c r="H1502" s="16">
        <v>87.329599999999999</v>
      </c>
      <c r="I1502" s="16"/>
      <c r="J1502" s="16">
        <v>87.329599999999999</v>
      </c>
      <c r="K1502" s="14" t="s">
        <v>225</v>
      </c>
    </row>
    <row r="1503" spans="1:11" ht="15" customHeight="1">
      <c r="A1503" s="13">
        <v>45901</v>
      </c>
      <c r="B1503" s="14" t="s">
        <v>430</v>
      </c>
      <c r="C1503" s="19" t="s">
        <v>8</v>
      </c>
      <c r="D1503" s="14" t="s">
        <v>33</v>
      </c>
      <c r="E1503" s="14" t="str">
        <f>_xlfn.XLOOKUP($D1503,'Chart of Accounts'!$A:$A,'Chart of Accounts'!B:B,"")</f>
        <v>Utilities</v>
      </c>
      <c r="F1503" s="14" t="str">
        <f>_xlfn.XLOOKUP($D1503,'Chart of Accounts'!$A:$A,'Chart of Accounts'!C:C,"")</f>
        <v>Expense</v>
      </c>
      <c r="G1503" s="14" t="s">
        <v>417</v>
      </c>
      <c r="H1503" s="16">
        <v>87.329599999999999</v>
      </c>
      <c r="I1503" s="16"/>
      <c r="J1503" s="16">
        <v>87.329599999999999</v>
      </c>
      <c r="K1503" s="14" t="s">
        <v>225</v>
      </c>
    </row>
    <row r="1504" spans="1:11" ht="15" customHeight="1">
      <c r="A1504" s="13">
        <v>45901</v>
      </c>
      <c r="B1504" s="14" t="s">
        <v>430</v>
      </c>
      <c r="C1504" s="19" t="s">
        <v>10</v>
      </c>
      <c r="D1504" s="14" t="s">
        <v>33</v>
      </c>
      <c r="E1504" s="14" t="str">
        <f>_xlfn.XLOOKUP($D1504,'Chart of Accounts'!$A:$A,'Chart of Accounts'!B:B,"")</f>
        <v>Utilities</v>
      </c>
      <c r="F1504" s="14" t="str">
        <f>_xlfn.XLOOKUP($D1504,'Chart of Accounts'!$A:$A,'Chart of Accounts'!C:C,"")</f>
        <v>Expense</v>
      </c>
      <c r="G1504" s="14" t="s">
        <v>417</v>
      </c>
      <c r="H1504" s="16">
        <v>87.329599999999999</v>
      </c>
      <c r="I1504" s="16"/>
      <c r="J1504" s="16">
        <v>87.329599999999999</v>
      </c>
      <c r="K1504" s="14" t="s">
        <v>225</v>
      </c>
    </row>
    <row r="1505" spans="1:11" ht="15" customHeight="1">
      <c r="A1505" s="13">
        <v>45901</v>
      </c>
      <c r="B1505" s="14" t="s">
        <v>430</v>
      </c>
      <c r="C1505" s="19" t="s">
        <v>12</v>
      </c>
      <c r="D1505" s="14" t="s">
        <v>33</v>
      </c>
      <c r="E1505" s="14" t="str">
        <f>_xlfn.XLOOKUP($D1505,'Chart of Accounts'!$A:$A,'Chart of Accounts'!B:B,"")</f>
        <v>Utilities</v>
      </c>
      <c r="F1505" s="14" t="str">
        <f>_xlfn.XLOOKUP($D1505,'Chart of Accounts'!$A:$A,'Chart of Accounts'!C:C,"")</f>
        <v>Expense</v>
      </c>
      <c r="G1505" s="14" t="s">
        <v>417</v>
      </c>
      <c r="H1505" s="16">
        <v>152.82679999999999</v>
      </c>
      <c r="I1505" s="16"/>
      <c r="J1505" s="16">
        <v>152.82679999999999</v>
      </c>
      <c r="K1505" s="14" t="s">
        <v>225</v>
      </c>
    </row>
    <row r="1506" spans="1:11" ht="15" customHeight="1">
      <c r="A1506" s="13">
        <v>45901</v>
      </c>
      <c r="B1506" s="14" t="s">
        <v>430</v>
      </c>
      <c r="C1506" s="19" t="s">
        <v>14</v>
      </c>
      <c r="D1506" s="14" t="s">
        <v>33</v>
      </c>
      <c r="E1506" s="14" t="str">
        <f>_xlfn.XLOOKUP($D1506,'Chart of Accounts'!$A:$A,'Chart of Accounts'!B:B,"")</f>
        <v>Utilities</v>
      </c>
      <c r="F1506" s="14" t="str">
        <f>_xlfn.XLOOKUP($D1506,'Chart of Accounts'!$A:$A,'Chart of Accounts'!C:C,"")</f>
        <v>Expense</v>
      </c>
      <c r="G1506" s="14" t="s">
        <v>417</v>
      </c>
      <c r="H1506" s="16">
        <v>130.99440000000001</v>
      </c>
      <c r="I1506" s="16"/>
      <c r="J1506" s="16">
        <v>130.99440000000001</v>
      </c>
      <c r="K1506" s="14" t="s">
        <v>225</v>
      </c>
    </row>
    <row r="1507" spans="1:11" ht="15" customHeight="1">
      <c r="A1507" s="13">
        <v>45901</v>
      </c>
      <c r="B1507" s="14" t="s">
        <v>430</v>
      </c>
      <c r="C1507" s="19" t="s">
        <v>16</v>
      </c>
      <c r="D1507" s="14" t="s">
        <v>33</v>
      </c>
      <c r="E1507" s="14" t="str">
        <f>_xlfn.XLOOKUP($D1507,'Chart of Accounts'!$A:$A,'Chart of Accounts'!B:B,"")</f>
        <v>Utilities</v>
      </c>
      <c r="F1507" s="14" t="str">
        <f>_xlfn.XLOOKUP($D1507,'Chart of Accounts'!$A:$A,'Chart of Accounts'!C:C,"")</f>
        <v>Expense</v>
      </c>
      <c r="G1507" s="14" t="s">
        <v>417</v>
      </c>
      <c r="H1507" s="16">
        <v>130.99440000000001</v>
      </c>
      <c r="I1507" s="16"/>
      <c r="J1507" s="16">
        <v>130.99440000000001</v>
      </c>
      <c r="K1507" s="14" t="s">
        <v>225</v>
      </c>
    </row>
    <row r="1508" spans="1:11" ht="15" customHeight="1">
      <c r="A1508" s="13">
        <v>45901</v>
      </c>
      <c r="B1508" s="14" t="s">
        <v>430</v>
      </c>
      <c r="C1508" s="19" t="s">
        <v>18</v>
      </c>
      <c r="D1508" s="14" t="s">
        <v>33</v>
      </c>
      <c r="E1508" s="14" t="str">
        <f>_xlfn.XLOOKUP($D1508,'Chart of Accounts'!$A:$A,'Chart of Accounts'!B:B,"")</f>
        <v>Utilities</v>
      </c>
      <c r="F1508" s="14" t="str">
        <f>_xlfn.XLOOKUP($D1508,'Chart of Accounts'!$A:$A,'Chart of Accounts'!C:C,"")</f>
        <v>Expense</v>
      </c>
      <c r="G1508" s="14" t="s">
        <v>417</v>
      </c>
      <c r="H1508" s="16">
        <v>174.6592</v>
      </c>
      <c r="I1508" s="16"/>
      <c r="J1508" s="16">
        <v>174.6592</v>
      </c>
      <c r="K1508" s="14" t="s">
        <v>225</v>
      </c>
    </row>
    <row r="1509" spans="1:11" ht="15" customHeight="1">
      <c r="A1509" s="13">
        <v>45901</v>
      </c>
      <c r="B1509" s="14" t="s">
        <v>430</v>
      </c>
      <c r="C1509" s="19" t="s">
        <v>20</v>
      </c>
      <c r="D1509" s="14" t="s">
        <v>33</v>
      </c>
      <c r="E1509" s="14" t="str">
        <f>_xlfn.XLOOKUP($D1509,'Chart of Accounts'!$A:$A,'Chart of Accounts'!B:B,"")</f>
        <v>Utilities</v>
      </c>
      <c r="F1509" s="14" t="str">
        <f>_xlfn.XLOOKUP($D1509,'Chart of Accounts'!$A:$A,'Chart of Accounts'!C:C,"")</f>
        <v>Expense</v>
      </c>
      <c r="G1509" s="14" t="s">
        <v>417</v>
      </c>
      <c r="H1509" s="16">
        <v>174.6592</v>
      </c>
      <c r="I1509" s="16"/>
      <c r="J1509" s="16">
        <v>174.6592</v>
      </c>
      <c r="K1509" s="14" t="s">
        <v>225</v>
      </c>
    </row>
    <row r="1510" spans="1:11" ht="15" customHeight="1">
      <c r="A1510" s="13">
        <v>46143</v>
      </c>
      <c r="B1510" s="14" t="s">
        <v>583</v>
      </c>
      <c r="C1510" s="19" t="s">
        <v>18</v>
      </c>
      <c r="D1510" s="14" t="s">
        <v>117</v>
      </c>
      <c r="E1510" s="14" t="str">
        <f>_xlfn.XLOOKUP($D1510,'Chart of Accounts'!$A:$A,'Chart of Accounts'!B:B,"")</f>
        <v>Insurance</v>
      </c>
      <c r="F1510" s="14" t="str">
        <f>_xlfn.XLOOKUP($D1510,'Chart of Accounts'!$A:$A,'Chart of Accounts'!C:C,"")</f>
        <v>Expense</v>
      </c>
      <c r="G1510" s="14" t="s">
        <v>479</v>
      </c>
      <c r="H1510" s="16">
        <v>126.92</v>
      </c>
      <c r="I1510" s="16"/>
      <c r="J1510" s="16">
        <v>126.92</v>
      </c>
      <c r="K1510" s="14" t="s">
        <v>225</v>
      </c>
    </row>
    <row r="1511" spans="1:11" ht="15" customHeight="1">
      <c r="A1511" s="13">
        <v>45901</v>
      </c>
      <c r="B1511" s="14" t="s">
        <v>508</v>
      </c>
      <c r="C1511" s="14"/>
      <c r="D1511" s="14" t="s">
        <v>63</v>
      </c>
      <c r="E1511" s="14" t="str">
        <f>_xlfn.XLOOKUP($D1511,'Chart of Accounts'!$A:$A,'Chart of Accounts'!B:B,"")</f>
        <v>Accounts Payable</v>
      </c>
      <c r="F1511" s="14" t="str">
        <f>_xlfn.XLOOKUP($D1511,'Chart of Accounts'!$A:$A,'Chart of Accounts'!C:C,"")</f>
        <v>Liability</v>
      </c>
      <c r="G1511" s="14" t="s">
        <v>509</v>
      </c>
      <c r="H1511" s="16"/>
      <c r="I1511" s="16">
        <v>9800</v>
      </c>
      <c r="J1511" s="16">
        <v>-9800</v>
      </c>
      <c r="K1511" s="14" t="s">
        <v>225</v>
      </c>
    </row>
    <row r="1512" spans="1:11" ht="15" customHeight="1">
      <c r="A1512" s="13">
        <v>45891</v>
      </c>
      <c r="B1512" s="14" t="s">
        <v>589</v>
      </c>
      <c r="C1512" s="19" t="s">
        <v>46</v>
      </c>
      <c r="D1512" s="14" t="s">
        <v>125</v>
      </c>
      <c r="E1512" s="14" t="str">
        <f>_xlfn.XLOOKUP($D1512,'Chart of Accounts'!$A:$A,'Chart of Accounts'!B:B,"")</f>
        <v>Miscellaneous Expense</v>
      </c>
      <c r="F1512" s="14" t="str">
        <f>_xlfn.XLOOKUP($D1512,'Chart of Accounts'!$A:$A,'Chart of Accounts'!C:C,"")</f>
        <v>Expense</v>
      </c>
      <c r="G1512" s="14" t="s">
        <v>489</v>
      </c>
      <c r="H1512" s="16">
        <v>523.03</v>
      </c>
      <c r="I1512" s="16"/>
      <c r="J1512" s="16">
        <v>523.03</v>
      </c>
      <c r="K1512" s="14" t="s">
        <v>225</v>
      </c>
    </row>
    <row r="1513" spans="1:11" ht="15" customHeight="1">
      <c r="A1513" s="13">
        <v>45891</v>
      </c>
      <c r="B1513" s="14" t="s">
        <v>589</v>
      </c>
      <c r="C1513" s="14"/>
      <c r="D1513" s="14" t="s">
        <v>40</v>
      </c>
      <c r="E1513" s="14" t="str">
        <f>_xlfn.XLOOKUP($D1513,'Chart of Accounts'!$A:$A,'Chart of Accounts'!B:B,"")</f>
        <v>Cash - Operating</v>
      </c>
      <c r="F1513" s="14" t="str">
        <f>_xlfn.XLOOKUP($D1513,'Chart of Accounts'!$A:$A,'Chart of Accounts'!C:C,"")</f>
        <v>Asset</v>
      </c>
      <c r="G1513" s="14" t="s">
        <v>489</v>
      </c>
      <c r="H1513" s="16"/>
      <c r="I1513" s="16">
        <v>523.03</v>
      </c>
      <c r="J1513" s="16">
        <v>-523.03</v>
      </c>
      <c r="K1513" s="14" t="s">
        <v>225</v>
      </c>
    </row>
    <row r="1514" spans="1:11" ht="15" customHeight="1">
      <c r="A1514" s="13">
        <v>45900</v>
      </c>
      <c r="B1514" s="14" t="s">
        <v>590</v>
      </c>
      <c r="C1514" s="14"/>
      <c r="D1514" s="14" t="s">
        <v>75</v>
      </c>
      <c r="E1514" s="14" t="str">
        <f>_xlfn.XLOOKUP($D1514,'Chart of Accounts'!$A:$A,'Chart of Accounts'!B:B,"")</f>
        <v>Notes Payable - Long Term</v>
      </c>
      <c r="F1514" s="14" t="str">
        <f>_xlfn.XLOOKUP($D1514,'Chart of Accounts'!$A:$A,'Chart of Accounts'!C:C,"")</f>
        <v>Liability</v>
      </c>
      <c r="G1514" s="14" t="s">
        <v>491</v>
      </c>
      <c r="H1514" s="16">
        <v>1180</v>
      </c>
      <c r="I1514" s="16"/>
      <c r="J1514" s="16">
        <v>1180</v>
      </c>
      <c r="K1514" s="14" t="s">
        <v>225</v>
      </c>
    </row>
    <row r="1515" spans="1:11" ht="15" customHeight="1">
      <c r="A1515" s="13">
        <v>45900</v>
      </c>
      <c r="B1515" s="14" t="s">
        <v>590</v>
      </c>
      <c r="C1515" s="14"/>
      <c r="D1515" s="14" t="s">
        <v>40</v>
      </c>
      <c r="E1515" s="14" t="str">
        <f>_xlfn.XLOOKUP($D1515,'Chart of Accounts'!$A:$A,'Chart of Accounts'!B:B,"")</f>
        <v>Cash - Operating</v>
      </c>
      <c r="F1515" s="14" t="str">
        <f>_xlfn.XLOOKUP($D1515,'Chart of Accounts'!$A:$A,'Chart of Accounts'!C:C,"")</f>
        <v>Asset</v>
      </c>
      <c r="G1515" s="14" t="s">
        <v>491</v>
      </c>
      <c r="H1515" s="16"/>
      <c r="I1515" s="16">
        <v>1569.58</v>
      </c>
      <c r="J1515" s="16">
        <v>-1569.58</v>
      </c>
      <c r="K1515" s="14" t="s">
        <v>225</v>
      </c>
    </row>
    <row r="1516" spans="1:11" ht="15" customHeight="1">
      <c r="A1516" s="13">
        <v>45890</v>
      </c>
      <c r="B1516" s="14" t="s">
        <v>428</v>
      </c>
      <c r="C1516" s="19" t="s">
        <v>46</v>
      </c>
      <c r="D1516" s="14" t="s">
        <v>113</v>
      </c>
      <c r="E1516" s="14" t="str">
        <f>_xlfn.XLOOKUP($D1516,'Chart of Accounts'!$A:$A,'Chart of Accounts'!B:B,"")</f>
        <v>Professional Fees - Legal</v>
      </c>
      <c r="F1516" s="14" t="str">
        <f>_xlfn.XLOOKUP($D1516,'Chart of Accounts'!$A:$A,'Chart of Accounts'!C:C,"")</f>
        <v>Expense</v>
      </c>
      <c r="G1516" s="14" t="s">
        <v>429</v>
      </c>
      <c r="H1516" s="16">
        <v>2750.88</v>
      </c>
      <c r="I1516" s="16"/>
      <c r="J1516" s="16">
        <v>2750.88</v>
      </c>
      <c r="K1516" s="14" t="s">
        <v>225</v>
      </c>
    </row>
    <row r="1517" spans="1:11" ht="15" customHeight="1">
      <c r="A1517" s="13">
        <v>46143</v>
      </c>
      <c r="B1517" s="14" t="s">
        <v>583</v>
      </c>
      <c r="C1517" s="19" t="s">
        <v>20</v>
      </c>
      <c r="D1517" s="14" t="s">
        <v>117</v>
      </c>
      <c r="E1517" s="14" t="str">
        <f>_xlfn.XLOOKUP($D1517,'Chart of Accounts'!$A:$A,'Chart of Accounts'!B:B,"")</f>
        <v>Insurance</v>
      </c>
      <c r="F1517" s="14" t="str">
        <f>_xlfn.XLOOKUP($D1517,'Chart of Accounts'!$A:$A,'Chart of Accounts'!C:C,"")</f>
        <v>Expense</v>
      </c>
      <c r="G1517" s="14" t="s">
        <v>479</v>
      </c>
      <c r="H1517" s="16">
        <v>158.65</v>
      </c>
      <c r="I1517" s="16"/>
      <c r="J1517" s="16">
        <v>158.65</v>
      </c>
      <c r="K1517" s="14" t="s">
        <v>225</v>
      </c>
    </row>
    <row r="1518" spans="1:11" ht="15" customHeight="1">
      <c r="A1518" s="13">
        <v>45900</v>
      </c>
      <c r="B1518" s="14" t="s">
        <v>591</v>
      </c>
      <c r="C1518" s="17" t="s">
        <v>10</v>
      </c>
      <c r="D1518" s="14" t="s">
        <v>105</v>
      </c>
      <c r="E1518" s="14" t="str">
        <f>_xlfn.XLOOKUP($D1518,'Chart of Accounts'!$A:$A,'Chart of Accounts'!B:B,"")</f>
        <v>Office Supplies</v>
      </c>
      <c r="F1518" s="14" t="str">
        <f>_xlfn.XLOOKUP($D1518,'Chart of Accounts'!$A:$A,'Chart of Accounts'!C:C,"")</f>
        <v>Expense</v>
      </c>
      <c r="G1518" s="14" t="s">
        <v>421</v>
      </c>
      <c r="H1518" s="16">
        <v>1062.95</v>
      </c>
      <c r="I1518" s="16"/>
      <c r="J1518" s="16">
        <v>1062.95</v>
      </c>
      <c r="K1518" s="14" t="s">
        <v>225</v>
      </c>
    </row>
    <row r="1519" spans="1:11" ht="15" customHeight="1">
      <c r="A1519" s="13">
        <v>46143</v>
      </c>
      <c r="B1519" s="14" t="s">
        <v>583</v>
      </c>
      <c r="C1519" s="19" t="s">
        <v>4</v>
      </c>
      <c r="D1519" s="14" t="s">
        <v>117</v>
      </c>
      <c r="E1519" s="14" t="str">
        <f>_xlfn.XLOOKUP($D1519,'Chart of Accounts'!$A:$A,'Chart of Accounts'!B:B,"")</f>
        <v>Insurance</v>
      </c>
      <c r="F1519" s="14" t="str">
        <f>_xlfn.XLOOKUP($D1519,'Chart of Accounts'!$A:$A,'Chart of Accounts'!C:C,"")</f>
        <v>Expense</v>
      </c>
      <c r="G1519" s="14" t="s">
        <v>479</v>
      </c>
      <c r="H1519" s="16">
        <v>422.6</v>
      </c>
      <c r="I1519" s="16"/>
      <c r="J1519" s="16">
        <v>422.6</v>
      </c>
      <c r="K1519" s="14" t="s">
        <v>225</v>
      </c>
    </row>
    <row r="1520" spans="1:11" ht="15" customHeight="1">
      <c r="A1520" s="13">
        <v>45900</v>
      </c>
      <c r="B1520" s="14" t="s">
        <v>494</v>
      </c>
      <c r="C1520" s="14"/>
      <c r="D1520" s="14" t="s">
        <v>58</v>
      </c>
      <c r="E1520" s="14" t="str">
        <f>_xlfn.XLOOKUP($D1520,'Chart of Accounts'!$A:$A,'Chart of Accounts'!B:B,"")</f>
        <v>Accumulated Depreciation</v>
      </c>
      <c r="F1520" s="14" t="str">
        <f>_xlfn.XLOOKUP($D1520,'Chart of Accounts'!$A:$A,'Chart of Accounts'!C:C,"")</f>
        <v>Asset</v>
      </c>
      <c r="G1520" s="14" t="s">
        <v>495</v>
      </c>
      <c r="H1520" s="16"/>
      <c r="I1520" s="16">
        <v>2450</v>
      </c>
      <c r="J1520" s="16">
        <v>-2450</v>
      </c>
      <c r="K1520" s="14" t="s">
        <v>225</v>
      </c>
    </row>
    <row r="1521" spans="1:11" ht="15" customHeight="1">
      <c r="A1521" s="13">
        <v>45900</v>
      </c>
      <c r="B1521" s="14" t="s">
        <v>592</v>
      </c>
      <c r="C1521" s="19" t="s">
        <v>46</v>
      </c>
      <c r="D1521" s="14" t="s">
        <v>92</v>
      </c>
      <c r="E1521" s="14" t="str">
        <f>_xlfn.XLOOKUP($D1521,'Chart of Accounts'!$A:$A,'Chart of Accounts'!B:B,"")</f>
        <v>Interest Income</v>
      </c>
      <c r="F1521" s="14" t="str">
        <f>_xlfn.XLOOKUP($D1521,'Chart of Accounts'!$A:$A,'Chart of Accounts'!C:C,"")</f>
        <v>Revenue</v>
      </c>
      <c r="G1521" s="14" t="s">
        <v>497</v>
      </c>
      <c r="H1521" s="16"/>
      <c r="I1521" s="16">
        <v>773.94</v>
      </c>
      <c r="J1521" s="16">
        <v>-773.94</v>
      </c>
      <c r="K1521" s="14" t="s">
        <v>225</v>
      </c>
    </row>
    <row r="1522" spans="1:11" ht="15" customHeight="1">
      <c r="A1522" s="13">
        <v>45900</v>
      </c>
      <c r="B1522" s="14" t="s">
        <v>592</v>
      </c>
      <c r="C1522" s="14"/>
      <c r="D1522" s="14" t="s">
        <v>46</v>
      </c>
      <c r="E1522" s="14" t="str">
        <f>_xlfn.XLOOKUP($D1522,'Chart of Accounts'!$A:$A,'Chart of Accounts'!B:B,"")</f>
        <v>Cash - Money Market/Reserve</v>
      </c>
      <c r="F1522" s="14" t="str">
        <f>_xlfn.XLOOKUP($D1522,'Chart of Accounts'!$A:$A,'Chart of Accounts'!C:C,"")</f>
        <v>Asset</v>
      </c>
      <c r="G1522" s="14" t="s">
        <v>497</v>
      </c>
      <c r="H1522" s="16">
        <v>773.94</v>
      </c>
      <c r="I1522" s="16"/>
      <c r="J1522" s="16">
        <v>773.94</v>
      </c>
      <c r="K1522" s="14" t="s">
        <v>225</v>
      </c>
    </row>
    <row r="1523" spans="1:11" ht="15" customHeight="1">
      <c r="A1523" s="13">
        <v>45900</v>
      </c>
      <c r="B1523" s="14" t="s">
        <v>362</v>
      </c>
      <c r="C1523" s="14"/>
      <c r="D1523" s="14" t="s">
        <v>51</v>
      </c>
      <c r="E1523" s="14" t="str">
        <f>_xlfn.XLOOKUP($D1523,'Chart of Accounts'!$A:$A,'Chart of Accounts'!B:B,"")</f>
        <v>Grants Receivable</v>
      </c>
      <c r="F1523" s="14" t="str">
        <f>_xlfn.XLOOKUP($D1523,'Chart of Accounts'!$A:$A,'Chart of Accounts'!C:C,"")</f>
        <v>Asset</v>
      </c>
      <c r="G1523" s="14" t="s">
        <v>498</v>
      </c>
      <c r="H1523" s="16">
        <v>54469.4</v>
      </c>
      <c r="I1523" s="16"/>
      <c r="J1523" s="16">
        <v>54469.4</v>
      </c>
      <c r="K1523" s="14" t="s">
        <v>225</v>
      </c>
    </row>
    <row r="1524" spans="1:11" ht="15" customHeight="1">
      <c r="A1524" s="13">
        <v>45887</v>
      </c>
      <c r="B1524" s="14" t="s">
        <v>593</v>
      </c>
      <c r="C1524" s="14"/>
      <c r="D1524" s="14" t="s">
        <v>40</v>
      </c>
      <c r="E1524" s="14" t="str">
        <f>_xlfn.XLOOKUP($D1524,'Chart of Accounts'!$A:$A,'Chart of Accounts'!B:B,"")</f>
        <v>Cash - Operating</v>
      </c>
      <c r="F1524" s="14" t="str">
        <f>_xlfn.XLOOKUP($D1524,'Chart of Accounts'!$A:$A,'Chart of Accounts'!C:C,"")</f>
        <v>Asset</v>
      </c>
      <c r="G1524" s="14" t="s">
        <v>500</v>
      </c>
      <c r="H1524" s="16">
        <v>56394.91</v>
      </c>
      <c r="I1524" s="16"/>
      <c r="J1524" s="16">
        <v>56394.91</v>
      </c>
      <c r="K1524" s="14" t="s">
        <v>225</v>
      </c>
    </row>
    <row r="1525" spans="1:11" ht="15" customHeight="1">
      <c r="A1525" s="13">
        <v>45887</v>
      </c>
      <c r="B1525" s="14" t="s">
        <v>593</v>
      </c>
      <c r="C1525" s="14"/>
      <c r="D1525" s="14" t="s">
        <v>51</v>
      </c>
      <c r="E1525" s="14" t="str">
        <f>_xlfn.XLOOKUP($D1525,'Chart of Accounts'!$A:$A,'Chart of Accounts'!B:B,"")</f>
        <v>Grants Receivable</v>
      </c>
      <c r="F1525" s="14" t="str">
        <f>_xlfn.XLOOKUP($D1525,'Chart of Accounts'!$A:$A,'Chart of Accounts'!C:C,"")</f>
        <v>Asset</v>
      </c>
      <c r="G1525" s="14" t="s">
        <v>500</v>
      </c>
      <c r="H1525" s="16"/>
      <c r="I1525" s="16">
        <v>56394.91</v>
      </c>
      <c r="J1525" s="16">
        <v>-56394.91</v>
      </c>
      <c r="K1525" s="14" t="s">
        <v>225</v>
      </c>
    </row>
    <row r="1526" spans="1:11" ht="15" customHeight="1">
      <c r="A1526" s="13">
        <v>45881</v>
      </c>
      <c r="B1526" s="14" t="s">
        <v>362</v>
      </c>
      <c r="C1526" s="14"/>
      <c r="D1526" s="14" t="s">
        <v>40</v>
      </c>
      <c r="E1526" s="14" t="str">
        <f>_xlfn.XLOOKUP($D1526,'Chart of Accounts'!$A:$A,'Chart of Accounts'!B:B,"")</f>
        <v>Cash - Operating</v>
      </c>
      <c r="F1526" s="14" t="str">
        <f>_xlfn.XLOOKUP($D1526,'Chart of Accounts'!$A:$A,'Chart of Accounts'!C:C,"")</f>
        <v>Asset</v>
      </c>
      <c r="G1526" s="14" t="s">
        <v>501</v>
      </c>
      <c r="H1526" s="16">
        <v>189320.03</v>
      </c>
      <c r="I1526" s="16"/>
      <c r="J1526" s="16">
        <v>189320.03</v>
      </c>
      <c r="K1526" s="14" t="s">
        <v>225</v>
      </c>
    </row>
    <row r="1527" spans="1:11" ht="15" customHeight="1">
      <c r="A1527" s="13">
        <v>46143</v>
      </c>
      <c r="B1527" s="14" t="s">
        <v>583</v>
      </c>
      <c r="C1527" s="19" t="s">
        <v>6</v>
      </c>
      <c r="D1527" s="14" t="s">
        <v>117</v>
      </c>
      <c r="E1527" s="14" t="str">
        <f>_xlfn.XLOOKUP($D1527,'Chart of Accounts'!$A:$A,'Chart of Accounts'!B:B,"")</f>
        <v>Insurance</v>
      </c>
      <c r="F1527" s="14" t="str">
        <f>_xlfn.XLOOKUP($D1527,'Chart of Accounts'!$A:$A,'Chart of Accounts'!C:C,"")</f>
        <v>Expense</v>
      </c>
      <c r="G1527" s="14" t="s">
        <v>479</v>
      </c>
      <c r="H1527" s="16">
        <v>563.47</v>
      </c>
      <c r="I1527" s="16"/>
      <c r="J1527" s="16">
        <v>563.47</v>
      </c>
      <c r="K1527" s="14" t="s">
        <v>225</v>
      </c>
    </row>
    <row r="1528" spans="1:11" ht="15" customHeight="1">
      <c r="A1528" s="13">
        <v>45889</v>
      </c>
      <c r="B1528" s="14" t="s">
        <v>427</v>
      </c>
      <c r="C1528" s="14"/>
      <c r="D1528" s="14" t="s">
        <v>40</v>
      </c>
      <c r="E1528" s="14" t="str">
        <f>_xlfn.XLOOKUP($D1528,'Chart of Accounts'!$A:$A,'Chart of Accounts'!B:B,"")</f>
        <v>Cash - Operating</v>
      </c>
      <c r="F1528" s="14" t="str">
        <f>_xlfn.XLOOKUP($D1528,'Chart of Accounts'!$A:$A,'Chart of Accounts'!C:C,"")</f>
        <v>Asset</v>
      </c>
      <c r="G1528" s="14" t="s">
        <v>423</v>
      </c>
      <c r="H1528" s="16"/>
      <c r="I1528" s="16">
        <v>10183</v>
      </c>
      <c r="J1528" s="16">
        <v>-10183</v>
      </c>
      <c r="K1528" s="14" t="s">
        <v>225</v>
      </c>
    </row>
    <row r="1529" spans="1:11" ht="15" customHeight="1">
      <c r="A1529" s="13">
        <v>45900</v>
      </c>
      <c r="B1529" s="14" t="s">
        <v>594</v>
      </c>
      <c r="C1529" s="19" t="s">
        <v>46</v>
      </c>
      <c r="D1529" s="14" t="s">
        <v>121</v>
      </c>
      <c r="E1529" s="14" t="str">
        <f>_xlfn.XLOOKUP($D1529,'Chart of Accounts'!$A:$A,'Chart of Accounts'!B:B,"")</f>
        <v>Bank Fees</v>
      </c>
      <c r="F1529" s="14" t="str">
        <f>_xlfn.XLOOKUP($D1529,'Chart of Accounts'!$A:$A,'Chart of Accounts'!C:C,"")</f>
        <v>Expense</v>
      </c>
      <c r="G1529" s="14" t="s">
        <v>503</v>
      </c>
      <c r="H1529" s="16">
        <v>108.25</v>
      </c>
      <c r="I1529" s="16"/>
      <c r="J1529" s="16">
        <v>108.25</v>
      </c>
      <c r="K1529" s="14" t="s">
        <v>225</v>
      </c>
    </row>
    <row r="1530" spans="1:11" ht="15" customHeight="1">
      <c r="A1530" s="13">
        <v>45900</v>
      </c>
      <c r="B1530" s="14" t="s">
        <v>594</v>
      </c>
      <c r="C1530" s="14"/>
      <c r="D1530" s="14" t="s">
        <v>40</v>
      </c>
      <c r="E1530" s="14" t="str">
        <f>_xlfn.XLOOKUP($D1530,'Chart of Accounts'!$A:$A,'Chart of Accounts'!B:B,"")</f>
        <v>Cash - Operating</v>
      </c>
      <c r="F1530" s="14" t="str">
        <f>_xlfn.XLOOKUP($D1530,'Chart of Accounts'!$A:$A,'Chart of Accounts'!C:C,"")</f>
        <v>Asset</v>
      </c>
      <c r="G1530" s="14" t="s">
        <v>503</v>
      </c>
      <c r="H1530" s="16"/>
      <c r="I1530" s="16">
        <v>108.25</v>
      </c>
      <c r="J1530" s="16">
        <v>-108.25</v>
      </c>
      <c r="K1530" s="14" t="s">
        <v>225</v>
      </c>
    </row>
    <row r="1531" spans="1:11" ht="15" customHeight="1">
      <c r="A1531" s="13">
        <v>45890</v>
      </c>
      <c r="B1531" s="14" t="s">
        <v>595</v>
      </c>
      <c r="C1531" s="19" t="s">
        <v>18</v>
      </c>
      <c r="D1531" s="14" t="s">
        <v>111</v>
      </c>
      <c r="E1531" s="14" t="str">
        <f>_xlfn.XLOOKUP($D1531,'Chart of Accounts'!$A:$A,'Chart of Accounts'!B:B,"")</f>
        <v>Meals and Entertainment</v>
      </c>
      <c r="F1531" s="14" t="str">
        <f>_xlfn.XLOOKUP($D1531,'Chart of Accounts'!$A:$A,'Chart of Accounts'!C:C,"")</f>
        <v>Expense</v>
      </c>
      <c r="G1531" s="14" t="s">
        <v>505</v>
      </c>
      <c r="H1531" s="16">
        <v>247.11</v>
      </c>
      <c r="I1531" s="16"/>
      <c r="J1531" s="16">
        <v>247.11</v>
      </c>
      <c r="K1531" s="14" t="s">
        <v>225</v>
      </c>
    </row>
    <row r="1532" spans="1:11" ht="15" customHeight="1">
      <c r="A1532" s="13">
        <v>45890</v>
      </c>
      <c r="B1532" s="14" t="s">
        <v>595</v>
      </c>
      <c r="C1532" s="14"/>
      <c r="D1532" s="14" t="s">
        <v>40</v>
      </c>
      <c r="E1532" s="14" t="str">
        <f>_xlfn.XLOOKUP($D1532,'Chart of Accounts'!$A:$A,'Chart of Accounts'!B:B,"")</f>
        <v>Cash - Operating</v>
      </c>
      <c r="F1532" s="14" t="str">
        <f>_xlfn.XLOOKUP($D1532,'Chart of Accounts'!$A:$A,'Chart of Accounts'!C:C,"")</f>
        <v>Asset</v>
      </c>
      <c r="G1532" s="14" t="s">
        <v>505</v>
      </c>
      <c r="H1532" s="16"/>
      <c r="I1532" s="16">
        <v>247.11</v>
      </c>
      <c r="J1532" s="16">
        <v>-247.11</v>
      </c>
      <c r="K1532" s="14" t="s">
        <v>225</v>
      </c>
    </row>
    <row r="1533" spans="1:11" ht="15" customHeight="1">
      <c r="A1533" s="13">
        <v>45882</v>
      </c>
      <c r="B1533" s="14" t="s">
        <v>596</v>
      </c>
      <c r="C1533" s="19" t="s">
        <v>18</v>
      </c>
      <c r="D1533" s="14" t="s">
        <v>109</v>
      </c>
      <c r="E1533" s="14" t="str">
        <f>_xlfn.XLOOKUP($D1533,'Chart of Accounts'!$A:$A,'Chart of Accounts'!B:B,"")</f>
        <v>Travel</v>
      </c>
      <c r="F1533" s="14" t="str">
        <f>_xlfn.XLOOKUP($D1533,'Chart of Accounts'!$A:$A,'Chart of Accounts'!C:C,"")</f>
        <v>Expense</v>
      </c>
      <c r="G1533" s="14" t="s">
        <v>518</v>
      </c>
      <c r="H1533" s="16">
        <v>4103.22</v>
      </c>
      <c r="I1533" s="16"/>
      <c r="J1533" s="16">
        <v>4103.22</v>
      </c>
      <c r="K1533" s="14" t="s">
        <v>225</v>
      </c>
    </row>
    <row r="1534" spans="1:11" ht="15" customHeight="1">
      <c r="A1534" s="13">
        <v>45882</v>
      </c>
      <c r="B1534" s="14" t="s">
        <v>596</v>
      </c>
      <c r="C1534" s="14"/>
      <c r="D1534" s="14" t="s">
        <v>40</v>
      </c>
      <c r="E1534" s="14" t="str">
        <f>_xlfn.XLOOKUP($D1534,'Chart of Accounts'!$A:$A,'Chart of Accounts'!B:B,"")</f>
        <v>Cash - Operating</v>
      </c>
      <c r="F1534" s="14" t="str">
        <f>_xlfn.XLOOKUP($D1534,'Chart of Accounts'!$A:$A,'Chart of Accounts'!C:C,"")</f>
        <v>Asset</v>
      </c>
      <c r="G1534" s="14" t="s">
        <v>518</v>
      </c>
      <c r="H1534" s="16"/>
      <c r="I1534" s="16">
        <v>4103.22</v>
      </c>
      <c r="J1534" s="16">
        <v>-4103.22</v>
      </c>
      <c r="K1534" s="14" t="s">
        <v>225</v>
      </c>
    </row>
    <row r="1535" spans="1:11" ht="15" customHeight="1">
      <c r="A1535" s="13">
        <v>45884</v>
      </c>
      <c r="B1535" s="14" t="s">
        <v>426</v>
      </c>
      <c r="C1535" s="17" t="s">
        <v>6</v>
      </c>
      <c r="D1535" s="14" t="s">
        <v>105</v>
      </c>
      <c r="E1535" s="14" t="str">
        <f>_xlfn.XLOOKUP($D1535,'Chart of Accounts'!$A:$A,'Chart of Accounts'!B:B,"")</f>
        <v>Office Supplies</v>
      </c>
      <c r="F1535" s="14" t="str">
        <f>_xlfn.XLOOKUP($D1535,'Chart of Accounts'!$A:$A,'Chart of Accounts'!C:C,"")</f>
        <v>Expense</v>
      </c>
      <c r="G1535" s="14" t="s">
        <v>421</v>
      </c>
      <c r="H1535" s="16">
        <v>213.46</v>
      </c>
      <c r="I1535" s="16"/>
      <c r="J1535" s="16">
        <v>213.46</v>
      </c>
      <c r="K1535" s="14" t="s">
        <v>225</v>
      </c>
    </row>
    <row r="1536" spans="1:11" ht="15" customHeight="1">
      <c r="A1536" s="13">
        <v>46143</v>
      </c>
      <c r="B1536" s="14" t="s">
        <v>583</v>
      </c>
      <c r="C1536" s="19" t="s">
        <v>8</v>
      </c>
      <c r="D1536" s="14" t="s">
        <v>117</v>
      </c>
      <c r="E1536" s="14" t="str">
        <f>_xlfn.XLOOKUP($D1536,'Chart of Accounts'!$A:$A,'Chart of Accounts'!B:B,"")</f>
        <v>Insurance</v>
      </c>
      <c r="F1536" s="14" t="str">
        <f>_xlfn.XLOOKUP($D1536,'Chart of Accounts'!$A:$A,'Chart of Accounts'!C:C,"")</f>
        <v>Expense</v>
      </c>
      <c r="G1536" s="14" t="s">
        <v>479</v>
      </c>
      <c r="H1536" s="16">
        <v>845.2</v>
      </c>
      <c r="I1536" s="16"/>
      <c r="J1536" s="16">
        <v>845.2</v>
      </c>
      <c r="K1536" s="14" t="s">
        <v>225</v>
      </c>
    </row>
    <row r="1537" spans="1:11" ht="15" customHeight="1">
      <c r="A1537" s="13">
        <v>45895</v>
      </c>
      <c r="B1537" s="14" t="s">
        <v>425</v>
      </c>
      <c r="C1537" s="17" t="s">
        <v>8</v>
      </c>
      <c r="D1537" s="14" t="s">
        <v>105</v>
      </c>
      <c r="E1537" s="14" t="str">
        <f>_xlfn.XLOOKUP($D1537,'Chart of Accounts'!$A:$A,'Chart of Accounts'!B:B,"")</f>
        <v>Office Supplies</v>
      </c>
      <c r="F1537" s="14" t="str">
        <f>_xlfn.XLOOKUP($D1537,'Chart of Accounts'!$A:$A,'Chart of Accounts'!C:C,"")</f>
        <v>Expense</v>
      </c>
      <c r="G1537" s="14" t="s">
        <v>421</v>
      </c>
      <c r="H1537" s="16">
        <v>644.87</v>
      </c>
      <c r="I1537" s="16"/>
      <c r="J1537" s="16">
        <v>644.87</v>
      </c>
      <c r="K1537" s="14" t="s">
        <v>225</v>
      </c>
    </row>
    <row r="1538" spans="1:11" ht="15" customHeight="1">
      <c r="A1538" s="13">
        <v>46143</v>
      </c>
      <c r="B1538" s="14" t="s">
        <v>583</v>
      </c>
      <c r="C1538" s="19" t="s">
        <v>10</v>
      </c>
      <c r="D1538" s="14" t="s">
        <v>117</v>
      </c>
      <c r="E1538" s="14" t="str">
        <f>_xlfn.XLOOKUP($D1538,'Chart of Accounts'!$A:$A,'Chart of Accounts'!B:B,"")</f>
        <v>Insurance</v>
      </c>
      <c r="F1538" s="14" t="str">
        <f>_xlfn.XLOOKUP($D1538,'Chart of Accounts'!$A:$A,'Chart of Accounts'!C:C,"")</f>
        <v>Expense</v>
      </c>
      <c r="G1538" s="14" t="s">
        <v>479</v>
      </c>
      <c r="H1538" s="16">
        <v>281.73</v>
      </c>
      <c r="I1538" s="16"/>
      <c r="J1538" s="16">
        <v>281.73</v>
      </c>
      <c r="K1538" s="14" t="s">
        <v>225</v>
      </c>
    </row>
    <row r="1539" spans="1:11" ht="15" customHeight="1">
      <c r="A1539" s="13">
        <v>45872</v>
      </c>
      <c r="B1539" s="14" t="s">
        <v>597</v>
      </c>
      <c r="C1539" s="17" t="s">
        <v>4</v>
      </c>
      <c r="D1539" s="14" t="s">
        <v>107</v>
      </c>
      <c r="E1539" s="14" t="str">
        <f>_xlfn.XLOOKUP($D1539,'Chart of Accounts'!$A:$A,'Chart of Accounts'!B:B,"")</f>
        <v>Software and Subscriptions</v>
      </c>
      <c r="F1539" s="14" t="str">
        <f>_xlfn.XLOOKUP($D1539,'Chart of Accounts'!$A:$A,'Chart of Accounts'!C:C,"")</f>
        <v>Expense</v>
      </c>
      <c r="G1539" s="14" t="s">
        <v>507</v>
      </c>
      <c r="H1539" s="16">
        <v>2630.78</v>
      </c>
      <c r="I1539" s="16"/>
      <c r="J1539" s="16">
        <v>2630.78</v>
      </c>
      <c r="K1539" s="14" t="s">
        <v>225</v>
      </c>
    </row>
    <row r="1540" spans="1:11" ht="15" customHeight="1">
      <c r="A1540" s="13">
        <v>45872</v>
      </c>
      <c r="B1540" s="14" t="s">
        <v>597</v>
      </c>
      <c r="C1540" s="14"/>
      <c r="D1540" s="14" t="s">
        <v>40</v>
      </c>
      <c r="E1540" s="14" t="str">
        <f>_xlfn.XLOOKUP($D1540,'Chart of Accounts'!$A:$A,'Chart of Accounts'!B:B,"")</f>
        <v>Cash - Operating</v>
      </c>
      <c r="F1540" s="14" t="str">
        <f>_xlfn.XLOOKUP($D1540,'Chart of Accounts'!$A:$A,'Chart of Accounts'!C:C,"")</f>
        <v>Asset</v>
      </c>
      <c r="G1540" s="14" t="s">
        <v>507</v>
      </c>
      <c r="H1540" s="16"/>
      <c r="I1540" s="16">
        <v>2630.78</v>
      </c>
      <c r="J1540" s="16">
        <v>-2630.78</v>
      </c>
      <c r="K1540" s="14" t="s">
        <v>225</v>
      </c>
    </row>
    <row r="1541" spans="1:11" ht="15" customHeight="1">
      <c r="A1541" s="13">
        <v>45870</v>
      </c>
      <c r="B1541" s="14" t="s">
        <v>424</v>
      </c>
      <c r="C1541" s="19" t="s">
        <v>4</v>
      </c>
      <c r="D1541" s="14" t="s">
        <v>33</v>
      </c>
      <c r="E1541" s="14" t="str">
        <f>_xlfn.XLOOKUP($D1541,'Chart of Accounts'!$A:$A,'Chart of Accounts'!B:B,"")</f>
        <v>Utilities</v>
      </c>
      <c r="F1541" s="14" t="str">
        <f>_xlfn.XLOOKUP($D1541,'Chart of Accounts'!$A:$A,'Chart of Accounts'!C:C,"")</f>
        <v>Expense</v>
      </c>
      <c r="G1541" s="14" t="s">
        <v>417</v>
      </c>
      <c r="H1541" s="16">
        <v>88.258200000000002</v>
      </c>
      <c r="I1541" s="16"/>
      <c r="J1541" s="16">
        <v>88.258200000000002</v>
      </c>
      <c r="K1541" s="14" t="s">
        <v>225</v>
      </c>
    </row>
    <row r="1542" spans="1:11" ht="15" customHeight="1">
      <c r="A1542" s="13">
        <v>45870</v>
      </c>
      <c r="B1542" s="14" t="s">
        <v>424</v>
      </c>
      <c r="C1542" s="19" t="s">
        <v>6</v>
      </c>
      <c r="D1542" s="14" t="s">
        <v>33</v>
      </c>
      <c r="E1542" s="14" t="str">
        <f>_xlfn.XLOOKUP($D1542,'Chart of Accounts'!$A:$A,'Chart of Accounts'!B:B,"")</f>
        <v>Utilities</v>
      </c>
      <c r="F1542" s="14" t="str">
        <f>_xlfn.XLOOKUP($D1542,'Chart of Accounts'!$A:$A,'Chart of Accounts'!C:C,"")</f>
        <v>Expense</v>
      </c>
      <c r="G1542" s="14" t="s">
        <v>417</v>
      </c>
      <c r="H1542" s="16">
        <v>117.6776</v>
      </c>
      <c r="I1542" s="16"/>
      <c r="J1542" s="16">
        <v>117.6776</v>
      </c>
      <c r="K1542" s="14" t="s">
        <v>225</v>
      </c>
    </row>
    <row r="1543" spans="1:11" ht="15" customHeight="1">
      <c r="A1543" s="13">
        <v>45870</v>
      </c>
      <c r="B1543" s="14" t="s">
        <v>424</v>
      </c>
      <c r="C1543" s="19" t="s">
        <v>8</v>
      </c>
      <c r="D1543" s="14" t="s">
        <v>33</v>
      </c>
      <c r="E1543" s="14" t="str">
        <f>_xlfn.XLOOKUP($D1543,'Chart of Accounts'!$A:$A,'Chart of Accounts'!B:B,"")</f>
        <v>Utilities</v>
      </c>
      <c r="F1543" s="14" t="str">
        <f>_xlfn.XLOOKUP($D1543,'Chart of Accounts'!$A:$A,'Chart of Accounts'!C:C,"")</f>
        <v>Expense</v>
      </c>
      <c r="G1543" s="14" t="s">
        <v>417</v>
      </c>
      <c r="H1543" s="16">
        <v>117.6776</v>
      </c>
      <c r="I1543" s="16"/>
      <c r="J1543" s="16">
        <v>117.6776</v>
      </c>
      <c r="K1543" s="14" t="s">
        <v>225</v>
      </c>
    </row>
    <row r="1544" spans="1:11" ht="15" customHeight="1">
      <c r="A1544" s="13">
        <v>45870</v>
      </c>
      <c r="B1544" s="14" t="s">
        <v>424</v>
      </c>
      <c r="C1544" s="19" t="s">
        <v>10</v>
      </c>
      <c r="D1544" s="14" t="s">
        <v>33</v>
      </c>
      <c r="E1544" s="14" t="str">
        <f>_xlfn.XLOOKUP($D1544,'Chart of Accounts'!$A:$A,'Chart of Accounts'!B:B,"")</f>
        <v>Utilities</v>
      </c>
      <c r="F1544" s="14" t="str">
        <f>_xlfn.XLOOKUP($D1544,'Chart of Accounts'!$A:$A,'Chart of Accounts'!C:C,"")</f>
        <v>Expense</v>
      </c>
      <c r="G1544" s="14" t="s">
        <v>417</v>
      </c>
      <c r="H1544" s="16">
        <v>117.6776</v>
      </c>
      <c r="I1544" s="16"/>
      <c r="J1544" s="16">
        <v>117.6776</v>
      </c>
      <c r="K1544" s="14" t="s">
        <v>225</v>
      </c>
    </row>
    <row r="1545" spans="1:11" ht="15" customHeight="1">
      <c r="A1545" s="13">
        <v>45870</v>
      </c>
      <c r="B1545" s="14" t="s">
        <v>424</v>
      </c>
      <c r="C1545" s="19" t="s">
        <v>12</v>
      </c>
      <c r="D1545" s="14" t="s">
        <v>33</v>
      </c>
      <c r="E1545" s="14" t="str">
        <f>_xlfn.XLOOKUP($D1545,'Chart of Accounts'!$A:$A,'Chart of Accounts'!B:B,"")</f>
        <v>Utilities</v>
      </c>
      <c r="F1545" s="14" t="str">
        <f>_xlfn.XLOOKUP($D1545,'Chart of Accounts'!$A:$A,'Chart of Accounts'!C:C,"")</f>
        <v>Expense</v>
      </c>
      <c r="G1545" s="14" t="s">
        <v>417</v>
      </c>
      <c r="H1545" s="16">
        <v>205.9358</v>
      </c>
      <c r="I1545" s="16"/>
      <c r="J1545" s="16">
        <v>205.9358</v>
      </c>
      <c r="K1545" s="14" t="s">
        <v>225</v>
      </c>
    </row>
    <row r="1546" spans="1:11" ht="15" customHeight="1">
      <c r="A1546" s="13">
        <v>45870</v>
      </c>
      <c r="B1546" s="14" t="s">
        <v>424</v>
      </c>
      <c r="C1546" s="19" t="s">
        <v>14</v>
      </c>
      <c r="D1546" s="14" t="s">
        <v>33</v>
      </c>
      <c r="E1546" s="14" t="str">
        <f>_xlfn.XLOOKUP($D1546,'Chart of Accounts'!$A:$A,'Chart of Accounts'!B:B,"")</f>
        <v>Utilities</v>
      </c>
      <c r="F1546" s="14" t="str">
        <f>_xlfn.XLOOKUP($D1546,'Chart of Accounts'!$A:$A,'Chart of Accounts'!C:C,"")</f>
        <v>Expense</v>
      </c>
      <c r="G1546" s="14" t="s">
        <v>417</v>
      </c>
      <c r="H1546" s="16">
        <v>176.5164</v>
      </c>
      <c r="I1546" s="16"/>
      <c r="J1546" s="16">
        <v>176.5164</v>
      </c>
      <c r="K1546" s="14" t="s">
        <v>225</v>
      </c>
    </row>
    <row r="1547" spans="1:11" ht="15" customHeight="1">
      <c r="A1547" s="13">
        <v>45870</v>
      </c>
      <c r="B1547" s="14" t="s">
        <v>424</v>
      </c>
      <c r="C1547" s="19" t="s">
        <v>16</v>
      </c>
      <c r="D1547" s="14" t="s">
        <v>33</v>
      </c>
      <c r="E1547" s="14" t="str">
        <f>_xlfn.XLOOKUP($D1547,'Chart of Accounts'!$A:$A,'Chart of Accounts'!B:B,"")</f>
        <v>Utilities</v>
      </c>
      <c r="F1547" s="14" t="str">
        <f>_xlfn.XLOOKUP($D1547,'Chart of Accounts'!$A:$A,'Chart of Accounts'!C:C,"")</f>
        <v>Expense</v>
      </c>
      <c r="G1547" s="14" t="s">
        <v>417</v>
      </c>
      <c r="H1547" s="16">
        <v>176.5164</v>
      </c>
      <c r="I1547" s="16"/>
      <c r="J1547" s="16">
        <v>176.5164</v>
      </c>
      <c r="K1547" s="14" t="s">
        <v>225</v>
      </c>
    </row>
    <row r="1548" spans="1:11" ht="15" customHeight="1">
      <c r="A1548" s="13">
        <v>45870</v>
      </c>
      <c r="B1548" s="14" t="s">
        <v>424</v>
      </c>
      <c r="C1548" s="19" t="s">
        <v>18</v>
      </c>
      <c r="D1548" s="14" t="s">
        <v>33</v>
      </c>
      <c r="E1548" s="14" t="str">
        <f>_xlfn.XLOOKUP($D1548,'Chart of Accounts'!$A:$A,'Chart of Accounts'!B:B,"")</f>
        <v>Utilities</v>
      </c>
      <c r="F1548" s="14" t="str">
        <f>_xlfn.XLOOKUP($D1548,'Chart of Accounts'!$A:$A,'Chart of Accounts'!C:C,"")</f>
        <v>Expense</v>
      </c>
      <c r="G1548" s="14" t="s">
        <v>417</v>
      </c>
      <c r="H1548" s="16">
        <v>235.3552</v>
      </c>
      <c r="I1548" s="16"/>
      <c r="J1548" s="16">
        <v>235.3552</v>
      </c>
      <c r="K1548" s="14" t="s">
        <v>225</v>
      </c>
    </row>
    <row r="1549" spans="1:11" ht="15" customHeight="1">
      <c r="A1549" s="13">
        <v>45870</v>
      </c>
      <c r="B1549" s="14" t="s">
        <v>424</v>
      </c>
      <c r="C1549" s="19" t="s">
        <v>20</v>
      </c>
      <c r="D1549" s="14" t="s">
        <v>33</v>
      </c>
      <c r="E1549" s="14" t="str">
        <f>_xlfn.XLOOKUP($D1549,'Chart of Accounts'!$A:$A,'Chart of Accounts'!B:B,"")</f>
        <v>Utilities</v>
      </c>
      <c r="F1549" s="14" t="str">
        <f>_xlfn.XLOOKUP($D1549,'Chart of Accounts'!$A:$A,'Chart of Accounts'!C:C,"")</f>
        <v>Expense</v>
      </c>
      <c r="G1549" s="14" t="s">
        <v>417</v>
      </c>
      <c r="H1549" s="16">
        <v>235.3552</v>
      </c>
      <c r="I1549" s="16"/>
      <c r="J1549" s="16">
        <v>235.3552</v>
      </c>
      <c r="K1549" s="14" t="s">
        <v>225</v>
      </c>
    </row>
    <row r="1550" spans="1:11" ht="15" customHeight="1">
      <c r="A1550" s="13">
        <v>46174</v>
      </c>
      <c r="B1550" s="14" t="s">
        <v>598</v>
      </c>
      <c r="C1550" s="19" t="s">
        <v>46</v>
      </c>
      <c r="D1550" s="15" t="s">
        <v>53</v>
      </c>
      <c r="E1550" s="14" t="str">
        <f>_xlfn.XLOOKUP($D1550,'Chart of Accounts'!$A:$A,'Chart of Accounts'!B:B,"")</f>
        <v>Prepaid Expenses</v>
      </c>
      <c r="F1550" s="14" t="str">
        <f>_xlfn.XLOOKUP($D1550,'Chart of Accounts'!$A:$A,'Chart of Accounts'!C:C,"")</f>
        <v>Asset</v>
      </c>
      <c r="G1550" s="14" t="s">
        <v>479</v>
      </c>
      <c r="H1550" s="16"/>
      <c r="I1550" s="16">
        <v>2700</v>
      </c>
      <c r="J1550" s="16">
        <v>-2700</v>
      </c>
      <c r="K1550" s="14" t="s">
        <v>225</v>
      </c>
    </row>
    <row r="1551" spans="1:11" ht="15" customHeight="1">
      <c r="A1551" s="13">
        <v>46174</v>
      </c>
      <c r="B1551" s="14" t="s">
        <v>598</v>
      </c>
      <c r="C1551" s="19" t="s">
        <v>12</v>
      </c>
      <c r="D1551" s="14" t="s">
        <v>117</v>
      </c>
      <c r="E1551" s="14" t="str">
        <f>_xlfn.XLOOKUP($D1551,'Chart of Accounts'!$A:$A,'Chart of Accounts'!B:B,"")</f>
        <v>Insurance</v>
      </c>
      <c r="F1551" s="14" t="str">
        <f>_xlfn.XLOOKUP($D1551,'Chart of Accounts'!$A:$A,'Chart of Accounts'!C:C,"")</f>
        <v>Expense</v>
      </c>
      <c r="G1551" s="14" t="s">
        <v>479</v>
      </c>
      <c r="H1551" s="16">
        <v>111.04</v>
      </c>
      <c r="I1551" s="16"/>
      <c r="J1551" s="16">
        <v>111.04</v>
      </c>
      <c r="K1551" s="14" t="s">
        <v>225</v>
      </c>
    </row>
    <row r="1552" spans="1:11" ht="15" customHeight="1">
      <c r="A1552" s="13">
        <v>45870</v>
      </c>
      <c r="B1552" s="14" t="s">
        <v>508</v>
      </c>
      <c r="C1552" s="14"/>
      <c r="D1552" s="14" t="s">
        <v>63</v>
      </c>
      <c r="E1552" s="14" t="str">
        <f>_xlfn.XLOOKUP($D1552,'Chart of Accounts'!$A:$A,'Chart of Accounts'!B:B,"")</f>
        <v>Accounts Payable</v>
      </c>
      <c r="F1552" s="14" t="str">
        <f>_xlfn.XLOOKUP($D1552,'Chart of Accounts'!$A:$A,'Chart of Accounts'!C:C,"")</f>
        <v>Liability</v>
      </c>
      <c r="G1552" s="14" t="s">
        <v>509</v>
      </c>
      <c r="H1552" s="16"/>
      <c r="I1552" s="16">
        <v>9800</v>
      </c>
      <c r="J1552" s="16">
        <v>-9800</v>
      </c>
      <c r="K1552" s="14" t="s">
        <v>225</v>
      </c>
    </row>
    <row r="1553" spans="1:11" ht="15" customHeight="1">
      <c r="A1553" s="13">
        <v>45869</v>
      </c>
      <c r="B1553" s="14" t="s">
        <v>599</v>
      </c>
      <c r="C1553" s="19" t="s">
        <v>46</v>
      </c>
      <c r="D1553" s="14" t="s">
        <v>123</v>
      </c>
      <c r="E1553" s="14" t="str">
        <f>_xlfn.XLOOKUP($D1553,'Chart of Accounts'!$A:$A,'Chart of Accounts'!B:B,"")</f>
        <v>Interest Expense</v>
      </c>
      <c r="F1553" s="14" t="str">
        <f>_xlfn.XLOOKUP($D1553,'Chart of Accounts'!$A:$A,'Chart of Accounts'!C:C,"")</f>
        <v>Expense</v>
      </c>
      <c r="G1553" s="14" t="s">
        <v>491</v>
      </c>
      <c r="H1553" s="16">
        <v>389.58</v>
      </c>
      <c r="I1553" s="16"/>
      <c r="J1553" s="16">
        <v>389.58</v>
      </c>
      <c r="K1553" s="14" t="s">
        <v>225</v>
      </c>
    </row>
    <row r="1554" spans="1:11" ht="15" customHeight="1">
      <c r="A1554" s="13">
        <v>45900</v>
      </c>
      <c r="B1554" s="14" t="s">
        <v>599</v>
      </c>
      <c r="C1554" s="19" t="s">
        <v>46</v>
      </c>
      <c r="D1554" s="14" t="s">
        <v>123</v>
      </c>
      <c r="E1554" s="14" t="str">
        <f>_xlfn.XLOOKUP($D1554,'Chart of Accounts'!$A:$A,'Chart of Accounts'!B:B,"")</f>
        <v>Interest Expense</v>
      </c>
      <c r="F1554" s="14" t="str">
        <f>_xlfn.XLOOKUP($D1554,'Chart of Accounts'!$A:$A,'Chart of Accounts'!C:C,"")</f>
        <v>Expense</v>
      </c>
      <c r="G1554" s="14" t="s">
        <v>491</v>
      </c>
      <c r="H1554" s="16">
        <v>389.58</v>
      </c>
      <c r="I1554" s="16"/>
      <c r="J1554" s="16">
        <v>389.58</v>
      </c>
      <c r="K1554" s="14" t="s">
        <v>225</v>
      </c>
    </row>
    <row r="1555" spans="1:11" ht="15" customHeight="1">
      <c r="A1555" s="13">
        <v>45930</v>
      </c>
      <c r="B1555" s="14" t="s">
        <v>599</v>
      </c>
      <c r="C1555" s="19" t="s">
        <v>46</v>
      </c>
      <c r="D1555" s="14" t="s">
        <v>123</v>
      </c>
      <c r="E1555" s="14" t="str">
        <f>_xlfn.XLOOKUP($D1555,'Chart of Accounts'!$A:$A,'Chart of Accounts'!B:B,"")</f>
        <v>Interest Expense</v>
      </c>
      <c r="F1555" s="14" t="str">
        <f>_xlfn.XLOOKUP($D1555,'Chart of Accounts'!$A:$A,'Chart of Accounts'!C:C,"")</f>
        <v>Expense</v>
      </c>
      <c r="G1555" s="14" t="s">
        <v>491</v>
      </c>
      <c r="H1555" s="16">
        <v>389.58</v>
      </c>
      <c r="I1555" s="16"/>
      <c r="J1555" s="16">
        <v>389.58</v>
      </c>
      <c r="K1555" s="14" t="s">
        <v>225</v>
      </c>
    </row>
    <row r="1556" spans="1:11" ht="15" customHeight="1">
      <c r="A1556" s="13">
        <v>45961</v>
      </c>
      <c r="B1556" s="14" t="s">
        <v>599</v>
      </c>
      <c r="C1556" s="19" t="s">
        <v>46</v>
      </c>
      <c r="D1556" s="14" t="s">
        <v>123</v>
      </c>
      <c r="E1556" s="14" t="str">
        <f>_xlfn.XLOOKUP($D1556,'Chart of Accounts'!$A:$A,'Chart of Accounts'!B:B,"")</f>
        <v>Interest Expense</v>
      </c>
      <c r="F1556" s="14" t="str">
        <f>_xlfn.XLOOKUP($D1556,'Chart of Accounts'!$A:$A,'Chart of Accounts'!C:C,"")</f>
        <v>Expense</v>
      </c>
      <c r="G1556" s="14" t="s">
        <v>491</v>
      </c>
      <c r="H1556" s="16">
        <v>389.58</v>
      </c>
      <c r="I1556" s="16"/>
      <c r="J1556" s="16">
        <v>389.58</v>
      </c>
      <c r="K1556" s="14" t="s">
        <v>225</v>
      </c>
    </row>
    <row r="1557" spans="1:11" ht="15" customHeight="1">
      <c r="A1557" s="13">
        <v>45991</v>
      </c>
      <c r="B1557" s="14" t="s">
        <v>599</v>
      </c>
      <c r="C1557" s="19" t="s">
        <v>46</v>
      </c>
      <c r="D1557" s="14" t="s">
        <v>123</v>
      </c>
      <c r="E1557" s="14" t="str">
        <f>_xlfn.XLOOKUP($D1557,'Chart of Accounts'!$A:$A,'Chart of Accounts'!B:B,"")</f>
        <v>Interest Expense</v>
      </c>
      <c r="F1557" s="14" t="str">
        <f>_xlfn.XLOOKUP($D1557,'Chart of Accounts'!$A:$A,'Chart of Accounts'!C:C,"")</f>
        <v>Expense</v>
      </c>
      <c r="G1557" s="14" t="s">
        <v>491</v>
      </c>
      <c r="H1557" s="16">
        <v>389.58</v>
      </c>
      <c r="I1557" s="16"/>
      <c r="J1557" s="16">
        <v>389.58</v>
      </c>
      <c r="K1557" s="14" t="s">
        <v>225</v>
      </c>
    </row>
    <row r="1558" spans="1:11" ht="15" customHeight="1">
      <c r="A1558" s="13">
        <v>46022</v>
      </c>
      <c r="B1558" s="14" t="s">
        <v>599</v>
      </c>
      <c r="C1558" s="19" t="s">
        <v>46</v>
      </c>
      <c r="D1558" s="14" t="s">
        <v>123</v>
      </c>
      <c r="E1558" s="14" t="str">
        <f>_xlfn.XLOOKUP($D1558,'Chart of Accounts'!$A:$A,'Chart of Accounts'!B:B,"")</f>
        <v>Interest Expense</v>
      </c>
      <c r="F1558" s="14" t="str">
        <f>_xlfn.XLOOKUP($D1558,'Chart of Accounts'!$A:$A,'Chart of Accounts'!C:C,"")</f>
        <v>Expense</v>
      </c>
      <c r="G1558" s="14" t="s">
        <v>491</v>
      </c>
      <c r="H1558" s="16">
        <v>389.58</v>
      </c>
      <c r="I1558" s="16"/>
      <c r="J1558" s="16">
        <v>389.58</v>
      </c>
      <c r="K1558" s="14" t="s">
        <v>225</v>
      </c>
    </row>
    <row r="1559" spans="1:11" ht="15" customHeight="1">
      <c r="A1559" s="13">
        <v>46053</v>
      </c>
      <c r="B1559" s="14" t="s">
        <v>599</v>
      </c>
      <c r="C1559" s="19" t="s">
        <v>46</v>
      </c>
      <c r="D1559" s="14" t="s">
        <v>123</v>
      </c>
      <c r="E1559" s="14" t="str">
        <f>_xlfn.XLOOKUP($D1559,'Chart of Accounts'!$A:$A,'Chart of Accounts'!B:B,"")</f>
        <v>Interest Expense</v>
      </c>
      <c r="F1559" s="14" t="str">
        <f>_xlfn.XLOOKUP($D1559,'Chart of Accounts'!$A:$A,'Chart of Accounts'!C:C,"")</f>
        <v>Expense</v>
      </c>
      <c r="G1559" s="14" t="s">
        <v>491</v>
      </c>
      <c r="H1559" s="16">
        <v>389.58</v>
      </c>
      <c r="I1559" s="16"/>
      <c r="J1559" s="16">
        <v>389.58</v>
      </c>
      <c r="K1559" s="14" t="s">
        <v>225</v>
      </c>
    </row>
    <row r="1560" spans="1:11" ht="15" customHeight="1">
      <c r="A1560" s="13">
        <v>46081</v>
      </c>
      <c r="B1560" s="14" t="s">
        <v>599</v>
      </c>
      <c r="C1560" s="19" t="s">
        <v>46</v>
      </c>
      <c r="D1560" s="14" t="s">
        <v>123</v>
      </c>
      <c r="E1560" s="14" t="str">
        <f>_xlfn.XLOOKUP($D1560,'Chart of Accounts'!$A:$A,'Chart of Accounts'!B:B,"")</f>
        <v>Interest Expense</v>
      </c>
      <c r="F1560" s="14" t="str">
        <f>_xlfn.XLOOKUP($D1560,'Chart of Accounts'!$A:$A,'Chart of Accounts'!C:C,"")</f>
        <v>Expense</v>
      </c>
      <c r="G1560" s="14" t="s">
        <v>491</v>
      </c>
      <c r="H1560" s="16">
        <v>389.58</v>
      </c>
      <c r="I1560" s="16"/>
      <c r="J1560" s="16">
        <v>389.58</v>
      </c>
      <c r="K1560" s="14" t="s">
        <v>225</v>
      </c>
    </row>
    <row r="1561" spans="1:11" ht="15" customHeight="1">
      <c r="A1561" s="13">
        <v>46112</v>
      </c>
      <c r="B1561" s="14" t="s">
        <v>599</v>
      </c>
      <c r="C1561" s="19" t="s">
        <v>46</v>
      </c>
      <c r="D1561" s="14" t="s">
        <v>123</v>
      </c>
      <c r="E1561" s="14" t="str">
        <f>_xlfn.XLOOKUP($D1561,'Chart of Accounts'!$A:$A,'Chart of Accounts'!B:B,"")</f>
        <v>Interest Expense</v>
      </c>
      <c r="F1561" s="14" t="str">
        <f>_xlfn.XLOOKUP($D1561,'Chart of Accounts'!$A:$A,'Chart of Accounts'!C:C,"")</f>
        <v>Expense</v>
      </c>
      <c r="G1561" s="14" t="s">
        <v>491</v>
      </c>
      <c r="H1561" s="16">
        <v>389.58</v>
      </c>
      <c r="I1561" s="16"/>
      <c r="J1561" s="16">
        <v>389.58</v>
      </c>
      <c r="K1561" s="14" t="s">
        <v>225</v>
      </c>
    </row>
    <row r="1562" spans="1:11" ht="15" customHeight="1">
      <c r="A1562" s="13">
        <v>46142</v>
      </c>
      <c r="B1562" s="14" t="s">
        <v>599</v>
      </c>
      <c r="C1562" s="19" t="s">
        <v>46</v>
      </c>
      <c r="D1562" s="14" t="s">
        <v>123</v>
      </c>
      <c r="E1562" s="14" t="str">
        <f>_xlfn.XLOOKUP($D1562,'Chart of Accounts'!$A:$A,'Chart of Accounts'!B:B,"")</f>
        <v>Interest Expense</v>
      </c>
      <c r="F1562" s="14" t="str">
        <f>_xlfn.XLOOKUP($D1562,'Chart of Accounts'!$A:$A,'Chart of Accounts'!C:C,"")</f>
        <v>Expense</v>
      </c>
      <c r="G1562" s="14" t="s">
        <v>491</v>
      </c>
      <c r="H1562" s="16">
        <v>389.58</v>
      </c>
      <c r="I1562" s="16"/>
      <c r="J1562" s="16">
        <v>389.58</v>
      </c>
      <c r="K1562" s="14" t="s">
        <v>225</v>
      </c>
    </row>
    <row r="1563" spans="1:11" ht="15" customHeight="1">
      <c r="A1563" s="13">
        <v>46173</v>
      </c>
      <c r="B1563" s="14" t="s">
        <v>599</v>
      </c>
      <c r="C1563" s="19" t="s">
        <v>46</v>
      </c>
      <c r="D1563" s="14" t="s">
        <v>123</v>
      </c>
      <c r="E1563" s="14" t="str">
        <f>_xlfn.XLOOKUP($D1563,'Chart of Accounts'!$A:$A,'Chart of Accounts'!B:B,"")</f>
        <v>Interest Expense</v>
      </c>
      <c r="F1563" s="14" t="str">
        <f>_xlfn.XLOOKUP($D1563,'Chart of Accounts'!$A:$A,'Chart of Accounts'!C:C,"")</f>
        <v>Expense</v>
      </c>
      <c r="G1563" s="14" t="s">
        <v>491</v>
      </c>
      <c r="H1563" s="16">
        <v>389.58</v>
      </c>
      <c r="I1563" s="16"/>
      <c r="J1563" s="16">
        <v>389.58</v>
      </c>
      <c r="K1563" s="14" t="s">
        <v>225</v>
      </c>
    </row>
    <row r="1564" spans="1:11" ht="15" customHeight="1">
      <c r="A1564" s="13">
        <v>46203</v>
      </c>
      <c r="B1564" s="14" t="s">
        <v>599</v>
      </c>
      <c r="C1564" s="19" t="s">
        <v>46</v>
      </c>
      <c r="D1564" s="14" t="s">
        <v>123</v>
      </c>
      <c r="E1564" s="14" t="str">
        <f>_xlfn.XLOOKUP($D1564,'Chart of Accounts'!$A:$A,'Chart of Accounts'!B:B,"")</f>
        <v>Interest Expense</v>
      </c>
      <c r="F1564" s="14" t="str">
        <f>_xlfn.XLOOKUP($D1564,'Chart of Accounts'!$A:$A,'Chart of Accounts'!C:C,"")</f>
        <v>Expense</v>
      </c>
      <c r="G1564" s="14" t="s">
        <v>491</v>
      </c>
      <c r="H1564" s="16">
        <v>389.58</v>
      </c>
      <c r="I1564" s="16"/>
      <c r="J1564" s="16">
        <v>389.58</v>
      </c>
      <c r="K1564" s="14" t="s">
        <v>225</v>
      </c>
    </row>
    <row r="1565" spans="1:11" ht="15" customHeight="1">
      <c r="A1565" s="13">
        <v>45869</v>
      </c>
      <c r="B1565" s="14" t="s">
        <v>599</v>
      </c>
      <c r="C1565" s="14"/>
      <c r="D1565" s="14" t="s">
        <v>75</v>
      </c>
      <c r="E1565" s="14" t="str">
        <f>_xlfn.XLOOKUP($D1565,'Chart of Accounts'!$A:$A,'Chart of Accounts'!B:B,"")</f>
        <v>Notes Payable - Long Term</v>
      </c>
      <c r="F1565" s="14" t="str">
        <f>_xlfn.XLOOKUP($D1565,'Chart of Accounts'!$A:$A,'Chart of Accounts'!C:C,"")</f>
        <v>Liability</v>
      </c>
      <c r="G1565" s="14" t="s">
        <v>491</v>
      </c>
      <c r="H1565" s="16">
        <v>1180</v>
      </c>
      <c r="I1565" s="16"/>
      <c r="J1565" s="16">
        <v>1180</v>
      </c>
      <c r="K1565" s="14" t="s">
        <v>225</v>
      </c>
    </row>
    <row r="1566" spans="1:11" ht="15" customHeight="1">
      <c r="A1566" s="13">
        <v>45869</v>
      </c>
      <c r="B1566" s="14" t="s">
        <v>599</v>
      </c>
      <c r="C1566" s="14"/>
      <c r="D1566" s="14" t="s">
        <v>40</v>
      </c>
      <c r="E1566" s="14" t="str">
        <f>_xlfn.XLOOKUP($D1566,'Chart of Accounts'!$A:$A,'Chart of Accounts'!B:B,"")</f>
        <v>Cash - Operating</v>
      </c>
      <c r="F1566" s="14" t="str">
        <f>_xlfn.XLOOKUP($D1566,'Chart of Accounts'!$A:$A,'Chart of Accounts'!C:C,"")</f>
        <v>Asset</v>
      </c>
      <c r="G1566" s="14" t="s">
        <v>491</v>
      </c>
      <c r="H1566" s="16"/>
      <c r="I1566" s="16">
        <v>1569.58</v>
      </c>
      <c r="J1566" s="16">
        <v>-1569.58</v>
      </c>
      <c r="K1566" s="14" t="s">
        <v>225</v>
      </c>
    </row>
    <row r="1567" spans="1:11" ht="15" customHeight="1">
      <c r="A1567" s="13">
        <v>45869</v>
      </c>
      <c r="B1567" s="14" t="s">
        <v>600</v>
      </c>
      <c r="C1567" s="17" t="s">
        <v>46</v>
      </c>
      <c r="D1567" s="14" t="s">
        <v>105</v>
      </c>
      <c r="E1567" s="14" t="str">
        <f>_xlfn.XLOOKUP($D1567,'Chart of Accounts'!$A:$A,'Chart of Accounts'!B:B,"")</f>
        <v>Office Supplies</v>
      </c>
      <c r="F1567" s="14" t="str">
        <f>_xlfn.XLOOKUP($D1567,'Chart of Accounts'!$A:$A,'Chart of Accounts'!C:C,"")</f>
        <v>Expense</v>
      </c>
      <c r="G1567" s="14" t="s">
        <v>421</v>
      </c>
      <c r="H1567" s="16">
        <v>1011.76</v>
      </c>
      <c r="I1567" s="16"/>
      <c r="J1567" s="16">
        <v>1011.76</v>
      </c>
      <c r="K1567" s="14" t="s">
        <v>225</v>
      </c>
    </row>
    <row r="1568" spans="1:11" ht="15" customHeight="1">
      <c r="A1568" s="13">
        <v>46174</v>
      </c>
      <c r="B1568" s="14" t="s">
        <v>598</v>
      </c>
      <c r="C1568" s="19" t="s">
        <v>14</v>
      </c>
      <c r="D1568" s="14" t="s">
        <v>117</v>
      </c>
      <c r="E1568" s="14" t="str">
        <f>_xlfn.XLOOKUP($D1568,'Chart of Accounts'!$A:$A,'Chart of Accounts'!B:B,"")</f>
        <v>Insurance</v>
      </c>
      <c r="F1568" s="14" t="str">
        <f>_xlfn.XLOOKUP($D1568,'Chart of Accounts'!$A:$A,'Chart of Accounts'!C:C,"")</f>
        <v>Expense</v>
      </c>
      <c r="G1568" s="14" t="s">
        <v>479</v>
      </c>
      <c r="H1568" s="16">
        <v>126.93</v>
      </c>
      <c r="I1568" s="16"/>
      <c r="J1568" s="16">
        <v>126.93</v>
      </c>
      <c r="K1568" s="14" t="s">
        <v>225</v>
      </c>
    </row>
    <row r="1569" spans="1:11" ht="15" customHeight="1">
      <c r="A1569" s="13">
        <v>45869</v>
      </c>
      <c r="B1569" s="14" t="s">
        <v>494</v>
      </c>
      <c r="C1569" s="19" t="s">
        <v>46</v>
      </c>
      <c r="D1569" s="14" t="s">
        <v>119</v>
      </c>
      <c r="E1569" s="14" t="str">
        <f>_xlfn.XLOOKUP($D1569,'Chart of Accounts'!$A:$A,'Chart of Accounts'!B:B,"")</f>
        <v>Depreciation Expense</v>
      </c>
      <c r="F1569" s="14" t="str">
        <f>_xlfn.XLOOKUP($D1569,'Chart of Accounts'!$A:$A,'Chart of Accounts'!C:C,"")</f>
        <v>Expense</v>
      </c>
      <c r="G1569" s="14" t="s">
        <v>495</v>
      </c>
      <c r="H1569" s="16">
        <v>2450</v>
      </c>
      <c r="I1569" s="16"/>
      <c r="J1569" s="16">
        <v>2450</v>
      </c>
      <c r="K1569" s="14" t="s">
        <v>225</v>
      </c>
    </row>
    <row r="1570" spans="1:11" ht="15" customHeight="1">
      <c r="A1570" s="13">
        <v>45900</v>
      </c>
      <c r="B1570" s="14" t="s">
        <v>494</v>
      </c>
      <c r="C1570" s="19" t="s">
        <v>46</v>
      </c>
      <c r="D1570" s="14" t="s">
        <v>119</v>
      </c>
      <c r="E1570" s="14" t="str">
        <f>_xlfn.XLOOKUP($D1570,'Chart of Accounts'!$A:$A,'Chart of Accounts'!B:B,"")</f>
        <v>Depreciation Expense</v>
      </c>
      <c r="F1570" s="14" t="str">
        <f>_xlfn.XLOOKUP($D1570,'Chart of Accounts'!$A:$A,'Chart of Accounts'!C:C,"")</f>
        <v>Expense</v>
      </c>
      <c r="G1570" s="14" t="s">
        <v>495</v>
      </c>
      <c r="H1570" s="16">
        <v>2450</v>
      </c>
      <c r="I1570" s="16"/>
      <c r="J1570" s="16">
        <v>2450</v>
      </c>
      <c r="K1570" s="14" t="s">
        <v>225</v>
      </c>
    </row>
    <row r="1571" spans="1:11" ht="15" customHeight="1">
      <c r="A1571" s="13">
        <v>45930</v>
      </c>
      <c r="B1571" s="14" t="s">
        <v>494</v>
      </c>
      <c r="C1571" s="19" t="s">
        <v>46</v>
      </c>
      <c r="D1571" s="14" t="s">
        <v>119</v>
      </c>
      <c r="E1571" s="14" t="str">
        <f>_xlfn.XLOOKUP($D1571,'Chart of Accounts'!$A:$A,'Chart of Accounts'!B:B,"")</f>
        <v>Depreciation Expense</v>
      </c>
      <c r="F1571" s="14" t="str">
        <f>_xlfn.XLOOKUP($D1571,'Chart of Accounts'!$A:$A,'Chart of Accounts'!C:C,"")</f>
        <v>Expense</v>
      </c>
      <c r="G1571" s="14" t="s">
        <v>495</v>
      </c>
      <c r="H1571" s="16">
        <v>2450</v>
      </c>
      <c r="I1571" s="16"/>
      <c r="J1571" s="16">
        <v>2450</v>
      </c>
      <c r="K1571" s="14" t="s">
        <v>225</v>
      </c>
    </row>
    <row r="1572" spans="1:11" ht="15" customHeight="1">
      <c r="A1572" s="13">
        <v>45961</v>
      </c>
      <c r="B1572" s="14" t="s">
        <v>494</v>
      </c>
      <c r="C1572" s="19" t="s">
        <v>46</v>
      </c>
      <c r="D1572" s="14" t="s">
        <v>119</v>
      </c>
      <c r="E1572" s="14" t="str">
        <f>_xlfn.XLOOKUP($D1572,'Chart of Accounts'!$A:$A,'Chart of Accounts'!B:B,"")</f>
        <v>Depreciation Expense</v>
      </c>
      <c r="F1572" s="14" t="str">
        <f>_xlfn.XLOOKUP($D1572,'Chart of Accounts'!$A:$A,'Chart of Accounts'!C:C,"")</f>
        <v>Expense</v>
      </c>
      <c r="G1572" s="14" t="s">
        <v>495</v>
      </c>
      <c r="H1572" s="16">
        <v>2450</v>
      </c>
      <c r="I1572" s="16"/>
      <c r="J1572" s="16">
        <v>2450</v>
      </c>
      <c r="K1572" s="14" t="s">
        <v>225</v>
      </c>
    </row>
    <row r="1573" spans="1:11" ht="15" customHeight="1">
      <c r="A1573" s="13">
        <v>45991</v>
      </c>
      <c r="B1573" s="14" t="s">
        <v>494</v>
      </c>
      <c r="C1573" s="19" t="s">
        <v>46</v>
      </c>
      <c r="D1573" s="14" t="s">
        <v>119</v>
      </c>
      <c r="E1573" s="14" t="str">
        <f>_xlfn.XLOOKUP($D1573,'Chart of Accounts'!$A:$A,'Chart of Accounts'!B:B,"")</f>
        <v>Depreciation Expense</v>
      </c>
      <c r="F1573" s="14" t="str">
        <f>_xlfn.XLOOKUP($D1573,'Chart of Accounts'!$A:$A,'Chart of Accounts'!C:C,"")</f>
        <v>Expense</v>
      </c>
      <c r="G1573" s="14" t="s">
        <v>495</v>
      </c>
      <c r="H1573" s="16">
        <v>2450</v>
      </c>
      <c r="I1573" s="16"/>
      <c r="J1573" s="16">
        <v>2450</v>
      </c>
      <c r="K1573" s="14" t="s">
        <v>225</v>
      </c>
    </row>
    <row r="1574" spans="1:11" ht="15" customHeight="1">
      <c r="A1574" s="13">
        <v>46022</v>
      </c>
      <c r="B1574" s="14" t="s">
        <v>494</v>
      </c>
      <c r="C1574" s="19" t="s">
        <v>46</v>
      </c>
      <c r="D1574" s="14" t="s">
        <v>119</v>
      </c>
      <c r="E1574" s="14" t="str">
        <f>_xlfn.XLOOKUP($D1574,'Chart of Accounts'!$A:$A,'Chart of Accounts'!B:B,"")</f>
        <v>Depreciation Expense</v>
      </c>
      <c r="F1574" s="14" t="str">
        <f>_xlfn.XLOOKUP($D1574,'Chart of Accounts'!$A:$A,'Chart of Accounts'!C:C,"")</f>
        <v>Expense</v>
      </c>
      <c r="G1574" s="14" t="s">
        <v>495</v>
      </c>
      <c r="H1574" s="16">
        <v>2450</v>
      </c>
      <c r="I1574" s="16"/>
      <c r="J1574" s="16">
        <v>2450</v>
      </c>
      <c r="K1574" s="14" t="s">
        <v>225</v>
      </c>
    </row>
    <row r="1575" spans="1:11" ht="15" customHeight="1">
      <c r="A1575" s="13">
        <v>46053</v>
      </c>
      <c r="B1575" s="14" t="s">
        <v>494</v>
      </c>
      <c r="C1575" s="19" t="s">
        <v>46</v>
      </c>
      <c r="D1575" s="14" t="s">
        <v>119</v>
      </c>
      <c r="E1575" s="14" t="str">
        <f>_xlfn.XLOOKUP($D1575,'Chart of Accounts'!$A:$A,'Chart of Accounts'!B:B,"")</f>
        <v>Depreciation Expense</v>
      </c>
      <c r="F1575" s="14" t="str">
        <f>_xlfn.XLOOKUP($D1575,'Chart of Accounts'!$A:$A,'Chart of Accounts'!C:C,"")</f>
        <v>Expense</v>
      </c>
      <c r="G1575" s="14" t="s">
        <v>495</v>
      </c>
      <c r="H1575" s="16">
        <v>2450</v>
      </c>
      <c r="I1575" s="16"/>
      <c r="J1575" s="16">
        <v>2450</v>
      </c>
      <c r="K1575" s="14" t="s">
        <v>225</v>
      </c>
    </row>
    <row r="1576" spans="1:11" ht="15" customHeight="1">
      <c r="A1576" s="13">
        <v>46081</v>
      </c>
      <c r="B1576" s="14" t="s">
        <v>494</v>
      </c>
      <c r="C1576" s="19" t="s">
        <v>46</v>
      </c>
      <c r="D1576" s="14" t="s">
        <v>119</v>
      </c>
      <c r="E1576" s="14" t="str">
        <f>_xlfn.XLOOKUP($D1576,'Chart of Accounts'!$A:$A,'Chart of Accounts'!B:B,"")</f>
        <v>Depreciation Expense</v>
      </c>
      <c r="F1576" s="14" t="str">
        <f>_xlfn.XLOOKUP($D1576,'Chart of Accounts'!$A:$A,'Chart of Accounts'!C:C,"")</f>
        <v>Expense</v>
      </c>
      <c r="G1576" s="14" t="s">
        <v>495</v>
      </c>
      <c r="H1576" s="16">
        <v>2450</v>
      </c>
      <c r="I1576" s="16"/>
      <c r="J1576" s="16">
        <v>2450</v>
      </c>
      <c r="K1576" s="14" t="s">
        <v>225</v>
      </c>
    </row>
    <row r="1577" spans="1:11" ht="15" customHeight="1">
      <c r="A1577" s="13">
        <v>46112</v>
      </c>
      <c r="B1577" s="14" t="s">
        <v>494</v>
      </c>
      <c r="C1577" s="19" t="s">
        <v>46</v>
      </c>
      <c r="D1577" s="14" t="s">
        <v>119</v>
      </c>
      <c r="E1577" s="14" t="str">
        <f>_xlfn.XLOOKUP($D1577,'Chart of Accounts'!$A:$A,'Chart of Accounts'!B:B,"")</f>
        <v>Depreciation Expense</v>
      </c>
      <c r="F1577" s="14" t="str">
        <f>_xlfn.XLOOKUP($D1577,'Chart of Accounts'!$A:$A,'Chart of Accounts'!C:C,"")</f>
        <v>Expense</v>
      </c>
      <c r="G1577" s="14" t="s">
        <v>495</v>
      </c>
      <c r="H1577" s="16">
        <v>2450</v>
      </c>
      <c r="I1577" s="16"/>
      <c r="J1577" s="16">
        <v>2450</v>
      </c>
      <c r="K1577" s="14" t="s">
        <v>225</v>
      </c>
    </row>
    <row r="1578" spans="1:11" ht="15" customHeight="1">
      <c r="A1578" s="13">
        <v>46142</v>
      </c>
      <c r="B1578" s="14" t="s">
        <v>494</v>
      </c>
      <c r="C1578" s="19" t="s">
        <v>46</v>
      </c>
      <c r="D1578" s="14" t="s">
        <v>119</v>
      </c>
      <c r="E1578" s="14" t="str">
        <f>_xlfn.XLOOKUP($D1578,'Chart of Accounts'!$A:$A,'Chart of Accounts'!B:B,"")</f>
        <v>Depreciation Expense</v>
      </c>
      <c r="F1578" s="14" t="str">
        <f>_xlfn.XLOOKUP($D1578,'Chart of Accounts'!$A:$A,'Chart of Accounts'!C:C,"")</f>
        <v>Expense</v>
      </c>
      <c r="G1578" s="14" t="s">
        <v>495</v>
      </c>
      <c r="H1578" s="16">
        <v>2450</v>
      </c>
      <c r="I1578" s="16"/>
      <c r="J1578" s="16">
        <v>2450</v>
      </c>
      <c r="K1578" s="14" t="s">
        <v>225</v>
      </c>
    </row>
    <row r="1579" spans="1:11" ht="15" customHeight="1">
      <c r="A1579" s="13">
        <v>46173</v>
      </c>
      <c r="B1579" s="14" t="s">
        <v>494</v>
      </c>
      <c r="C1579" s="19" t="s">
        <v>46</v>
      </c>
      <c r="D1579" s="14" t="s">
        <v>119</v>
      </c>
      <c r="E1579" s="14" t="str">
        <f>_xlfn.XLOOKUP($D1579,'Chart of Accounts'!$A:$A,'Chart of Accounts'!B:B,"")</f>
        <v>Depreciation Expense</v>
      </c>
      <c r="F1579" s="14" t="str">
        <f>_xlfn.XLOOKUP($D1579,'Chart of Accounts'!$A:$A,'Chart of Accounts'!C:C,"")</f>
        <v>Expense</v>
      </c>
      <c r="G1579" s="14" t="s">
        <v>495</v>
      </c>
      <c r="H1579" s="16">
        <v>2450</v>
      </c>
      <c r="I1579" s="16"/>
      <c r="J1579" s="16">
        <v>2450</v>
      </c>
      <c r="K1579" s="14" t="s">
        <v>225</v>
      </c>
    </row>
    <row r="1580" spans="1:11" ht="15" customHeight="1">
      <c r="A1580" s="13">
        <v>46203</v>
      </c>
      <c r="B1580" s="14" t="s">
        <v>494</v>
      </c>
      <c r="C1580" s="19" t="s">
        <v>46</v>
      </c>
      <c r="D1580" s="14" t="s">
        <v>119</v>
      </c>
      <c r="E1580" s="14" t="str">
        <f>_xlfn.XLOOKUP($D1580,'Chart of Accounts'!$A:$A,'Chart of Accounts'!B:B,"")</f>
        <v>Depreciation Expense</v>
      </c>
      <c r="F1580" s="14" t="str">
        <f>_xlfn.XLOOKUP($D1580,'Chart of Accounts'!$A:$A,'Chart of Accounts'!C:C,"")</f>
        <v>Expense</v>
      </c>
      <c r="G1580" s="14" t="s">
        <v>495</v>
      </c>
      <c r="H1580" s="16">
        <v>2450</v>
      </c>
      <c r="I1580" s="16"/>
      <c r="J1580" s="16">
        <v>2450</v>
      </c>
      <c r="K1580" s="14" t="s">
        <v>225</v>
      </c>
    </row>
    <row r="1581" spans="1:11" ht="15" customHeight="1">
      <c r="A1581" s="13">
        <v>45869</v>
      </c>
      <c r="B1581" s="14" t="s">
        <v>494</v>
      </c>
      <c r="C1581" s="14"/>
      <c r="D1581" s="14" t="s">
        <v>58</v>
      </c>
      <c r="E1581" s="14" t="str">
        <f>_xlfn.XLOOKUP($D1581,'Chart of Accounts'!$A:$A,'Chart of Accounts'!B:B,"")</f>
        <v>Accumulated Depreciation</v>
      </c>
      <c r="F1581" s="14" t="str">
        <f>_xlfn.XLOOKUP($D1581,'Chart of Accounts'!$A:$A,'Chart of Accounts'!C:C,"")</f>
        <v>Asset</v>
      </c>
      <c r="G1581" s="14" t="s">
        <v>495</v>
      </c>
      <c r="H1581" s="16"/>
      <c r="I1581" s="16">
        <v>2450</v>
      </c>
      <c r="J1581" s="16">
        <v>-2450</v>
      </c>
      <c r="K1581" s="14" t="s">
        <v>225</v>
      </c>
    </row>
    <row r="1582" spans="1:11" ht="15" customHeight="1">
      <c r="A1582" s="13">
        <v>45869</v>
      </c>
      <c r="B1582" s="14" t="s">
        <v>601</v>
      </c>
      <c r="C1582" s="19" t="s">
        <v>46</v>
      </c>
      <c r="D1582" s="14" t="s">
        <v>92</v>
      </c>
      <c r="E1582" s="14" t="str">
        <f>_xlfn.XLOOKUP($D1582,'Chart of Accounts'!$A:$A,'Chart of Accounts'!B:B,"")</f>
        <v>Interest Income</v>
      </c>
      <c r="F1582" s="14" t="str">
        <f>_xlfn.XLOOKUP($D1582,'Chart of Accounts'!$A:$A,'Chart of Accounts'!C:C,"")</f>
        <v>Revenue</v>
      </c>
      <c r="G1582" s="14" t="s">
        <v>497</v>
      </c>
      <c r="H1582" s="16"/>
      <c r="I1582" s="16">
        <v>977.64</v>
      </c>
      <c r="J1582" s="16">
        <v>-977.64</v>
      </c>
      <c r="K1582" s="14" t="s">
        <v>225</v>
      </c>
    </row>
    <row r="1583" spans="1:11" ht="15" customHeight="1">
      <c r="A1583" s="13">
        <v>45869</v>
      </c>
      <c r="B1583" s="14" t="s">
        <v>601</v>
      </c>
      <c r="C1583" s="14"/>
      <c r="D1583" s="14" t="s">
        <v>46</v>
      </c>
      <c r="E1583" s="14" t="str">
        <f>_xlfn.XLOOKUP($D1583,'Chart of Accounts'!$A:$A,'Chart of Accounts'!B:B,"")</f>
        <v>Cash - Money Market/Reserve</v>
      </c>
      <c r="F1583" s="14" t="str">
        <f>_xlfn.XLOOKUP($D1583,'Chart of Accounts'!$A:$A,'Chart of Accounts'!C:C,"")</f>
        <v>Asset</v>
      </c>
      <c r="G1583" s="14" t="s">
        <v>497</v>
      </c>
      <c r="H1583" s="16">
        <v>977.64</v>
      </c>
      <c r="I1583" s="16"/>
      <c r="J1583" s="16">
        <v>977.64</v>
      </c>
      <c r="K1583" s="14" t="s">
        <v>225</v>
      </c>
    </row>
    <row r="1584" spans="1:11" ht="15" customHeight="1">
      <c r="A1584" s="13">
        <v>45846</v>
      </c>
      <c r="B1584" s="14" t="s">
        <v>363</v>
      </c>
      <c r="C1584" s="14"/>
      <c r="D1584" s="14" t="s">
        <v>48</v>
      </c>
      <c r="E1584" s="14" t="str">
        <f>_xlfn.XLOOKUP($D1584,'Chart of Accounts'!$A:$A,'Chart of Accounts'!B:B,"")</f>
        <v>Accounts Receivable - Trade</v>
      </c>
      <c r="F1584" s="14" t="str">
        <f>_xlfn.XLOOKUP($D1584,'Chart of Accounts'!$A:$A,'Chart of Accounts'!C:C,"")</f>
        <v>Asset</v>
      </c>
      <c r="G1584" s="14" t="s">
        <v>525</v>
      </c>
      <c r="H1584" s="16">
        <v>110851.02</v>
      </c>
      <c r="I1584" s="16"/>
      <c r="J1584" s="16">
        <v>110851.02</v>
      </c>
      <c r="K1584" s="14" t="s">
        <v>225</v>
      </c>
    </row>
    <row r="1585" spans="1:11" ht="15" customHeight="1">
      <c r="A1585" s="13">
        <v>45869</v>
      </c>
      <c r="B1585" s="14" t="s">
        <v>363</v>
      </c>
      <c r="C1585" s="14"/>
      <c r="D1585" s="14" t="s">
        <v>51</v>
      </c>
      <c r="E1585" s="14" t="str">
        <f>_xlfn.XLOOKUP($D1585,'Chart of Accounts'!$A:$A,'Chart of Accounts'!B:B,"")</f>
        <v>Grants Receivable</v>
      </c>
      <c r="F1585" s="14" t="str">
        <f>_xlfn.XLOOKUP($D1585,'Chart of Accounts'!$A:$A,'Chart of Accounts'!C:C,"")</f>
        <v>Asset</v>
      </c>
      <c r="G1585" s="14" t="s">
        <v>498</v>
      </c>
      <c r="H1585" s="16">
        <v>53909.54</v>
      </c>
      <c r="I1585" s="16"/>
      <c r="J1585" s="16">
        <v>53909.54</v>
      </c>
      <c r="K1585" s="14" t="s">
        <v>225</v>
      </c>
    </row>
    <row r="1586" spans="1:11" ht="15" customHeight="1">
      <c r="A1586" s="13">
        <v>45856</v>
      </c>
      <c r="B1586" s="14" t="s">
        <v>602</v>
      </c>
      <c r="C1586" s="14"/>
      <c r="D1586" s="14" t="s">
        <v>40</v>
      </c>
      <c r="E1586" s="14" t="str">
        <f>_xlfn.XLOOKUP($D1586,'Chart of Accounts'!$A:$A,'Chart of Accounts'!B:B,"")</f>
        <v>Cash - Operating</v>
      </c>
      <c r="F1586" s="14" t="str">
        <f>_xlfn.XLOOKUP($D1586,'Chart of Accounts'!$A:$A,'Chart of Accounts'!C:C,"")</f>
        <v>Asset</v>
      </c>
      <c r="G1586" s="14" t="s">
        <v>500</v>
      </c>
      <c r="H1586" s="16">
        <v>67460.45</v>
      </c>
      <c r="I1586" s="16"/>
      <c r="J1586" s="16">
        <v>67460.45</v>
      </c>
      <c r="K1586" s="14" t="s">
        <v>225</v>
      </c>
    </row>
    <row r="1587" spans="1:11" ht="15" customHeight="1">
      <c r="A1587" s="13">
        <v>45856</v>
      </c>
      <c r="B1587" s="14" t="s">
        <v>602</v>
      </c>
      <c r="C1587" s="14"/>
      <c r="D1587" s="14" t="s">
        <v>51</v>
      </c>
      <c r="E1587" s="14" t="str">
        <f>_xlfn.XLOOKUP($D1587,'Chart of Accounts'!$A:$A,'Chart of Accounts'!B:B,"")</f>
        <v>Grants Receivable</v>
      </c>
      <c r="F1587" s="14" t="str">
        <f>_xlfn.XLOOKUP($D1587,'Chart of Accounts'!$A:$A,'Chart of Accounts'!C:C,"")</f>
        <v>Asset</v>
      </c>
      <c r="G1587" s="14" t="s">
        <v>500</v>
      </c>
      <c r="H1587" s="16"/>
      <c r="I1587" s="16">
        <v>67460.45</v>
      </c>
      <c r="J1587" s="16">
        <v>-67460.45</v>
      </c>
      <c r="K1587" s="14" t="s">
        <v>225</v>
      </c>
    </row>
    <row r="1588" spans="1:11" ht="15" customHeight="1">
      <c r="A1588" s="13">
        <v>45850</v>
      </c>
      <c r="B1588" s="14" t="s">
        <v>363</v>
      </c>
      <c r="C1588" s="14"/>
      <c r="D1588" s="14" t="s">
        <v>40</v>
      </c>
      <c r="E1588" s="14" t="str">
        <f>_xlfn.XLOOKUP($D1588,'Chart of Accounts'!$A:$A,'Chart of Accounts'!B:B,"")</f>
        <v>Cash - Operating</v>
      </c>
      <c r="F1588" s="14" t="str">
        <f>_xlfn.XLOOKUP($D1588,'Chart of Accounts'!$A:$A,'Chart of Accounts'!C:C,"")</f>
        <v>Asset</v>
      </c>
      <c r="G1588" s="14" t="s">
        <v>501</v>
      </c>
      <c r="H1588" s="16">
        <v>189092.75</v>
      </c>
      <c r="I1588" s="16"/>
      <c r="J1588" s="16">
        <v>189092.75</v>
      </c>
      <c r="K1588" s="14" t="s">
        <v>225</v>
      </c>
    </row>
    <row r="1589" spans="1:11" ht="15" customHeight="1">
      <c r="A1589" s="13">
        <v>46174</v>
      </c>
      <c r="B1589" s="14" t="s">
        <v>598</v>
      </c>
      <c r="C1589" s="19" t="s">
        <v>16</v>
      </c>
      <c r="D1589" s="14" t="s">
        <v>117</v>
      </c>
      <c r="E1589" s="14" t="str">
        <f>_xlfn.XLOOKUP($D1589,'Chart of Accounts'!$A:$A,'Chart of Accounts'!B:B,"")</f>
        <v>Insurance</v>
      </c>
      <c r="F1589" s="14" t="str">
        <f>_xlfn.XLOOKUP($D1589,'Chart of Accounts'!$A:$A,'Chart of Accounts'!C:C,"")</f>
        <v>Expense</v>
      </c>
      <c r="G1589" s="14" t="s">
        <v>479</v>
      </c>
      <c r="H1589" s="16">
        <v>63.46</v>
      </c>
      <c r="I1589" s="16"/>
      <c r="J1589" s="16">
        <v>63.46</v>
      </c>
      <c r="K1589" s="14" t="s">
        <v>225</v>
      </c>
    </row>
    <row r="1590" spans="1:11" ht="15" customHeight="1">
      <c r="A1590" s="13">
        <v>45858</v>
      </c>
      <c r="B1590" s="14" t="s">
        <v>422</v>
      </c>
      <c r="C1590" s="14"/>
      <c r="D1590" s="14" t="s">
        <v>40</v>
      </c>
      <c r="E1590" s="14" t="str">
        <f>_xlfn.XLOOKUP($D1590,'Chart of Accounts'!$A:$A,'Chart of Accounts'!B:B,"")</f>
        <v>Cash - Operating</v>
      </c>
      <c r="F1590" s="14" t="str">
        <f>_xlfn.XLOOKUP($D1590,'Chart of Accounts'!$A:$A,'Chart of Accounts'!C:C,"")</f>
        <v>Asset</v>
      </c>
      <c r="G1590" s="14" t="s">
        <v>423</v>
      </c>
      <c r="H1590" s="16"/>
      <c r="I1590" s="16">
        <v>25491.47</v>
      </c>
      <c r="J1590" s="16">
        <v>-25491.47</v>
      </c>
      <c r="K1590" s="14" t="s">
        <v>225</v>
      </c>
    </row>
    <row r="1591" spans="1:11" ht="15" customHeight="1">
      <c r="A1591" s="13">
        <v>45869</v>
      </c>
      <c r="B1591" s="14" t="s">
        <v>603</v>
      </c>
      <c r="C1591" s="19" t="s">
        <v>46</v>
      </c>
      <c r="D1591" s="14" t="s">
        <v>121</v>
      </c>
      <c r="E1591" s="14" t="str">
        <f>_xlfn.XLOOKUP($D1591,'Chart of Accounts'!$A:$A,'Chart of Accounts'!B:B,"")</f>
        <v>Bank Fees</v>
      </c>
      <c r="F1591" s="14" t="str">
        <f>_xlfn.XLOOKUP($D1591,'Chart of Accounts'!$A:$A,'Chart of Accounts'!C:C,"")</f>
        <v>Expense</v>
      </c>
      <c r="G1591" s="14" t="s">
        <v>503</v>
      </c>
      <c r="H1591" s="16">
        <v>82.71</v>
      </c>
      <c r="I1591" s="16"/>
      <c r="J1591" s="16">
        <v>82.71</v>
      </c>
      <c r="K1591" s="14" t="s">
        <v>225</v>
      </c>
    </row>
    <row r="1592" spans="1:11" ht="15" customHeight="1">
      <c r="A1592" s="13">
        <v>45869</v>
      </c>
      <c r="B1592" s="14" t="s">
        <v>603</v>
      </c>
      <c r="C1592" s="14"/>
      <c r="D1592" s="14" t="s">
        <v>40</v>
      </c>
      <c r="E1592" s="14" t="str">
        <f>_xlfn.XLOOKUP($D1592,'Chart of Accounts'!$A:$A,'Chart of Accounts'!B:B,"")</f>
        <v>Cash - Operating</v>
      </c>
      <c r="F1592" s="14" t="str">
        <f>_xlfn.XLOOKUP($D1592,'Chart of Accounts'!$A:$A,'Chart of Accounts'!C:C,"")</f>
        <v>Asset</v>
      </c>
      <c r="G1592" s="14" t="s">
        <v>503</v>
      </c>
      <c r="H1592" s="16"/>
      <c r="I1592" s="16">
        <v>82.71</v>
      </c>
      <c r="J1592" s="16">
        <v>-82.71</v>
      </c>
      <c r="K1592" s="14" t="s">
        <v>225</v>
      </c>
    </row>
    <row r="1593" spans="1:11" ht="15" customHeight="1">
      <c r="A1593" s="13">
        <v>45855</v>
      </c>
      <c r="B1593" s="14" t="s">
        <v>604</v>
      </c>
      <c r="C1593" s="19" t="s">
        <v>16</v>
      </c>
      <c r="D1593" s="14" t="s">
        <v>111</v>
      </c>
      <c r="E1593" s="14" t="str">
        <f>_xlfn.XLOOKUP($D1593,'Chart of Accounts'!$A:$A,'Chart of Accounts'!B:B,"")</f>
        <v>Meals and Entertainment</v>
      </c>
      <c r="F1593" s="14" t="str">
        <f>_xlfn.XLOOKUP($D1593,'Chart of Accounts'!$A:$A,'Chart of Accounts'!C:C,"")</f>
        <v>Expense</v>
      </c>
      <c r="G1593" s="14" t="s">
        <v>505</v>
      </c>
      <c r="H1593" s="16">
        <v>204.62</v>
      </c>
      <c r="I1593" s="16"/>
      <c r="J1593" s="16">
        <v>204.62</v>
      </c>
      <c r="K1593" s="14" t="s">
        <v>225</v>
      </c>
    </row>
    <row r="1594" spans="1:11" ht="15" customHeight="1">
      <c r="A1594" s="13">
        <v>45855</v>
      </c>
      <c r="B1594" s="14" t="s">
        <v>604</v>
      </c>
      <c r="C1594" s="14"/>
      <c r="D1594" s="14" t="s">
        <v>40</v>
      </c>
      <c r="E1594" s="14" t="str">
        <f>_xlfn.XLOOKUP($D1594,'Chart of Accounts'!$A:$A,'Chart of Accounts'!B:B,"")</f>
        <v>Cash - Operating</v>
      </c>
      <c r="F1594" s="14" t="str">
        <f>_xlfn.XLOOKUP($D1594,'Chart of Accounts'!$A:$A,'Chart of Accounts'!C:C,"")</f>
        <v>Asset</v>
      </c>
      <c r="G1594" s="14" t="s">
        <v>505</v>
      </c>
      <c r="H1594" s="16"/>
      <c r="I1594" s="16">
        <v>204.62</v>
      </c>
      <c r="J1594" s="16">
        <v>-204.62</v>
      </c>
      <c r="K1594" s="14" t="s">
        <v>225</v>
      </c>
    </row>
    <row r="1595" spans="1:11" ht="15" customHeight="1">
      <c r="A1595" s="13">
        <v>45840</v>
      </c>
      <c r="B1595" s="14" t="s">
        <v>605</v>
      </c>
      <c r="C1595" s="19" t="s">
        <v>16</v>
      </c>
      <c r="D1595" s="14" t="s">
        <v>109</v>
      </c>
      <c r="E1595" s="14" t="str">
        <f>_xlfn.XLOOKUP($D1595,'Chart of Accounts'!$A:$A,'Chart of Accounts'!B:B,"")</f>
        <v>Travel</v>
      </c>
      <c r="F1595" s="14" t="str">
        <f>_xlfn.XLOOKUP($D1595,'Chart of Accounts'!$A:$A,'Chart of Accounts'!C:C,"")</f>
        <v>Expense</v>
      </c>
      <c r="G1595" s="14" t="s">
        <v>518</v>
      </c>
      <c r="H1595" s="16">
        <v>2725.77</v>
      </c>
      <c r="I1595" s="16"/>
      <c r="J1595" s="16">
        <v>2725.77</v>
      </c>
      <c r="K1595" s="14" t="s">
        <v>225</v>
      </c>
    </row>
    <row r="1596" spans="1:11" ht="15" customHeight="1">
      <c r="A1596" s="13">
        <v>45840</v>
      </c>
      <c r="B1596" s="14" t="s">
        <v>605</v>
      </c>
      <c r="C1596" s="14"/>
      <c r="D1596" s="14" t="s">
        <v>40</v>
      </c>
      <c r="E1596" s="14" t="str">
        <f>_xlfn.XLOOKUP($D1596,'Chart of Accounts'!$A:$A,'Chart of Accounts'!B:B,"")</f>
        <v>Cash - Operating</v>
      </c>
      <c r="F1596" s="14" t="str">
        <f>_xlfn.XLOOKUP($D1596,'Chart of Accounts'!$A:$A,'Chart of Accounts'!C:C,"")</f>
        <v>Asset</v>
      </c>
      <c r="G1596" s="14" t="s">
        <v>518</v>
      </c>
      <c r="H1596" s="16"/>
      <c r="I1596" s="16">
        <v>2725.77</v>
      </c>
      <c r="J1596" s="16">
        <v>-2725.77</v>
      </c>
      <c r="K1596" s="14" t="s">
        <v>225</v>
      </c>
    </row>
    <row r="1597" spans="1:11" ht="15" customHeight="1">
      <c r="A1597" s="13">
        <v>45867</v>
      </c>
      <c r="B1597" s="14" t="s">
        <v>420</v>
      </c>
      <c r="C1597" s="17" t="s">
        <v>4</v>
      </c>
      <c r="D1597" s="14" t="s">
        <v>105</v>
      </c>
      <c r="E1597" s="14" t="str">
        <f>_xlfn.XLOOKUP($D1597,'Chart of Accounts'!$A:$A,'Chart of Accounts'!B:B,"")</f>
        <v>Office Supplies</v>
      </c>
      <c r="F1597" s="14" t="str">
        <f>_xlfn.XLOOKUP($D1597,'Chart of Accounts'!$A:$A,'Chart of Accounts'!C:C,"")</f>
        <v>Expense</v>
      </c>
      <c r="G1597" s="14" t="s">
        <v>421</v>
      </c>
      <c r="H1597" s="16">
        <v>701.06</v>
      </c>
      <c r="I1597" s="16"/>
      <c r="J1597" s="16">
        <v>701.06</v>
      </c>
      <c r="K1597" s="14" t="s">
        <v>225</v>
      </c>
    </row>
    <row r="1598" spans="1:11" ht="15" customHeight="1">
      <c r="A1598" s="13">
        <v>46174</v>
      </c>
      <c r="B1598" s="14" t="s">
        <v>598</v>
      </c>
      <c r="C1598" s="19" t="s">
        <v>18</v>
      </c>
      <c r="D1598" s="14" t="s">
        <v>117</v>
      </c>
      <c r="E1598" s="14" t="str">
        <f>_xlfn.XLOOKUP($D1598,'Chart of Accounts'!$A:$A,'Chart of Accounts'!B:B,"")</f>
        <v>Insurance</v>
      </c>
      <c r="F1598" s="14" t="str">
        <f>_xlfn.XLOOKUP($D1598,'Chart of Accounts'!$A:$A,'Chart of Accounts'!C:C,"")</f>
        <v>Expense</v>
      </c>
      <c r="G1598" s="14" t="s">
        <v>479</v>
      </c>
      <c r="H1598" s="16">
        <v>126.92</v>
      </c>
      <c r="I1598" s="16"/>
      <c r="J1598" s="16">
        <v>126.92</v>
      </c>
      <c r="K1598" s="14" t="s">
        <v>225</v>
      </c>
    </row>
    <row r="1599" spans="1:11" ht="15" customHeight="1">
      <c r="A1599" s="13">
        <v>46174</v>
      </c>
      <c r="B1599" s="14" t="s">
        <v>598</v>
      </c>
      <c r="C1599" s="19" t="s">
        <v>20</v>
      </c>
      <c r="D1599" s="14" t="s">
        <v>117</v>
      </c>
      <c r="E1599" s="14" t="str">
        <f>_xlfn.XLOOKUP($D1599,'Chart of Accounts'!$A:$A,'Chart of Accounts'!B:B,"")</f>
        <v>Insurance</v>
      </c>
      <c r="F1599" s="14" t="str">
        <f>_xlfn.XLOOKUP($D1599,'Chart of Accounts'!$A:$A,'Chart of Accounts'!C:C,"")</f>
        <v>Expense</v>
      </c>
      <c r="G1599" s="14" t="s">
        <v>479</v>
      </c>
      <c r="H1599" s="16">
        <v>158.65</v>
      </c>
      <c r="I1599" s="16"/>
      <c r="J1599" s="16">
        <v>158.65</v>
      </c>
      <c r="K1599" s="14" t="s">
        <v>225</v>
      </c>
    </row>
    <row r="1600" spans="1:11" ht="15" customHeight="1">
      <c r="A1600" s="13">
        <v>46174</v>
      </c>
      <c r="B1600" s="14" t="s">
        <v>598</v>
      </c>
      <c r="C1600" s="19" t="s">
        <v>4</v>
      </c>
      <c r="D1600" s="14" t="s">
        <v>117</v>
      </c>
      <c r="E1600" s="14" t="str">
        <f>_xlfn.XLOOKUP($D1600,'Chart of Accounts'!$A:$A,'Chart of Accounts'!B:B,"")</f>
        <v>Insurance</v>
      </c>
      <c r="F1600" s="14" t="str">
        <f>_xlfn.XLOOKUP($D1600,'Chart of Accounts'!$A:$A,'Chart of Accounts'!C:C,"")</f>
        <v>Expense</v>
      </c>
      <c r="G1600" s="14" t="s">
        <v>479</v>
      </c>
      <c r="H1600" s="16">
        <v>422.6</v>
      </c>
      <c r="I1600" s="16"/>
      <c r="J1600" s="16">
        <v>422.6</v>
      </c>
      <c r="K1600" s="14" t="s">
        <v>225</v>
      </c>
    </row>
    <row r="1601" spans="1:11" ht="15" customHeight="1">
      <c r="A1601" s="13">
        <v>45848</v>
      </c>
      <c r="B1601" s="14" t="s">
        <v>418</v>
      </c>
      <c r="C1601" s="14"/>
      <c r="D1601" s="14" t="s">
        <v>40</v>
      </c>
      <c r="E1601" s="14" t="str">
        <f>_xlfn.XLOOKUP($D1601,'Chart of Accounts'!$A:$A,'Chart of Accounts'!B:B,"")</f>
        <v>Cash - Operating</v>
      </c>
      <c r="F1601" s="14" t="str">
        <f>_xlfn.XLOOKUP($D1601,'Chart of Accounts'!$A:$A,'Chart of Accounts'!C:C,"")</f>
        <v>Asset</v>
      </c>
      <c r="G1601" s="14" t="s">
        <v>419</v>
      </c>
      <c r="H1601" s="16"/>
      <c r="I1601" s="16">
        <v>8100</v>
      </c>
      <c r="J1601" s="16">
        <v>-8100</v>
      </c>
      <c r="K1601" s="14" t="s">
        <v>225</v>
      </c>
    </row>
    <row r="1602" spans="1:11" ht="15" customHeight="1">
      <c r="A1602" s="13">
        <v>45841</v>
      </c>
      <c r="B1602" s="14" t="s">
        <v>606</v>
      </c>
      <c r="C1602" s="17" t="s">
        <v>20</v>
      </c>
      <c r="D1602" s="14" t="s">
        <v>107</v>
      </c>
      <c r="E1602" s="14" t="str">
        <f>_xlfn.XLOOKUP($D1602,'Chart of Accounts'!$A:$A,'Chart of Accounts'!B:B,"")</f>
        <v>Software and Subscriptions</v>
      </c>
      <c r="F1602" s="14" t="str">
        <f>_xlfn.XLOOKUP($D1602,'Chart of Accounts'!$A:$A,'Chart of Accounts'!C:C,"")</f>
        <v>Expense</v>
      </c>
      <c r="G1602" s="14" t="s">
        <v>507</v>
      </c>
      <c r="H1602" s="16">
        <v>2467.85</v>
      </c>
      <c r="I1602" s="16"/>
      <c r="J1602" s="16">
        <v>2467.85</v>
      </c>
      <c r="K1602" s="14" t="s">
        <v>225</v>
      </c>
    </row>
    <row r="1603" spans="1:11" ht="15" customHeight="1">
      <c r="A1603" s="13">
        <v>45841</v>
      </c>
      <c r="B1603" s="14" t="s">
        <v>606</v>
      </c>
      <c r="C1603" s="14"/>
      <c r="D1603" s="14" t="s">
        <v>40</v>
      </c>
      <c r="E1603" s="14" t="str">
        <f>_xlfn.XLOOKUP($D1603,'Chart of Accounts'!$A:$A,'Chart of Accounts'!B:B,"")</f>
        <v>Cash - Operating</v>
      </c>
      <c r="F1603" s="14" t="str">
        <f>_xlfn.XLOOKUP($D1603,'Chart of Accounts'!$A:$A,'Chart of Accounts'!C:C,"")</f>
        <v>Asset</v>
      </c>
      <c r="G1603" s="14" t="s">
        <v>507</v>
      </c>
      <c r="H1603" s="16"/>
      <c r="I1603" s="16">
        <v>2467.85</v>
      </c>
      <c r="J1603" s="16">
        <v>-2467.85</v>
      </c>
      <c r="K1603" s="14" t="s">
        <v>225</v>
      </c>
    </row>
    <row r="1604" spans="1:11" ht="15" customHeight="1">
      <c r="A1604" s="13">
        <v>45839</v>
      </c>
      <c r="B1604" s="14" t="s">
        <v>416</v>
      </c>
      <c r="C1604" s="19" t="s">
        <v>4</v>
      </c>
      <c r="D1604" s="14" t="s">
        <v>33</v>
      </c>
      <c r="E1604" s="14" t="str">
        <f>_xlfn.XLOOKUP($D1604,'Chart of Accounts'!$A:$A,'Chart of Accounts'!B:B,"")</f>
        <v>Utilities</v>
      </c>
      <c r="F1604" s="14" t="str">
        <f>_xlfn.XLOOKUP($D1604,'Chart of Accounts'!$A:$A,'Chart of Accounts'!C:C,"")</f>
        <v>Expense</v>
      </c>
      <c r="G1604" s="14" t="s">
        <v>417</v>
      </c>
      <c r="H1604" s="16">
        <v>85.425600000000003</v>
      </c>
      <c r="I1604" s="16"/>
      <c r="J1604" s="16">
        <v>85.425600000000003</v>
      </c>
      <c r="K1604" s="14" t="s">
        <v>225</v>
      </c>
    </row>
    <row r="1605" spans="1:11" ht="15" customHeight="1">
      <c r="A1605" s="13">
        <v>45839</v>
      </c>
      <c r="B1605" s="14" t="s">
        <v>416</v>
      </c>
      <c r="C1605" s="19" t="s">
        <v>6</v>
      </c>
      <c r="D1605" s="14" t="s">
        <v>33</v>
      </c>
      <c r="E1605" s="14" t="str">
        <f>_xlfn.XLOOKUP($D1605,'Chart of Accounts'!$A:$A,'Chart of Accounts'!B:B,"")</f>
        <v>Utilities</v>
      </c>
      <c r="F1605" s="14" t="str">
        <f>_xlfn.XLOOKUP($D1605,'Chart of Accounts'!$A:$A,'Chart of Accounts'!C:C,"")</f>
        <v>Expense</v>
      </c>
      <c r="G1605" s="14" t="s">
        <v>417</v>
      </c>
      <c r="H1605" s="16">
        <v>113.9008</v>
      </c>
      <c r="I1605" s="16"/>
      <c r="J1605" s="16">
        <v>113.9008</v>
      </c>
      <c r="K1605" s="14" t="s">
        <v>225</v>
      </c>
    </row>
    <row r="1606" spans="1:11" ht="15" customHeight="1">
      <c r="A1606" s="13">
        <v>45839</v>
      </c>
      <c r="B1606" s="14" t="s">
        <v>416</v>
      </c>
      <c r="C1606" s="19" t="s">
        <v>8</v>
      </c>
      <c r="D1606" s="14" t="s">
        <v>33</v>
      </c>
      <c r="E1606" s="14" t="str">
        <f>_xlfn.XLOOKUP($D1606,'Chart of Accounts'!$A:$A,'Chart of Accounts'!B:B,"")</f>
        <v>Utilities</v>
      </c>
      <c r="F1606" s="14" t="str">
        <f>_xlfn.XLOOKUP($D1606,'Chart of Accounts'!$A:$A,'Chart of Accounts'!C:C,"")</f>
        <v>Expense</v>
      </c>
      <c r="G1606" s="14" t="s">
        <v>417</v>
      </c>
      <c r="H1606" s="16">
        <v>113.9008</v>
      </c>
      <c r="I1606" s="16"/>
      <c r="J1606" s="16">
        <v>113.9008</v>
      </c>
      <c r="K1606" s="14" t="s">
        <v>225</v>
      </c>
    </row>
    <row r="1607" spans="1:11" ht="15" customHeight="1">
      <c r="A1607" s="13">
        <v>45839</v>
      </c>
      <c r="B1607" s="14" t="s">
        <v>416</v>
      </c>
      <c r="C1607" s="19" t="s">
        <v>10</v>
      </c>
      <c r="D1607" s="14" t="s">
        <v>33</v>
      </c>
      <c r="E1607" s="14" t="str">
        <f>_xlfn.XLOOKUP($D1607,'Chart of Accounts'!$A:$A,'Chart of Accounts'!B:B,"")</f>
        <v>Utilities</v>
      </c>
      <c r="F1607" s="14" t="str">
        <f>_xlfn.XLOOKUP($D1607,'Chart of Accounts'!$A:$A,'Chart of Accounts'!C:C,"")</f>
        <v>Expense</v>
      </c>
      <c r="G1607" s="14" t="s">
        <v>417</v>
      </c>
      <c r="H1607" s="16">
        <v>113.9008</v>
      </c>
      <c r="I1607" s="16"/>
      <c r="J1607" s="16">
        <v>113.9008</v>
      </c>
      <c r="K1607" s="14" t="s">
        <v>225</v>
      </c>
    </row>
    <row r="1608" spans="1:11" ht="15" customHeight="1">
      <c r="A1608" s="13">
        <v>45839</v>
      </c>
      <c r="B1608" s="14" t="s">
        <v>416</v>
      </c>
      <c r="C1608" s="19" t="s">
        <v>12</v>
      </c>
      <c r="D1608" s="14" t="s">
        <v>33</v>
      </c>
      <c r="E1608" s="14" t="str">
        <f>_xlfn.XLOOKUP($D1608,'Chart of Accounts'!$A:$A,'Chart of Accounts'!B:B,"")</f>
        <v>Utilities</v>
      </c>
      <c r="F1608" s="14" t="str">
        <f>_xlfn.XLOOKUP($D1608,'Chart of Accounts'!$A:$A,'Chart of Accounts'!C:C,"")</f>
        <v>Expense</v>
      </c>
      <c r="G1608" s="14" t="s">
        <v>417</v>
      </c>
      <c r="H1608" s="16">
        <v>199.32640000000001</v>
      </c>
      <c r="I1608" s="16"/>
      <c r="J1608" s="16">
        <v>199.32640000000001</v>
      </c>
      <c r="K1608" s="14" t="s">
        <v>225</v>
      </c>
    </row>
    <row r="1609" spans="1:11" ht="15" customHeight="1">
      <c r="A1609" s="13">
        <v>45839</v>
      </c>
      <c r="B1609" s="14" t="s">
        <v>416</v>
      </c>
      <c r="C1609" s="19" t="s">
        <v>14</v>
      </c>
      <c r="D1609" s="14" t="s">
        <v>33</v>
      </c>
      <c r="E1609" s="14" t="str">
        <f>_xlfn.XLOOKUP($D1609,'Chart of Accounts'!$A:$A,'Chart of Accounts'!B:B,"")</f>
        <v>Utilities</v>
      </c>
      <c r="F1609" s="14" t="str">
        <f>_xlfn.XLOOKUP($D1609,'Chart of Accounts'!$A:$A,'Chart of Accounts'!C:C,"")</f>
        <v>Expense</v>
      </c>
      <c r="G1609" s="14" t="s">
        <v>417</v>
      </c>
      <c r="H1609" s="16">
        <v>170.85120000000001</v>
      </c>
      <c r="I1609" s="16"/>
      <c r="J1609" s="16">
        <v>170.85120000000001</v>
      </c>
      <c r="K1609" s="14" t="s">
        <v>225</v>
      </c>
    </row>
    <row r="1610" spans="1:11" ht="15" customHeight="1">
      <c r="A1610" s="13">
        <v>45839</v>
      </c>
      <c r="B1610" s="14" t="s">
        <v>416</v>
      </c>
      <c r="C1610" s="19" t="s">
        <v>16</v>
      </c>
      <c r="D1610" s="14" t="s">
        <v>33</v>
      </c>
      <c r="E1610" s="14" t="str">
        <f>_xlfn.XLOOKUP($D1610,'Chart of Accounts'!$A:$A,'Chart of Accounts'!B:B,"")</f>
        <v>Utilities</v>
      </c>
      <c r="F1610" s="14" t="str">
        <f>_xlfn.XLOOKUP($D1610,'Chart of Accounts'!$A:$A,'Chart of Accounts'!C:C,"")</f>
        <v>Expense</v>
      </c>
      <c r="G1610" s="14" t="s">
        <v>417</v>
      </c>
      <c r="H1610" s="16">
        <v>170.85120000000001</v>
      </c>
      <c r="I1610" s="16"/>
      <c r="J1610" s="16">
        <v>170.85120000000001</v>
      </c>
      <c r="K1610" s="14" t="s">
        <v>225</v>
      </c>
    </row>
    <row r="1611" spans="1:11" ht="15" customHeight="1">
      <c r="A1611" s="13">
        <v>45839</v>
      </c>
      <c r="B1611" s="14" t="s">
        <v>416</v>
      </c>
      <c r="C1611" s="19" t="s">
        <v>18</v>
      </c>
      <c r="D1611" s="14" t="s">
        <v>33</v>
      </c>
      <c r="E1611" s="14" t="str">
        <f>_xlfn.XLOOKUP($D1611,'Chart of Accounts'!$A:$A,'Chart of Accounts'!B:B,"")</f>
        <v>Utilities</v>
      </c>
      <c r="F1611" s="14" t="str">
        <f>_xlfn.XLOOKUP($D1611,'Chart of Accounts'!$A:$A,'Chart of Accounts'!C:C,"")</f>
        <v>Expense</v>
      </c>
      <c r="G1611" s="14" t="s">
        <v>417</v>
      </c>
      <c r="H1611" s="16">
        <v>227.80160000000001</v>
      </c>
      <c r="I1611" s="16"/>
      <c r="J1611" s="16">
        <v>227.80160000000001</v>
      </c>
      <c r="K1611" s="14" t="s">
        <v>225</v>
      </c>
    </row>
    <row r="1612" spans="1:11" ht="15" customHeight="1">
      <c r="A1612" s="13">
        <v>45839</v>
      </c>
      <c r="B1612" s="14" t="s">
        <v>416</v>
      </c>
      <c r="C1612" s="19" t="s">
        <v>20</v>
      </c>
      <c r="D1612" s="14" t="s">
        <v>33</v>
      </c>
      <c r="E1612" s="14" t="str">
        <f>_xlfn.XLOOKUP($D1612,'Chart of Accounts'!$A:$A,'Chart of Accounts'!B:B,"")</f>
        <v>Utilities</v>
      </c>
      <c r="F1612" s="14" t="str">
        <f>_xlfn.XLOOKUP($D1612,'Chart of Accounts'!$A:$A,'Chart of Accounts'!C:C,"")</f>
        <v>Expense</v>
      </c>
      <c r="G1612" s="14" t="s">
        <v>417</v>
      </c>
      <c r="H1612" s="16">
        <v>227.80160000000001</v>
      </c>
      <c r="I1612" s="16"/>
      <c r="J1612" s="16">
        <v>227.80160000000001</v>
      </c>
      <c r="K1612" s="14" t="s">
        <v>225</v>
      </c>
    </row>
    <row r="1613" spans="1:11" ht="15" customHeight="1">
      <c r="A1613" s="13">
        <v>46174</v>
      </c>
      <c r="B1613" s="14" t="s">
        <v>598</v>
      </c>
      <c r="C1613" s="19" t="s">
        <v>6</v>
      </c>
      <c r="D1613" s="14" t="s">
        <v>117</v>
      </c>
      <c r="E1613" s="14" t="str">
        <f>_xlfn.XLOOKUP($D1613,'Chart of Accounts'!$A:$A,'Chart of Accounts'!B:B,"")</f>
        <v>Insurance</v>
      </c>
      <c r="F1613" s="14" t="str">
        <f>_xlfn.XLOOKUP($D1613,'Chart of Accounts'!$A:$A,'Chart of Accounts'!C:C,"")</f>
        <v>Expense</v>
      </c>
      <c r="G1613" s="14" t="s">
        <v>479</v>
      </c>
      <c r="H1613" s="16">
        <v>563.47</v>
      </c>
      <c r="I1613" s="16"/>
      <c r="J1613" s="16">
        <v>563.47</v>
      </c>
      <c r="K1613" s="14" t="s">
        <v>225</v>
      </c>
    </row>
    <row r="1614" spans="1:11" ht="15" customHeight="1">
      <c r="A1614" s="13">
        <v>45839</v>
      </c>
      <c r="B1614" s="14" t="s">
        <v>508</v>
      </c>
      <c r="C1614" s="19" t="s">
        <v>4</v>
      </c>
      <c r="D1614" s="14" t="s">
        <v>32</v>
      </c>
      <c r="E1614" s="14" t="str">
        <f>_xlfn.XLOOKUP($D1614,'Chart of Accounts'!$A:$A,'Chart of Accounts'!B:B,"")</f>
        <v>Rent</v>
      </c>
      <c r="F1614" s="14" t="str">
        <f>_xlfn.XLOOKUP($D1614,'Chart of Accounts'!$A:$A,'Chart of Accounts'!C:C,"")</f>
        <v>Expense</v>
      </c>
      <c r="G1614" s="14" t="s">
        <v>509</v>
      </c>
      <c r="H1614" s="16">
        <v>588</v>
      </c>
      <c r="I1614" s="16"/>
      <c r="J1614" s="16">
        <v>588</v>
      </c>
      <c r="K1614" s="14" t="s">
        <v>225</v>
      </c>
    </row>
    <row r="1615" spans="1:11" ht="15" customHeight="1">
      <c r="A1615" s="13">
        <v>45839</v>
      </c>
      <c r="B1615" s="14" t="s">
        <v>508</v>
      </c>
      <c r="C1615" s="19" t="s">
        <v>6</v>
      </c>
      <c r="D1615" s="14" t="s">
        <v>32</v>
      </c>
      <c r="E1615" s="14" t="str">
        <f>_xlfn.XLOOKUP($D1615,'Chart of Accounts'!$A:$A,'Chart of Accounts'!B:B,"")</f>
        <v>Rent</v>
      </c>
      <c r="F1615" s="14" t="str">
        <f>_xlfn.XLOOKUP($D1615,'Chart of Accounts'!$A:$A,'Chart of Accounts'!C:C,"")</f>
        <v>Expense</v>
      </c>
      <c r="G1615" s="14" t="s">
        <v>509</v>
      </c>
      <c r="H1615" s="16">
        <v>784</v>
      </c>
      <c r="I1615" s="16"/>
      <c r="J1615" s="16">
        <v>784</v>
      </c>
      <c r="K1615" s="14" t="s">
        <v>225</v>
      </c>
    </row>
    <row r="1616" spans="1:11" ht="15" customHeight="1">
      <c r="A1616" s="13">
        <v>45839</v>
      </c>
      <c r="B1616" s="14" t="s">
        <v>508</v>
      </c>
      <c r="C1616" s="19" t="s">
        <v>8</v>
      </c>
      <c r="D1616" s="14" t="s">
        <v>32</v>
      </c>
      <c r="E1616" s="14" t="str">
        <f>_xlfn.XLOOKUP($D1616,'Chart of Accounts'!$A:$A,'Chart of Accounts'!B:B,"")</f>
        <v>Rent</v>
      </c>
      <c r="F1616" s="14" t="str">
        <f>_xlfn.XLOOKUP($D1616,'Chart of Accounts'!$A:$A,'Chart of Accounts'!C:C,"")</f>
        <v>Expense</v>
      </c>
      <c r="G1616" s="14" t="s">
        <v>509</v>
      </c>
      <c r="H1616" s="16">
        <v>784</v>
      </c>
      <c r="I1616" s="16"/>
      <c r="J1616" s="16">
        <v>784</v>
      </c>
      <c r="K1616" s="14" t="s">
        <v>225</v>
      </c>
    </row>
    <row r="1617" spans="1:11" ht="15" customHeight="1">
      <c r="A1617" s="13">
        <v>45839</v>
      </c>
      <c r="B1617" s="14" t="s">
        <v>508</v>
      </c>
      <c r="C1617" s="19" t="s">
        <v>10</v>
      </c>
      <c r="D1617" s="14" t="s">
        <v>32</v>
      </c>
      <c r="E1617" s="14" t="str">
        <f>_xlfn.XLOOKUP($D1617,'Chart of Accounts'!$A:$A,'Chart of Accounts'!B:B,"")</f>
        <v>Rent</v>
      </c>
      <c r="F1617" s="14" t="str">
        <f>_xlfn.XLOOKUP($D1617,'Chart of Accounts'!$A:$A,'Chart of Accounts'!C:C,"")</f>
        <v>Expense</v>
      </c>
      <c r="G1617" s="14" t="s">
        <v>509</v>
      </c>
      <c r="H1617" s="16">
        <v>784</v>
      </c>
      <c r="I1617" s="16"/>
      <c r="J1617" s="16">
        <v>784</v>
      </c>
      <c r="K1617" s="14" t="s">
        <v>225</v>
      </c>
    </row>
    <row r="1618" spans="1:11" ht="15" customHeight="1">
      <c r="A1618" s="13">
        <v>45839</v>
      </c>
      <c r="B1618" s="14" t="s">
        <v>508</v>
      </c>
      <c r="C1618" s="19" t="s">
        <v>12</v>
      </c>
      <c r="D1618" s="14" t="s">
        <v>32</v>
      </c>
      <c r="E1618" s="14" t="str">
        <f>_xlfn.XLOOKUP($D1618,'Chart of Accounts'!$A:$A,'Chart of Accounts'!B:B,"")</f>
        <v>Rent</v>
      </c>
      <c r="F1618" s="14" t="str">
        <f>_xlfn.XLOOKUP($D1618,'Chart of Accounts'!$A:$A,'Chart of Accounts'!C:C,"")</f>
        <v>Expense</v>
      </c>
      <c r="G1618" s="14" t="s">
        <v>509</v>
      </c>
      <c r="H1618" s="16">
        <v>1372</v>
      </c>
      <c r="I1618" s="16"/>
      <c r="J1618" s="16">
        <v>1372</v>
      </c>
      <c r="K1618" s="14" t="s">
        <v>225</v>
      </c>
    </row>
    <row r="1619" spans="1:11" ht="15" customHeight="1">
      <c r="A1619" s="13">
        <v>45839</v>
      </c>
      <c r="B1619" s="14" t="s">
        <v>508</v>
      </c>
      <c r="C1619" s="19" t="s">
        <v>14</v>
      </c>
      <c r="D1619" s="14" t="s">
        <v>32</v>
      </c>
      <c r="E1619" s="14" t="str">
        <f>_xlfn.XLOOKUP($D1619,'Chart of Accounts'!$A:$A,'Chart of Accounts'!B:B,"")</f>
        <v>Rent</v>
      </c>
      <c r="F1619" s="14" t="str">
        <f>_xlfn.XLOOKUP($D1619,'Chart of Accounts'!$A:$A,'Chart of Accounts'!C:C,"")</f>
        <v>Expense</v>
      </c>
      <c r="G1619" s="14" t="s">
        <v>509</v>
      </c>
      <c r="H1619" s="16">
        <v>1176</v>
      </c>
      <c r="I1619" s="16"/>
      <c r="J1619" s="16">
        <v>1176</v>
      </c>
      <c r="K1619" s="14" t="s">
        <v>225</v>
      </c>
    </row>
    <row r="1620" spans="1:11" ht="15" customHeight="1">
      <c r="A1620" s="13">
        <v>45839</v>
      </c>
      <c r="B1620" s="14" t="s">
        <v>508</v>
      </c>
      <c r="C1620" s="19" t="s">
        <v>16</v>
      </c>
      <c r="D1620" s="14" t="s">
        <v>32</v>
      </c>
      <c r="E1620" s="14" t="str">
        <f>_xlfn.XLOOKUP($D1620,'Chart of Accounts'!$A:$A,'Chart of Accounts'!B:B,"")</f>
        <v>Rent</v>
      </c>
      <c r="F1620" s="14" t="str">
        <f>_xlfn.XLOOKUP($D1620,'Chart of Accounts'!$A:$A,'Chart of Accounts'!C:C,"")</f>
        <v>Expense</v>
      </c>
      <c r="G1620" s="14" t="s">
        <v>509</v>
      </c>
      <c r="H1620" s="16">
        <v>1176</v>
      </c>
      <c r="I1620" s="16"/>
      <c r="J1620" s="16">
        <v>1176</v>
      </c>
      <c r="K1620" s="14" t="s">
        <v>225</v>
      </c>
    </row>
    <row r="1621" spans="1:11" ht="15" customHeight="1">
      <c r="A1621" s="13">
        <v>45839</v>
      </c>
      <c r="B1621" s="14" t="s">
        <v>508</v>
      </c>
      <c r="C1621" s="19" t="s">
        <v>18</v>
      </c>
      <c r="D1621" s="14" t="s">
        <v>32</v>
      </c>
      <c r="E1621" s="14" t="str">
        <f>_xlfn.XLOOKUP($D1621,'Chart of Accounts'!$A:$A,'Chart of Accounts'!B:B,"")</f>
        <v>Rent</v>
      </c>
      <c r="F1621" s="14" t="str">
        <f>_xlfn.XLOOKUP($D1621,'Chart of Accounts'!$A:$A,'Chart of Accounts'!C:C,"")</f>
        <v>Expense</v>
      </c>
      <c r="G1621" s="14" t="s">
        <v>509</v>
      </c>
      <c r="H1621" s="16">
        <v>1568</v>
      </c>
      <c r="I1621" s="16"/>
      <c r="J1621" s="16">
        <v>1568</v>
      </c>
      <c r="K1621" s="14" t="s">
        <v>225</v>
      </c>
    </row>
    <row r="1622" spans="1:11" ht="15" customHeight="1">
      <c r="A1622" s="13">
        <v>45839</v>
      </c>
      <c r="B1622" s="14" t="s">
        <v>508</v>
      </c>
      <c r="C1622" s="19" t="s">
        <v>20</v>
      </c>
      <c r="D1622" s="14" t="s">
        <v>32</v>
      </c>
      <c r="E1622" s="14" t="str">
        <f>_xlfn.XLOOKUP($D1622,'Chart of Accounts'!$A:$A,'Chart of Accounts'!B:B,"")</f>
        <v>Rent</v>
      </c>
      <c r="F1622" s="14" t="str">
        <f>_xlfn.XLOOKUP($D1622,'Chart of Accounts'!$A:$A,'Chart of Accounts'!C:C,"")</f>
        <v>Expense</v>
      </c>
      <c r="G1622" s="14" t="s">
        <v>509</v>
      </c>
      <c r="H1622" s="16">
        <v>1568</v>
      </c>
      <c r="I1622" s="16"/>
      <c r="J1622" s="16">
        <v>1568</v>
      </c>
      <c r="K1622" s="14" t="s">
        <v>225</v>
      </c>
    </row>
    <row r="1623" spans="1:11" ht="15" customHeight="1">
      <c r="A1623" s="13">
        <v>45870</v>
      </c>
      <c r="B1623" s="14" t="s">
        <v>508</v>
      </c>
      <c r="C1623" s="19" t="s">
        <v>4</v>
      </c>
      <c r="D1623" s="14" t="s">
        <v>32</v>
      </c>
      <c r="E1623" s="14" t="str">
        <f>_xlfn.XLOOKUP($D1623,'Chart of Accounts'!$A:$A,'Chart of Accounts'!B:B,"")</f>
        <v>Rent</v>
      </c>
      <c r="F1623" s="14" t="str">
        <f>_xlfn.XLOOKUP($D1623,'Chart of Accounts'!$A:$A,'Chart of Accounts'!C:C,"")</f>
        <v>Expense</v>
      </c>
      <c r="G1623" s="14" t="s">
        <v>509</v>
      </c>
      <c r="H1623" s="16">
        <v>588</v>
      </c>
      <c r="I1623" s="16"/>
      <c r="J1623" s="16">
        <v>588</v>
      </c>
      <c r="K1623" s="14" t="s">
        <v>225</v>
      </c>
    </row>
    <row r="1624" spans="1:11" ht="15" customHeight="1">
      <c r="A1624" s="13">
        <v>45870</v>
      </c>
      <c r="B1624" s="14" t="s">
        <v>508</v>
      </c>
      <c r="C1624" s="19" t="s">
        <v>6</v>
      </c>
      <c r="D1624" s="14" t="s">
        <v>32</v>
      </c>
      <c r="E1624" s="14" t="str">
        <f>_xlfn.XLOOKUP($D1624,'Chart of Accounts'!$A:$A,'Chart of Accounts'!B:B,"")</f>
        <v>Rent</v>
      </c>
      <c r="F1624" s="14" t="str">
        <f>_xlfn.XLOOKUP($D1624,'Chart of Accounts'!$A:$A,'Chart of Accounts'!C:C,"")</f>
        <v>Expense</v>
      </c>
      <c r="G1624" s="14" t="s">
        <v>509</v>
      </c>
      <c r="H1624" s="16">
        <v>784</v>
      </c>
      <c r="I1624" s="16"/>
      <c r="J1624" s="16">
        <v>784</v>
      </c>
      <c r="K1624" s="14" t="s">
        <v>225</v>
      </c>
    </row>
    <row r="1625" spans="1:11" ht="15" customHeight="1">
      <c r="A1625" s="13">
        <v>45870</v>
      </c>
      <c r="B1625" s="14" t="s">
        <v>508</v>
      </c>
      <c r="C1625" s="19" t="s">
        <v>8</v>
      </c>
      <c r="D1625" s="14" t="s">
        <v>32</v>
      </c>
      <c r="E1625" s="14" t="str">
        <f>_xlfn.XLOOKUP($D1625,'Chart of Accounts'!$A:$A,'Chart of Accounts'!B:B,"")</f>
        <v>Rent</v>
      </c>
      <c r="F1625" s="14" t="str">
        <f>_xlfn.XLOOKUP($D1625,'Chart of Accounts'!$A:$A,'Chart of Accounts'!C:C,"")</f>
        <v>Expense</v>
      </c>
      <c r="G1625" s="14" t="s">
        <v>509</v>
      </c>
      <c r="H1625" s="16">
        <v>784</v>
      </c>
      <c r="I1625" s="16"/>
      <c r="J1625" s="16">
        <v>784</v>
      </c>
      <c r="K1625" s="14" t="s">
        <v>225</v>
      </c>
    </row>
    <row r="1626" spans="1:11" ht="15" customHeight="1">
      <c r="A1626" s="13">
        <v>45870</v>
      </c>
      <c r="B1626" s="14" t="s">
        <v>508</v>
      </c>
      <c r="C1626" s="19" t="s">
        <v>10</v>
      </c>
      <c r="D1626" s="14" t="s">
        <v>32</v>
      </c>
      <c r="E1626" s="14" t="str">
        <f>_xlfn.XLOOKUP($D1626,'Chart of Accounts'!$A:$A,'Chart of Accounts'!B:B,"")</f>
        <v>Rent</v>
      </c>
      <c r="F1626" s="14" t="str">
        <f>_xlfn.XLOOKUP($D1626,'Chart of Accounts'!$A:$A,'Chart of Accounts'!C:C,"")</f>
        <v>Expense</v>
      </c>
      <c r="G1626" s="14" t="s">
        <v>509</v>
      </c>
      <c r="H1626" s="16">
        <v>784</v>
      </c>
      <c r="I1626" s="16"/>
      <c r="J1626" s="16">
        <v>784</v>
      </c>
      <c r="K1626" s="14" t="s">
        <v>225</v>
      </c>
    </row>
    <row r="1627" spans="1:11" ht="15" customHeight="1">
      <c r="A1627" s="13">
        <v>45870</v>
      </c>
      <c r="B1627" s="14" t="s">
        <v>508</v>
      </c>
      <c r="C1627" s="19" t="s">
        <v>12</v>
      </c>
      <c r="D1627" s="14" t="s">
        <v>32</v>
      </c>
      <c r="E1627" s="14" t="str">
        <f>_xlfn.XLOOKUP($D1627,'Chart of Accounts'!$A:$A,'Chart of Accounts'!B:B,"")</f>
        <v>Rent</v>
      </c>
      <c r="F1627" s="14" t="str">
        <f>_xlfn.XLOOKUP($D1627,'Chart of Accounts'!$A:$A,'Chart of Accounts'!C:C,"")</f>
        <v>Expense</v>
      </c>
      <c r="G1627" s="14" t="s">
        <v>509</v>
      </c>
      <c r="H1627" s="16">
        <v>1372</v>
      </c>
      <c r="I1627" s="16"/>
      <c r="J1627" s="16">
        <v>1372</v>
      </c>
      <c r="K1627" s="14" t="s">
        <v>225</v>
      </c>
    </row>
    <row r="1628" spans="1:11" ht="15" customHeight="1">
      <c r="A1628" s="13">
        <v>45870</v>
      </c>
      <c r="B1628" s="14" t="s">
        <v>508</v>
      </c>
      <c r="C1628" s="19" t="s">
        <v>14</v>
      </c>
      <c r="D1628" s="14" t="s">
        <v>32</v>
      </c>
      <c r="E1628" s="14" t="str">
        <f>_xlfn.XLOOKUP($D1628,'Chart of Accounts'!$A:$A,'Chart of Accounts'!B:B,"")</f>
        <v>Rent</v>
      </c>
      <c r="F1628" s="14" t="str">
        <f>_xlfn.XLOOKUP($D1628,'Chart of Accounts'!$A:$A,'Chart of Accounts'!C:C,"")</f>
        <v>Expense</v>
      </c>
      <c r="G1628" s="14" t="s">
        <v>509</v>
      </c>
      <c r="H1628" s="16">
        <v>1176</v>
      </c>
      <c r="I1628" s="16"/>
      <c r="J1628" s="16">
        <v>1176</v>
      </c>
      <c r="K1628" s="14" t="s">
        <v>225</v>
      </c>
    </row>
    <row r="1629" spans="1:11" ht="15" customHeight="1">
      <c r="A1629" s="13">
        <v>45870</v>
      </c>
      <c r="B1629" s="14" t="s">
        <v>508</v>
      </c>
      <c r="C1629" s="19" t="s">
        <v>16</v>
      </c>
      <c r="D1629" s="14" t="s">
        <v>32</v>
      </c>
      <c r="E1629" s="14" t="str">
        <f>_xlfn.XLOOKUP($D1629,'Chart of Accounts'!$A:$A,'Chart of Accounts'!B:B,"")</f>
        <v>Rent</v>
      </c>
      <c r="F1629" s="14" t="str">
        <f>_xlfn.XLOOKUP($D1629,'Chart of Accounts'!$A:$A,'Chart of Accounts'!C:C,"")</f>
        <v>Expense</v>
      </c>
      <c r="G1629" s="14" t="s">
        <v>509</v>
      </c>
      <c r="H1629" s="16">
        <v>1176</v>
      </c>
      <c r="I1629" s="16"/>
      <c r="J1629" s="16">
        <v>1176</v>
      </c>
      <c r="K1629" s="14" t="s">
        <v>225</v>
      </c>
    </row>
    <row r="1630" spans="1:11" ht="15" customHeight="1">
      <c r="A1630" s="13">
        <v>45870</v>
      </c>
      <c r="B1630" s="14" t="s">
        <v>508</v>
      </c>
      <c r="C1630" s="19" t="s">
        <v>18</v>
      </c>
      <c r="D1630" s="14" t="s">
        <v>32</v>
      </c>
      <c r="E1630" s="14" t="str">
        <f>_xlfn.XLOOKUP($D1630,'Chart of Accounts'!$A:$A,'Chart of Accounts'!B:B,"")</f>
        <v>Rent</v>
      </c>
      <c r="F1630" s="14" t="str">
        <f>_xlfn.XLOOKUP($D1630,'Chart of Accounts'!$A:$A,'Chart of Accounts'!C:C,"")</f>
        <v>Expense</v>
      </c>
      <c r="G1630" s="14" t="s">
        <v>509</v>
      </c>
      <c r="H1630" s="16">
        <v>1568</v>
      </c>
      <c r="I1630" s="16"/>
      <c r="J1630" s="16">
        <v>1568</v>
      </c>
      <c r="K1630" s="14" t="s">
        <v>225</v>
      </c>
    </row>
    <row r="1631" spans="1:11" ht="15" customHeight="1">
      <c r="A1631" s="13">
        <v>45870</v>
      </c>
      <c r="B1631" s="14" t="s">
        <v>508</v>
      </c>
      <c r="C1631" s="19" t="s">
        <v>20</v>
      </c>
      <c r="D1631" s="14" t="s">
        <v>32</v>
      </c>
      <c r="E1631" s="14" t="str">
        <f>_xlfn.XLOOKUP($D1631,'Chart of Accounts'!$A:$A,'Chart of Accounts'!B:B,"")</f>
        <v>Rent</v>
      </c>
      <c r="F1631" s="14" t="str">
        <f>_xlfn.XLOOKUP($D1631,'Chart of Accounts'!$A:$A,'Chart of Accounts'!C:C,"")</f>
        <v>Expense</v>
      </c>
      <c r="G1631" s="14" t="s">
        <v>509</v>
      </c>
      <c r="H1631" s="16">
        <v>1568</v>
      </c>
      <c r="I1631" s="16"/>
      <c r="J1631" s="16">
        <v>1568</v>
      </c>
      <c r="K1631" s="14" t="s">
        <v>225</v>
      </c>
    </row>
    <row r="1632" spans="1:11" ht="15" customHeight="1">
      <c r="A1632" s="13">
        <v>45901</v>
      </c>
      <c r="B1632" s="14" t="s">
        <v>508</v>
      </c>
      <c r="C1632" s="19" t="s">
        <v>4</v>
      </c>
      <c r="D1632" s="14" t="s">
        <v>32</v>
      </c>
      <c r="E1632" s="14" t="str">
        <f>_xlfn.XLOOKUP($D1632,'Chart of Accounts'!$A:$A,'Chart of Accounts'!B:B,"")</f>
        <v>Rent</v>
      </c>
      <c r="F1632" s="14" t="str">
        <f>_xlfn.XLOOKUP($D1632,'Chart of Accounts'!$A:$A,'Chart of Accounts'!C:C,"")</f>
        <v>Expense</v>
      </c>
      <c r="G1632" s="14" t="s">
        <v>509</v>
      </c>
      <c r="H1632" s="16">
        <v>588</v>
      </c>
      <c r="I1632" s="16"/>
      <c r="J1632" s="16">
        <v>588</v>
      </c>
      <c r="K1632" s="14" t="s">
        <v>225</v>
      </c>
    </row>
    <row r="1633" spans="1:11" ht="15" customHeight="1">
      <c r="A1633" s="13">
        <v>45901</v>
      </c>
      <c r="B1633" s="14" t="s">
        <v>508</v>
      </c>
      <c r="C1633" s="19" t="s">
        <v>6</v>
      </c>
      <c r="D1633" s="14" t="s">
        <v>32</v>
      </c>
      <c r="E1633" s="14" t="str">
        <f>_xlfn.XLOOKUP($D1633,'Chart of Accounts'!$A:$A,'Chart of Accounts'!B:B,"")</f>
        <v>Rent</v>
      </c>
      <c r="F1633" s="14" t="str">
        <f>_xlfn.XLOOKUP($D1633,'Chart of Accounts'!$A:$A,'Chart of Accounts'!C:C,"")</f>
        <v>Expense</v>
      </c>
      <c r="G1633" s="14" t="s">
        <v>509</v>
      </c>
      <c r="H1633" s="16">
        <v>784</v>
      </c>
      <c r="I1633" s="16"/>
      <c r="J1633" s="16">
        <v>784</v>
      </c>
      <c r="K1633" s="14" t="s">
        <v>225</v>
      </c>
    </row>
    <row r="1634" spans="1:11" ht="15" customHeight="1">
      <c r="A1634" s="13">
        <v>45901</v>
      </c>
      <c r="B1634" s="14" t="s">
        <v>508</v>
      </c>
      <c r="C1634" s="19" t="s">
        <v>8</v>
      </c>
      <c r="D1634" s="14" t="s">
        <v>32</v>
      </c>
      <c r="E1634" s="14" t="str">
        <f>_xlfn.XLOOKUP($D1634,'Chart of Accounts'!$A:$A,'Chart of Accounts'!B:B,"")</f>
        <v>Rent</v>
      </c>
      <c r="F1634" s="14" t="str">
        <f>_xlfn.XLOOKUP($D1634,'Chart of Accounts'!$A:$A,'Chart of Accounts'!C:C,"")</f>
        <v>Expense</v>
      </c>
      <c r="G1634" s="14" t="s">
        <v>509</v>
      </c>
      <c r="H1634" s="16">
        <v>784</v>
      </c>
      <c r="I1634" s="16"/>
      <c r="J1634" s="16">
        <v>784</v>
      </c>
      <c r="K1634" s="14" t="s">
        <v>225</v>
      </c>
    </row>
    <row r="1635" spans="1:11" ht="15" customHeight="1">
      <c r="A1635" s="13">
        <v>45901</v>
      </c>
      <c r="B1635" s="14" t="s">
        <v>508</v>
      </c>
      <c r="C1635" s="19" t="s">
        <v>10</v>
      </c>
      <c r="D1635" s="14" t="s">
        <v>32</v>
      </c>
      <c r="E1635" s="14" t="str">
        <f>_xlfn.XLOOKUP($D1635,'Chart of Accounts'!$A:$A,'Chart of Accounts'!B:B,"")</f>
        <v>Rent</v>
      </c>
      <c r="F1635" s="14" t="str">
        <f>_xlfn.XLOOKUP($D1635,'Chart of Accounts'!$A:$A,'Chart of Accounts'!C:C,"")</f>
        <v>Expense</v>
      </c>
      <c r="G1635" s="14" t="s">
        <v>509</v>
      </c>
      <c r="H1635" s="16">
        <v>784</v>
      </c>
      <c r="I1635" s="16"/>
      <c r="J1635" s="16">
        <v>784</v>
      </c>
      <c r="K1635" s="14" t="s">
        <v>225</v>
      </c>
    </row>
    <row r="1636" spans="1:11" ht="15" customHeight="1">
      <c r="A1636" s="13">
        <v>45901</v>
      </c>
      <c r="B1636" s="14" t="s">
        <v>508</v>
      </c>
      <c r="C1636" s="19" t="s">
        <v>12</v>
      </c>
      <c r="D1636" s="14" t="s">
        <v>32</v>
      </c>
      <c r="E1636" s="14" t="str">
        <f>_xlfn.XLOOKUP($D1636,'Chart of Accounts'!$A:$A,'Chart of Accounts'!B:B,"")</f>
        <v>Rent</v>
      </c>
      <c r="F1636" s="14" t="str">
        <f>_xlfn.XLOOKUP($D1636,'Chart of Accounts'!$A:$A,'Chart of Accounts'!C:C,"")</f>
        <v>Expense</v>
      </c>
      <c r="G1636" s="14" t="s">
        <v>509</v>
      </c>
      <c r="H1636" s="16">
        <v>1372</v>
      </c>
      <c r="I1636" s="16"/>
      <c r="J1636" s="16">
        <v>1372</v>
      </c>
      <c r="K1636" s="14" t="s">
        <v>225</v>
      </c>
    </row>
    <row r="1637" spans="1:11" ht="15" customHeight="1">
      <c r="A1637" s="13">
        <v>45901</v>
      </c>
      <c r="B1637" s="14" t="s">
        <v>508</v>
      </c>
      <c r="C1637" s="19" t="s">
        <v>14</v>
      </c>
      <c r="D1637" s="14" t="s">
        <v>32</v>
      </c>
      <c r="E1637" s="14" t="str">
        <f>_xlfn.XLOOKUP($D1637,'Chart of Accounts'!$A:$A,'Chart of Accounts'!B:B,"")</f>
        <v>Rent</v>
      </c>
      <c r="F1637" s="14" t="str">
        <f>_xlfn.XLOOKUP($D1637,'Chart of Accounts'!$A:$A,'Chart of Accounts'!C:C,"")</f>
        <v>Expense</v>
      </c>
      <c r="G1637" s="14" t="s">
        <v>509</v>
      </c>
      <c r="H1637" s="16">
        <v>1176</v>
      </c>
      <c r="I1637" s="16"/>
      <c r="J1637" s="16">
        <v>1176</v>
      </c>
      <c r="K1637" s="14" t="s">
        <v>225</v>
      </c>
    </row>
    <row r="1638" spans="1:11" ht="15" customHeight="1">
      <c r="A1638" s="13">
        <v>45901</v>
      </c>
      <c r="B1638" s="14" t="s">
        <v>508</v>
      </c>
      <c r="C1638" s="19" t="s">
        <v>16</v>
      </c>
      <c r="D1638" s="14" t="s">
        <v>32</v>
      </c>
      <c r="E1638" s="14" t="str">
        <f>_xlfn.XLOOKUP($D1638,'Chart of Accounts'!$A:$A,'Chart of Accounts'!B:B,"")</f>
        <v>Rent</v>
      </c>
      <c r="F1638" s="14" t="str">
        <f>_xlfn.XLOOKUP($D1638,'Chart of Accounts'!$A:$A,'Chart of Accounts'!C:C,"")</f>
        <v>Expense</v>
      </c>
      <c r="G1638" s="14" t="s">
        <v>509</v>
      </c>
      <c r="H1638" s="16">
        <v>1176</v>
      </c>
      <c r="I1638" s="16"/>
      <c r="J1638" s="16">
        <v>1176</v>
      </c>
      <c r="K1638" s="14" t="s">
        <v>225</v>
      </c>
    </row>
    <row r="1639" spans="1:11" ht="15" customHeight="1">
      <c r="A1639" s="13">
        <v>45901</v>
      </c>
      <c r="B1639" s="14" t="s">
        <v>508</v>
      </c>
      <c r="C1639" s="19" t="s">
        <v>18</v>
      </c>
      <c r="D1639" s="14" t="s">
        <v>32</v>
      </c>
      <c r="E1639" s="14" t="str">
        <f>_xlfn.XLOOKUP($D1639,'Chart of Accounts'!$A:$A,'Chart of Accounts'!B:B,"")</f>
        <v>Rent</v>
      </c>
      <c r="F1639" s="14" t="str">
        <f>_xlfn.XLOOKUP($D1639,'Chart of Accounts'!$A:$A,'Chart of Accounts'!C:C,"")</f>
        <v>Expense</v>
      </c>
      <c r="G1639" s="14" t="s">
        <v>509</v>
      </c>
      <c r="H1639" s="16">
        <v>1568</v>
      </c>
      <c r="I1639" s="16"/>
      <c r="J1639" s="16">
        <v>1568</v>
      </c>
      <c r="K1639" s="14" t="s">
        <v>225</v>
      </c>
    </row>
    <row r="1640" spans="1:11" ht="15" customHeight="1">
      <c r="A1640" s="13">
        <v>45901</v>
      </c>
      <c r="B1640" s="14" t="s">
        <v>508</v>
      </c>
      <c r="C1640" s="19" t="s">
        <v>20</v>
      </c>
      <c r="D1640" s="14" t="s">
        <v>32</v>
      </c>
      <c r="E1640" s="14" t="str">
        <f>_xlfn.XLOOKUP($D1640,'Chart of Accounts'!$A:$A,'Chart of Accounts'!B:B,"")</f>
        <v>Rent</v>
      </c>
      <c r="F1640" s="14" t="str">
        <f>_xlfn.XLOOKUP($D1640,'Chart of Accounts'!$A:$A,'Chart of Accounts'!C:C,"")</f>
        <v>Expense</v>
      </c>
      <c r="G1640" s="14" t="s">
        <v>509</v>
      </c>
      <c r="H1640" s="16">
        <v>1568</v>
      </c>
      <c r="I1640" s="16"/>
      <c r="J1640" s="16">
        <v>1568</v>
      </c>
      <c r="K1640" s="14" t="s">
        <v>225</v>
      </c>
    </row>
    <row r="1641" spans="1:11" ht="15" customHeight="1">
      <c r="A1641" s="13">
        <v>45931</v>
      </c>
      <c r="B1641" s="14" t="s">
        <v>508</v>
      </c>
      <c r="C1641" s="19" t="s">
        <v>4</v>
      </c>
      <c r="D1641" s="14" t="s">
        <v>32</v>
      </c>
      <c r="E1641" s="14" t="str">
        <f>_xlfn.XLOOKUP($D1641,'Chart of Accounts'!$A:$A,'Chart of Accounts'!B:B,"")</f>
        <v>Rent</v>
      </c>
      <c r="F1641" s="14" t="str">
        <f>_xlfn.XLOOKUP($D1641,'Chart of Accounts'!$A:$A,'Chart of Accounts'!C:C,"")</f>
        <v>Expense</v>
      </c>
      <c r="G1641" s="14" t="s">
        <v>509</v>
      </c>
      <c r="H1641" s="16">
        <v>588</v>
      </c>
      <c r="I1641" s="16"/>
      <c r="J1641" s="16">
        <v>588</v>
      </c>
      <c r="K1641" s="14" t="s">
        <v>225</v>
      </c>
    </row>
    <row r="1642" spans="1:11" ht="15" customHeight="1">
      <c r="A1642" s="13">
        <v>45931</v>
      </c>
      <c r="B1642" s="14" t="s">
        <v>508</v>
      </c>
      <c r="C1642" s="19" t="s">
        <v>6</v>
      </c>
      <c r="D1642" s="14" t="s">
        <v>32</v>
      </c>
      <c r="E1642" s="14" t="str">
        <f>_xlfn.XLOOKUP($D1642,'Chart of Accounts'!$A:$A,'Chart of Accounts'!B:B,"")</f>
        <v>Rent</v>
      </c>
      <c r="F1642" s="14" t="str">
        <f>_xlfn.XLOOKUP($D1642,'Chart of Accounts'!$A:$A,'Chart of Accounts'!C:C,"")</f>
        <v>Expense</v>
      </c>
      <c r="G1642" s="14" t="s">
        <v>509</v>
      </c>
      <c r="H1642" s="16">
        <v>784</v>
      </c>
      <c r="I1642" s="16"/>
      <c r="J1642" s="16">
        <v>784</v>
      </c>
      <c r="K1642" s="14" t="s">
        <v>225</v>
      </c>
    </row>
    <row r="1643" spans="1:11" ht="15" customHeight="1">
      <c r="A1643" s="13">
        <v>45931</v>
      </c>
      <c r="B1643" s="14" t="s">
        <v>508</v>
      </c>
      <c r="C1643" s="19" t="s">
        <v>8</v>
      </c>
      <c r="D1643" s="14" t="s">
        <v>32</v>
      </c>
      <c r="E1643" s="14" t="str">
        <f>_xlfn.XLOOKUP($D1643,'Chart of Accounts'!$A:$A,'Chart of Accounts'!B:B,"")</f>
        <v>Rent</v>
      </c>
      <c r="F1643" s="14" t="str">
        <f>_xlfn.XLOOKUP($D1643,'Chart of Accounts'!$A:$A,'Chart of Accounts'!C:C,"")</f>
        <v>Expense</v>
      </c>
      <c r="G1643" s="14" t="s">
        <v>509</v>
      </c>
      <c r="H1643" s="16">
        <v>784</v>
      </c>
      <c r="I1643" s="16"/>
      <c r="J1643" s="16">
        <v>784</v>
      </c>
      <c r="K1643" s="14" t="s">
        <v>225</v>
      </c>
    </row>
    <row r="1644" spans="1:11" ht="15" customHeight="1">
      <c r="A1644" s="13">
        <v>45931</v>
      </c>
      <c r="B1644" s="14" t="s">
        <v>508</v>
      </c>
      <c r="C1644" s="19" t="s">
        <v>10</v>
      </c>
      <c r="D1644" s="14" t="s">
        <v>32</v>
      </c>
      <c r="E1644" s="14" t="str">
        <f>_xlfn.XLOOKUP($D1644,'Chart of Accounts'!$A:$A,'Chart of Accounts'!B:B,"")</f>
        <v>Rent</v>
      </c>
      <c r="F1644" s="14" t="str">
        <f>_xlfn.XLOOKUP($D1644,'Chart of Accounts'!$A:$A,'Chart of Accounts'!C:C,"")</f>
        <v>Expense</v>
      </c>
      <c r="G1644" s="14" t="s">
        <v>509</v>
      </c>
      <c r="H1644" s="16">
        <v>784</v>
      </c>
      <c r="I1644" s="16"/>
      <c r="J1644" s="16">
        <v>784</v>
      </c>
      <c r="K1644" s="14" t="s">
        <v>225</v>
      </c>
    </row>
    <row r="1645" spans="1:11" ht="15" customHeight="1">
      <c r="A1645" s="13">
        <v>45931</v>
      </c>
      <c r="B1645" s="14" t="s">
        <v>508</v>
      </c>
      <c r="C1645" s="19" t="s">
        <v>12</v>
      </c>
      <c r="D1645" s="14" t="s">
        <v>32</v>
      </c>
      <c r="E1645" s="14" t="str">
        <f>_xlfn.XLOOKUP($D1645,'Chart of Accounts'!$A:$A,'Chart of Accounts'!B:B,"")</f>
        <v>Rent</v>
      </c>
      <c r="F1645" s="14" t="str">
        <f>_xlfn.XLOOKUP($D1645,'Chart of Accounts'!$A:$A,'Chart of Accounts'!C:C,"")</f>
        <v>Expense</v>
      </c>
      <c r="G1645" s="14" t="s">
        <v>509</v>
      </c>
      <c r="H1645" s="16">
        <v>980</v>
      </c>
      <c r="I1645" s="16"/>
      <c r="J1645" s="16">
        <v>980</v>
      </c>
      <c r="K1645" s="14" t="s">
        <v>225</v>
      </c>
    </row>
    <row r="1646" spans="1:11" ht="15" customHeight="1">
      <c r="A1646" s="13">
        <v>45931</v>
      </c>
      <c r="B1646" s="14" t="s">
        <v>508</v>
      </c>
      <c r="C1646" s="19" t="s">
        <v>14</v>
      </c>
      <c r="D1646" s="14" t="s">
        <v>32</v>
      </c>
      <c r="E1646" s="14" t="str">
        <f>_xlfn.XLOOKUP($D1646,'Chart of Accounts'!$A:$A,'Chart of Accounts'!B:B,"")</f>
        <v>Rent</v>
      </c>
      <c r="F1646" s="14" t="str">
        <f>_xlfn.XLOOKUP($D1646,'Chart of Accounts'!$A:$A,'Chart of Accounts'!C:C,"")</f>
        <v>Expense</v>
      </c>
      <c r="G1646" s="14" t="s">
        <v>509</v>
      </c>
      <c r="H1646" s="16">
        <v>1568</v>
      </c>
      <c r="I1646" s="16"/>
      <c r="J1646" s="16">
        <v>1568</v>
      </c>
      <c r="K1646" s="14" t="s">
        <v>225</v>
      </c>
    </row>
    <row r="1647" spans="1:11" ht="15" customHeight="1">
      <c r="A1647" s="13">
        <v>45931</v>
      </c>
      <c r="B1647" s="14" t="s">
        <v>508</v>
      </c>
      <c r="C1647" s="19" t="s">
        <v>16</v>
      </c>
      <c r="D1647" s="14" t="s">
        <v>32</v>
      </c>
      <c r="E1647" s="14" t="str">
        <f>_xlfn.XLOOKUP($D1647,'Chart of Accounts'!$A:$A,'Chart of Accounts'!B:B,"")</f>
        <v>Rent</v>
      </c>
      <c r="F1647" s="14" t="str">
        <f>_xlfn.XLOOKUP($D1647,'Chart of Accounts'!$A:$A,'Chart of Accounts'!C:C,"")</f>
        <v>Expense</v>
      </c>
      <c r="G1647" s="14" t="s">
        <v>509</v>
      </c>
      <c r="H1647" s="16">
        <v>1176</v>
      </c>
      <c r="I1647" s="16"/>
      <c r="J1647" s="16">
        <v>1176</v>
      </c>
      <c r="K1647" s="14" t="s">
        <v>225</v>
      </c>
    </row>
    <row r="1648" spans="1:11" ht="15" customHeight="1">
      <c r="A1648" s="13">
        <v>45931</v>
      </c>
      <c r="B1648" s="14" t="s">
        <v>508</v>
      </c>
      <c r="C1648" s="19" t="s">
        <v>18</v>
      </c>
      <c r="D1648" s="14" t="s">
        <v>32</v>
      </c>
      <c r="E1648" s="14" t="str">
        <f>_xlfn.XLOOKUP($D1648,'Chart of Accounts'!$A:$A,'Chart of Accounts'!B:B,"")</f>
        <v>Rent</v>
      </c>
      <c r="F1648" s="14" t="str">
        <f>_xlfn.XLOOKUP($D1648,'Chart of Accounts'!$A:$A,'Chart of Accounts'!C:C,"")</f>
        <v>Expense</v>
      </c>
      <c r="G1648" s="14" t="s">
        <v>509</v>
      </c>
      <c r="H1648" s="16">
        <v>1568</v>
      </c>
      <c r="I1648" s="16"/>
      <c r="J1648" s="16">
        <v>1568</v>
      </c>
      <c r="K1648" s="14" t="s">
        <v>225</v>
      </c>
    </row>
    <row r="1649" spans="1:11" ht="15" customHeight="1">
      <c r="A1649" s="13">
        <v>45931</v>
      </c>
      <c r="B1649" s="14" t="s">
        <v>508</v>
      </c>
      <c r="C1649" s="19" t="s">
        <v>20</v>
      </c>
      <c r="D1649" s="14" t="s">
        <v>32</v>
      </c>
      <c r="E1649" s="14" t="str">
        <f>_xlfn.XLOOKUP($D1649,'Chart of Accounts'!$A:$A,'Chart of Accounts'!B:B,"")</f>
        <v>Rent</v>
      </c>
      <c r="F1649" s="14" t="str">
        <f>_xlfn.XLOOKUP($D1649,'Chart of Accounts'!$A:$A,'Chart of Accounts'!C:C,"")</f>
        <v>Expense</v>
      </c>
      <c r="G1649" s="14" t="s">
        <v>509</v>
      </c>
      <c r="H1649" s="16">
        <v>1568</v>
      </c>
      <c r="I1649" s="16"/>
      <c r="J1649" s="16">
        <v>1568</v>
      </c>
      <c r="K1649" s="14" t="s">
        <v>225</v>
      </c>
    </row>
    <row r="1650" spans="1:11" ht="15" customHeight="1">
      <c r="A1650" s="13">
        <v>45962</v>
      </c>
      <c r="B1650" s="14" t="s">
        <v>508</v>
      </c>
      <c r="C1650" s="19" t="s">
        <v>4</v>
      </c>
      <c r="D1650" s="14" t="s">
        <v>32</v>
      </c>
      <c r="E1650" s="14" t="str">
        <f>_xlfn.XLOOKUP($D1650,'Chart of Accounts'!$A:$A,'Chart of Accounts'!B:B,"")</f>
        <v>Rent</v>
      </c>
      <c r="F1650" s="14" t="str">
        <f>_xlfn.XLOOKUP($D1650,'Chart of Accounts'!$A:$A,'Chart of Accounts'!C:C,"")</f>
        <v>Expense</v>
      </c>
      <c r="G1650" s="14" t="s">
        <v>509</v>
      </c>
      <c r="H1650" s="16">
        <v>565.38461538461604</v>
      </c>
      <c r="I1650" s="16"/>
      <c r="J1650" s="16">
        <v>565.38461538461604</v>
      </c>
      <c r="K1650" s="14" t="s">
        <v>225</v>
      </c>
    </row>
    <row r="1651" spans="1:11" ht="15" customHeight="1">
      <c r="A1651" s="13">
        <v>45962</v>
      </c>
      <c r="B1651" s="14" t="s">
        <v>508</v>
      </c>
      <c r="C1651" s="19" t="s">
        <v>6</v>
      </c>
      <c r="D1651" s="14" t="s">
        <v>32</v>
      </c>
      <c r="E1651" s="14" t="str">
        <f>_xlfn.XLOOKUP($D1651,'Chart of Accounts'!$A:$A,'Chart of Accounts'!B:B,"")</f>
        <v>Rent</v>
      </c>
      <c r="F1651" s="14" t="str">
        <f>_xlfn.XLOOKUP($D1651,'Chart of Accounts'!$A:$A,'Chart of Accounts'!C:C,"")</f>
        <v>Expense</v>
      </c>
      <c r="G1651" s="14" t="s">
        <v>509</v>
      </c>
      <c r="H1651" s="16">
        <v>753.84615384615404</v>
      </c>
      <c r="I1651" s="16"/>
      <c r="J1651" s="16">
        <v>753.84615384615404</v>
      </c>
      <c r="K1651" s="14" t="s">
        <v>225</v>
      </c>
    </row>
    <row r="1652" spans="1:11" ht="15" customHeight="1">
      <c r="A1652" s="13">
        <v>45962</v>
      </c>
      <c r="B1652" s="14" t="s">
        <v>508</v>
      </c>
      <c r="C1652" s="19" t="s">
        <v>8</v>
      </c>
      <c r="D1652" s="14" t="s">
        <v>32</v>
      </c>
      <c r="E1652" s="14" t="str">
        <f>_xlfn.XLOOKUP($D1652,'Chart of Accounts'!$A:$A,'Chart of Accounts'!B:B,"")</f>
        <v>Rent</v>
      </c>
      <c r="F1652" s="14" t="str">
        <f>_xlfn.XLOOKUP($D1652,'Chart of Accounts'!$A:$A,'Chart of Accounts'!C:C,"")</f>
        <v>Expense</v>
      </c>
      <c r="G1652" s="14" t="s">
        <v>509</v>
      </c>
      <c r="H1652" s="16">
        <v>753.84615384615404</v>
      </c>
      <c r="I1652" s="16"/>
      <c r="J1652" s="16">
        <v>753.84615384615404</v>
      </c>
      <c r="K1652" s="14" t="s">
        <v>225</v>
      </c>
    </row>
    <row r="1653" spans="1:11" ht="15" customHeight="1">
      <c r="A1653" s="13">
        <v>45962</v>
      </c>
      <c r="B1653" s="14" t="s">
        <v>508</v>
      </c>
      <c r="C1653" s="19" t="s">
        <v>10</v>
      </c>
      <c r="D1653" s="14" t="s">
        <v>32</v>
      </c>
      <c r="E1653" s="14" t="str">
        <f>_xlfn.XLOOKUP($D1653,'Chart of Accounts'!$A:$A,'Chart of Accounts'!B:B,"")</f>
        <v>Rent</v>
      </c>
      <c r="F1653" s="14" t="str">
        <f>_xlfn.XLOOKUP($D1653,'Chart of Accounts'!$A:$A,'Chart of Accounts'!C:C,"")</f>
        <v>Expense</v>
      </c>
      <c r="G1653" s="14" t="s">
        <v>509</v>
      </c>
      <c r="H1653" s="16">
        <v>753.84615384615404</v>
      </c>
      <c r="I1653" s="16"/>
      <c r="J1653" s="16">
        <v>753.84615384615404</v>
      </c>
      <c r="K1653" s="14" t="s">
        <v>225</v>
      </c>
    </row>
    <row r="1654" spans="1:11" ht="15" customHeight="1">
      <c r="A1654" s="13">
        <v>45962</v>
      </c>
      <c r="B1654" s="14" t="s">
        <v>508</v>
      </c>
      <c r="C1654" s="19" t="s">
        <v>12</v>
      </c>
      <c r="D1654" s="14" t="s">
        <v>32</v>
      </c>
      <c r="E1654" s="14" t="str">
        <f>_xlfn.XLOOKUP($D1654,'Chart of Accounts'!$A:$A,'Chart of Accounts'!B:B,"")</f>
        <v>Rent</v>
      </c>
      <c r="F1654" s="14" t="str">
        <f>_xlfn.XLOOKUP($D1654,'Chart of Accounts'!$A:$A,'Chart of Accounts'!C:C,"")</f>
        <v>Expense</v>
      </c>
      <c r="G1654" s="14" t="s">
        <v>509</v>
      </c>
      <c r="H1654" s="16">
        <v>1319.23076923077</v>
      </c>
      <c r="I1654" s="16"/>
      <c r="J1654" s="16">
        <v>1319.23076923077</v>
      </c>
      <c r="K1654" s="14" t="s">
        <v>225</v>
      </c>
    </row>
    <row r="1655" spans="1:11" ht="15" customHeight="1">
      <c r="A1655" s="13">
        <v>45962</v>
      </c>
      <c r="B1655" s="14" t="s">
        <v>508</v>
      </c>
      <c r="C1655" s="19" t="s">
        <v>14</v>
      </c>
      <c r="D1655" s="14" t="s">
        <v>32</v>
      </c>
      <c r="E1655" s="14" t="str">
        <f>_xlfn.XLOOKUP($D1655,'Chart of Accounts'!$A:$A,'Chart of Accounts'!B:B,"")</f>
        <v>Rent</v>
      </c>
      <c r="F1655" s="14" t="str">
        <f>_xlfn.XLOOKUP($D1655,'Chart of Accounts'!$A:$A,'Chart of Accounts'!C:C,"")</f>
        <v>Expense</v>
      </c>
      <c r="G1655" s="14" t="s">
        <v>509</v>
      </c>
      <c r="H1655" s="16">
        <v>1507.6923076923099</v>
      </c>
      <c r="I1655" s="16"/>
      <c r="J1655" s="16">
        <v>1507.6923076923099</v>
      </c>
      <c r="K1655" s="14" t="s">
        <v>225</v>
      </c>
    </row>
    <row r="1656" spans="1:11" ht="15" customHeight="1">
      <c r="A1656" s="13">
        <v>45962</v>
      </c>
      <c r="B1656" s="14" t="s">
        <v>508</v>
      </c>
      <c r="C1656" s="19" t="s">
        <v>16</v>
      </c>
      <c r="D1656" s="14" t="s">
        <v>32</v>
      </c>
      <c r="E1656" s="14" t="str">
        <f>_xlfn.XLOOKUP($D1656,'Chart of Accounts'!$A:$A,'Chart of Accounts'!B:B,"")</f>
        <v>Rent</v>
      </c>
      <c r="F1656" s="14" t="str">
        <f>_xlfn.XLOOKUP($D1656,'Chart of Accounts'!$A:$A,'Chart of Accounts'!C:C,"")</f>
        <v>Expense</v>
      </c>
      <c r="G1656" s="14" t="s">
        <v>509</v>
      </c>
      <c r="H1656" s="16">
        <v>1130.76923076923</v>
      </c>
      <c r="I1656" s="16"/>
      <c r="J1656" s="16">
        <v>1130.76923076923</v>
      </c>
      <c r="K1656" s="14" t="s">
        <v>225</v>
      </c>
    </row>
    <row r="1657" spans="1:11" ht="15" customHeight="1">
      <c r="A1657" s="13">
        <v>45962</v>
      </c>
      <c r="B1657" s="14" t="s">
        <v>508</v>
      </c>
      <c r="C1657" s="19" t="s">
        <v>18</v>
      </c>
      <c r="D1657" s="14" t="s">
        <v>32</v>
      </c>
      <c r="E1657" s="14" t="str">
        <f>_xlfn.XLOOKUP($D1657,'Chart of Accounts'!$A:$A,'Chart of Accounts'!B:B,"")</f>
        <v>Rent</v>
      </c>
      <c r="F1657" s="14" t="str">
        <f>_xlfn.XLOOKUP($D1657,'Chart of Accounts'!$A:$A,'Chart of Accounts'!C:C,"")</f>
        <v>Expense</v>
      </c>
      <c r="G1657" s="14" t="s">
        <v>509</v>
      </c>
      <c r="H1657" s="16">
        <v>1507.6923076923099</v>
      </c>
      <c r="I1657" s="16"/>
      <c r="J1657" s="16">
        <v>1507.6923076923099</v>
      </c>
      <c r="K1657" s="14" t="s">
        <v>225</v>
      </c>
    </row>
    <row r="1658" spans="1:11" ht="15" customHeight="1">
      <c r="A1658" s="13">
        <v>45962</v>
      </c>
      <c r="B1658" s="14" t="s">
        <v>508</v>
      </c>
      <c r="C1658" s="19" t="s">
        <v>20</v>
      </c>
      <c r="D1658" s="14" t="s">
        <v>32</v>
      </c>
      <c r="E1658" s="14" t="str">
        <f>_xlfn.XLOOKUP($D1658,'Chart of Accounts'!$A:$A,'Chart of Accounts'!B:B,"")</f>
        <v>Rent</v>
      </c>
      <c r="F1658" s="14" t="str">
        <f>_xlfn.XLOOKUP($D1658,'Chart of Accounts'!$A:$A,'Chart of Accounts'!C:C,"")</f>
        <v>Expense</v>
      </c>
      <c r="G1658" s="14" t="s">
        <v>509</v>
      </c>
      <c r="H1658" s="16">
        <v>1507.6923076923099</v>
      </c>
      <c r="I1658" s="16"/>
      <c r="J1658" s="16">
        <v>1507.6923076923099</v>
      </c>
      <c r="K1658" s="14" t="s">
        <v>225</v>
      </c>
    </row>
    <row r="1659" spans="1:11" ht="15" customHeight="1">
      <c r="A1659" s="13">
        <v>45992</v>
      </c>
      <c r="B1659" s="14" t="s">
        <v>508</v>
      </c>
      <c r="C1659" s="19" t="s">
        <v>4</v>
      </c>
      <c r="D1659" s="14" t="s">
        <v>32</v>
      </c>
      <c r="E1659" s="14" t="str">
        <f>_xlfn.XLOOKUP($D1659,'Chart of Accounts'!$A:$A,'Chart of Accounts'!B:B,"")</f>
        <v>Rent</v>
      </c>
      <c r="F1659" s="14" t="str">
        <f>_xlfn.XLOOKUP($D1659,'Chart of Accounts'!$A:$A,'Chart of Accounts'!C:C,"")</f>
        <v>Expense</v>
      </c>
      <c r="G1659" s="14" t="s">
        <v>509</v>
      </c>
      <c r="H1659" s="16">
        <v>565.38461538461604</v>
      </c>
      <c r="I1659" s="16"/>
      <c r="J1659" s="16">
        <v>565.38461538461604</v>
      </c>
      <c r="K1659" s="14" t="s">
        <v>225</v>
      </c>
    </row>
    <row r="1660" spans="1:11" ht="15" customHeight="1">
      <c r="A1660" s="13">
        <v>45992</v>
      </c>
      <c r="B1660" s="14" t="s">
        <v>508</v>
      </c>
      <c r="C1660" s="19" t="s">
        <v>6</v>
      </c>
      <c r="D1660" s="14" t="s">
        <v>32</v>
      </c>
      <c r="E1660" s="14" t="str">
        <f>_xlfn.XLOOKUP($D1660,'Chart of Accounts'!$A:$A,'Chart of Accounts'!B:B,"")</f>
        <v>Rent</v>
      </c>
      <c r="F1660" s="14" t="str">
        <f>_xlfn.XLOOKUP($D1660,'Chart of Accounts'!$A:$A,'Chart of Accounts'!C:C,"")</f>
        <v>Expense</v>
      </c>
      <c r="G1660" s="14" t="s">
        <v>509</v>
      </c>
      <c r="H1660" s="16">
        <v>753.84615384615404</v>
      </c>
      <c r="I1660" s="16"/>
      <c r="J1660" s="16">
        <v>753.84615384615404</v>
      </c>
      <c r="K1660" s="14" t="s">
        <v>225</v>
      </c>
    </row>
    <row r="1661" spans="1:11" ht="15" customHeight="1">
      <c r="A1661" s="13">
        <v>45992</v>
      </c>
      <c r="B1661" s="14" t="s">
        <v>508</v>
      </c>
      <c r="C1661" s="19" t="s">
        <v>8</v>
      </c>
      <c r="D1661" s="14" t="s">
        <v>32</v>
      </c>
      <c r="E1661" s="14" t="str">
        <f>_xlfn.XLOOKUP($D1661,'Chart of Accounts'!$A:$A,'Chart of Accounts'!B:B,"")</f>
        <v>Rent</v>
      </c>
      <c r="F1661" s="14" t="str">
        <f>_xlfn.XLOOKUP($D1661,'Chart of Accounts'!$A:$A,'Chart of Accounts'!C:C,"")</f>
        <v>Expense</v>
      </c>
      <c r="G1661" s="14" t="s">
        <v>509</v>
      </c>
      <c r="H1661" s="16">
        <v>753.84615384615404</v>
      </c>
      <c r="I1661" s="16"/>
      <c r="J1661" s="16">
        <v>753.84615384615404</v>
      </c>
      <c r="K1661" s="14" t="s">
        <v>225</v>
      </c>
    </row>
    <row r="1662" spans="1:11" ht="15" customHeight="1">
      <c r="A1662" s="13">
        <v>45992</v>
      </c>
      <c r="B1662" s="14" t="s">
        <v>508</v>
      </c>
      <c r="C1662" s="19" t="s">
        <v>10</v>
      </c>
      <c r="D1662" s="14" t="s">
        <v>32</v>
      </c>
      <c r="E1662" s="14" t="str">
        <f>_xlfn.XLOOKUP($D1662,'Chart of Accounts'!$A:$A,'Chart of Accounts'!B:B,"")</f>
        <v>Rent</v>
      </c>
      <c r="F1662" s="14" t="str">
        <f>_xlfn.XLOOKUP($D1662,'Chart of Accounts'!$A:$A,'Chart of Accounts'!C:C,"")</f>
        <v>Expense</v>
      </c>
      <c r="G1662" s="14" t="s">
        <v>509</v>
      </c>
      <c r="H1662" s="16">
        <v>753.84615384615404</v>
      </c>
      <c r="I1662" s="16"/>
      <c r="J1662" s="16">
        <v>753.84615384615404</v>
      </c>
      <c r="K1662" s="14" t="s">
        <v>225</v>
      </c>
    </row>
    <row r="1663" spans="1:11" ht="15" customHeight="1">
      <c r="A1663" s="13">
        <v>45992</v>
      </c>
      <c r="B1663" s="14" t="s">
        <v>508</v>
      </c>
      <c r="C1663" s="19" t="s">
        <v>12</v>
      </c>
      <c r="D1663" s="14" t="s">
        <v>32</v>
      </c>
      <c r="E1663" s="14" t="str">
        <f>_xlfn.XLOOKUP($D1663,'Chart of Accounts'!$A:$A,'Chart of Accounts'!B:B,"")</f>
        <v>Rent</v>
      </c>
      <c r="F1663" s="14" t="str">
        <f>_xlfn.XLOOKUP($D1663,'Chart of Accounts'!$A:$A,'Chart of Accounts'!C:C,"")</f>
        <v>Expense</v>
      </c>
      <c r="G1663" s="14" t="s">
        <v>509</v>
      </c>
      <c r="H1663" s="16">
        <v>1319.23076923077</v>
      </c>
      <c r="I1663" s="16"/>
      <c r="J1663" s="16">
        <v>1319.23076923077</v>
      </c>
      <c r="K1663" s="14" t="s">
        <v>225</v>
      </c>
    </row>
    <row r="1664" spans="1:11" ht="15" customHeight="1">
      <c r="A1664" s="13">
        <v>45992</v>
      </c>
      <c r="B1664" s="14" t="s">
        <v>508</v>
      </c>
      <c r="C1664" s="19" t="s">
        <v>14</v>
      </c>
      <c r="D1664" s="14" t="s">
        <v>32</v>
      </c>
      <c r="E1664" s="14" t="str">
        <f>_xlfn.XLOOKUP($D1664,'Chart of Accounts'!$A:$A,'Chart of Accounts'!B:B,"")</f>
        <v>Rent</v>
      </c>
      <c r="F1664" s="14" t="str">
        <f>_xlfn.XLOOKUP($D1664,'Chart of Accounts'!$A:$A,'Chart of Accounts'!C:C,"")</f>
        <v>Expense</v>
      </c>
      <c r="G1664" s="14" t="s">
        <v>509</v>
      </c>
      <c r="H1664" s="16">
        <v>1507.6923076923099</v>
      </c>
      <c r="I1664" s="16"/>
      <c r="J1664" s="16">
        <v>1507.6923076923099</v>
      </c>
      <c r="K1664" s="14" t="s">
        <v>225</v>
      </c>
    </row>
    <row r="1665" spans="1:11" ht="15" customHeight="1">
      <c r="A1665" s="13">
        <v>45992</v>
      </c>
      <c r="B1665" s="14" t="s">
        <v>508</v>
      </c>
      <c r="C1665" s="19" t="s">
        <v>16</v>
      </c>
      <c r="D1665" s="14" t="s">
        <v>32</v>
      </c>
      <c r="E1665" s="14" t="str">
        <f>_xlfn.XLOOKUP($D1665,'Chart of Accounts'!$A:$A,'Chart of Accounts'!B:B,"")</f>
        <v>Rent</v>
      </c>
      <c r="F1665" s="14" t="str">
        <f>_xlfn.XLOOKUP($D1665,'Chart of Accounts'!$A:$A,'Chart of Accounts'!C:C,"")</f>
        <v>Expense</v>
      </c>
      <c r="G1665" s="14" t="s">
        <v>509</v>
      </c>
      <c r="H1665" s="16">
        <v>1130.76923076923</v>
      </c>
      <c r="I1665" s="16"/>
      <c r="J1665" s="16">
        <v>1130.76923076923</v>
      </c>
      <c r="K1665" s="14" t="s">
        <v>225</v>
      </c>
    </row>
    <row r="1666" spans="1:11" ht="15" customHeight="1">
      <c r="A1666" s="13">
        <v>45992</v>
      </c>
      <c r="B1666" s="14" t="s">
        <v>508</v>
      </c>
      <c r="C1666" s="19" t="s">
        <v>18</v>
      </c>
      <c r="D1666" s="14" t="s">
        <v>32</v>
      </c>
      <c r="E1666" s="14" t="str">
        <f>_xlfn.XLOOKUP($D1666,'Chart of Accounts'!$A:$A,'Chart of Accounts'!B:B,"")</f>
        <v>Rent</v>
      </c>
      <c r="F1666" s="14" t="str">
        <f>_xlfn.XLOOKUP($D1666,'Chart of Accounts'!$A:$A,'Chart of Accounts'!C:C,"")</f>
        <v>Expense</v>
      </c>
      <c r="G1666" s="14" t="s">
        <v>509</v>
      </c>
      <c r="H1666" s="16">
        <v>1507.6923076923099</v>
      </c>
      <c r="I1666" s="16"/>
      <c r="J1666" s="16">
        <v>1507.6923076923099</v>
      </c>
      <c r="K1666" s="14" t="s">
        <v>225</v>
      </c>
    </row>
    <row r="1667" spans="1:11" ht="15" customHeight="1">
      <c r="A1667" s="13">
        <v>45992</v>
      </c>
      <c r="B1667" s="14" t="s">
        <v>508</v>
      </c>
      <c r="C1667" s="19" t="s">
        <v>20</v>
      </c>
      <c r="D1667" s="14" t="s">
        <v>32</v>
      </c>
      <c r="E1667" s="14" t="str">
        <f>_xlfn.XLOOKUP($D1667,'Chart of Accounts'!$A:$A,'Chart of Accounts'!B:B,"")</f>
        <v>Rent</v>
      </c>
      <c r="F1667" s="14" t="str">
        <f>_xlfn.XLOOKUP($D1667,'Chart of Accounts'!$A:$A,'Chart of Accounts'!C:C,"")</f>
        <v>Expense</v>
      </c>
      <c r="G1667" s="14" t="s">
        <v>509</v>
      </c>
      <c r="H1667" s="16">
        <v>1507.6923076923099</v>
      </c>
      <c r="I1667" s="16"/>
      <c r="J1667" s="16">
        <v>1507.6923076923099</v>
      </c>
      <c r="K1667" s="14" t="s">
        <v>225</v>
      </c>
    </row>
    <row r="1668" spans="1:11" ht="15" customHeight="1">
      <c r="A1668" s="13">
        <v>46023</v>
      </c>
      <c r="B1668" s="14" t="s">
        <v>508</v>
      </c>
      <c r="C1668" s="19" t="s">
        <v>4</v>
      </c>
      <c r="D1668" s="14" t="s">
        <v>32</v>
      </c>
      <c r="E1668" s="14" t="str">
        <f>_xlfn.XLOOKUP($D1668,'Chart of Accounts'!$A:$A,'Chart of Accounts'!B:B,"")</f>
        <v>Rent</v>
      </c>
      <c r="F1668" s="14" t="str">
        <f>_xlfn.XLOOKUP($D1668,'Chart of Accounts'!$A:$A,'Chart of Accounts'!C:C,"")</f>
        <v>Expense</v>
      </c>
      <c r="G1668" s="14" t="s">
        <v>509</v>
      </c>
      <c r="H1668" s="16">
        <v>588</v>
      </c>
      <c r="I1668" s="16"/>
      <c r="J1668" s="16">
        <v>588</v>
      </c>
      <c r="K1668" s="14" t="s">
        <v>225</v>
      </c>
    </row>
    <row r="1669" spans="1:11" ht="15" customHeight="1">
      <c r="A1669" s="13">
        <v>46023</v>
      </c>
      <c r="B1669" s="14" t="s">
        <v>508</v>
      </c>
      <c r="C1669" s="19" t="s">
        <v>6</v>
      </c>
      <c r="D1669" s="14" t="s">
        <v>32</v>
      </c>
      <c r="E1669" s="14" t="str">
        <f>_xlfn.XLOOKUP($D1669,'Chart of Accounts'!$A:$A,'Chart of Accounts'!B:B,"")</f>
        <v>Rent</v>
      </c>
      <c r="F1669" s="14" t="str">
        <f>_xlfn.XLOOKUP($D1669,'Chart of Accounts'!$A:$A,'Chart of Accounts'!C:C,"")</f>
        <v>Expense</v>
      </c>
      <c r="G1669" s="14" t="s">
        <v>509</v>
      </c>
      <c r="H1669" s="16">
        <v>784</v>
      </c>
      <c r="I1669" s="16"/>
      <c r="J1669" s="16">
        <v>784</v>
      </c>
      <c r="K1669" s="14" t="s">
        <v>225</v>
      </c>
    </row>
    <row r="1670" spans="1:11" ht="15" customHeight="1">
      <c r="A1670" s="13">
        <v>46023</v>
      </c>
      <c r="B1670" s="14" t="s">
        <v>508</v>
      </c>
      <c r="C1670" s="19" t="s">
        <v>8</v>
      </c>
      <c r="D1670" s="14" t="s">
        <v>32</v>
      </c>
      <c r="E1670" s="14" t="str">
        <f>_xlfn.XLOOKUP($D1670,'Chart of Accounts'!$A:$A,'Chart of Accounts'!B:B,"")</f>
        <v>Rent</v>
      </c>
      <c r="F1670" s="14" t="str">
        <f>_xlfn.XLOOKUP($D1670,'Chart of Accounts'!$A:$A,'Chart of Accounts'!C:C,"")</f>
        <v>Expense</v>
      </c>
      <c r="G1670" s="14" t="s">
        <v>509</v>
      </c>
      <c r="H1670" s="16">
        <v>784</v>
      </c>
      <c r="I1670" s="16"/>
      <c r="J1670" s="16">
        <v>784</v>
      </c>
      <c r="K1670" s="14" t="s">
        <v>225</v>
      </c>
    </row>
    <row r="1671" spans="1:11" ht="15" customHeight="1">
      <c r="A1671" s="13">
        <v>46023</v>
      </c>
      <c r="B1671" s="14" t="s">
        <v>508</v>
      </c>
      <c r="C1671" s="19" t="s">
        <v>10</v>
      </c>
      <c r="D1671" s="14" t="s">
        <v>32</v>
      </c>
      <c r="E1671" s="14" t="str">
        <f>_xlfn.XLOOKUP($D1671,'Chart of Accounts'!$A:$A,'Chart of Accounts'!B:B,"")</f>
        <v>Rent</v>
      </c>
      <c r="F1671" s="14" t="str">
        <f>_xlfn.XLOOKUP($D1671,'Chart of Accounts'!$A:$A,'Chart of Accounts'!C:C,"")</f>
        <v>Expense</v>
      </c>
      <c r="G1671" s="14" t="s">
        <v>509</v>
      </c>
      <c r="H1671" s="16">
        <v>784</v>
      </c>
      <c r="I1671" s="16"/>
      <c r="J1671" s="16">
        <v>784</v>
      </c>
      <c r="K1671" s="14" t="s">
        <v>225</v>
      </c>
    </row>
    <row r="1672" spans="1:11" ht="15" customHeight="1">
      <c r="A1672" s="13">
        <v>46023</v>
      </c>
      <c r="B1672" s="14" t="s">
        <v>508</v>
      </c>
      <c r="C1672" s="19" t="s">
        <v>12</v>
      </c>
      <c r="D1672" s="14" t="s">
        <v>32</v>
      </c>
      <c r="E1672" s="14" t="str">
        <f>_xlfn.XLOOKUP($D1672,'Chart of Accounts'!$A:$A,'Chart of Accounts'!B:B,"")</f>
        <v>Rent</v>
      </c>
      <c r="F1672" s="14" t="str">
        <f>_xlfn.XLOOKUP($D1672,'Chart of Accounts'!$A:$A,'Chart of Accounts'!C:C,"")</f>
        <v>Expense</v>
      </c>
      <c r="G1672" s="14" t="s">
        <v>509</v>
      </c>
      <c r="H1672" s="16">
        <v>1372</v>
      </c>
      <c r="I1672" s="16"/>
      <c r="J1672" s="16">
        <v>1372</v>
      </c>
      <c r="K1672" s="14" t="s">
        <v>225</v>
      </c>
    </row>
    <row r="1673" spans="1:11" ht="15" customHeight="1">
      <c r="A1673" s="13">
        <v>46023</v>
      </c>
      <c r="B1673" s="14" t="s">
        <v>508</v>
      </c>
      <c r="C1673" s="19" t="s">
        <v>14</v>
      </c>
      <c r="D1673" s="14" t="s">
        <v>32</v>
      </c>
      <c r="E1673" s="14" t="str">
        <f>_xlfn.XLOOKUP($D1673,'Chart of Accounts'!$A:$A,'Chart of Accounts'!B:B,"")</f>
        <v>Rent</v>
      </c>
      <c r="F1673" s="14" t="str">
        <f>_xlfn.XLOOKUP($D1673,'Chart of Accounts'!$A:$A,'Chart of Accounts'!C:C,"")</f>
        <v>Expense</v>
      </c>
      <c r="G1673" s="14" t="s">
        <v>509</v>
      </c>
      <c r="H1673" s="16">
        <v>1568</v>
      </c>
      <c r="I1673" s="16"/>
      <c r="J1673" s="16">
        <v>1568</v>
      </c>
      <c r="K1673" s="14" t="s">
        <v>225</v>
      </c>
    </row>
    <row r="1674" spans="1:11" ht="15" customHeight="1">
      <c r="A1674" s="13">
        <v>46023</v>
      </c>
      <c r="B1674" s="14" t="s">
        <v>508</v>
      </c>
      <c r="C1674" s="19" t="s">
        <v>16</v>
      </c>
      <c r="D1674" s="14" t="s">
        <v>32</v>
      </c>
      <c r="E1674" s="14" t="str">
        <f>_xlfn.XLOOKUP($D1674,'Chart of Accounts'!$A:$A,'Chart of Accounts'!B:B,"")</f>
        <v>Rent</v>
      </c>
      <c r="F1674" s="14" t="str">
        <f>_xlfn.XLOOKUP($D1674,'Chart of Accounts'!$A:$A,'Chart of Accounts'!C:C,"")</f>
        <v>Expense</v>
      </c>
      <c r="G1674" s="14" t="s">
        <v>509</v>
      </c>
      <c r="H1674" s="16">
        <v>1176</v>
      </c>
      <c r="I1674" s="16"/>
      <c r="J1674" s="16">
        <v>1176</v>
      </c>
      <c r="K1674" s="14" t="s">
        <v>225</v>
      </c>
    </row>
    <row r="1675" spans="1:11" ht="15" customHeight="1">
      <c r="A1675" s="13">
        <v>46023</v>
      </c>
      <c r="B1675" s="14" t="s">
        <v>508</v>
      </c>
      <c r="C1675" s="19" t="s">
        <v>18</v>
      </c>
      <c r="D1675" s="14" t="s">
        <v>32</v>
      </c>
      <c r="E1675" s="14" t="str">
        <f>_xlfn.XLOOKUP($D1675,'Chart of Accounts'!$A:$A,'Chart of Accounts'!B:B,"")</f>
        <v>Rent</v>
      </c>
      <c r="F1675" s="14" t="str">
        <f>_xlfn.XLOOKUP($D1675,'Chart of Accounts'!$A:$A,'Chart of Accounts'!C:C,"")</f>
        <v>Expense</v>
      </c>
      <c r="G1675" s="14" t="s">
        <v>509</v>
      </c>
      <c r="H1675" s="16">
        <v>1176</v>
      </c>
      <c r="I1675" s="16"/>
      <c r="J1675" s="16">
        <v>1176</v>
      </c>
      <c r="K1675" s="14" t="s">
        <v>225</v>
      </c>
    </row>
    <row r="1676" spans="1:11" ht="15" customHeight="1">
      <c r="A1676" s="13">
        <v>46023</v>
      </c>
      <c r="B1676" s="14" t="s">
        <v>508</v>
      </c>
      <c r="C1676" s="19" t="s">
        <v>20</v>
      </c>
      <c r="D1676" s="14" t="s">
        <v>32</v>
      </c>
      <c r="E1676" s="14" t="str">
        <f>_xlfn.XLOOKUP($D1676,'Chart of Accounts'!$A:$A,'Chart of Accounts'!B:B,"")</f>
        <v>Rent</v>
      </c>
      <c r="F1676" s="14" t="str">
        <f>_xlfn.XLOOKUP($D1676,'Chart of Accounts'!$A:$A,'Chart of Accounts'!C:C,"")</f>
        <v>Expense</v>
      </c>
      <c r="G1676" s="14" t="s">
        <v>509</v>
      </c>
      <c r="H1676" s="16">
        <v>1568</v>
      </c>
      <c r="I1676" s="16"/>
      <c r="J1676" s="16">
        <v>1568</v>
      </c>
      <c r="K1676" s="14" t="s">
        <v>225</v>
      </c>
    </row>
    <row r="1677" spans="1:11" ht="15" customHeight="1">
      <c r="A1677" s="13">
        <v>46054</v>
      </c>
      <c r="B1677" s="14" t="s">
        <v>508</v>
      </c>
      <c r="C1677" s="19" t="s">
        <v>4</v>
      </c>
      <c r="D1677" s="14" t="s">
        <v>32</v>
      </c>
      <c r="E1677" s="14" t="str">
        <f>_xlfn.XLOOKUP($D1677,'Chart of Accounts'!$A:$A,'Chart of Accounts'!B:B,"")</f>
        <v>Rent</v>
      </c>
      <c r="F1677" s="14" t="str">
        <f>_xlfn.XLOOKUP($D1677,'Chart of Accounts'!$A:$A,'Chart of Accounts'!C:C,"")</f>
        <v>Expense</v>
      </c>
      <c r="G1677" s="14" t="s">
        <v>509</v>
      </c>
      <c r="H1677" s="16">
        <v>565.38461538461604</v>
      </c>
      <c r="I1677" s="16"/>
      <c r="J1677" s="16">
        <v>565.38461538461604</v>
      </c>
      <c r="K1677" s="14" t="s">
        <v>225</v>
      </c>
    </row>
    <row r="1678" spans="1:11" ht="15" customHeight="1">
      <c r="A1678" s="13">
        <v>46054</v>
      </c>
      <c r="B1678" s="14" t="s">
        <v>508</v>
      </c>
      <c r="C1678" s="19" t="s">
        <v>6</v>
      </c>
      <c r="D1678" s="14" t="s">
        <v>32</v>
      </c>
      <c r="E1678" s="14" t="str">
        <f>_xlfn.XLOOKUP($D1678,'Chart of Accounts'!$A:$A,'Chart of Accounts'!B:B,"")</f>
        <v>Rent</v>
      </c>
      <c r="F1678" s="14" t="str">
        <f>_xlfn.XLOOKUP($D1678,'Chart of Accounts'!$A:$A,'Chart of Accounts'!C:C,"")</f>
        <v>Expense</v>
      </c>
      <c r="G1678" s="14" t="s">
        <v>509</v>
      </c>
      <c r="H1678" s="16">
        <v>753.84615384615404</v>
      </c>
      <c r="I1678" s="16"/>
      <c r="J1678" s="16">
        <v>753.84615384615404</v>
      </c>
      <c r="K1678" s="14" t="s">
        <v>225</v>
      </c>
    </row>
    <row r="1679" spans="1:11" ht="15" customHeight="1">
      <c r="A1679" s="13">
        <v>46054</v>
      </c>
      <c r="B1679" s="14" t="s">
        <v>508</v>
      </c>
      <c r="C1679" s="19" t="s">
        <v>8</v>
      </c>
      <c r="D1679" s="14" t="s">
        <v>32</v>
      </c>
      <c r="E1679" s="14" t="str">
        <f>_xlfn.XLOOKUP($D1679,'Chart of Accounts'!$A:$A,'Chart of Accounts'!B:B,"")</f>
        <v>Rent</v>
      </c>
      <c r="F1679" s="14" t="str">
        <f>_xlfn.XLOOKUP($D1679,'Chart of Accounts'!$A:$A,'Chart of Accounts'!C:C,"")</f>
        <v>Expense</v>
      </c>
      <c r="G1679" s="14" t="s">
        <v>509</v>
      </c>
      <c r="H1679" s="16">
        <v>753.84615384615404</v>
      </c>
      <c r="I1679" s="16"/>
      <c r="J1679" s="16">
        <v>753.84615384615404</v>
      </c>
      <c r="K1679" s="14" t="s">
        <v>225</v>
      </c>
    </row>
    <row r="1680" spans="1:11" ht="15" customHeight="1">
      <c r="A1680" s="13">
        <v>46054</v>
      </c>
      <c r="B1680" s="14" t="s">
        <v>508</v>
      </c>
      <c r="C1680" s="19" t="s">
        <v>10</v>
      </c>
      <c r="D1680" s="14" t="s">
        <v>32</v>
      </c>
      <c r="E1680" s="14" t="str">
        <f>_xlfn.XLOOKUP($D1680,'Chart of Accounts'!$A:$A,'Chart of Accounts'!B:B,"")</f>
        <v>Rent</v>
      </c>
      <c r="F1680" s="14" t="str">
        <f>_xlfn.XLOOKUP($D1680,'Chart of Accounts'!$A:$A,'Chart of Accounts'!C:C,"")</f>
        <v>Expense</v>
      </c>
      <c r="G1680" s="14" t="s">
        <v>509</v>
      </c>
      <c r="H1680" s="16">
        <v>753.84615384615404</v>
      </c>
      <c r="I1680" s="16"/>
      <c r="J1680" s="16">
        <v>753.84615384615404</v>
      </c>
      <c r="K1680" s="14" t="s">
        <v>225</v>
      </c>
    </row>
    <row r="1681" spans="1:11" ht="15" customHeight="1">
      <c r="A1681" s="13">
        <v>46054</v>
      </c>
      <c r="B1681" s="14" t="s">
        <v>508</v>
      </c>
      <c r="C1681" s="19" t="s">
        <v>12</v>
      </c>
      <c r="D1681" s="14" t="s">
        <v>32</v>
      </c>
      <c r="E1681" s="14" t="str">
        <f>_xlfn.XLOOKUP($D1681,'Chart of Accounts'!$A:$A,'Chart of Accounts'!B:B,"")</f>
        <v>Rent</v>
      </c>
      <c r="F1681" s="14" t="str">
        <f>_xlfn.XLOOKUP($D1681,'Chart of Accounts'!$A:$A,'Chart of Accounts'!C:C,"")</f>
        <v>Expense</v>
      </c>
      <c r="G1681" s="14" t="s">
        <v>509</v>
      </c>
      <c r="H1681" s="16">
        <v>1319.23076923077</v>
      </c>
      <c r="I1681" s="16"/>
      <c r="J1681" s="16">
        <v>1319.23076923077</v>
      </c>
      <c r="K1681" s="14" t="s">
        <v>225</v>
      </c>
    </row>
    <row r="1682" spans="1:11" ht="15" customHeight="1">
      <c r="A1682" s="13">
        <v>46054</v>
      </c>
      <c r="B1682" s="14" t="s">
        <v>508</v>
      </c>
      <c r="C1682" s="19" t="s">
        <v>14</v>
      </c>
      <c r="D1682" s="14" t="s">
        <v>32</v>
      </c>
      <c r="E1682" s="14" t="str">
        <f>_xlfn.XLOOKUP($D1682,'Chart of Accounts'!$A:$A,'Chart of Accounts'!B:B,"")</f>
        <v>Rent</v>
      </c>
      <c r="F1682" s="14" t="str">
        <f>_xlfn.XLOOKUP($D1682,'Chart of Accounts'!$A:$A,'Chart of Accounts'!C:C,"")</f>
        <v>Expense</v>
      </c>
      <c r="G1682" s="14" t="s">
        <v>509</v>
      </c>
      <c r="H1682" s="16">
        <v>1507.6923076923099</v>
      </c>
      <c r="I1682" s="16"/>
      <c r="J1682" s="16">
        <v>1507.6923076923099</v>
      </c>
      <c r="K1682" s="14" t="s">
        <v>225</v>
      </c>
    </row>
    <row r="1683" spans="1:11" ht="15" customHeight="1">
      <c r="A1683" s="13">
        <v>46054</v>
      </c>
      <c r="B1683" s="14" t="s">
        <v>508</v>
      </c>
      <c r="C1683" s="19" t="s">
        <v>16</v>
      </c>
      <c r="D1683" s="14" t="s">
        <v>32</v>
      </c>
      <c r="E1683" s="14" t="str">
        <f>_xlfn.XLOOKUP($D1683,'Chart of Accounts'!$A:$A,'Chart of Accounts'!B:B,"")</f>
        <v>Rent</v>
      </c>
      <c r="F1683" s="14" t="str">
        <f>_xlfn.XLOOKUP($D1683,'Chart of Accounts'!$A:$A,'Chart of Accounts'!C:C,"")</f>
        <v>Expense</v>
      </c>
      <c r="G1683" s="14" t="s">
        <v>509</v>
      </c>
      <c r="H1683" s="16">
        <v>1130.76923076923</v>
      </c>
      <c r="I1683" s="16"/>
      <c r="J1683" s="16">
        <v>1130.76923076923</v>
      </c>
      <c r="K1683" s="14" t="s">
        <v>225</v>
      </c>
    </row>
    <row r="1684" spans="1:11" ht="15" customHeight="1">
      <c r="A1684" s="13">
        <v>46054</v>
      </c>
      <c r="B1684" s="14" t="s">
        <v>508</v>
      </c>
      <c r="C1684" s="19" t="s">
        <v>18</v>
      </c>
      <c r="D1684" s="14" t="s">
        <v>32</v>
      </c>
      <c r="E1684" s="14" t="str">
        <f>_xlfn.XLOOKUP($D1684,'Chart of Accounts'!$A:$A,'Chart of Accounts'!B:B,"")</f>
        <v>Rent</v>
      </c>
      <c r="F1684" s="14" t="str">
        <f>_xlfn.XLOOKUP($D1684,'Chart of Accounts'!$A:$A,'Chart of Accounts'!C:C,"")</f>
        <v>Expense</v>
      </c>
      <c r="G1684" s="14" t="s">
        <v>509</v>
      </c>
      <c r="H1684" s="16">
        <v>1507.6923076923099</v>
      </c>
      <c r="I1684" s="16"/>
      <c r="J1684" s="16">
        <v>1507.6923076923099</v>
      </c>
      <c r="K1684" s="14" t="s">
        <v>225</v>
      </c>
    </row>
    <row r="1685" spans="1:11" ht="15" customHeight="1">
      <c r="A1685" s="13">
        <v>46054</v>
      </c>
      <c r="B1685" s="14" t="s">
        <v>508</v>
      </c>
      <c r="C1685" s="19" t="s">
        <v>20</v>
      </c>
      <c r="D1685" s="14" t="s">
        <v>32</v>
      </c>
      <c r="E1685" s="14" t="str">
        <f>_xlfn.XLOOKUP($D1685,'Chart of Accounts'!$A:$A,'Chart of Accounts'!B:B,"")</f>
        <v>Rent</v>
      </c>
      <c r="F1685" s="14" t="str">
        <f>_xlfn.XLOOKUP($D1685,'Chart of Accounts'!$A:$A,'Chart of Accounts'!C:C,"")</f>
        <v>Expense</v>
      </c>
      <c r="G1685" s="14" t="s">
        <v>509</v>
      </c>
      <c r="H1685" s="16">
        <v>1507.6923076923099</v>
      </c>
      <c r="I1685" s="16"/>
      <c r="J1685" s="16">
        <v>1507.6923076923099</v>
      </c>
      <c r="K1685" s="14" t="s">
        <v>225</v>
      </c>
    </row>
    <row r="1686" spans="1:11" ht="15" customHeight="1">
      <c r="A1686" s="13">
        <v>46082</v>
      </c>
      <c r="B1686" s="14" t="s">
        <v>508</v>
      </c>
      <c r="C1686" s="19" t="s">
        <v>4</v>
      </c>
      <c r="D1686" s="14" t="s">
        <v>32</v>
      </c>
      <c r="E1686" s="14" t="str">
        <f>_xlfn.XLOOKUP($D1686,'Chart of Accounts'!$A:$A,'Chart of Accounts'!B:B,"")</f>
        <v>Rent</v>
      </c>
      <c r="F1686" s="14" t="str">
        <f>_xlfn.XLOOKUP($D1686,'Chart of Accounts'!$A:$A,'Chart of Accounts'!C:C,"")</f>
        <v>Expense</v>
      </c>
      <c r="G1686" s="14" t="s">
        <v>509</v>
      </c>
      <c r="H1686" s="16">
        <v>565.38461538461604</v>
      </c>
      <c r="I1686" s="16"/>
      <c r="J1686" s="16">
        <v>565.38461538461604</v>
      </c>
      <c r="K1686" s="14" t="s">
        <v>225</v>
      </c>
    </row>
    <row r="1687" spans="1:11" ht="15" customHeight="1">
      <c r="A1687" s="13">
        <v>46082</v>
      </c>
      <c r="B1687" s="14" t="s">
        <v>508</v>
      </c>
      <c r="C1687" s="19" t="s">
        <v>6</v>
      </c>
      <c r="D1687" s="14" t="s">
        <v>32</v>
      </c>
      <c r="E1687" s="14" t="str">
        <f>_xlfn.XLOOKUP($D1687,'Chart of Accounts'!$A:$A,'Chart of Accounts'!B:B,"")</f>
        <v>Rent</v>
      </c>
      <c r="F1687" s="14" t="str">
        <f>_xlfn.XLOOKUP($D1687,'Chart of Accounts'!$A:$A,'Chart of Accounts'!C:C,"")</f>
        <v>Expense</v>
      </c>
      <c r="G1687" s="14" t="s">
        <v>509</v>
      </c>
      <c r="H1687" s="16">
        <v>753.84615384615404</v>
      </c>
      <c r="I1687" s="16"/>
      <c r="J1687" s="16">
        <v>753.84615384615404</v>
      </c>
      <c r="K1687" s="14" t="s">
        <v>225</v>
      </c>
    </row>
    <row r="1688" spans="1:11" ht="15" customHeight="1">
      <c r="A1688" s="13">
        <v>46082</v>
      </c>
      <c r="B1688" s="14" t="s">
        <v>508</v>
      </c>
      <c r="C1688" s="19" t="s">
        <v>8</v>
      </c>
      <c r="D1688" s="14" t="s">
        <v>32</v>
      </c>
      <c r="E1688" s="14" t="str">
        <f>_xlfn.XLOOKUP($D1688,'Chart of Accounts'!$A:$A,'Chart of Accounts'!B:B,"")</f>
        <v>Rent</v>
      </c>
      <c r="F1688" s="14" t="str">
        <f>_xlfn.XLOOKUP($D1688,'Chart of Accounts'!$A:$A,'Chart of Accounts'!C:C,"")</f>
        <v>Expense</v>
      </c>
      <c r="G1688" s="14" t="s">
        <v>509</v>
      </c>
      <c r="H1688" s="16">
        <v>753.84615384615404</v>
      </c>
      <c r="I1688" s="16"/>
      <c r="J1688" s="16">
        <v>753.84615384615404</v>
      </c>
      <c r="K1688" s="14" t="s">
        <v>225</v>
      </c>
    </row>
    <row r="1689" spans="1:11" ht="15" customHeight="1">
      <c r="A1689" s="13">
        <v>46082</v>
      </c>
      <c r="B1689" s="14" t="s">
        <v>508</v>
      </c>
      <c r="C1689" s="19" t="s">
        <v>10</v>
      </c>
      <c r="D1689" s="14" t="s">
        <v>32</v>
      </c>
      <c r="E1689" s="14" t="str">
        <f>_xlfn.XLOOKUP($D1689,'Chart of Accounts'!$A:$A,'Chart of Accounts'!B:B,"")</f>
        <v>Rent</v>
      </c>
      <c r="F1689" s="14" t="str">
        <f>_xlfn.XLOOKUP($D1689,'Chart of Accounts'!$A:$A,'Chart of Accounts'!C:C,"")</f>
        <v>Expense</v>
      </c>
      <c r="G1689" s="14" t="s">
        <v>509</v>
      </c>
      <c r="H1689" s="16">
        <v>376.92307692307702</v>
      </c>
      <c r="I1689" s="16"/>
      <c r="J1689" s="16">
        <v>376.92307692307702</v>
      </c>
      <c r="K1689" s="14" t="s">
        <v>225</v>
      </c>
    </row>
    <row r="1690" spans="1:11" ht="15" customHeight="1">
      <c r="A1690" s="13">
        <v>46082</v>
      </c>
      <c r="B1690" s="14" t="s">
        <v>508</v>
      </c>
      <c r="C1690" s="19" t="s">
        <v>12</v>
      </c>
      <c r="D1690" s="14" t="s">
        <v>32</v>
      </c>
      <c r="E1690" s="14" t="str">
        <f>_xlfn.XLOOKUP($D1690,'Chart of Accounts'!$A:$A,'Chart of Accounts'!B:B,"")</f>
        <v>Rent</v>
      </c>
      <c r="F1690" s="14" t="str">
        <f>_xlfn.XLOOKUP($D1690,'Chart of Accounts'!$A:$A,'Chart of Accounts'!C:C,"")</f>
        <v>Expense</v>
      </c>
      <c r="G1690" s="14" t="s">
        <v>509</v>
      </c>
      <c r="H1690" s="16">
        <v>1319.23076923077</v>
      </c>
      <c r="I1690" s="16"/>
      <c r="J1690" s="16">
        <v>1319.23076923077</v>
      </c>
      <c r="K1690" s="14" t="s">
        <v>225</v>
      </c>
    </row>
    <row r="1691" spans="1:11" ht="15" customHeight="1">
      <c r="A1691" s="13">
        <v>46082</v>
      </c>
      <c r="B1691" s="14" t="s">
        <v>508</v>
      </c>
      <c r="C1691" s="19" t="s">
        <v>14</v>
      </c>
      <c r="D1691" s="14" t="s">
        <v>32</v>
      </c>
      <c r="E1691" s="14" t="str">
        <f>_xlfn.XLOOKUP($D1691,'Chart of Accounts'!$A:$A,'Chart of Accounts'!B:B,"")</f>
        <v>Rent</v>
      </c>
      <c r="F1691" s="14" t="str">
        <f>_xlfn.XLOOKUP($D1691,'Chart of Accounts'!$A:$A,'Chart of Accounts'!C:C,"")</f>
        <v>Expense</v>
      </c>
      <c r="G1691" s="14" t="s">
        <v>509</v>
      </c>
      <c r="H1691" s="16">
        <v>1507.6923076923099</v>
      </c>
      <c r="I1691" s="16"/>
      <c r="J1691" s="16">
        <v>1507.6923076923099</v>
      </c>
      <c r="K1691" s="14" t="s">
        <v>225</v>
      </c>
    </row>
    <row r="1692" spans="1:11" ht="15" customHeight="1">
      <c r="A1692" s="13">
        <v>46082</v>
      </c>
      <c r="B1692" s="14" t="s">
        <v>508</v>
      </c>
      <c r="C1692" s="19" t="s">
        <v>16</v>
      </c>
      <c r="D1692" s="14" t="s">
        <v>32</v>
      </c>
      <c r="E1692" s="14" t="str">
        <f>_xlfn.XLOOKUP($D1692,'Chart of Accounts'!$A:$A,'Chart of Accounts'!B:B,"")</f>
        <v>Rent</v>
      </c>
      <c r="F1692" s="14" t="str">
        <f>_xlfn.XLOOKUP($D1692,'Chart of Accounts'!$A:$A,'Chart of Accounts'!C:C,"")</f>
        <v>Expense</v>
      </c>
      <c r="G1692" s="14" t="s">
        <v>509</v>
      </c>
      <c r="H1692" s="16">
        <v>1130.76923076923</v>
      </c>
      <c r="I1692" s="16"/>
      <c r="J1692" s="16">
        <v>1130.76923076923</v>
      </c>
      <c r="K1692" s="14" t="s">
        <v>225</v>
      </c>
    </row>
    <row r="1693" spans="1:11" ht="15" customHeight="1">
      <c r="A1693" s="13">
        <v>46082</v>
      </c>
      <c r="B1693" s="14" t="s">
        <v>508</v>
      </c>
      <c r="C1693" s="19" t="s">
        <v>18</v>
      </c>
      <c r="D1693" s="14" t="s">
        <v>32</v>
      </c>
      <c r="E1693" s="14" t="str">
        <f>_xlfn.XLOOKUP($D1693,'Chart of Accounts'!$A:$A,'Chart of Accounts'!B:B,"")</f>
        <v>Rent</v>
      </c>
      <c r="F1693" s="14" t="str">
        <f>_xlfn.XLOOKUP($D1693,'Chart of Accounts'!$A:$A,'Chart of Accounts'!C:C,"")</f>
        <v>Expense</v>
      </c>
      <c r="G1693" s="14" t="s">
        <v>509</v>
      </c>
      <c r="H1693" s="16">
        <v>1507.6923076923099</v>
      </c>
      <c r="I1693" s="16"/>
      <c r="J1693" s="16">
        <v>1507.6923076923099</v>
      </c>
      <c r="K1693" s="14" t="s">
        <v>225</v>
      </c>
    </row>
    <row r="1694" spans="1:11" ht="15" customHeight="1">
      <c r="A1694" s="13">
        <v>46082</v>
      </c>
      <c r="B1694" s="14" t="s">
        <v>508</v>
      </c>
      <c r="C1694" s="19" t="s">
        <v>20</v>
      </c>
      <c r="D1694" s="14" t="s">
        <v>32</v>
      </c>
      <c r="E1694" s="14" t="str">
        <f>_xlfn.XLOOKUP($D1694,'Chart of Accounts'!$A:$A,'Chart of Accounts'!B:B,"")</f>
        <v>Rent</v>
      </c>
      <c r="F1694" s="14" t="str">
        <f>_xlfn.XLOOKUP($D1694,'Chart of Accounts'!$A:$A,'Chart of Accounts'!C:C,"")</f>
        <v>Expense</v>
      </c>
      <c r="G1694" s="14" t="s">
        <v>509</v>
      </c>
      <c r="H1694" s="16">
        <v>1884.61538461539</v>
      </c>
      <c r="I1694" s="16"/>
      <c r="J1694" s="16">
        <v>1884.61538461539</v>
      </c>
      <c r="K1694" s="14" t="s">
        <v>225</v>
      </c>
    </row>
    <row r="1695" spans="1:11" ht="15" customHeight="1">
      <c r="A1695" s="13">
        <v>46113</v>
      </c>
      <c r="B1695" s="14" t="s">
        <v>508</v>
      </c>
      <c r="C1695" s="19" t="s">
        <v>4</v>
      </c>
      <c r="D1695" s="14" t="s">
        <v>32</v>
      </c>
      <c r="E1695" s="14" t="str">
        <f>_xlfn.XLOOKUP($D1695,'Chart of Accounts'!$A:$A,'Chart of Accounts'!B:B,"")</f>
        <v>Rent</v>
      </c>
      <c r="F1695" s="14" t="str">
        <f>_xlfn.XLOOKUP($D1695,'Chart of Accounts'!$A:$A,'Chart of Accounts'!C:C,"")</f>
        <v>Expense</v>
      </c>
      <c r="G1695" s="14" t="s">
        <v>509</v>
      </c>
      <c r="H1695" s="16">
        <v>565.38461538461604</v>
      </c>
      <c r="I1695" s="16"/>
      <c r="J1695" s="16">
        <v>565.38461538461604</v>
      </c>
      <c r="K1695" s="14" t="s">
        <v>225</v>
      </c>
    </row>
    <row r="1696" spans="1:11" ht="15" customHeight="1">
      <c r="A1696" s="13">
        <v>46113</v>
      </c>
      <c r="B1696" s="14" t="s">
        <v>508</v>
      </c>
      <c r="C1696" s="19" t="s">
        <v>6</v>
      </c>
      <c r="D1696" s="14" t="s">
        <v>32</v>
      </c>
      <c r="E1696" s="14" t="str">
        <f>_xlfn.XLOOKUP($D1696,'Chart of Accounts'!$A:$A,'Chart of Accounts'!B:B,"")</f>
        <v>Rent</v>
      </c>
      <c r="F1696" s="14" t="str">
        <f>_xlfn.XLOOKUP($D1696,'Chart of Accounts'!$A:$A,'Chart of Accounts'!C:C,"")</f>
        <v>Expense</v>
      </c>
      <c r="G1696" s="14" t="s">
        <v>509</v>
      </c>
      <c r="H1696" s="16">
        <v>753.84615384615404</v>
      </c>
      <c r="I1696" s="16"/>
      <c r="J1696" s="16">
        <v>753.84615384615404</v>
      </c>
      <c r="K1696" s="14" t="s">
        <v>225</v>
      </c>
    </row>
    <row r="1697" spans="1:11" ht="15" customHeight="1">
      <c r="A1697" s="13">
        <v>46113</v>
      </c>
      <c r="B1697" s="14" t="s">
        <v>508</v>
      </c>
      <c r="C1697" s="19" t="s">
        <v>8</v>
      </c>
      <c r="D1697" s="14" t="s">
        <v>32</v>
      </c>
      <c r="E1697" s="14" t="str">
        <f>_xlfn.XLOOKUP($D1697,'Chart of Accounts'!$A:$A,'Chart of Accounts'!B:B,"")</f>
        <v>Rent</v>
      </c>
      <c r="F1697" s="14" t="str">
        <f>_xlfn.XLOOKUP($D1697,'Chart of Accounts'!$A:$A,'Chart of Accounts'!C:C,"")</f>
        <v>Expense</v>
      </c>
      <c r="G1697" s="14" t="s">
        <v>509</v>
      </c>
      <c r="H1697" s="16">
        <v>753.84615384615404</v>
      </c>
      <c r="I1697" s="16"/>
      <c r="J1697" s="16">
        <v>753.84615384615404</v>
      </c>
      <c r="K1697" s="14" t="s">
        <v>225</v>
      </c>
    </row>
    <row r="1698" spans="1:11" ht="15" customHeight="1">
      <c r="A1698" s="13">
        <v>46113</v>
      </c>
      <c r="B1698" s="14" t="s">
        <v>508</v>
      </c>
      <c r="C1698" s="19" t="s">
        <v>10</v>
      </c>
      <c r="D1698" s="14" t="s">
        <v>32</v>
      </c>
      <c r="E1698" s="14" t="str">
        <f>_xlfn.XLOOKUP($D1698,'Chart of Accounts'!$A:$A,'Chart of Accounts'!B:B,"")</f>
        <v>Rent</v>
      </c>
      <c r="F1698" s="14" t="str">
        <f>_xlfn.XLOOKUP($D1698,'Chart of Accounts'!$A:$A,'Chart of Accounts'!C:C,"")</f>
        <v>Expense</v>
      </c>
      <c r="G1698" s="14" t="s">
        <v>509</v>
      </c>
      <c r="H1698" s="16">
        <v>376.92307692307702</v>
      </c>
      <c r="I1698" s="16"/>
      <c r="J1698" s="16">
        <v>376.92307692307702</v>
      </c>
      <c r="K1698" s="14" t="s">
        <v>225</v>
      </c>
    </row>
    <row r="1699" spans="1:11" ht="15" customHeight="1">
      <c r="A1699" s="13">
        <v>46113</v>
      </c>
      <c r="B1699" s="14" t="s">
        <v>508</v>
      </c>
      <c r="C1699" s="19" t="s">
        <v>12</v>
      </c>
      <c r="D1699" s="14" t="s">
        <v>32</v>
      </c>
      <c r="E1699" s="14" t="str">
        <f>_xlfn.XLOOKUP($D1699,'Chart of Accounts'!$A:$A,'Chart of Accounts'!B:B,"")</f>
        <v>Rent</v>
      </c>
      <c r="F1699" s="14" t="str">
        <f>_xlfn.XLOOKUP($D1699,'Chart of Accounts'!$A:$A,'Chart of Accounts'!C:C,"")</f>
        <v>Expense</v>
      </c>
      <c r="G1699" s="14" t="s">
        <v>509</v>
      </c>
      <c r="H1699" s="16">
        <v>1319.23076923077</v>
      </c>
      <c r="I1699" s="16"/>
      <c r="J1699" s="16">
        <v>1319.23076923077</v>
      </c>
      <c r="K1699" s="14" t="s">
        <v>225</v>
      </c>
    </row>
    <row r="1700" spans="1:11" ht="15" customHeight="1">
      <c r="A1700" s="13">
        <v>46113</v>
      </c>
      <c r="B1700" s="14" t="s">
        <v>508</v>
      </c>
      <c r="C1700" s="19" t="s">
        <v>14</v>
      </c>
      <c r="D1700" s="14" t="s">
        <v>32</v>
      </c>
      <c r="E1700" s="14" t="str">
        <f>_xlfn.XLOOKUP($D1700,'Chart of Accounts'!$A:$A,'Chart of Accounts'!B:B,"")</f>
        <v>Rent</v>
      </c>
      <c r="F1700" s="14" t="str">
        <f>_xlfn.XLOOKUP($D1700,'Chart of Accounts'!$A:$A,'Chart of Accounts'!C:C,"")</f>
        <v>Expense</v>
      </c>
      <c r="G1700" s="14" t="s">
        <v>509</v>
      </c>
      <c r="H1700" s="16">
        <v>1507.6923076923099</v>
      </c>
      <c r="I1700" s="16"/>
      <c r="J1700" s="16">
        <v>1507.6923076923099</v>
      </c>
      <c r="K1700" s="14" t="s">
        <v>225</v>
      </c>
    </row>
    <row r="1701" spans="1:11" ht="15" customHeight="1">
      <c r="A1701" s="13">
        <v>46113</v>
      </c>
      <c r="B1701" s="14" t="s">
        <v>508</v>
      </c>
      <c r="C1701" s="19" t="s">
        <v>16</v>
      </c>
      <c r="D1701" s="14" t="s">
        <v>32</v>
      </c>
      <c r="E1701" s="14" t="str">
        <f>_xlfn.XLOOKUP($D1701,'Chart of Accounts'!$A:$A,'Chart of Accounts'!B:B,"")</f>
        <v>Rent</v>
      </c>
      <c r="F1701" s="14" t="str">
        <f>_xlfn.XLOOKUP($D1701,'Chart of Accounts'!$A:$A,'Chart of Accounts'!C:C,"")</f>
        <v>Expense</v>
      </c>
      <c r="G1701" s="14" t="s">
        <v>509</v>
      </c>
      <c r="H1701" s="16">
        <v>1130.76923076923</v>
      </c>
      <c r="I1701" s="16"/>
      <c r="J1701" s="16">
        <v>1130.76923076923</v>
      </c>
      <c r="K1701" s="14" t="s">
        <v>225</v>
      </c>
    </row>
    <row r="1702" spans="1:11" ht="15" customHeight="1">
      <c r="A1702" s="13">
        <v>46113</v>
      </c>
      <c r="B1702" s="14" t="s">
        <v>508</v>
      </c>
      <c r="C1702" s="19" t="s">
        <v>18</v>
      </c>
      <c r="D1702" s="14" t="s">
        <v>32</v>
      </c>
      <c r="E1702" s="14" t="str">
        <f>_xlfn.XLOOKUP($D1702,'Chart of Accounts'!$A:$A,'Chart of Accounts'!B:B,"")</f>
        <v>Rent</v>
      </c>
      <c r="F1702" s="14" t="str">
        <f>_xlfn.XLOOKUP($D1702,'Chart of Accounts'!$A:$A,'Chart of Accounts'!C:C,"")</f>
        <v>Expense</v>
      </c>
      <c r="G1702" s="14" t="s">
        <v>509</v>
      </c>
      <c r="H1702" s="16">
        <v>1507.6923076923099</v>
      </c>
      <c r="I1702" s="16"/>
      <c r="J1702" s="16">
        <v>1507.6923076923099</v>
      </c>
      <c r="K1702" s="14" t="s">
        <v>225</v>
      </c>
    </row>
    <row r="1703" spans="1:11" ht="15" customHeight="1">
      <c r="A1703" s="13">
        <v>46113</v>
      </c>
      <c r="B1703" s="14" t="s">
        <v>508</v>
      </c>
      <c r="C1703" s="19" t="s">
        <v>20</v>
      </c>
      <c r="D1703" s="14" t="s">
        <v>32</v>
      </c>
      <c r="E1703" s="14" t="str">
        <f>_xlfn.XLOOKUP($D1703,'Chart of Accounts'!$A:$A,'Chart of Accounts'!B:B,"")</f>
        <v>Rent</v>
      </c>
      <c r="F1703" s="14" t="str">
        <f>_xlfn.XLOOKUP($D1703,'Chart of Accounts'!$A:$A,'Chart of Accounts'!C:C,"")</f>
        <v>Expense</v>
      </c>
      <c r="G1703" s="14" t="s">
        <v>509</v>
      </c>
      <c r="H1703" s="16">
        <v>1884.61538461539</v>
      </c>
      <c r="I1703" s="16"/>
      <c r="J1703" s="16">
        <v>1884.61538461539</v>
      </c>
      <c r="K1703" s="14" t="s">
        <v>225</v>
      </c>
    </row>
    <row r="1704" spans="1:11" ht="15" customHeight="1">
      <c r="A1704" s="13">
        <v>46143</v>
      </c>
      <c r="B1704" s="14" t="s">
        <v>508</v>
      </c>
      <c r="C1704" s="19" t="s">
        <v>4</v>
      </c>
      <c r="D1704" s="14" t="s">
        <v>32</v>
      </c>
      <c r="E1704" s="14" t="str">
        <f>_xlfn.XLOOKUP($D1704,'Chart of Accounts'!$A:$A,'Chart of Accounts'!B:B,"")</f>
        <v>Rent</v>
      </c>
      <c r="F1704" s="14" t="str">
        <f>_xlfn.XLOOKUP($D1704,'Chart of Accounts'!$A:$A,'Chart of Accounts'!C:C,"")</f>
        <v>Expense</v>
      </c>
      <c r="G1704" s="14" t="s">
        <v>509</v>
      </c>
      <c r="H1704" s="16">
        <v>565.38461538461604</v>
      </c>
      <c r="I1704" s="16"/>
      <c r="J1704" s="16">
        <v>565.38461538461604</v>
      </c>
      <c r="K1704" s="14" t="s">
        <v>225</v>
      </c>
    </row>
    <row r="1705" spans="1:11" ht="15" customHeight="1">
      <c r="A1705" s="13">
        <v>46143</v>
      </c>
      <c r="B1705" s="14" t="s">
        <v>508</v>
      </c>
      <c r="C1705" s="19" t="s">
        <v>6</v>
      </c>
      <c r="D1705" s="14" t="s">
        <v>32</v>
      </c>
      <c r="E1705" s="14" t="str">
        <f>_xlfn.XLOOKUP($D1705,'Chart of Accounts'!$A:$A,'Chart of Accounts'!B:B,"")</f>
        <v>Rent</v>
      </c>
      <c r="F1705" s="14" t="str">
        <f>_xlfn.XLOOKUP($D1705,'Chart of Accounts'!$A:$A,'Chart of Accounts'!C:C,"")</f>
        <v>Expense</v>
      </c>
      <c r="G1705" s="14" t="s">
        <v>509</v>
      </c>
      <c r="H1705" s="16">
        <v>753.84615384615404</v>
      </c>
      <c r="I1705" s="16"/>
      <c r="J1705" s="16">
        <v>753.84615384615404</v>
      </c>
      <c r="K1705" s="14" t="s">
        <v>225</v>
      </c>
    </row>
    <row r="1706" spans="1:11" ht="15" customHeight="1">
      <c r="A1706" s="13">
        <v>46143</v>
      </c>
      <c r="B1706" s="14" t="s">
        <v>508</v>
      </c>
      <c r="C1706" s="19" t="s">
        <v>8</v>
      </c>
      <c r="D1706" s="14" t="s">
        <v>32</v>
      </c>
      <c r="E1706" s="14" t="str">
        <f>_xlfn.XLOOKUP($D1706,'Chart of Accounts'!$A:$A,'Chart of Accounts'!B:B,"")</f>
        <v>Rent</v>
      </c>
      <c r="F1706" s="14" t="str">
        <f>_xlfn.XLOOKUP($D1706,'Chart of Accounts'!$A:$A,'Chart of Accounts'!C:C,"")</f>
        <v>Expense</v>
      </c>
      <c r="G1706" s="14" t="s">
        <v>509</v>
      </c>
      <c r="H1706" s="16">
        <v>1130.76923076923</v>
      </c>
      <c r="I1706" s="16"/>
      <c r="J1706" s="16">
        <v>1130.76923076923</v>
      </c>
      <c r="K1706" s="14" t="s">
        <v>225</v>
      </c>
    </row>
    <row r="1707" spans="1:11" ht="15" customHeight="1">
      <c r="A1707" s="13">
        <v>46143</v>
      </c>
      <c r="B1707" s="14" t="s">
        <v>508</v>
      </c>
      <c r="C1707" s="19" t="s">
        <v>10</v>
      </c>
      <c r="D1707" s="14" t="s">
        <v>32</v>
      </c>
      <c r="E1707" s="14" t="str">
        <f>_xlfn.XLOOKUP($D1707,'Chart of Accounts'!$A:$A,'Chart of Accounts'!B:B,"")</f>
        <v>Rent</v>
      </c>
      <c r="F1707" s="14" t="str">
        <f>_xlfn.XLOOKUP($D1707,'Chart of Accounts'!$A:$A,'Chart of Accounts'!C:C,"")</f>
        <v>Expense</v>
      </c>
      <c r="G1707" s="14" t="s">
        <v>509</v>
      </c>
      <c r="H1707" s="16">
        <v>376.92307692307702</v>
      </c>
      <c r="I1707" s="16"/>
      <c r="J1707" s="16">
        <v>376.92307692307702</v>
      </c>
      <c r="K1707" s="14" t="s">
        <v>225</v>
      </c>
    </row>
    <row r="1708" spans="1:11" ht="15" customHeight="1">
      <c r="A1708" s="13">
        <v>46143</v>
      </c>
      <c r="B1708" s="14" t="s">
        <v>508</v>
      </c>
      <c r="C1708" s="19" t="s">
        <v>12</v>
      </c>
      <c r="D1708" s="14" t="s">
        <v>32</v>
      </c>
      <c r="E1708" s="14" t="str">
        <f>_xlfn.XLOOKUP($D1708,'Chart of Accounts'!$A:$A,'Chart of Accounts'!B:B,"")</f>
        <v>Rent</v>
      </c>
      <c r="F1708" s="14" t="str">
        <f>_xlfn.XLOOKUP($D1708,'Chart of Accounts'!$A:$A,'Chart of Accounts'!C:C,"")</f>
        <v>Expense</v>
      </c>
      <c r="G1708" s="14" t="s">
        <v>509</v>
      </c>
      <c r="H1708" s="16">
        <v>1319.23076923077</v>
      </c>
      <c r="I1708" s="16"/>
      <c r="J1708" s="16">
        <v>1319.23076923077</v>
      </c>
      <c r="K1708" s="14" t="s">
        <v>225</v>
      </c>
    </row>
    <row r="1709" spans="1:11" ht="15" customHeight="1">
      <c r="A1709" s="13">
        <v>46143</v>
      </c>
      <c r="B1709" s="14" t="s">
        <v>508</v>
      </c>
      <c r="C1709" s="19" t="s">
        <v>14</v>
      </c>
      <c r="D1709" s="14" t="s">
        <v>32</v>
      </c>
      <c r="E1709" s="14" t="str">
        <f>_xlfn.XLOOKUP($D1709,'Chart of Accounts'!$A:$A,'Chart of Accounts'!B:B,"")</f>
        <v>Rent</v>
      </c>
      <c r="F1709" s="14" t="str">
        <f>_xlfn.XLOOKUP($D1709,'Chart of Accounts'!$A:$A,'Chart of Accounts'!C:C,"")</f>
        <v>Expense</v>
      </c>
      <c r="G1709" s="14" t="s">
        <v>509</v>
      </c>
      <c r="H1709" s="16">
        <v>1507.6923076923099</v>
      </c>
      <c r="I1709" s="16"/>
      <c r="J1709" s="16">
        <v>1507.6923076923099</v>
      </c>
      <c r="K1709" s="14" t="s">
        <v>225</v>
      </c>
    </row>
    <row r="1710" spans="1:11" ht="15" customHeight="1">
      <c r="A1710" s="13">
        <v>46143</v>
      </c>
      <c r="B1710" s="14" t="s">
        <v>508</v>
      </c>
      <c r="C1710" s="19" t="s">
        <v>16</v>
      </c>
      <c r="D1710" s="14" t="s">
        <v>32</v>
      </c>
      <c r="E1710" s="14" t="str">
        <f>_xlfn.XLOOKUP($D1710,'Chart of Accounts'!$A:$A,'Chart of Accounts'!B:B,"")</f>
        <v>Rent</v>
      </c>
      <c r="F1710" s="14" t="str">
        <f>_xlfn.XLOOKUP($D1710,'Chart of Accounts'!$A:$A,'Chart of Accounts'!C:C,"")</f>
        <v>Expense</v>
      </c>
      <c r="G1710" s="14" t="s">
        <v>509</v>
      </c>
      <c r="H1710" s="16">
        <v>753.84615384615404</v>
      </c>
      <c r="I1710" s="16"/>
      <c r="J1710" s="16">
        <v>753.84615384615404</v>
      </c>
      <c r="K1710" s="14" t="s">
        <v>225</v>
      </c>
    </row>
    <row r="1711" spans="1:11" ht="15" customHeight="1">
      <c r="A1711" s="13">
        <v>46143</v>
      </c>
      <c r="B1711" s="14" t="s">
        <v>508</v>
      </c>
      <c r="C1711" s="19" t="s">
        <v>18</v>
      </c>
      <c r="D1711" s="14" t="s">
        <v>32</v>
      </c>
      <c r="E1711" s="14" t="str">
        <f>_xlfn.XLOOKUP($D1711,'Chart of Accounts'!$A:$A,'Chart of Accounts'!B:B,"")</f>
        <v>Rent</v>
      </c>
      <c r="F1711" s="14" t="str">
        <f>_xlfn.XLOOKUP($D1711,'Chart of Accounts'!$A:$A,'Chart of Accounts'!C:C,"")</f>
        <v>Expense</v>
      </c>
      <c r="G1711" s="14" t="s">
        <v>509</v>
      </c>
      <c r="H1711" s="16">
        <v>1507.6923076923099</v>
      </c>
      <c r="I1711" s="16"/>
      <c r="J1711" s="16">
        <v>1507.6923076923099</v>
      </c>
      <c r="K1711" s="14" t="s">
        <v>225</v>
      </c>
    </row>
    <row r="1712" spans="1:11" ht="15" customHeight="1">
      <c r="A1712" s="13">
        <v>46143</v>
      </c>
      <c r="B1712" s="14" t="s">
        <v>508</v>
      </c>
      <c r="C1712" s="19" t="s">
        <v>20</v>
      </c>
      <c r="D1712" s="14" t="s">
        <v>32</v>
      </c>
      <c r="E1712" s="14" t="str">
        <f>_xlfn.XLOOKUP($D1712,'Chart of Accounts'!$A:$A,'Chart of Accounts'!B:B,"")</f>
        <v>Rent</v>
      </c>
      <c r="F1712" s="14" t="str">
        <f>_xlfn.XLOOKUP($D1712,'Chart of Accounts'!$A:$A,'Chart of Accounts'!C:C,"")</f>
        <v>Expense</v>
      </c>
      <c r="G1712" s="14" t="s">
        <v>509</v>
      </c>
      <c r="H1712" s="16">
        <v>1884.61538461539</v>
      </c>
      <c r="I1712" s="16"/>
      <c r="J1712" s="16">
        <v>1884.61538461539</v>
      </c>
      <c r="K1712" s="14" t="s">
        <v>225</v>
      </c>
    </row>
    <row r="1713" spans="1:11" ht="15" customHeight="1">
      <c r="A1713" s="13">
        <v>46174</v>
      </c>
      <c r="B1713" s="14" t="s">
        <v>508</v>
      </c>
      <c r="C1713" s="19" t="s">
        <v>4</v>
      </c>
      <c r="D1713" s="14" t="s">
        <v>32</v>
      </c>
      <c r="E1713" s="14" t="str">
        <f>_xlfn.XLOOKUP($D1713,'Chart of Accounts'!$A:$A,'Chart of Accounts'!B:B,"")</f>
        <v>Rent</v>
      </c>
      <c r="F1713" s="14" t="str">
        <f>_xlfn.XLOOKUP($D1713,'Chart of Accounts'!$A:$A,'Chart of Accounts'!C:C,"")</f>
        <v>Expense</v>
      </c>
      <c r="G1713" s="14" t="s">
        <v>509</v>
      </c>
      <c r="H1713" s="16">
        <v>565.38461538461604</v>
      </c>
      <c r="I1713" s="16"/>
      <c r="J1713" s="16">
        <v>565.38461538461604</v>
      </c>
      <c r="K1713" s="14" t="s">
        <v>225</v>
      </c>
    </row>
    <row r="1714" spans="1:11" ht="15" customHeight="1">
      <c r="A1714" s="13">
        <v>46174</v>
      </c>
      <c r="B1714" s="14" t="s">
        <v>508</v>
      </c>
      <c r="C1714" s="19" t="s">
        <v>6</v>
      </c>
      <c r="D1714" s="14" t="s">
        <v>32</v>
      </c>
      <c r="E1714" s="14" t="str">
        <f>_xlfn.XLOOKUP($D1714,'Chart of Accounts'!$A:$A,'Chart of Accounts'!B:B,"")</f>
        <v>Rent</v>
      </c>
      <c r="F1714" s="14" t="str">
        <f>_xlfn.XLOOKUP($D1714,'Chart of Accounts'!$A:$A,'Chart of Accounts'!C:C,"")</f>
        <v>Expense</v>
      </c>
      <c r="G1714" s="14" t="s">
        <v>509</v>
      </c>
      <c r="H1714" s="16">
        <v>753.84615384615404</v>
      </c>
      <c r="I1714" s="16"/>
      <c r="J1714" s="16">
        <v>753.84615384615404</v>
      </c>
      <c r="K1714" s="14" t="s">
        <v>225</v>
      </c>
    </row>
    <row r="1715" spans="1:11" ht="15" customHeight="1">
      <c r="A1715" s="13">
        <v>46174</v>
      </c>
      <c r="B1715" s="14" t="s">
        <v>508</v>
      </c>
      <c r="C1715" s="19" t="s">
        <v>8</v>
      </c>
      <c r="D1715" s="14" t="s">
        <v>32</v>
      </c>
      <c r="E1715" s="14" t="str">
        <f>_xlfn.XLOOKUP($D1715,'Chart of Accounts'!$A:$A,'Chart of Accounts'!B:B,"")</f>
        <v>Rent</v>
      </c>
      <c r="F1715" s="14" t="str">
        <f>_xlfn.XLOOKUP($D1715,'Chart of Accounts'!$A:$A,'Chart of Accounts'!C:C,"")</f>
        <v>Expense</v>
      </c>
      <c r="G1715" s="14" t="s">
        <v>509</v>
      </c>
      <c r="H1715" s="16">
        <v>1130.76923076923</v>
      </c>
      <c r="I1715" s="16"/>
      <c r="J1715" s="16">
        <v>1130.76923076923</v>
      </c>
      <c r="K1715" s="14" t="s">
        <v>225</v>
      </c>
    </row>
    <row r="1716" spans="1:11" ht="15" customHeight="1">
      <c r="A1716" s="13">
        <v>46174</v>
      </c>
      <c r="B1716" s="14" t="s">
        <v>508</v>
      </c>
      <c r="C1716" s="19" t="s">
        <v>10</v>
      </c>
      <c r="D1716" s="14" t="s">
        <v>32</v>
      </c>
      <c r="E1716" s="14" t="str">
        <f>_xlfn.XLOOKUP($D1716,'Chart of Accounts'!$A:$A,'Chart of Accounts'!B:B,"")</f>
        <v>Rent</v>
      </c>
      <c r="F1716" s="14" t="str">
        <f>_xlfn.XLOOKUP($D1716,'Chart of Accounts'!$A:$A,'Chart of Accounts'!C:C,"")</f>
        <v>Expense</v>
      </c>
      <c r="G1716" s="14" t="s">
        <v>509</v>
      </c>
      <c r="H1716" s="16">
        <v>376.92307692307702</v>
      </c>
      <c r="I1716" s="16"/>
      <c r="J1716" s="16">
        <v>376.92307692307702</v>
      </c>
      <c r="K1716" s="14" t="s">
        <v>225</v>
      </c>
    </row>
    <row r="1717" spans="1:11" ht="15" customHeight="1">
      <c r="A1717" s="13">
        <v>46174</v>
      </c>
      <c r="B1717" s="14" t="s">
        <v>508</v>
      </c>
      <c r="C1717" s="19" t="s">
        <v>12</v>
      </c>
      <c r="D1717" s="14" t="s">
        <v>32</v>
      </c>
      <c r="E1717" s="14" t="str">
        <f>_xlfn.XLOOKUP($D1717,'Chart of Accounts'!$A:$A,'Chart of Accounts'!B:B,"")</f>
        <v>Rent</v>
      </c>
      <c r="F1717" s="14" t="str">
        <f>_xlfn.XLOOKUP($D1717,'Chart of Accounts'!$A:$A,'Chart of Accounts'!C:C,"")</f>
        <v>Expense</v>
      </c>
      <c r="G1717" s="14" t="s">
        <v>509</v>
      </c>
      <c r="H1717" s="16">
        <v>1319.23076923077</v>
      </c>
      <c r="I1717" s="16"/>
      <c r="J1717" s="16">
        <v>1319.23076923077</v>
      </c>
      <c r="K1717" s="14" t="s">
        <v>225</v>
      </c>
    </row>
    <row r="1718" spans="1:11" ht="15" customHeight="1">
      <c r="A1718" s="13">
        <v>46174</v>
      </c>
      <c r="B1718" s="14" t="s">
        <v>508</v>
      </c>
      <c r="C1718" s="19" t="s">
        <v>14</v>
      </c>
      <c r="D1718" s="14" t="s">
        <v>32</v>
      </c>
      <c r="E1718" s="14" t="str">
        <f>_xlfn.XLOOKUP($D1718,'Chart of Accounts'!$A:$A,'Chart of Accounts'!B:B,"")</f>
        <v>Rent</v>
      </c>
      <c r="F1718" s="14" t="str">
        <f>_xlfn.XLOOKUP($D1718,'Chart of Accounts'!$A:$A,'Chart of Accounts'!C:C,"")</f>
        <v>Expense</v>
      </c>
      <c r="G1718" s="14" t="s">
        <v>509</v>
      </c>
      <c r="H1718" s="16">
        <v>1507.6923076923099</v>
      </c>
      <c r="I1718" s="16"/>
      <c r="J1718" s="16">
        <v>1507.6923076923099</v>
      </c>
      <c r="K1718" s="14" t="s">
        <v>225</v>
      </c>
    </row>
    <row r="1719" spans="1:11" ht="15" customHeight="1">
      <c r="A1719" s="13">
        <v>46174</v>
      </c>
      <c r="B1719" s="14" t="s">
        <v>508</v>
      </c>
      <c r="C1719" s="19" t="s">
        <v>16</v>
      </c>
      <c r="D1719" s="14" t="s">
        <v>32</v>
      </c>
      <c r="E1719" s="14" t="str">
        <f>_xlfn.XLOOKUP($D1719,'Chart of Accounts'!$A:$A,'Chart of Accounts'!B:B,"")</f>
        <v>Rent</v>
      </c>
      <c r="F1719" s="14" t="str">
        <f>_xlfn.XLOOKUP($D1719,'Chart of Accounts'!$A:$A,'Chart of Accounts'!C:C,"")</f>
        <v>Expense</v>
      </c>
      <c r="G1719" s="14" t="s">
        <v>509</v>
      </c>
      <c r="H1719" s="16">
        <v>753.84615384615404</v>
      </c>
      <c r="I1719" s="16"/>
      <c r="J1719" s="16">
        <v>753.84615384615404</v>
      </c>
      <c r="K1719" s="14" t="s">
        <v>225</v>
      </c>
    </row>
    <row r="1720" spans="1:11" ht="15" customHeight="1">
      <c r="A1720" s="13">
        <v>46174</v>
      </c>
      <c r="B1720" s="14" t="s">
        <v>508</v>
      </c>
      <c r="C1720" s="19" t="s">
        <v>18</v>
      </c>
      <c r="D1720" s="14" t="s">
        <v>32</v>
      </c>
      <c r="E1720" s="14" t="str">
        <f>_xlfn.XLOOKUP($D1720,'Chart of Accounts'!$A:$A,'Chart of Accounts'!B:B,"")</f>
        <v>Rent</v>
      </c>
      <c r="F1720" s="14" t="str">
        <f>_xlfn.XLOOKUP($D1720,'Chart of Accounts'!$A:$A,'Chart of Accounts'!C:C,"")</f>
        <v>Expense</v>
      </c>
      <c r="G1720" s="14" t="s">
        <v>509</v>
      </c>
      <c r="H1720" s="16">
        <v>1507.6923076923099</v>
      </c>
      <c r="I1720" s="16"/>
      <c r="J1720" s="16">
        <v>1507.6923076923099</v>
      </c>
      <c r="K1720" s="14" t="s">
        <v>225</v>
      </c>
    </row>
    <row r="1721" spans="1:11" ht="15" customHeight="1">
      <c r="A1721" s="13">
        <v>46174</v>
      </c>
      <c r="B1721" s="14" t="s">
        <v>508</v>
      </c>
      <c r="C1721" s="19" t="s">
        <v>20</v>
      </c>
      <c r="D1721" s="14" t="s">
        <v>32</v>
      </c>
      <c r="E1721" s="14" t="str">
        <f>_xlfn.XLOOKUP($D1721,'Chart of Accounts'!$A:$A,'Chart of Accounts'!B:B,"")</f>
        <v>Rent</v>
      </c>
      <c r="F1721" s="14" t="str">
        <f>_xlfn.XLOOKUP($D1721,'Chart of Accounts'!$A:$A,'Chart of Accounts'!C:C,"")</f>
        <v>Expense</v>
      </c>
      <c r="G1721" s="14" t="s">
        <v>509</v>
      </c>
      <c r="H1721" s="16">
        <v>1884.61538461539</v>
      </c>
      <c r="I1721" s="16"/>
      <c r="J1721" s="16">
        <v>1884.61538461539</v>
      </c>
      <c r="K1721" s="14" t="s">
        <v>225</v>
      </c>
    </row>
    <row r="1722" spans="1:11" ht="15" customHeight="1">
      <c r="A1722" s="13">
        <v>45839</v>
      </c>
      <c r="B1722" s="14" t="s">
        <v>508</v>
      </c>
      <c r="C1722" s="14"/>
      <c r="D1722" s="14" t="s">
        <v>40</v>
      </c>
      <c r="E1722" s="14" t="str">
        <f>_xlfn.XLOOKUP($D1722,'Chart of Accounts'!$A:$A,'Chart of Accounts'!B:B,"")</f>
        <v>Cash - Operating</v>
      </c>
      <c r="F1722" s="14" t="str">
        <f>_xlfn.XLOOKUP($D1722,'Chart of Accounts'!$A:$A,'Chart of Accounts'!C:C,"")</f>
        <v>Asset</v>
      </c>
      <c r="G1722" s="14" t="s">
        <v>509</v>
      </c>
      <c r="H1722" s="16"/>
      <c r="I1722" s="16">
        <v>9800</v>
      </c>
      <c r="J1722" s="16">
        <v>-9800</v>
      </c>
      <c r="K1722" s="14" t="s">
        <v>225</v>
      </c>
    </row>
    <row r="1723" spans="1:11" ht="15" customHeight="1">
      <c r="A1723" s="13">
        <v>45838</v>
      </c>
      <c r="B1723" s="14" t="s">
        <v>413</v>
      </c>
      <c r="C1723" s="14"/>
      <c r="D1723" s="14" t="s">
        <v>40</v>
      </c>
      <c r="E1723" s="14" t="str">
        <f>_xlfn.XLOOKUP($D1723,'Chart of Accounts'!$A:$A,'Chart of Accounts'!B:B,"")</f>
        <v>Cash - Operating</v>
      </c>
      <c r="F1723" s="14" t="str">
        <f>_xlfn.XLOOKUP($D1723,'Chart of Accounts'!$A:$A,'Chart of Accounts'!C:C,"")</f>
        <v>Asset</v>
      </c>
      <c r="G1723" s="14" t="s">
        <v>607</v>
      </c>
      <c r="H1723" s="16">
        <v>185000</v>
      </c>
      <c r="I1723" s="16"/>
      <c r="J1723" s="16">
        <v>185000</v>
      </c>
      <c r="K1723" s="14" t="s">
        <v>415</v>
      </c>
    </row>
    <row r="1724" spans="1:11" ht="15" customHeight="1">
      <c r="A1724" s="13">
        <v>45838</v>
      </c>
      <c r="B1724" s="14" t="s">
        <v>413</v>
      </c>
      <c r="C1724" s="14"/>
      <c r="D1724" s="14" t="s">
        <v>4</v>
      </c>
      <c r="E1724" s="14" t="str">
        <f>_xlfn.XLOOKUP($D1724,'Chart of Accounts'!$A:$A,'Chart of Accounts'!B:B,"")</f>
        <v>Cash - Payroll</v>
      </c>
      <c r="F1724" s="14" t="str">
        <f>_xlfn.XLOOKUP($D1724,'Chart of Accounts'!$A:$A,'Chart of Accounts'!C:C,"")</f>
        <v>Asset</v>
      </c>
      <c r="G1724" s="14" t="s">
        <v>414</v>
      </c>
      <c r="H1724" s="16">
        <v>42000</v>
      </c>
      <c r="I1724" s="16"/>
      <c r="J1724" s="16">
        <v>42000</v>
      </c>
      <c r="K1724" s="14" t="s">
        <v>415</v>
      </c>
    </row>
    <row r="1725" spans="1:11" ht="15" customHeight="1">
      <c r="A1725" s="13">
        <v>45838</v>
      </c>
      <c r="B1725" s="14" t="s">
        <v>413</v>
      </c>
      <c r="C1725" s="14"/>
      <c r="D1725" s="14" t="s">
        <v>46</v>
      </c>
      <c r="E1725" s="14" t="str">
        <f>_xlfn.XLOOKUP($D1725,'Chart of Accounts'!$A:$A,'Chart of Accounts'!B:B,"")</f>
        <v>Cash - Money Market/Reserve</v>
      </c>
      <c r="F1725" s="14" t="str">
        <f>_xlfn.XLOOKUP($D1725,'Chart of Accounts'!$A:$A,'Chart of Accounts'!C:C,"")</f>
        <v>Asset</v>
      </c>
      <c r="G1725" s="14" t="s">
        <v>414</v>
      </c>
      <c r="H1725" s="16">
        <v>250000</v>
      </c>
      <c r="I1725" s="16"/>
      <c r="J1725" s="16">
        <v>250000</v>
      </c>
      <c r="K1725" s="14" t="s">
        <v>415</v>
      </c>
    </row>
    <row r="1726" spans="1:11" ht="15" customHeight="1">
      <c r="A1726" s="13">
        <v>45838</v>
      </c>
      <c r="B1726" s="14" t="s">
        <v>413</v>
      </c>
      <c r="C1726" s="14"/>
      <c r="D1726" s="14" t="s">
        <v>48</v>
      </c>
      <c r="E1726" s="14" t="str">
        <f>_xlfn.XLOOKUP($D1726,'Chart of Accounts'!$A:$A,'Chart of Accounts'!B:B,"")</f>
        <v>Accounts Receivable - Trade</v>
      </c>
      <c r="F1726" s="14" t="str">
        <f>_xlfn.XLOOKUP($D1726,'Chart of Accounts'!$A:$A,'Chart of Accounts'!C:C,"")</f>
        <v>Asset</v>
      </c>
      <c r="G1726" s="14" t="s">
        <v>414</v>
      </c>
      <c r="H1726" s="16">
        <v>38500</v>
      </c>
      <c r="I1726" s="16"/>
      <c r="J1726" s="16">
        <v>38500</v>
      </c>
      <c r="K1726" s="14" t="s">
        <v>415</v>
      </c>
    </row>
    <row r="1727" spans="1:11" ht="15" customHeight="1">
      <c r="A1727" s="13">
        <v>45838</v>
      </c>
      <c r="B1727" s="14" t="s">
        <v>413</v>
      </c>
      <c r="C1727" s="14"/>
      <c r="D1727" s="14" t="s">
        <v>51</v>
      </c>
      <c r="E1727" s="14" t="str">
        <f>_xlfn.XLOOKUP($D1727,'Chart of Accounts'!$A:$A,'Chart of Accounts'!B:B,"")</f>
        <v>Grants Receivable</v>
      </c>
      <c r="F1727" s="14" t="str">
        <f>_xlfn.XLOOKUP($D1727,'Chart of Accounts'!$A:$A,'Chart of Accounts'!C:C,"")</f>
        <v>Asset</v>
      </c>
      <c r="G1727" s="14" t="s">
        <v>414</v>
      </c>
      <c r="H1727" s="16">
        <v>96000</v>
      </c>
      <c r="I1727" s="16"/>
      <c r="J1727" s="16">
        <v>96000</v>
      </c>
      <c r="K1727" s="14" t="s">
        <v>415</v>
      </c>
    </row>
    <row r="1728" spans="1:11" ht="15" customHeight="1">
      <c r="A1728" s="13">
        <v>46174</v>
      </c>
      <c r="B1728" s="14" t="s">
        <v>598</v>
      </c>
      <c r="C1728" s="19" t="s">
        <v>8</v>
      </c>
      <c r="D1728" s="14" t="s">
        <v>117</v>
      </c>
      <c r="E1728" s="14" t="str">
        <f>_xlfn.XLOOKUP($D1728,'Chart of Accounts'!$A:$A,'Chart of Accounts'!B:B,"")</f>
        <v>Insurance</v>
      </c>
      <c r="F1728" s="14" t="str">
        <f>_xlfn.XLOOKUP($D1728,'Chart of Accounts'!$A:$A,'Chart of Accounts'!C:C,"")</f>
        <v>Expense</v>
      </c>
      <c r="G1728" s="14" t="s">
        <v>479</v>
      </c>
      <c r="H1728" s="16">
        <v>845.2</v>
      </c>
      <c r="I1728" s="16"/>
      <c r="J1728" s="16">
        <v>845.2</v>
      </c>
      <c r="K1728" s="14" t="s">
        <v>225</v>
      </c>
    </row>
    <row r="1729" spans="1:11" ht="15" customHeight="1">
      <c r="A1729" s="13">
        <v>45838</v>
      </c>
      <c r="B1729" s="14" t="s">
        <v>413</v>
      </c>
      <c r="C1729" s="14"/>
      <c r="D1729" s="14" t="s">
        <v>55</v>
      </c>
      <c r="E1729" s="14" t="str">
        <f>_xlfn.XLOOKUP($D1729,'Chart of Accounts'!$A:$A,'Chart of Accounts'!B:B,"")</f>
        <v>Property and Equipment</v>
      </c>
      <c r="F1729" s="14" t="str">
        <f>_xlfn.XLOOKUP($D1729,'Chart of Accounts'!$A:$A,'Chart of Accounts'!C:C,"")</f>
        <v>Asset</v>
      </c>
      <c r="G1729" s="14" t="s">
        <v>414</v>
      </c>
      <c r="H1729" s="16">
        <v>145000</v>
      </c>
      <c r="I1729" s="16"/>
      <c r="J1729" s="16">
        <v>145000</v>
      </c>
      <c r="K1729" s="14" t="s">
        <v>415</v>
      </c>
    </row>
    <row r="1730" spans="1:11" ht="15" customHeight="1">
      <c r="A1730" s="13">
        <v>45838</v>
      </c>
      <c r="B1730" s="14" t="s">
        <v>413</v>
      </c>
      <c r="C1730" s="14"/>
      <c r="D1730" s="14" t="s">
        <v>58</v>
      </c>
      <c r="E1730" s="14" t="str">
        <f>_xlfn.XLOOKUP($D1730,'Chart of Accounts'!$A:$A,'Chart of Accounts'!B:B,"")</f>
        <v>Accumulated Depreciation</v>
      </c>
      <c r="F1730" s="14" t="str">
        <f>_xlfn.XLOOKUP($D1730,'Chart of Accounts'!$A:$A,'Chart of Accounts'!C:C,"")</f>
        <v>Asset</v>
      </c>
      <c r="G1730" s="14" t="s">
        <v>414</v>
      </c>
      <c r="H1730" s="16"/>
      <c r="I1730" s="16">
        <v>62000</v>
      </c>
      <c r="J1730" s="16">
        <v>-62000</v>
      </c>
      <c r="K1730" s="14" t="s">
        <v>415</v>
      </c>
    </row>
    <row r="1731" spans="1:11" ht="15" customHeight="1">
      <c r="A1731" s="13">
        <v>45838</v>
      </c>
      <c r="B1731" s="14" t="s">
        <v>413</v>
      </c>
      <c r="C1731" s="14"/>
      <c r="D1731" s="14" t="s">
        <v>61</v>
      </c>
      <c r="E1731" s="14" t="str">
        <f>_xlfn.XLOOKUP($D1731,'Chart of Accounts'!$A:$A,'Chart of Accounts'!B:B,"")</f>
        <v>Security Deposits</v>
      </c>
      <c r="F1731" s="14" t="str">
        <f>_xlfn.XLOOKUP($D1731,'Chart of Accounts'!$A:$A,'Chart of Accounts'!C:C,"")</f>
        <v>Asset</v>
      </c>
      <c r="G1731" s="14" t="s">
        <v>414</v>
      </c>
      <c r="H1731" s="16">
        <v>8000</v>
      </c>
      <c r="I1731" s="16"/>
      <c r="J1731" s="16">
        <v>8000</v>
      </c>
      <c r="K1731" s="14" t="s">
        <v>415</v>
      </c>
    </row>
    <row r="1732" spans="1:11" ht="15" customHeight="1">
      <c r="A1732" s="13">
        <v>46174</v>
      </c>
      <c r="B1732" s="14" t="s">
        <v>598</v>
      </c>
      <c r="C1732" s="19" t="s">
        <v>10</v>
      </c>
      <c r="D1732" s="14" t="s">
        <v>117</v>
      </c>
      <c r="E1732" s="14" t="str">
        <f>_xlfn.XLOOKUP($D1732,'Chart of Accounts'!$A:$A,'Chart of Accounts'!B:B,"")</f>
        <v>Insurance</v>
      </c>
      <c r="F1732" s="14" t="str">
        <f>_xlfn.XLOOKUP($D1732,'Chart of Accounts'!$A:$A,'Chart of Accounts'!C:C,"")</f>
        <v>Expense</v>
      </c>
      <c r="G1732" s="14" t="s">
        <v>479</v>
      </c>
      <c r="H1732" s="16">
        <v>281.73</v>
      </c>
      <c r="I1732" s="16"/>
      <c r="J1732" s="16">
        <v>281.73</v>
      </c>
      <c r="K1732" s="14" t="s">
        <v>225</v>
      </c>
    </row>
    <row r="1733" spans="1:11" ht="15" customHeight="1">
      <c r="A1733" s="13">
        <v>45838</v>
      </c>
      <c r="B1733" s="14" t="s">
        <v>413</v>
      </c>
      <c r="C1733" s="14"/>
      <c r="D1733" s="14" t="s">
        <v>12</v>
      </c>
      <c r="E1733" s="14" t="str">
        <f>_xlfn.XLOOKUP($D1733,'Chart of Accounts'!$A:$A,'Chart of Accounts'!B:B,"")</f>
        <v>Accrued Payroll</v>
      </c>
      <c r="F1733" s="14" t="str">
        <f>_xlfn.XLOOKUP($D1733,'Chart of Accounts'!$A:$A,'Chart of Accounts'!C:C,"")</f>
        <v>Liability</v>
      </c>
      <c r="G1733" s="14" t="s">
        <v>414</v>
      </c>
      <c r="H1733" s="16"/>
      <c r="I1733" s="16">
        <v>31000</v>
      </c>
      <c r="J1733" s="16">
        <v>-31000</v>
      </c>
      <c r="K1733" s="14" t="s">
        <v>415</v>
      </c>
    </row>
    <row r="1734" spans="1:11" ht="15" customHeight="1">
      <c r="A1734" s="13">
        <v>45838</v>
      </c>
      <c r="B1734" s="14" t="s">
        <v>413</v>
      </c>
      <c r="C1734" s="14"/>
      <c r="D1734" s="14" t="s">
        <v>14</v>
      </c>
      <c r="E1734" s="14" t="str">
        <f>_xlfn.XLOOKUP($D1734,'Chart of Accounts'!$A:$A,'Chart of Accounts'!B:B,"")</f>
        <v>Accrued Vacation/PTO</v>
      </c>
      <c r="F1734" s="14" t="str">
        <f>_xlfn.XLOOKUP($D1734,'Chart of Accounts'!$A:$A,'Chart of Accounts'!C:C,"")</f>
        <v>Liability</v>
      </c>
      <c r="G1734" s="14" t="s">
        <v>414</v>
      </c>
      <c r="H1734" s="16"/>
      <c r="I1734" s="16">
        <v>18500</v>
      </c>
      <c r="J1734" s="16">
        <v>-18500</v>
      </c>
      <c r="K1734" s="14" t="s">
        <v>415</v>
      </c>
    </row>
    <row r="1735" spans="1:11" ht="15" customHeight="1">
      <c r="A1735" s="13">
        <v>45838</v>
      </c>
      <c r="B1735" s="14" t="s">
        <v>413</v>
      </c>
      <c r="C1735" s="14"/>
      <c r="D1735" s="14" t="s">
        <v>68</v>
      </c>
      <c r="E1735" s="14" t="str">
        <f>_xlfn.XLOOKUP($D1735,'Chart of Accounts'!$A:$A,'Chart of Accounts'!B:B,"")</f>
        <v>Deferred Revenue</v>
      </c>
      <c r="F1735" s="14" t="str">
        <f>_xlfn.XLOOKUP($D1735,'Chart of Accounts'!$A:$A,'Chart of Accounts'!C:C,"")</f>
        <v>Liability</v>
      </c>
      <c r="G1735" s="14" t="s">
        <v>414</v>
      </c>
      <c r="H1735" s="16"/>
      <c r="I1735" s="16">
        <v>41000</v>
      </c>
      <c r="J1735" s="16">
        <v>-41000</v>
      </c>
      <c r="K1735" s="14" t="s">
        <v>415</v>
      </c>
    </row>
    <row r="1736" spans="1:11" ht="15" customHeight="1">
      <c r="A1736" s="13">
        <v>45838</v>
      </c>
      <c r="B1736" s="14" t="s">
        <v>413</v>
      </c>
      <c r="C1736" s="14"/>
      <c r="D1736" s="14" t="s">
        <v>70</v>
      </c>
      <c r="E1736" s="14" t="str">
        <f>_xlfn.XLOOKUP($D1736,'Chart of Accounts'!$A:$A,'Chart of Accounts'!B:B,"")</f>
        <v>Refundable Grant Advances</v>
      </c>
      <c r="F1736" s="14" t="str">
        <f>_xlfn.XLOOKUP($D1736,'Chart of Accounts'!$A:$A,'Chart of Accounts'!C:C,"")</f>
        <v>Liability</v>
      </c>
      <c r="G1736" s="14" t="s">
        <v>414</v>
      </c>
      <c r="H1736" s="16"/>
      <c r="I1736" s="16">
        <v>22000</v>
      </c>
      <c r="J1736" s="16">
        <v>-22000</v>
      </c>
      <c r="K1736" s="14" t="s">
        <v>415</v>
      </c>
    </row>
    <row r="1737" spans="1:11" ht="15" customHeight="1">
      <c r="A1737" s="13">
        <v>45838</v>
      </c>
      <c r="B1737" s="14" t="s">
        <v>413</v>
      </c>
      <c r="C1737" s="14"/>
      <c r="D1737" s="14" t="s">
        <v>72</v>
      </c>
      <c r="E1737" s="14" t="str">
        <f>_xlfn.XLOOKUP($D1737,'Chart of Accounts'!$A:$A,'Chart of Accounts'!B:B,"")</f>
        <v>Notes Payable - Current</v>
      </c>
      <c r="F1737" s="14" t="str">
        <f>_xlfn.XLOOKUP($D1737,'Chart of Accounts'!$A:$A,'Chart of Accounts'!C:C,"")</f>
        <v>Liability</v>
      </c>
      <c r="G1737" s="14" t="s">
        <v>414</v>
      </c>
      <c r="H1737" s="16"/>
      <c r="I1737" s="16">
        <v>15000</v>
      </c>
      <c r="J1737" s="16">
        <v>-15000</v>
      </c>
      <c r="K1737" s="14" t="s">
        <v>415</v>
      </c>
    </row>
    <row r="1738" spans="1:11" ht="15" customHeight="1">
      <c r="A1738" s="13">
        <v>45838</v>
      </c>
      <c r="B1738" s="14" t="s">
        <v>413</v>
      </c>
      <c r="C1738" s="14"/>
      <c r="D1738" s="14" t="s">
        <v>75</v>
      </c>
      <c r="E1738" s="14" t="str">
        <f>_xlfn.XLOOKUP($D1738,'Chart of Accounts'!$A:$A,'Chart of Accounts'!B:B,"")</f>
        <v>Notes Payable - Long Term</v>
      </c>
      <c r="F1738" s="14" t="str">
        <f>_xlfn.XLOOKUP($D1738,'Chart of Accounts'!$A:$A,'Chart of Accounts'!C:C,"")</f>
        <v>Liability</v>
      </c>
      <c r="G1738" s="14" t="s">
        <v>414</v>
      </c>
      <c r="H1738" s="16"/>
      <c r="I1738" s="16">
        <v>85000</v>
      </c>
      <c r="J1738" s="16">
        <v>-85000</v>
      </c>
      <c r="K1738" s="14" t="s">
        <v>415</v>
      </c>
    </row>
    <row r="1739" spans="1:11" ht="15" customHeight="1">
      <c r="A1739" s="13">
        <v>45838</v>
      </c>
      <c r="B1739" s="14" t="s">
        <v>413</v>
      </c>
      <c r="C1739" s="14"/>
      <c r="D1739" s="14" t="s">
        <v>77</v>
      </c>
      <c r="E1739" s="14" t="str">
        <f>_xlfn.XLOOKUP($D1739,'Chart of Accounts'!$A:$A,'Chart of Accounts'!B:B,"")</f>
        <v>Net Assets - Unrestricted</v>
      </c>
      <c r="F1739" s="14" t="str">
        <f>_xlfn.XLOOKUP($D1739,'Chart of Accounts'!$A:$A,'Chart of Accounts'!C:C,"")</f>
        <v>Equity</v>
      </c>
      <c r="G1739" s="14" t="s">
        <v>414</v>
      </c>
      <c r="H1739" s="16"/>
      <c r="I1739" s="16">
        <v>310000</v>
      </c>
      <c r="J1739" s="16">
        <v>-310000</v>
      </c>
      <c r="K1739" s="14" t="s">
        <v>415</v>
      </c>
    </row>
    <row r="1740" spans="1:11" ht="15" customHeight="1">
      <c r="A1740" s="13">
        <v>45838</v>
      </c>
      <c r="B1740" s="14" t="s">
        <v>413</v>
      </c>
      <c r="C1740" s="14"/>
      <c r="D1740" s="14" t="s">
        <v>81</v>
      </c>
      <c r="E1740" s="14" t="str">
        <f>_xlfn.XLOOKUP($D1740,'Chart of Accounts'!$A:$A,'Chart of Accounts'!B:B,"")</f>
        <v>Net Assets - Temporarily Restricted</v>
      </c>
      <c r="F1740" s="14" t="str">
        <f>_xlfn.XLOOKUP($D1740,'Chart of Accounts'!$A:$A,'Chart of Accounts'!C:C,"")</f>
        <v>Equity</v>
      </c>
      <c r="G1740" s="14" t="s">
        <v>414</v>
      </c>
      <c r="H1740" s="16"/>
      <c r="I1740" s="16">
        <v>138300</v>
      </c>
      <c r="J1740" s="16">
        <v>-138300</v>
      </c>
      <c r="K1740" s="14" t="s">
        <v>415</v>
      </c>
    </row>
    <row r="1741" spans="1:11" ht="15" customHeight="1">
      <c r="A1741" s="13">
        <v>45839</v>
      </c>
      <c r="B1741" s="14" t="s">
        <v>412</v>
      </c>
      <c r="C1741" s="14"/>
      <c r="D1741" s="14" t="s">
        <v>12</v>
      </c>
      <c r="E1741" s="14" t="str">
        <f>_xlfn.XLOOKUP($D1741,'Chart of Accounts'!$A:$A,'Chart of Accounts'!B:B,"")</f>
        <v>Accrued Payroll</v>
      </c>
      <c r="F1741" s="14" t="str">
        <f>_xlfn.XLOOKUP($D1741,'Chart of Accounts'!$A:$A,'Chart of Accounts'!C:C,"")</f>
        <v>Liability</v>
      </c>
      <c r="G1741" s="14" t="s">
        <v>608</v>
      </c>
      <c r="H1741" s="16"/>
      <c r="I1741" s="16">
        <v>122644.38</v>
      </c>
      <c r="J1741" s="16">
        <v>-122644.38</v>
      </c>
      <c r="K1741" s="14" t="s">
        <v>225</v>
      </c>
    </row>
    <row r="1742" spans="1:11" ht="15" customHeight="1">
      <c r="A1742" s="13">
        <v>45870</v>
      </c>
      <c r="B1742" s="14" t="s">
        <v>411</v>
      </c>
      <c r="C1742" s="14"/>
      <c r="D1742" s="14" t="s">
        <v>12</v>
      </c>
      <c r="E1742" s="14" t="str">
        <f>_xlfn.XLOOKUP($D1742,'Chart of Accounts'!$A:$A,'Chart of Accounts'!B:B,"")</f>
        <v>Accrued Payroll</v>
      </c>
      <c r="F1742" s="14" t="str">
        <f>_xlfn.XLOOKUP($D1742,'Chart of Accounts'!$A:$A,'Chart of Accounts'!C:C,"")</f>
        <v>Liability</v>
      </c>
      <c r="G1742" s="14" t="s">
        <v>608</v>
      </c>
      <c r="H1742" s="16"/>
      <c r="I1742" s="16">
        <v>124657.04</v>
      </c>
      <c r="J1742" s="16">
        <v>-124657.04</v>
      </c>
      <c r="K1742" s="14" t="s">
        <v>225</v>
      </c>
    </row>
    <row r="1743" spans="1:11" ht="15" customHeight="1">
      <c r="A1743" s="13">
        <v>45901</v>
      </c>
      <c r="B1743" s="14" t="s">
        <v>410</v>
      </c>
      <c r="C1743" s="14"/>
      <c r="D1743" s="14" t="s">
        <v>12</v>
      </c>
      <c r="E1743" s="14" t="str">
        <f>_xlfn.XLOOKUP($D1743,'Chart of Accounts'!$A:$A,'Chart of Accounts'!B:B,"")</f>
        <v>Accrued Payroll</v>
      </c>
      <c r="F1743" s="14" t="str">
        <f>_xlfn.XLOOKUP($D1743,'Chart of Accounts'!$A:$A,'Chart of Accounts'!C:C,"")</f>
        <v>Liability</v>
      </c>
      <c r="G1743" s="14" t="s">
        <v>608</v>
      </c>
      <c r="H1743" s="16"/>
      <c r="I1743" s="16">
        <v>128036.33</v>
      </c>
      <c r="J1743" s="16">
        <v>-128036.33</v>
      </c>
      <c r="K1743" s="14" t="s">
        <v>225</v>
      </c>
    </row>
    <row r="1744" spans="1:11" ht="15" customHeight="1">
      <c r="A1744" s="13">
        <v>45931</v>
      </c>
      <c r="B1744" s="14" t="s">
        <v>409</v>
      </c>
      <c r="C1744" s="14"/>
      <c r="D1744" s="14" t="s">
        <v>12</v>
      </c>
      <c r="E1744" s="14" t="str">
        <f>_xlfn.XLOOKUP($D1744,'Chart of Accounts'!$A:$A,'Chart of Accounts'!B:B,"")</f>
        <v>Accrued Payroll</v>
      </c>
      <c r="F1744" s="14" t="str">
        <f>_xlfn.XLOOKUP($D1744,'Chart of Accounts'!$A:$A,'Chart of Accounts'!C:C,"")</f>
        <v>Liability</v>
      </c>
      <c r="G1744" s="14" t="s">
        <v>608</v>
      </c>
      <c r="H1744" s="16"/>
      <c r="I1744" s="16">
        <v>129101.8</v>
      </c>
      <c r="J1744" s="16">
        <v>-129101.8</v>
      </c>
      <c r="K1744" s="14" t="s">
        <v>225</v>
      </c>
    </row>
    <row r="1745" spans="1:11" ht="15" customHeight="1">
      <c r="A1745" s="13">
        <v>45962</v>
      </c>
      <c r="B1745" s="14" t="s">
        <v>408</v>
      </c>
      <c r="C1745" s="14"/>
      <c r="D1745" s="14" t="s">
        <v>12</v>
      </c>
      <c r="E1745" s="14" t="str">
        <f>_xlfn.XLOOKUP($D1745,'Chart of Accounts'!$A:$A,'Chart of Accounts'!B:B,"")</f>
        <v>Accrued Payroll</v>
      </c>
      <c r="F1745" s="14" t="str">
        <f>_xlfn.XLOOKUP($D1745,'Chart of Accounts'!$A:$A,'Chart of Accounts'!C:C,"")</f>
        <v>Liability</v>
      </c>
      <c r="G1745" s="14" t="s">
        <v>608</v>
      </c>
      <c r="H1745" s="16"/>
      <c r="I1745" s="16">
        <v>124722.61</v>
      </c>
      <c r="J1745" s="16">
        <v>-124722.61</v>
      </c>
      <c r="K1745" s="14" t="s">
        <v>225</v>
      </c>
    </row>
    <row r="1746" spans="1:11" ht="15" customHeight="1">
      <c r="A1746" s="13">
        <v>45992</v>
      </c>
      <c r="B1746" s="14" t="s">
        <v>407</v>
      </c>
      <c r="C1746" s="14"/>
      <c r="D1746" s="14" t="s">
        <v>12</v>
      </c>
      <c r="E1746" s="14" t="str">
        <f>_xlfn.XLOOKUP($D1746,'Chart of Accounts'!$A:$A,'Chart of Accounts'!B:B,"")</f>
        <v>Accrued Payroll</v>
      </c>
      <c r="F1746" s="14" t="str">
        <f>_xlfn.XLOOKUP($D1746,'Chart of Accounts'!$A:$A,'Chart of Accounts'!C:C,"")</f>
        <v>Liability</v>
      </c>
      <c r="G1746" s="14" t="s">
        <v>608</v>
      </c>
      <c r="H1746" s="16"/>
      <c r="I1746" s="16">
        <v>126875.51</v>
      </c>
      <c r="J1746" s="16">
        <v>-126875.51</v>
      </c>
      <c r="K1746" s="14" t="s">
        <v>225</v>
      </c>
    </row>
    <row r="1747" spans="1:11" ht="15" customHeight="1">
      <c r="A1747" s="13">
        <v>46023</v>
      </c>
      <c r="B1747" s="14" t="s">
        <v>406</v>
      </c>
      <c r="C1747" s="14"/>
      <c r="D1747" s="14" t="s">
        <v>12</v>
      </c>
      <c r="E1747" s="14" t="str">
        <f>_xlfn.XLOOKUP($D1747,'Chart of Accounts'!$A:$A,'Chart of Accounts'!B:B,"")</f>
        <v>Accrued Payroll</v>
      </c>
      <c r="F1747" s="14" t="str">
        <f>_xlfn.XLOOKUP($D1747,'Chart of Accounts'!$A:$A,'Chart of Accounts'!C:C,"")</f>
        <v>Liability</v>
      </c>
      <c r="G1747" s="14" t="s">
        <v>608</v>
      </c>
      <c r="H1747" s="16"/>
      <c r="I1747" s="16">
        <v>125556.76</v>
      </c>
      <c r="J1747" s="16">
        <v>-125556.76</v>
      </c>
      <c r="K1747" s="14" t="s">
        <v>225</v>
      </c>
    </row>
    <row r="1748" spans="1:11" ht="15" customHeight="1">
      <c r="A1748" s="13">
        <v>46054</v>
      </c>
      <c r="B1748" s="14" t="s">
        <v>405</v>
      </c>
      <c r="C1748" s="14"/>
      <c r="D1748" s="14" t="s">
        <v>12</v>
      </c>
      <c r="E1748" s="14" t="str">
        <f>_xlfn.XLOOKUP($D1748,'Chart of Accounts'!$A:$A,'Chart of Accounts'!B:B,"")</f>
        <v>Accrued Payroll</v>
      </c>
      <c r="F1748" s="14" t="str">
        <f>_xlfn.XLOOKUP($D1748,'Chart of Accounts'!$A:$A,'Chart of Accounts'!C:C,"")</f>
        <v>Liability</v>
      </c>
      <c r="G1748" s="14" t="s">
        <v>608</v>
      </c>
      <c r="H1748" s="16"/>
      <c r="I1748" s="16">
        <v>128749.39</v>
      </c>
      <c r="J1748" s="16">
        <v>-128749.39</v>
      </c>
      <c r="K1748" s="14" t="s">
        <v>225</v>
      </c>
    </row>
    <row r="1749" spans="1:11" ht="15" customHeight="1">
      <c r="A1749" s="13">
        <v>46082</v>
      </c>
      <c r="B1749" s="14" t="s">
        <v>404</v>
      </c>
      <c r="C1749" s="14"/>
      <c r="D1749" s="14" t="s">
        <v>12</v>
      </c>
      <c r="E1749" s="14" t="str">
        <f>_xlfn.XLOOKUP($D1749,'Chart of Accounts'!$A:$A,'Chart of Accounts'!B:B,"")</f>
        <v>Accrued Payroll</v>
      </c>
      <c r="F1749" s="14" t="str">
        <f>_xlfn.XLOOKUP($D1749,'Chart of Accounts'!$A:$A,'Chart of Accounts'!C:C,"")</f>
        <v>Liability</v>
      </c>
      <c r="G1749" s="14" t="s">
        <v>608</v>
      </c>
      <c r="H1749" s="16"/>
      <c r="I1749" s="16">
        <v>126150.07</v>
      </c>
      <c r="J1749" s="16">
        <v>-126150.07</v>
      </c>
      <c r="K1749" s="14" t="s">
        <v>225</v>
      </c>
    </row>
    <row r="1750" spans="1:11" ht="15" customHeight="1">
      <c r="A1750" s="13">
        <v>46113</v>
      </c>
      <c r="B1750" s="14" t="s">
        <v>403</v>
      </c>
      <c r="C1750" s="14"/>
      <c r="D1750" s="14" t="s">
        <v>12</v>
      </c>
      <c r="E1750" s="14" t="str">
        <f>_xlfn.XLOOKUP($D1750,'Chart of Accounts'!$A:$A,'Chart of Accounts'!B:B,"")</f>
        <v>Accrued Payroll</v>
      </c>
      <c r="F1750" s="14" t="str">
        <f>_xlfn.XLOOKUP($D1750,'Chart of Accounts'!$A:$A,'Chart of Accounts'!C:C,"")</f>
        <v>Liability</v>
      </c>
      <c r="G1750" s="14" t="s">
        <v>608</v>
      </c>
      <c r="H1750" s="16"/>
      <c r="I1750" s="16">
        <v>127182.12</v>
      </c>
      <c r="J1750" s="16">
        <v>-127182.12</v>
      </c>
      <c r="K1750" s="14" t="s">
        <v>225</v>
      </c>
    </row>
    <row r="1751" spans="1:11" ht="15" customHeight="1">
      <c r="A1751" s="13">
        <v>46143</v>
      </c>
      <c r="B1751" s="14" t="s">
        <v>402</v>
      </c>
      <c r="C1751" s="14"/>
      <c r="D1751" s="14" t="s">
        <v>12</v>
      </c>
      <c r="E1751" s="14" t="str">
        <f>_xlfn.XLOOKUP($D1751,'Chart of Accounts'!$A:$A,'Chart of Accounts'!B:B,"")</f>
        <v>Accrued Payroll</v>
      </c>
      <c r="F1751" s="14" t="str">
        <f>_xlfn.XLOOKUP($D1751,'Chart of Accounts'!$A:$A,'Chart of Accounts'!C:C,"")</f>
        <v>Liability</v>
      </c>
      <c r="G1751" s="14" t="s">
        <v>608</v>
      </c>
      <c r="H1751" s="16"/>
      <c r="I1751" s="16">
        <v>118864.15</v>
      </c>
      <c r="J1751" s="16">
        <v>-118864.15</v>
      </c>
      <c r="K1751" s="14" t="s">
        <v>225</v>
      </c>
    </row>
    <row r="1752" spans="1:11" ht="15" customHeight="1">
      <c r="A1752" s="13">
        <v>46174</v>
      </c>
      <c r="B1752" s="14" t="s">
        <v>401</v>
      </c>
      <c r="C1752" s="14"/>
      <c r="D1752" s="14" t="s">
        <v>12</v>
      </c>
      <c r="E1752" s="14" t="str">
        <f>_xlfn.XLOOKUP($D1752,'Chart of Accounts'!$A:$A,'Chart of Accounts'!B:B,"")</f>
        <v>Accrued Payroll</v>
      </c>
      <c r="F1752" s="14" t="str">
        <f>_xlfn.XLOOKUP($D1752,'Chart of Accounts'!$A:$A,'Chart of Accounts'!C:C,"")</f>
        <v>Liability</v>
      </c>
      <c r="G1752" s="14" t="s">
        <v>608</v>
      </c>
      <c r="H1752" s="16"/>
      <c r="I1752" s="16">
        <v>124378.35</v>
      </c>
      <c r="J1752" s="16">
        <v>-124378.35</v>
      </c>
      <c r="K1752" s="14" t="s">
        <v>225</v>
      </c>
    </row>
    <row r="1753" spans="1:11" ht="15" customHeight="1">
      <c r="A1753" s="13">
        <v>45839</v>
      </c>
      <c r="B1753" s="14" t="s">
        <v>400</v>
      </c>
      <c r="C1753" s="14"/>
      <c r="D1753" s="14" t="s">
        <v>12</v>
      </c>
      <c r="E1753" s="14" t="str">
        <f>_xlfn.XLOOKUP($D1753,'Chart of Accounts'!$A:$A,'Chart of Accounts'!B:B,"")</f>
        <v>Accrued Payroll</v>
      </c>
      <c r="F1753" s="14" t="str">
        <f>_xlfn.XLOOKUP($D1753,'Chart of Accounts'!$A:$A,'Chart of Accounts'!C:C,"")</f>
        <v>Liability</v>
      </c>
      <c r="G1753" s="14" t="s">
        <v>608</v>
      </c>
      <c r="H1753" s="16"/>
      <c r="I1753" s="16">
        <v>9382.2900000000009</v>
      </c>
      <c r="J1753" s="16">
        <v>-9382.2900000000009</v>
      </c>
      <c r="K1753" s="14" t="s">
        <v>225</v>
      </c>
    </row>
    <row r="1754" spans="1:11" ht="15" customHeight="1">
      <c r="A1754" s="13">
        <v>45870</v>
      </c>
      <c r="B1754" s="14" t="s">
        <v>399</v>
      </c>
      <c r="C1754" s="14"/>
      <c r="D1754" s="14" t="s">
        <v>12</v>
      </c>
      <c r="E1754" s="14" t="str">
        <f>_xlfn.XLOOKUP($D1754,'Chart of Accounts'!$A:$A,'Chart of Accounts'!B:B,"")</f>
        <v>Accrued Payroll</v>
      </c>
      <c r="F1754" s="14" t="str">
        <f>_xlfn.XLOOKUP($D1754,'Chart of Accounts'!$A:$A,'Chart of Accounts'!C:C,"")</f>
        <v>Liability</v>
      </c>
      <c r="G1754" s="14" t="s">
        <v>608</v>
      </c>
      <c r="H1754" s="16"/>
      <c r="I1754" s="16">
        <v>9536.26</v>
      </c>
      <c r="J1754" s="16">
        <v>-9536.26</v>
      </c>
      <c r="K1754" s="14" t="s">
        <v>225</v>
      </c>
    </row>
    <row r="1755" spans="1:11" ht="15" customHeight="1">
      <c r="A1755" s="13">
        <v>45901</v>
      </c>
      <c r="B1755" s="14" t="s">
        <v>398</v>
      </c>
      <c r="C1755" s="14"/>
      <c r="D1755" s="14" t="s">
        <v>12</v>
      </c>
      <c r="E1755" s="14" t="str">
        <f>_xlfn.XLOOKUP($D1755,'Chart of Accounts'!$A:$A,'Chart of Accounts'!B:B,"")</f>
        <v>Accrued Payroll</v>
      </c>
      <c r="F1755" s="14" t="str">
        <f>_xlfn.XLOOKUP($D1755,'Chart of Accounts'!$A:$A,'Chart of Accounts'!C:C,"")</f>
        <v>Liability</v>
      </c>
      <c r="G1755" s="14" t="s">
        <v>608</v>
      </c>
      <c r="H1755" s="16"/>
      <c r="I1755" s="16">
        <v>9794.7800000000007</v>
      </c>
      <c r="J1755" s="16">
        <v>-9794.7800000000007</v>
      </c>
      <c r="K1755" s="14" t="s">
        <v>225</v>
      </c>
    </row>
    <row r="1756" spans="1:11" ht="15" customHeight="1">
      <c r="A1756" s="13">
        <v>45931</v>
      </c>
      <c r="B1756" s="14" t="s">
        <v>397</v>
      </c>
      <c r="C1756" s="14"/>
      <c r="D1756" s="14" t="s">
        <v>12</v>
      </c>
      <c r="E1756" s="14" t="str">
        <f>_xlfn.XLOOKUP($D1756,'Chart of Accounts'!$A:$A,'Chart of Accounts'!B:B,"")</f>
        <v>Accrued Payroll</v>
      </c>
      <c r="F1756" s="14" t="str">
        <f>_xlfn.XLOOKUP($D1756,'Chart of Accounts'!$A:$A,'Chart of Accounts'!C:C,"")</f>
        <v>Liability</v>
      </c>
      <c r="G1756" s="14" t="s">
        <v>608</v>
      </c>
      <c r="H1756" s="16"/>
      <c r="I1756" s="16">
        <v>9876.2900000000009</v>
      </c>
      <c r="J1756" s="16">
        <v>-9876.2900000000009</v>
      </c>
      <c r="K1756" s="14" t="s">
        <v>225</v>
      </c>
    </row>
    <row r="1757" spans="1:11" ht="15" customHeight="1">
      <c r="A1757" s="13">
        <v>45962</v>
      </c>
      <c r="B1757" s="14" t="s">
        <v>396</v>
      </c>
      <c r="C1757" s="14"/>
      <c r="D1757" s="14" t="s">
        <v>12</v>
      </c>
      <c r="E1757" s="14" t="str">
        <f>_xlfn.XLOOKUP($D1757,'Chart of Accounts'!$A:$A,'Chart of Accounts'!B:B,"")</f>
        <v>Accrued Payroll</v>
      </c>
      <c r="F1757" s="14" t="str">
        <f>_xlfn.XLOOKUP($D1757,'Chart of Accounts'!$A:$A,'Chart of Accounts'!C:C,"")</f>
        <v>Liability</v>
      </c>
      <c r="G1757" s="14" t="s">
        <v>608</v>
      </c>
      <c r="H1757" s="16"/>
      <c r="I1757" s="16">
        <v>9541.2800000000007</v>
      </c>
      <c r="J1757" s="16">
        <v>-9541.2800000000007</v>
      </c>
      <c r="K1757" s="14" t="s">
        <v>225</v>
      </c>
    </row>
    <row r="1758" spans="1:11" ht="15" customHeight="1">
      <c r="A1758" s="13">
        <v>45992</v>
      </c>
      <c r="B1758" s="14" t="s">
        <v>395</v>
      </c>
      <c r="C1758" s="14"/>
      <c r="D1758" s="14" t="s">
        <v>12</v>
      </c>
      <c r="E1758" s="14" t="str">
        <f>_xlfn.XLOOKUP($D1758,'Chart of Accounts'!$A:$A,'Chart of Accounts'!B:B,"")</f>
        <v>Accrued Payroll</v>
      </c>
      <c r="F1758" s="14" t="str">
        <f>_xlfn.XLOOKUP($D1758,'Chart of Accounts'!$A:$A,'Chart of Accounts'!C:C,"")</f>
        <v>Liability</v>
      </c>
      <c r="G1758" s="14" t="s">
        <v>608</v>
      </c>
      <c r="H1758" s="16"/>
      <c r="I1758" s="16">
        <v>9705.9699999999993</v>
      </c>
      <c r="J1758" s="16">
        <v>-9705.9699999999993</v>
      </c>
      <c r="K1758" s="14" t="s">
        <v>225</v>
      </c>
    </row>
    <row r="1759" spans="1:11" ht="15" customHeight="1">
      <c r="A1759" s="13">
        <v>46023</v>
      </c>
      <c r="B1759" s="14" t="s">
        <v>394</v>
      </c>
      <c r="C1759" s="14"/>
      <c r="D1759" s="14" t="s">
        <v>12</v>
      </c>
      <c r="E1759" s="14" t="str">
        <f>_xlfn.XLOOKUP($D1759,'Chart of Accounts'!$A:$A,'Chart of Accounts'!B:B,"")</f>
        <v>Accrued Payroll</v>
      </c>
      <c r="F1759" s="14" t="str">
        <f>_xlfn.XLOOKUP($D1759,'Chart of Accounts'!$A:$A,'Chart of Accounts'!C:C,"")</f>
        <v>Liability</v>
      </c>
      <c r="G1759" s="14" t="s">
        <v>608</v>
      </c>
      <c r="H1759" s="16"/>
      <c r="I1759" s="16">
        <v>9605.1</v>
      </c>
      <c r="J1759" s="16">
        <v>-9605.1</v>
      </c>
      <c r="K1759" s="14" t="s">
        <v>225</v>
      </c>
    </row>
    <row r="1760" spans="1:11" ht="15" customHeight="1">
      <c r="A1760" s="13">
        <v>46054</v>
      </c>
      <c r="B1760" s="14" t="s">
        <v>393</v>
      </c>
      <c r="C1760" s="14"/>
      <c r="D1760" s="14" t="s">
        <v>12</v>
      </c>
      <c r="E1760" s="14" t="str">
        <f>_xlfn.XLOOKUP($D1760,'Chart of Accounts'!$A:$A,'Chart of Accounts'!B:B,"")</f>
        <v>Accrued Payroll</v>
      </c>
      <c r="F1760" s="14" t="str">
        <f>_xlfn.XLOOKUP($D1760,'Chart of Accounts'!$A:$A,'Chart of Accounts'!C:C,"")</f>
        <v>Liability</v>
      </c>
      <c r="G1760" s="14" t="s">
        <v>608</v>
      </c>
      <c r="H1760" s="16"/>
      <c r="I1760" s="16">
        <v>9849.33</v>
      </c>
      <c r="J1760" s="16">
        <v>-9849.33</v>
      </c>
      <c r="K1760" s="14" t="s">
        <v>225</v>
      </c>
    </row>
    <row r="1761" spans="1:11" ht="15" customHeight="1">
      <c r="A1761" s="13">
        <v>46082</v>
      </c>
      <c r="B1761" s="14" t="s">
        <v>392</v>
      </c>
      <c r="C1761" s="14"/>
      <c r="D1761" s="14" t="s">
        <v>12</v>
      </c>
      <c r="E1761" s="14" t="str">
        <f>_xlfn.XLOOKUP($D1761,'Chart of Accounts'!$A:$A,'Chart of Accounts'!B:B,"")</f>
        <v>Accrued Payroll</v>
      </c>
      <c r="F1761" s="14" t="str">
        <f>_xlfn.XLOOKUP($D1761,'Chart of Accounts'!$A:$A,'Chart of Accounts'!C:C,"")</f>
        <v>Liability</v>
      </c>
      <c r="G1761" s="14" t="s">
        <v>608</v>
      </c>
      <c r="H1761" s="16"/>
      <c r="I1761" s="16">
        <v>9650.48</v>
      </c>
      <c r="J1761" s="16">
        <v>-9650.48</v>
      </c>
      <c r="K1761" s="14" t="s">
        <v>225</v>
      </c>
    </row>
    <row r="1762" spans="1:11" ht="15" customHeight="1">
      <c r="A1762" s="13">
        <v>46113</v>
      </c>
      <c r="B1762" s="14" t="s">
        <v>391</v>
      </c>
      <c r="C1762" s="14"/>
      <c r="D1762" s="14" t="s">
        <v>12</v>
      </c>
      <c r="E1762" s="14" t="str">
        <f>_xlfn.XLOOKUP($D1762,'Chart of Accounts'!$A:$A,'Chart of Accounts'!B:B,"")</f>
        <v>Accrued Payroll</v>
      </c>
      <c r="F1762" s="14" t="str">
        <f>_xlfn.XLOOKUP($D1762,'Chart of Accounts'!$A:$A,'Chart of Accounts'!C:C,"")</f>
        <v>Liability</v>
      </c>
      <c r="G1762" s="14" t="s">
        <v>608</v>
      </c>
      <c r="H1762" s="16"/>
      <c r="I1762" s="16">
        <v>9729.44</v>
      </c>
      <c r="J1762" s="16">
        <v>-9729.44</v>
      </c>
      <c r="K1762" s="14" t="s">
        <v>225</v>
      </c>
    </row>
    <row r="1763" spans="1:11" ht="15" customHeight="1">
      <c r="A1763" s="13">
        <v>46143</v>
      </c>
      <c r="B1763" s="14" t="s">
        <v>390</v>
      </c>
      <c r="C1763" s="14"/>
      <c r="D1763" s="14" t="s">
        <v>12</v>
      </c>
      <c r="E1763" s="14" t="str">
        <f>_xlfn.XLOOKUP($D1763,'Chart of Accounts'!$A:$A,'Chart of Accounts'!B:B,"")</f>
        <v>Accrued Payroll</v>
      </c>
      <c r="F1763" s="14" t="str">
        <f>_xlfn.XLOOKUP($D1763,'Chart of Accounts'!$A:$A,'Chart of Accounts'!C:C,"")</f>
        <v>Liability</v>
      </c>
      <c r="G1763" s="14" t="s">
        <v>608</v>
      </c>
      <c r="H1763" s="16"/>
      <c r="I1763" s="16">
        <v>9093.1</v>
      </c>
      <c r="J1763" s="16">
        <v>-9093.1</v>
      </c>
      <c r="K1763" s="14" t="s">
        <v>225</v>
      </c>
    </row>
    <row r="1764" spans="1:11" ht="15" customHeight="1">
      <c r="A1764" s="13">
        <v>46174</v>
      </c>
      <c r="B1764" s="14" t="s">
        <v>389</v>
      </c>
      <c r="C1764" s="14"/>
      <c r="D1764" s="14" t="s">
        <v>12</v>
      </c>
      <c r="E1764" s="14" t="str">
        <f>_xlfn.XLOOKUP($D1764,'Chart of Accounts'!$A:$A,'Chart of Accounts'!B:B,"")</f>
        <v>Accrued Payroll</v>
      </c>
      <c r="F1764" s="14" t="str">
        <f>_xlfn.XLOOKUP($D1764,'Chart of Accounts'!$A:$A,'Chart of Accounts'!C:C,"")</f>
        <v>Liability</v>
      </c>
      <c r="G1764" s="14" t="s">
        <v>608</v>
      </c>
      <c r="H1764" s="16"/>
      <c r="I1764" s="16">
        <v>9514.94</v>
      </c>
      <c r="J1764" s="16">
        <v>-9514.94</v>
      </c>
      <c r="K1764" s="14" t="s">
        <v>225</v>
      </c>
    </row>
    <row r="1765" spans="1:11" ht="15" customHeight="1">
      <c r="A1765" s="13">
        <v>45839</v>
      </c>
      <c r="B1765" s="14" t="s">
        <v>388</v>
      </c>
      <c r="C1765" s="14"/>
      <c r="D1765" s="14" t="s">
        <v>12</v>
      </c>
      <c r="E1765" s="14" t="str">
        <f>_xlfn.XLOOKUP($D1765,'Chart of Accounts'!$A:$A,'Chart of Accounts'!B:B,"")</f>
        <v>Accrued Payroll</v>
      </c>
      <c r="F1765" s="14" t="str">
        <f>_xlfn.XLOOKUP($D1765,'Chart of Accounts'!$A:$A,'Chart of Accounts'!C:C,"")</f>
        <v>Liability</v>
      </c>
      <c r="G1765" s="14" t="s">
        <v>608</v>
      </c>
      <c r="H1765" s="16"/>
      <c r="I1765" s="16">
        <v>13490.88</v>
      </c>
      <c r="J1765" s="16">
        <v>-13490.88</v>
      </c>
      <c r="K1765" s="14" t="s">
        <v>225</v>
      </c>
    </row>
    <row r="1766" spans="1:11" ht="15" customHeight="1">
      <c r="A1766" s="13">
        <v>45870</v>
      </c>
      <c r="B1766" s="14" t="s">
        <v>387</v>
      </c>
      <c r="C1766" s="14"/>
      <c r="D1766" s="14" t="s">
        <v>12</v>
      </c>
      <c r="E1766" s="14" t="str">
        <f>_xlfn.XLOOKUP($D1766,'Chart of Accounts'!$A:$A,'Chart of Accounts'!B:B,"")</f>
        <v>Accrued Payroll</v>
      </c>
      <c r="F1766" s="14" t="str">
        <f>_xlfn.XLOOKUP($D1766,'Chart of Accounts'!$A:$A,'Chart of Accounts'!C:C,"")</f>
        <v>Liability</v>
      </c>
      <c r="G1766" s="14" t="s">
        <v>608</v>
      </c>
      <c r="H1766" s="16"/>
      <c r="I1766" s="16">
        <v>13712.27</v>
      </c>
      <c r="J1766" s="16">
        <v>-13712.27</v>
      </c>
      <c r="K1766" s="14" t="s">
        <v>225</v>
      </c>
    </row>
    <row r="1767" spans="1:11" ht="15" customHeight="1">
      <c r="A1767" s="13">
        <v>45901</v>
      </c>
      <c r="B1767" s="14" t="s">
        <v>386</v>
      </c>
      <c r="C1767" s="14"/>
      <c r="D1767" s="14" t="s">
        <v>12</v>
      </c>
      <c r="E1767" s="14" t="str">
        <f>_xlfn.XLOOKUP($D1767,'Chart of Accounts'!$A:$A,'Chart of Accounts'!B:B,"")</f>
        <v>Accrued Payroll</v>
      </c>
      <c r="F1767" s="14" t="str">
        <f>_xlfn.XLOOKUP($D1767,'Chart of Accounts'!$A:$A,'Chart of Accounts'!C:C,"")</f>
        <v>Liability</v>
      </c>
      <c r="G1767" s="14" t="s">
        <v>608</v>
      </c>
      <c r="H1767" s="16"/>
      <c r="I1767" s="16">
        <v>14084</v>
      </c>
      <c r="J1767" s="16">
        <v>-14084</v>
      </c>
      <c r="K1767" s="14" t="s">
        <v>225</v>
      </c>
    </row>
    <row r="1768" spans="1:11" ht="15" customHeight="1">
      <c r="A1768" s="13">
        <v>45931</v>
      </c>
      <c r="B1768" s="14" t="s">
        <v>385</v>
      </c>
      <c r="C1768" s="14"/>
      <c r="D1768" s="14" t="s">
        <v>12</v>
      </c>
      <c r="E1768" s="14" t="str">
        <f>_xlfn.XLOOKUP($D1768,'Chart of Accounts'!$A:$A,'Chart of Accounts'!B:B,"")</f>
        <v>Accrued Payroll</v>
      </c>
      <c r="F1768" s="14" t="str">
        <f>_xlfn.XLOOKUP($D1768,'Chart of Accounts'!$A:$A,'Chart of Accounts'!C:C,"")</f>
        <v>Liability</v>
      </c>
      <c r="G1768" s="14" t="s">
        <v>608</v>
      </c>
      <c r="H1768" s="16"/>
      <c r="I1768" s="16">
        <v>14201.2</v>
      </c>
      <c r="J1768" s="16">
        <v>-14201.2</v>
      </c>
      <c r="K1768" s="14" t="s">
        <v>225</v>
      </c>
    </row>
    <row r="1769" spans="1:11" ht="15" customHeight="1">
      <c r="A1769" s="13">
        <v>45962</v>
      </c>
      <c r="B1769" s="14" t="s">
        <v>384</v>
      </c>
      <c r="C1769" s="14"/>
      <c r="D1769" s="14" t="s">
        <v>12</v>
      </c>
      <c r="E1769" s="14" t="str">
        <f>_xlfn.XLOOKUP($D1769,'Chart of Accounts'!$A:$A,'Chart of Accounts'!B:B,"")</f>
        <v>Accrued Payroll</v>
      </c>
      <c r="F1769" s="14" t="str">
        <f>_xlfn.XLOOKUP($D1769,'Chart of Accounts'!$A:$A,'Chart of Accounts'!C:C,"")</f>
        <v>Liability</v>
      </c>
      <c r="G1769" s="14" t="s">
        <v>608</v>
      </c>
      <c r="H1769" s="16"/>
      <c r="I1769" s="16">
        <v>13719.49</v>
      </c>
      <c r="J1769" s="16">
        <v>-13719.49</v>
      </c>
      <c r="K1769" s="14" t="s">
        <v>225</v>
      </c>
    </row>
    <row r="1770" spans="1:11" ht="15" customHeight="1">
      <c r="A1770" s="13">
        <v>45992</v>
      </c>
      <c r="B1770" s="14" t="s">
        <v>383</v>
      </c>
      <c r="C1770" s="14"/>
      <c r="D1770" s="14" t="s">
        <v>12</v>
      </c>
      <c r="E1770" s="14" t="str">
        <f>_xlfn.XLOOKUP($D1770,'Chart of Accounts'!$A:$A,'Chart of Accounts'!B:B,"")</f>
        <v>Accrued Payroll</v>
      </c>
      <c r="F1770" s="14" t="str">
        <f>_xlfn.XLOOKUP($D1770,'Chart of Accounts'!$A:$A,'Chart of Accounts'!C:C,"")</f>
        <v>Liability</v>
      </c>
      <c r="G1770" s="14" t="s">
        <v>608</v>
      </c>
      <c r="H1770" s="16"/>
      <c r="I1770" s="16">
        <v>13956.31</v>
      </c>
      <c r="J1770" s="16">
        <v>-13956.31</v>
      </c>
      <c r="K1770" s="14" t="s">
        <v>225</v>
      </c>
    </row>
    <row r="1771" spans="1:11" ht="15" customHeight="1">
      <c r="A1771" s="13">
        <v>46023</v>
      </c>
      <c r="B1771" s="14" t="s">
        <v>382</v>
      </c>
      <c r="C1771" s="14"/>
      <c r="D1771" s="14" t="s">
        <v>12</v>
      </c>
      <c r="E1771" s="14" t="str">
        <f>_xlfn.XLOOKUP($D1771,'Chart of Accounts'!$A:$A,'Chart of Accounts'!B:B,"")</f>
        <v>Accrued Payroll</v>
      </c>
      <c r="F1771" s="14" t="str">
        <f>_xlfn.XLOOKUP($D1771,'Chart of Accounts'!$A:$A,'Chart of Accounts'!C:C,"")</f>
        <v>Liability</v>
      </c>
      <c r="G1771" s="14" t="s">
        <v>608</v>
      </c>
      <c r="H1771" s="16"/>
      <c r="I1771" s="16">
        <v>13811.24</v>
      </c>
      <c r="J1771" s="16">
        <v>-13811.24</v>
      </c>
      <c r="K1771" s="14" t="s">
        <v>225</v>
      </c>
    </row>
    <row r="1772" spans="1:11" ht="15" customHeight="1">
      <c r="A1772" s="13">
        <v>46054</v>
      </c>
      <c r="B1772" s="14" t="s">
        <v>381</v>
      </c>
      <c r="C1772" s="14"/>
      <c r="D1772" s="14" t="s">
        <v>12</v>
      </c>
      <c r="E1772" s="14" t="str">
        <f>_xlfn.XLOOKUP($D1772,'Chart of Accounts'!$A:$A,'Chart of Accounts'!B:B,"")</f>
        <v>Accrued Payroll</v>
      </c>
      <c r="F1772" s="14" t="str">
        <f>_xlfn.XLOOKUP($D1772,'Chart of Accounts'!$A:$A,'Chart of Accounts'!C:C,"")</f>
        <v>Liability</v>
      </c>
      <c r="G1772" s="14" t="s">
        <v>608</v>
      </c>
      <c r="H1772" s="16"/>
      <c r="I1772" s="16">
        <v>14162.43</v>
      </c>
      <c r="J1772" s="16">
        <v>-14162.43</v>
      </c>
      <c r="K1772" s="14" t="s">
        <v>225</v>
      </c>
    </row>
    <row r="1773" spans="1:11" ht="15" customHeight="1">
      <c r="A1773" s="13">
        <v>46082</v>
      </c>
      <c r="B1773" s="14" t="s">
        <v>380</v>
      </c>
      <c r="C1773" s="14"/>
      <c r="D1773" s="14" t="s">
        <v>12</v>
      </c>
      <c r="E1773" s="14" t="str">
        <f>_xlfn.XLOOKUP($D1773,'Chart of Accounts'!$A:$A,'Chart of Accounts'!B:B,"")</f>
        <v>Accrued Payroll</v>
      </c>
      <c r="F1773" s="14" t="str">
        <f>_xlfn.XLOOKUP($D1773,'Chart of Accounts'!$A:$A,'Chart of Accounts'!C:C,"")</f>
        <v>Liability</v>
      </c>
      <c r="G1773" s="14" t="s">
        <v>608</v>
      </c>
      <c r="H1773" s="16"/>
      <c r="I1773" s="16">
        <v>13876.51</v>
      </c>
      <c r="J1773" s="16">
        <v>-13876.51</v>
      </c>
      <c r="K1773" s="14" t="s">
        <v>225</v>
      </c>
    </row>
    <row r="1774" spans="1:11" ht="15" customHeight="1">
      <c r="A1774" s="13">
        <v>46113</v>
      </c>
      <c r="B1774" s="14" t="s">
        <v>379</v>
      </c>
      <c r="C1774" s="14"/>
      <c r="D1774" s="14" t="s">
        <v>12</v>
      </c>
      <c r="E1774" s="14" t="str">
        <f>_xlfn.XLOOKUP($D1774,'Chart of Accounts'!$A:$A,'Chart of Accounts'!B:B,"")</f>
        <v>Accrued Payroll</v>
      </c>
      <c r="F1774" s="14" t="str">
        <f>_xlfn.XLOOKUP($D1774,'Chart of Accounts'!$A:$A,'Chart of Accounts'!C:C,"")</f>
        <v>Liability</v>
      </c>
      <c r="G1774" s="14" t="s">
        <v>608</v>
      </c>
      <c r="H1774" s="16"/>
      <c r="I1774" s="16">
        <v>13990.04</v>
      </c>
      <c r="J1774" s="16">
        <v>-13990.04</v>
      </c>
      <c r="K1774" s="14" t="s">
        <v>225</v>
      </c>
    </row>
    <row r="1775" spans="1:11" ht="15" customHeight="1">
      <c r="A1775" s="13">
        <v>46143</v>
      </c>
      <c r="B1775" s="14" t="s">
        <v>378</v>
      </c>
      <c r="C1775" s="14"/>
      <c r="D1775" s="14" t="s">
        <v>12</v>
      </c>
      <c r="E1775" s="14" t="str">
        <f>_xlfn.XLOOKUP($D1775,'Chart of Accounts'!$A:$A,'Chart of Accounts'!B:B,"")</f>
        <v>Accrued Payroll</v>
      </c>
      <c r="F1775" s="14" t="str">
        <f>_xlfn.XLOOKUP($D1775,'Chart of Accounts'!$A:$A,'Chart of Accounts'!C:C,"")</f>
        <v>Liability</v>
      </c>
      <c r="G1775" s="14" t="s">
        <v>608</v>
      </c>
      <c r="H1775" s="16"/>
      <c r="I1775" s="16">
        <v>13075.06</v>
      </c>
      <c r="J1775" s="16">
        <v>-13075.06</v>
      </c>
      <c r="K1775" s="14" t="s">
        <v>225</v>
      </c>
    </row>
    <row r="1776" spans="1:11" ht="15" customHeight="1">
      <c r="A1776" s="13">
        <v>46174</v>
      </c>
      <c r="B1776" s="14" t="s">
        <v>377</v>
      </c>
      <c r="C1776" s="14"/>
      <c r="D1776" s="14" t="s">
        <v>12</v>
      </c>
      <c r="E1776" s="14" t="str">
        <f>_xlfn.XLOOKUP($D1776,'Chart of Accounts'!$A:$A,'Chart of Accounts'!B:B,"")</f>
        <v>Accrued Payroll</v>
      </c>
      <c r="F1776" s="14" t="str">
        <f>_xlfn.XLOOKUP($D1776,'Chart of Accounts'!$A:$A,'Chart of Accounts'!C:C,"")</f>
        <v>Liability</v>
      </c>
      <c r="G1776" s="14" t="s">
        <v>608</v>
      </c>
      <c r="H1776" s="16"/>
      <c r="I1776" s="16">
        <v>13681.62</v>
      </c>
      <c r="J1776" s="16">
        <v>-13681.62</v>
      </c>
      <c r="K1776" s="14" t="s">
        <v>225</v>
      </c>
    </row>
    <row r="1777" spans="1:11" ht="15" customHeight="1">
      <c r="A1777" s="13">
        <v>45839</v>
      </c>
      <c r="B1777" s="14" t="s">
        <v>376</v>
      </c>
      <c r="C1777" s="14"/>
      <c r="D1777" s="14" t="s">
        <v>12</v>
      </c>
      <c r="E1777" s="14" t="str">
        <f>_xlfn.XLOOKUP($D1777,'Chart of Accounts'!$A:$A,'Chart of Accounts'!B:B,"")</f>
        <v>Accrued Payroll</v>
      </c>
      <c r="F1777" s="14" t="str">
        <f>_xlfn.XLOOKUP($D1777,'Chart of Accounts'!$A:$A,'Chart of Accounts'!C:C,"")</f>
        <v>Liability</v>
      </c>
      <c r="G1777" s="14" t="s">
        <v>608</v>
      </c>
      <c r="H1777" s="16"/>
      <c r="I1777" s="16">
        <v>3679.33</v>
      </c>
      <c r="J1777" s="16">
        <v>-3679.33</v>
      </c>
      <c r="K1777" s="14" t="s">
        <v>225</v>
      </c>
    </row>
    <row r="1778" spans="1:11" ht="15" customHeight="1">
      <c r="A1778" s="13">
        <v>45870</v>
      </c>
      <c r="B1778" s="14" t="s">
        <v>375</v>
      </c>
      <c r="C1778" s="14"/>
      <c r="D1778" s="14" t="s">
        <v>12</v>
      </c>
      <c r="E1778" s="14" t="str">
        <f>_xlfn.XLOOKUP($D1778,'Chart of Accounts'!$A:$A,'Chart of Accounts'!B:B,"")</f>
        <v>Accrued Payroll</v>
      </c>
      <c r="F1778" s="14" t="str">
        <f>_xlfn.XLOOKUP($D1778,'Chart of Accounts'!$A:$A,'Chart of Accounts'!C:C,"")</f>
        <v>Liability</v>
      </c>
      <c r="G1778" s="14" t="s">
        <v>608</v>
      </c>
      <c r="H1778" s="16"/>
      <c r="I1778" s="16">
        <v>3739.71</v>
      </c>
      <c r="J1778" s="16">
        <v>-3739.71</v>
      </c>
      <c r="K1778" s="14" t="s">
        <v>225</v>
      </c>
    </row>
    <row r="1779" spans="1:11" ht="15" customHeight="1">
      <c r="A1779" s="13">
        <v>45901</v>
      </c>
      <c r="B1779" s="14" t="s">
        <v>374</v>
      </c>
      <c r="C1779" s="14"/>
      <c r="D1779" s="14" t="s">
        <v>12</v>
      </c>
      <c r="E1779" s="14" t="str">
        <f>_xlfn.XLOOKUP($D1779,'Chart of Accounts'!$A:$A,'Chart of Accounts'!B:B,"")</f>
        <v>Accrued Payroll</v>
      </c>
      <c r="F1779" s="14" t="str">
        <f>_xlfn.XLOOKUP($D1779,'Chart of Accounts'!$A:$A,'Chart of Accounts'!C:C,"")</f>
        <v>Liability</v>
      </c>
      <c r="G1779" s="14" t="s">
        <v>608</v>
      </c>
      <c r="H1779" s="16"/>
      <c r="I1779" s="16">
        <v>3841.09</v>
      </c>
      <c r="J1779" s="16">
        <v>-3841.09</v>
      </c>
      <c r="K1779" s="14" t="s">
        <v>225</v>
      </c>
    </row>
    <row r="1780" spans="1:11" ht="15" customHeight="1">
      <c r="A1780" s="13">
        <v>45931</v>
      </c>
      <c r="B1780" s="14" t="s">
        <v>373</v>
      </c>
      <c r="C1780" s="14"/>
      <c r="D1780" s="14" t="s">
        <v>12</v>
      </c>
      <c r="E1780" s="14" t="str">
        <f>_xlfn.XLOOKUP($D1780,'Chart of Accounts'!$A:$A,'Chart of Accounts'!B:B,"")</f>
        <v>Accrued Payroll</v>
      </c>
      <c r="F1780" s="14" t="str">
        <f>_xlfn.XLOOKUP($D1780,'Chart of Accounts'!$A:$A,'Chart of Accounts'!C:C,"")</f>
        <v>Liability</v>
      </c>
      <c r="G1780" s="14" t="s">
        <v>608</v>
      </c>
      <c r="H1780" s="16"/>
      <c r="I1780" s="16">
        <v>3873.05</v>
      </c>
      <c r="J1780" s="16">
        <v>-3873.05</v>
      </c>
      <c r="K1780" s="14" t="s">
        <v>225</v>
      </c>
    </row>
    <row r="1781" spans="1:11" ht="15" customHeight="1">
      <c r="A1781" s="13">
        <v>45962</v>
      </c>
      <c r="B1781" s="14" t="s">
        <v>372</v>
      </c>
      <c r="C1781" s="14"/>
      <c r="D1781" s="14" t="s">
        <v>12</v>
      </c>
      <c r="E1781" s="14" t="str">
        <f>_xlfn.XLOOKUP($D1781,'Chart of Accounts'!$A:$A,'Chart of Accounts'!B:B,"")</f>
        <v>Accrued Payroll</v>
      </c>
      <c r="F1781" s="14" t="str">
        <f>_xlfn.XLOOKUP($D1781,'Chart of Accounts'!$A:$A,'Chart of Accounts'!C:C,"")</f>
        <v>Liability</v>
      </c>
      <c r="G1781" s="14" t="s">
        <v>608</v>
      </c>
      <c r="H1781" s="16"/>
      <c r="I1781" s="16">
        <v>3741.67</v>
      </c>
      <c r="J1781" s="16">
        <v>-3741.67</v>
      </c>
      <c r="K1781" s="14" t="s">
        <v>225</v>
      </c>
    </row>
    <row r="1782" spans="1:11" ht="15" customHeight="1">
      <c r="A1782" s="13">
        <v>45992</v>
      </c>
      <c r="B1782" s="14" t="s">
        <v>371</v>
      </c>
      <c r="C1782" s="14"/>
      <c r="D1782" s="14" t="s">
        <v>12</v>
      </c>
      <c r="E1782" s="14" t="str">
        <f>_xlfn.XLOOKUP($D1782,'Chart of Accounts'!$A:$A,'Chart of Accounts'!B:B,"")</f>
        <v>Accrued Payroll</v>
      </c>
      <c r="F1782" s="14" t="str">
        <f>_xlfn.XLOOKUP($D1782,'Chart of Accounts'!$A:$A,'Chart of Accounts'!C:C,"")</f>
        <v>Liability</v>
      </c>
      <c r="G1782" s="14" t="s">
        <v>608</v>
      </c>
      <c r="H1782" s="16"/>
      <c r="I1782" s="16">
        <v>3806.26</v>
      </c>
      <c r="J1782" s="16">
        <v>-3806.26</v>
      </c>
      <c r="K1782" s="14" t="s">
        <v>225</v>
      </c>
    </row>
    <row r="1783" spans="1:11" ht="15" customHeight="1">
      <c r="A1783" s="13">
        <v>46023</v>
      </c>
      <c r="B1783" s="14" t="s">
        <v>370</v>
      </c>
      <c r="C1783" s="14"/>
      <c r="D1783" s="14" t="s">
        <v>12</v>
      </c>
      <c r="E1783" s="14" t="str">
        <f>_xlfn.XLOOKUP($D1783,'Chart of Accounts'!$A:$A,'Chart of Accounts'!B:B,"")</f>
        <v>Accrued Payroll</v>
      </c>
      <c r="F1783" s="14" t="str">
        <f>_xlfn.XLOOKUP($D1783,'Chart of Accounts'!$A:$A,'Chart of Accounts'!C:C,"")</f>
        <v>Liability</v>
      </c>
      <c r="G1783" s="14" t="s">
        <v>608</v>
      </c>
      <c r="H1783" s="16"/>
      <c r="I1783" s="16">
        <v>3766.7</v>
      </c>
      <c r="J1783" s="16">
        <v>-3766.7</v>
      </c>
      <c r="K1783" s="14" t="s">
        <v>225</v>
      </c>
    </row>
    <row r="1784" spans="1:11" ht="15" customHeight="1">
      <c r="A1784" s="13">
        <v>46054</v>
      </c>
      <c r="B1784" s="14" t="s">
        <v>369</v>
      </c>
      <c r="C1784" s="14"/>
      <c r="D1784" s="14" t="s">
        <v>12</v>
      </c>
      <c r="E1784" s="14" t="str">
        <f>_xlfn.XLOOKUP($D1784,'Chart of Accounts'!$A:$A,'Chart of Accounts'!B:B,"")</f>
        <v>Accrued Payroll</v>
      </c>
      <c r="F1784" s="14" t="str">
        <f>_xlfn.XLOOKUP($D1784,'Chart of Accounts'!$A:$A,'Chart of Accounts'!C:C,"")</f>
        <v>Liability</v>
      </c>
      <c r="G1784" s="14" t="s">
        <v>608</v>
      </c>
      <c r="H1784" s="16"/>
      <c r="I1784" s="16">
        <v>3862.48</v>
      </c>
      <c r="J1784" s="16">
        <v>-3862.48</v>
      </c>
      <c r="K1784" s="14" t="s">
        <v>225</v>
      </c>
    </row>
    <row r="1785" spans="1:11" ht="15" customHeight="1">
      <c r="A1785" s="13">
        <v>46082</v>
      </c>
      <c r="B1785" s="14" t="s">
        <v>368</v>
      </c>
      <c r="C1785" s="14"/>
      <c r="D1785" s="14" t="s">
        <v>12</v>
      </c>
      <c r="E1785" s="14" t="str">
        <f>_xlfn.XLOOKUP($D1785,'Chart of Accounts'!$A:$A,'Chart of Accounts'!B:B,"")</f>
        <v>Accrued Payroll</v>
      </c>
      <c r="F1785" s="14" t="str">
        <f>_xlfn.XLOOKUP($D1785,'Chart of Accounts'!$A:$A,'Chart of Accounts'!C:C,"")</f>
        <v>Liability</v>
      </c>
      <c r="G1785" s="14" t="s">
        <v>608</v>
      </c>
      <c r="H1785" s="16"/>
      <c r="I1785" s="16">
        <v>3784.5</v>
      </c>
      <c r="J1785" s="16">
        <v>-3784.5</v>
      </c>
      <c r="K1785" s="14" t="s">
        <v>225</v>
      </c>
    </row>
    <row r="1786" spans="1:11" ht="15" customHeight="1">
      <c r="A1786" s="13">
        <v>46113</v>
      </c>
      <c r="B1786" s="14" t="s">
        <v>367</v>
      </c>
      <c r="C1786" s="14"/>
      <c r="D1786" s="14" t="s">
        <v>12</v>
      </c>
      <c r="E1786" s="14" t="str">
        <f>_xlfn.XLOOKUP($D1786,'Chart of Accounts'!$A:$A,'Chart of Accounts'!B:B,"")</f>
        <v>Accrued Payroll</v>
      </c>
      <c r="F1786" s="14" t="str">
        <f>_xlfn.XLOOKUP($D1786,'Chart of Accounts'!$A:$A,'Chart of Accounts'!C:C,"")</f>
        <v>Liability</v>
      </c>
      <c r="G1786" s="14" t="s">
        <v>608</v>
      </c>
      <c r="H1786" s="16"/>
      <c r="I1786" s="16">
        <v>3815.46</v>
      </c>
      <c r="J1786" s="16">
        <v>-3815.46</v>
      </c>
      <c r="K1786" s="14" t="s">
        <v>225</v>
      </c>
    </row>
    <row r="1787" spans="1:11" ht="15" customHeight="1">
      <c r="A1787" s="13">
        <v>46143</v>
      </c>
      <c r="B1787" s="14" t="s">
        <v>366</v>
      </c>
      <c r="C1787" s="14"/>
      <c r="D1787" s="14" t="s">
        <v>12</v>
      </c>
      <c r="E1787" s="14" t="str">
        <f>_xlfn.XLOOKUP($D1787,'Chart of Accounts'!$A:$A,'Chart of Accounts'!B:B,"")</f>
        <v>Accrued Payroll</v>
      </c>
      <c r="F1787" s="14" t="str">
        <f>_xlfn.XLOOKUP($D1787,'Chart of Accounts'!$A:$A,'Chart of Accounts'!C:C,"")</f>
        <v>Liability</v>
      </c>
      <c r="G1787" s="14" t="s">
        <v>608</v>
      </c>
      <c r="H1787" s="16"/>
      <c r="I1787" s="16">
        <v>3565.93</v>
      </c>
      <c r="J1787" s="16">
        <v>-3565.93</v>
      </c>
      <c r="K1787" s="14" t="s">
        <v>225</v>
      </c>
    </row>
    <row r="1788" spans="1:11" ht="15" customHeight="1">
      <c r="A1788" s="13">
        <v>46174</v>
      </c>
      <c r="B1788" s="14" t="s">
        <v>364</v>
      </c>
      <c r="C1788" s="14"/>
      <c r="D1788" s="14" t="s">
        <v>12</v>
      </c>
      <c r="E1788" s="14" t="str">
        <f>_xlfn.XLOOKUP($D1788,'Chart of Accounts'!$A:$A,'Chart of Accounts'!B:B,"")</f>
        <v>Accrued Payroll</v>
      </c>
      <c r="F1788" s="14" t="str">
        <f>_xlfn.XLOOKUP($D1788,'Chart of Accounts'!$A:$A,'Chart of Accounts'!C:C,"")</f>
        <v>Liability</v>
      </c>
      <c r="G1788" s="14" t="s">
        <v>608</v>
      </c>
      <c r="H1788" s="16"/>
      <c r="I1788" s="16">
        <v>3731.35</v>
      </c>
      <c r="J1788" s="16">
        <v>-3731.35</v>
      </c>
      <c r="K1788" s="14" t="s">
        <v>225</v>
      </c>
    </row>
    <row r="1789" spans="1:11" ht="15" customHeight="1">
      <c r="A1789" s="13">
        <v>45869</v>
      </c>
      <c r="B1789" s="14" t="s">
        <v>609</v>
      </c>
      <c r="C1789" s="14"/>
      <c r="D1789" s="14" t="s">
        <v>12</v>
      </c>
      <c r="E1789" s="14" t="str">
        <f>_xlfn.XLOOKUP($D1789,'Chart of Accounts'!$A:$A,'Chart of Accounts'!B:B,"")</f>
        <v>Accrued Payroll</v>
      </c>
      <c r="F1789" s="14" t="str">
        <f>_xlfn.XLOOKUP($D1789,'Chart of Accounts'!$A:$A,'Chart of Accounts'!C:C,"")</f>
        <v>Liability</v>
      </c>
      <c r="G1789" s="14" t="s">
        <v>610</v>
      </c>
      <c r="H1789" s="16">
        <v>149196.88</v>
      </c>
      <c r="I1789" s="16"/>
      <c r="J1789" s="16">
        <v>149196.88</v>
      </c>
      <c r="K1789" s="14" t="s">
        <v>225</v>
      </c>
    </row>
    <row r="1790" spans="1:11" ht="15" customHeight="1">
      <c r="A1790" s="13">
        <v>45869</v>
      </c>
      <c r="B1790" s="14" t="s">
        <v>609</v>
      </c>
      <c r="C1790" s="14"/>
      <c r="D1790" s="14" t="s">
        <v>4</v>
      </c>
      <c r="E1790" s="14" t="str">
        <f>_xlfn.XLOOKUP($D1790,'Chart of Accounts'!$A:$A,'Chart of Accounts'!B:B,"")</f>
        <v>Cash - Payroll</v>
      </c>
      <c r="F1790" s="14" t="str">
        <f>_xlfn.XLOOKUP($D1790,'Chart of Accounts'!$A:$A,'Chart of Accounts'!C:C,"")</f>
        <v>Asset</v>
      </c>
      <c r="G1790" s="14" t="s">
        <v>610</v>
      </c>
      <c r="H1790" s="16"/>
      <c r="I1790" s="16">
        <v>149196.88</v>
      </c>
      <c r="J1790" s="16">
        <v>-149196.88</v>
      </c>
      <c r="K1790" s="14" t="s">
        <v>225</v>
      </c>
    </row>
    <row r="1791" spans="1:11" ht="15" customHeight="1">
      <c r="A1791" s="13">
        <v>45900</v>
      </c>
      <c r="B1791" s="14" t="s">
        <v>611</v>
      </c>
      <c r="C1791" s="14"/>
      <c r="D1791" s="14" t="s">
        <v>12</v>
      </c>
      <c r="E1791" s="14" t="str">
        <f>_xlfn.XLOOKUP($D1791,'Chart of Accounts'!$A:$A,'Chart of Accounts'!B:B,"")</f>
        <v>Accrued Payroll</v>
      </c>
      <c r="F1791" s="14" t="str">
        <f>_xlfn.XLOOKUP($D1791,'Chart of Accounts'!$A:$A,'Chart of Accounts'!C:C,"")</f>
        <v>Liability</v>
      </c>
      <c r="G1791" s="14" t="s">
        <v>610</v>
      </c>
      <c r="H1791" s="16">
        <v>151645.28</v>
      </c>
      <c r="I1791" s="16"/>
      <c r="J1791" s="16">
        <v>151645.28</v>
      </c>
      <c r="K1791" s="14" t="s">
        <v>225</v>
      </c>
    </row>
    <row r="1792" spans="1:11" ht="15" customHeight="1">
      <c r="A1792" s="13">
        <v>45900</v>
      </c>
      <c r="B1792" s="14" t="s">
        <v>611</v>
      </c>
      <c r="C1792" s="14"/>
      <c r="D1792" s="14" t="s">
        <v>4</v>
      </c>
      <c r="E1792" s="14" t="str">
        <f>_xlfn.XLOOKUP($D1792,'Chart of Accounts'!$A:$A,'Chart of Accounts'!B:B,"")</f>
        <v>Cash - Payroll</v>
      </c>
      <c r="F1792" s="14" t="str">
        <f>_xlfn.XLOOKUP($D1792,'Chart of Accounts'!$A:$A,'Chart of Accounts'!C:C,"")</f>
        <v>Asset</v>
      </c>
      <c r="G1792" s="14" t="s">
        <v>610</v>
      </c>
      <c r="H1792" s="16"/>
      <c r="I1792" s="16">
        <v>151645.28</v>
      </c>
      <c r="J1792" s="16">
        <v>-151645.28</v>
      </c>
      <c r="K1792" s="14" t="s">
        <v>225</v>
      </c>
    </row>
    <row r="1793" spans="1:11" ht="15" customHeight="1">
      <c r="A1793" s="13">
        <v>45930</v>
      </c>
      <c r="B1793" s="14" t="s">
        <v>612</v>
      </c>
      <c r="C1793" s="14"/>
      <c r="D1793" s="14" t="s">
        <v>12</v>
      </c>
      <c r="E1793" s="14" t="str">
        <f>_xlfn.XLOOKUP($D1793,'Chart of Accounts'!$A:$A,'Chart of Accounts'!B:B,"")</f>
        <v>Accrued Payroll</v>
      </c>
      <c r="F1793" s="14" t="str">
        <f>_xlfn.XLOOKUP($D1793,'Chart of Accounts'!$A:$A,'Chart of Accounts'!C:C,"")</f>
        <v>Liability</v>
      </c>
      <c r="G1793" s="14" t="s">
        <v>610</v>
      </c>
      <c r="H1793" s="16">
        <v>155756.20000000001</v>
      </c>
      <c r="I1793" s="16"/>
      <c r="J1793" s="16">
        <v>155756.20000000001</v>
      </c>
      <c r="K1793" s="14" t="s">
        <v>225</v>
      </c>
    </row>
    <row r="1794" spans="1:11" ht="15" customHeight="1">
      <c r="A1794" s="13">
        <v>45930</v>
      </c>
      <c r="B1794" s="14" t="s">
        <v>612</v>
      </c>
      <c r="C1794" s="14"/>
      <c r="D1794" s="14" t="s">
        <v>4</v>
      </c>
      <c r="E1794" s="14" t="str">
        <f>_xlfn.XLOOKUP($D1794,'Chart of Accounts'!$A:$A,'Chart of Accounts'!B:B,"")</f>
        <v>Cash - Payroll</v>
      </c>
      <c r="F1794" s="14" t="str">
        <f>_xlfn.XLOOKUP($D1794,'Chart of Accounts'!$A:$A,'Chart of Accounts'!C:C,"")</f>
        <v>Asset</v>
      </c>
      <c r="G1794" s="14" t="s">
        <v>610</v>
      </c>
      <c r="H1794" s="16"/>
      <c r="I1794" s="16">
        <v>155756.20000000001</v>
      </c>
      <c r="J1794" s="16">
        <v>-155756.20000000001</v>
      </c>
      <c r="K1794" s="14" t="s">
        <v>225</v>
      </c>
    </row>
    <row r="1795" spans="1:11" ht="15" customHeight="1">
      <c r="A1795" s="13">
        <v>45961</v>
      </c>
      <c r="B1795" s="14" t="s">
        <v>613</v>
      </c>
      <c r="C1795" s="14"/>
      <c r="D1795" s="14" t="s">
        <v>12</v>
      </c>
      <c r="E1795" s="14" t="str">
        <f>_xlfn.XLOOKUP($D1795,'Chart of Accounts'!$A:$A,'Chart of Accounts'!B:B,"")</f>
        <v>Accrued Payroll</v>
      </c>
      <c r="F1795" s="14" t="str">
        <f>_xlfn.XLOOKUP($D1795,'Chart of Accounts'!$A:$A,'Chart of Accounts'!C:C,"")</f>
        <v>Liability</v>
      </c>
      <c r="G1795" s="14" t="s">
        <v>610</v>
      </c>
      <c r="H1795" s="16">
        <v>157052.34</v>
      </c>
      <c r="I1795" s="16"/>
      <c r="J1795" s="16">
        <v>157052.34</v>
      </c>
      <c r="K1795" s="14" t="s">
        <v>225</v>
      </c>
    </row>
    <row r="1796" spans="1:11" ht="15" customHeight="1">
      <c r="A1796" s="13">
        <v>45961</v>
      </c>
      <c r="B1796" s="14" t="s">
        <v>613</v>
      </c>
      <c r="C1796" s="14"/>
      <c r="D1796" s="14" t="s">
        <v>4</v>
      </c>
      <c r="E1796" s="14" t="str">
        <f>_xlfn.XLOOKUP($D1796,'Chart of Accounts'!$A:$A,'Chart of Accounts'!B:B,"")</f>
        <v>Cash - Payroll</v>
      </c>
      <c r="F1796" s="14" t="str">
        <f>_xlfn.XLOOKUP($D1796,'Chart of Accounts'!$A:$A,'Chart of Accounts'!C:C,"")</f>
        <v>Asset</v>
      </c>
      <c r="G1796" s="14" t="s">
        <v>610</v>
      </c>
      <c r="H1796" s="16"/>
      <c r="I1796" s="16">
        <v>157052.34</v>
      </c>
      <c r="J1796" s="16">
        <v>-157052.34</v>
      </c>
      <c r="K1796" s="14" t="s">
        <v>225</v>
      </c>
    </row>
    <row r="1797" spans="1:11" ht="15" customHeight="1">
      <c r="A1797" s="13">
        <v>45991</v>
      </c>
      <c r="B1797" s="14" t="s">
        <v>614</v>
      </c>
      <c r="C1797" s="14"/>
      <c r="D1797" s="14" t="s">
        <v>12</v>
      </c>
      <c r="E1797" s="14" t="str">
        <f>_xlfn.XLOOKUP($D1797,'Chart of Accounts'!$A:$A,'Chart of Accounts'!B:B,"")</f>
        <v>Accrued Payroll</v>
      </c>
      <c r="F1797" s="14" t="str">
        <f>_xlfn.XLOOKUP($D1797,'Chart of Accounts'!$A:$A,'Chart of Accounts'!C:C,"")</f>
        <v>Liability</v>
      </c>
      <c r="G1797" s="14" t="s">
        <v>610</v>
      </c>
      <c r="H1797" s="16">
        <v>151725.04999999999</v>
      </c>
      <c r="I1797" s="16"/>
      <c r="J1797" s="16">
        <v>151725.04999999999</v>
      </c>
      <c r="K1797" s="14" t="s">
        <v>225</v>
      </c>
    </row>
    <row r="1798" spans="1:11" ht="15" customHeight="1">
      <c r="A1798" s="13">
        <v>45991</v>
      </c>
      <c r="B1798" s="14" t="s">
        <v>614</v>
      </c>
      <c r="C1798" s="14"/>
      <c r="D1798" s="14" t="s">
        <v>4</v>
      </c>
      <c r="E1798" s="14" t="str">
        <f>_xlfn.XLOOKUP($D1798,'Chart of Accounts'!$A:$A,'Chart of Accounts'!B:B,"")</f>
        <v>Cash - Payroll</v>
      </c>
      <c r="F1798" s="14" t="str">
        <f>_xlfn.XLOOKUP($D1798,'Chart of Accounts'!$A:$A,'Chart of Accounts'!C:C,"")</f>
        <v>Asset</v>
      </c>
      <c r="G1798" s="14" t="s">
        <v>610</v>
      </c>
      <c r="H1798" s="16"/>
      <c r="I1798" s="16">
        <v>151725.04999999999</v>
      </c>
      <c r="J1798" s="16">
        <v>-151725.04999999999</v>
      </c>
      <c r="K1798" s="14" t="s">
        <v>225</v>
      </c>
    </row>
    <row r="1799" spans="1:11" ht="15" customHeight="1">
      <c r="A1799" s="13">
        <v>46022</v>
      </c>
      <c r="B1799" s="14" t="s">
        <v>615</v>
      </c>
      <c r="C1799" s="14"/>
      <c r="D1799" s="14" t="s">
        <v>12</v>
      </c>
      <c r="E1799" s="14" t="str">
        <f>_xlfn.XLOOKUP($D1799,'Chart of Accounts'!$A:$A,'Chart of Accounts'!B:B,"")</f>
        <v>Accrued Payroll</v>
      </c>
      <c r="F1799" s="14" t="str">
        <f>_xlfn.XLOOKUP($D1799,'Chart of Accounts'!$A:$A,'Chart of Accounts'!C:C,"")</f>
        <v>Liability</v>
      </c>
      <c r="G1799" s="14" t="s">
        <v>610</v>
      </c>
      <c r="H1799" s="16">
        <v>154344.04999999999</v>
      </c>
      <c r="I1799" s="16"/>
      <c r="J1799" s="16">
        <v>154344.04999999999</v>
      </c>
      <c r="K1799" s="14" t="s">
        <v>225</v>
      </c>
    </row>
    <row r="1800" spans="1:11" ht="15" customHeight="1">
      <c r="A1800" s="13">
        <v>46022</v>
      </c>
      <c r="B1800" s="14" t="s">
        <v>615</v>
      </c>
      <c r="C1800" s="14"/>
      <c r="D1800" s="14" t="s">
        <v>4</v>
      </c>
      <c r="E1800" s="14" t="str">
        <f>_xlfn.XLOOKUP($D1800,'Chart of Accounts'!$A:$A,'Chart of Accounts'!B:B,"")</f>
        <v>Cash - Payroll</v>
      </c>
      <c r="F1800" s="14" t="str">
        <f>_xlfn.XLOOKUP($D1800,'Chart of Accounts'!$A:$A,'Chart of Accounts'!C:C,"")</f>
        <v>Asset</v>
      </c>
      <c r="G1800" s="14" t="s">
        <v>610</v>
      </c>
      <c r="H1800" s="16"/>
      <c r="I1800" s="16">
        <v>154344.04999999999</v>
      </c>
      <c r="J1800" s="16">
        <v>-154344.04999999999</v>
      </c>
      <c r="K1800" s="14" t="s">
        <v>225</v>
      </c>
    </row>
    <row r="1801" spans="1:11" ht="15" customHeight="1">
      <c r="A1801" s="13">
        <v>46053</v>
      </c>
      <c r="B1801" s="14" t="s">
        <v>616</v>
      </c>
      <c r="C1801" s="14"/>
      <c r="D1801" s="14" t="s">
        <v>12</v>
      </c>
      <c r="E1801" s="14" t="str">
        <f>_xlfn.XLOOKUP($D1801,'Chart of Accounts'!$A:$A,'Chart of Accounts'!B:B,"")</f>
        <v>Accrued Payroll</v>
      </c>
      <c r="F1801" s="14" t="str">
        <f>_xlfn.XLOOKUP($D1801,'Chart of Accounts'!$A:$A,'Chart of Accounts'!C:C,"")</f>
        <v>Liability</v>
      </c>
      <c r="G1801" s="14" t="s">
        <v>610</v>
      </c>
      <c r="H1801" s="16">
        <v>152739.79999999999</v>
      </c>
      <c r="I1801" s="16"/>
      <c r="J1801" s="16">
        <v>152739.79999999999</v>
      </c>
      <c r="K1801" s="14" t="s">
        <v>225</v>
      </c>
    </row>
    <row r="1802" spans="1:11" ht="15" customHeight="1">
      <c r="A1802" s="13">
        <v>46053</v>
      </c>
      <c r="B1802" s="14" t="s">
        <v>616</v>
      </c>
      <c r="C1802" s="14"/>
      <c r="D1802" s="14" t="s">
        <v>4</v>
      </c>
      <c r="E1802" s="14" t="str">
        <f>_xlfn.XLOOKUP($D1802,'Chart of Accounts'!$A:$A,'Chart of Accounts'!B:B,"")</f>
        <v>Cash - Payroll</v>
      </c>
      <c r="F1802" s="14" t="str">
        <f>_xlfn.XLOOKUP($D1802,'Chart of Accounts'!$A:$A,'Chart of Accounts'!C:C,"")</f>
        <v>Asset</v>
      </c>
      <c r="G1802" s="14" t="s">
        <v>610</v>
      </c>
      <c r="H1802" s="16"/>
      <c r="I1802" s="16">
        <v>152739.79999999999</v>
      </c>
      <c r="J1802" s="16">
        <v>-152739.79999999999</v>
      </c>
      <c r="K1802" s="14" t="s">
        <v>225</v>
      </c>
    </row>
    <row r="1803" spans="1:11" ht="15" customHeight="1">
      <c r="A1803" s="13">
        <v>46081</v>
      </c>
      <c r="B1803" s="14" t="s">
        <v>617</v>
      </c>
      <c r="C1803" s="14"/>
      <c r="D1803" s="14" t="s">
        <v>12</v>
      </c>
      <c r="E1803" s="14" t="str">
        <f>_xlfn.XLOOKUP($D1803,'Chart of Accounts'!$A:$A,'Chart of Accounts'!B:B,"")</f>
        <v>Accrued Payroll</v>
      </c>
      <c r="F1803" s="14" t="str">
        <f>_xlfn.XLOOKUP($D1803,'Chart of Accounts'!$A:$A,'Chart of Accounts'!C:C,"")</f>
        <v>Liability</v>
      </c>
      <c r="G1803" s="14" t="s">
        <v>610</v>
      </c>
      <c r="H1803" s="16">
        <v>156623.63</v>
      </c>
      <c r="I1803" s="16"/>
      <c r="J1803" s="16">
        <v>156623.63</v>
      </c>
      <c r="K1803" s="14" t="s">
        <v>225</v>
      </c>
    </row>
    <row r="1804" spans="1:11" ht="15" customHeight="1">
      <c r="A1804" s="13">
        <v>46081</v>
      </c>
      <c r="B1804" s="14" t="s">
        <v>617</v>
      </c>
      <c r="C1804" s="14"/>
      <c r="D1804" s="14" t="s">
        <v>4</v>
      </c>
      <c r="E1804" s="14" t="str">
        <f>_xlfn.XLOOKUP($D1804,'Chart of Accounts'!$A:$A,'Chart of Accounts'!B:B,"")</f>
        <v>Cash - Payroll</v>
      </c>
      <c r="F1804" s="14" t="str">
        <f>_xlfn.XLOOKUP($D1804,'Chart of Accounts'!$A:$A,'Chart of Accounts'!C:C,"")</f>
        <v>Asset</v>
      </c>
      <c r="G1804" s="14" t="s">
        <v>610</v>
      </c>
      <c r="H1804" s="16"/>
      <c r="I1804" s="16">
        <v>156623.63</v>
      </c>
      <c r="J1804" s="16">
        <v>-156623.63</v>
      </c>
      <c r="K1804" s="14" t="s">
        <v>225</v>
      </c>
    </row>
    <row r="1805" spans="1:11" ht="15" customHeight="1">
      <c r="A1805" s="13">
        <v>46112</v>
      </c>
      <c r="B1805" s="14" t="s">
        <v>618</v>
      </c>
      <c r="C1805" s="14"/>
      <c r="D1805" s="14" t="s">
        <v>12</v>
      </c>
      <c r="E1805" s="14" t="str">
        <f>_xlfn.XLOOKUP($D1805,'Chart of Accounts'!$A:$A,'Chart of Accounts'!B:B,"")</f>
        <v>Accrued Payroll</v>
      </c>
      <c r="F1805" s="14" t="str">
        <f>_xlfn.XLOOKUP($D1805,'Chart of Accounts'!$A:$A,'Chart of Accounts'!C:C,"")</f>
        <v>Liability</v>
      </c>
      <c r="G1805" s="14" t="s">
        <v>610</v>
      </c>
      <c r="H1805" s="16">
        <v>153461.56</v>
      </c>
      <c r="I1805" s="16"/>
      <c r="J1805" s="16">
        <v>153461.56</v>
      </c>
      <c r="K1805" s="14" t="s">
        <v>225</v>
      </c>
    </row>
    <row r="1806" spans="1:11" ht="15" customHeight="1">
      <c r="A1806" s="13">
        <v>46112</v>
      </c>
      <c r="B1806" s="14" t="s">
        <v>618</v>
      </c>
      <c r="C1806" s="14"/>
      <c r="D1806" s="14" t="s">
        <v>4</v>
      </c>
      <c r="E1806" s="14" t="str">
        <f>_xlfn.XLOOKUP($D1806,'Chart of Accounts'!$A:$A,'Chart of Accounts'!B:B,"")</f>
        <v>Cash - Payroll</v>
      </c>
      <c r="F1806" s="14" t="str">
        <f>_xlfn.XLOOKUP($D1806,'Chart of Accounts'!$A:$A,'Chart of Accounts'!C:C,"")</f>
        <v>Asset</v>
      </c>
      <c r="G1806" s="14" t="s">
        <v>610</v>
      </c>
      <c r="H1806" s="16"/>
      <c r="I1806" s="16">
        <v>153461.56</v>
      </c>
      <c r="J1806" s="16">
        <v>-153461.56</v>
      </c>
      <c r="K1806" s="14" t="s">
        <v>225</v>
      </c>
    </row>
    <row r="1807" spans="1:11" ht="15" customHeight="1">
      <c r="A1807" s="13">
        <v>46142</v>
      </c>
      <c r="B1807" s="14" t="s">
        <v>619</v>
      </c>
      <c r="C1807" s="14"/>
      <c r="D1807" s="14" t="s">
        <v>12</v>
      </c>
      <c r="E1807" s="14" t="str">
        <f>_xlfn.XLOOKUP($D1807,'Chart of Accounts'!$A:$A,'Chart of Accounts'!B:B,"")</f>
        <v>Accrued Payroll</v>
      </c>
      <c r="F1807" s="14" t="str">
        <f>_xlfn.XLOOKUP($D1807,'Chart of Accounts'!$A:$A,'Chart of Accounts'!C:C,"")</f>
        <v>Liability</v>
      </c>
      <c r="G1807" s="14" t="s">
        <v>610</v>
      </c>
      <c r="H1807" s="16">
        <v>154717.06</v>
      </c>
      <c r="I1807" s="16"/>
      <c r="J1807" s="16">
        <v>154717.06</v>
      </c>
      <c r="K1807" s="14" t="s">
        <v>225</v>
      </c>
    </row>
    <row r="1808" spans="1:11" ht="15" customHeight="1">
      <c r="A1808" s="13">
        <v>46142</v>
      </c>
      <c r="B1808" s="14" t="s">
        <v>619</v>
      </c>
      <c r="C1808" s="14"/>
      <c r="D1808" s="14" t="s">
        <v>4</v>
      </c>
      <c r="E1808" s="14" t="str">
        <f>_xlfn.XLOOKUP($D1808,'Chart of Accounts'!$A:$A,'Chart of Accounts'!B:B,"")</f>
        <v>Cash - Payroll</v>
      </c>
      <c r="F1808" s="14" t="str">
        <f>_xlfn.XLOOKUP($D1808,'Chart of Accounts'!$A:$A,'Chart of Accounts'!C:C,"")</f>
        <v>Asset</v>
      </c>
      <c r="G1808" s="14" t="s">
        <v>610</v>
      </c>
      <c r="H1808" s="16"/>
      <c r="I1808" s="16">
        <v>154717.06</v>
      </c>
      <c r="J1808" s="16">
        <v>-154717.06</v>
      </c>
      <c r="K1808" s="14" t="s">
        <v>225</v>
      </c>
    </row>
    <row r="1809" spans="1:11" ht="15" customHeight="1">
      <c r="A1809" s="13">
        <v>46173</v>
      </c>
      <c r="B1809" s="14" t="s">
        <v>620</v>
      </c>
      <c r="C1809" s="14"/>
      <c r="D1809" s="14" t="s">
        <v>12</v>
      </c>
      <c r="E1809" s="14" t="str">
        <f>_xlfn.XLOOKUP($D1809,'Chart of Accounts'!$A:$A,'Chart of Accounts'!B:B,"")</f>
        <v>Accrued Payroll</v>
      </c>
      <c r="F1809" s="14" t="str">
        <f>_xlfn.XLOOKUP($D1809,'Chart of Accounts'!$A:$A,'Chart of Accounts'!C:C,"")</f>
        <v>Liability</v>
      </c>
      <c r="G1809" s="14" t="s">
        <v>610</v>
      </c>
      <c r="H1809" s="16">
        <v>144598.24</v>
      </c>
      <c r="I1809" s="16"/>
      <c r="J1809" s="16">
        <v>144598.24</v>
      </c>
      <c r="K1809" s="14" t="s">
        <v>225</v>
      </c>
    </row>
    <row r="1810" spans="1:11" ht="15" customHeight="1">
      <c r="A1810" s="13">
        <v>46173</v>
      </c>
      <c r="B1810" s="14" t="s">
        <v>620</v>
      </c>
      <c r="C1810" s="14"/>
      <c r="D1810" s="14" t="s">
        <v>4</v>
      </c>
      <c r="E1810" s="14" t="str">
        <f>_xlfn.XLOOKUP($D1810,'Chart of Accounts'!$A:$A,'Chart of Accounts'!B:B,"")</f>
        <v>Cash - Payroll</v>
      </c>
      <c r="F1810" s="14" t="str">
        <f>_xlfn.XLOOKUP($D1810,'Chart of Accounts'!$A:$A,'Chart of Accounts'!C:C,"")</f>
        <v>Asset</v>
      </c>
      <c r="G1810" s="14" t="s">
        <v>610</v>
      </c>
      <c r="H1810" s="16"/>
      <c r="I1810" s="16">
        <v>144598.24</v>
      </c>
      <c r="J1810" s="16">
        <v>-144598.24</v>
      </c>
      <c r="K1810" s="14" t="s">
        <v>225</v>
      </c>
    </row>
    <row r="1811" spans="1:11" ht="15" customHeight="1">
      <c r="A1811" s="13">
        <v>46203</v>
      </c>
      <c r="B1811" s="14" t="s">
        <v>621</v>
      </c>
      <c r="C1811" s="14"/>
      <c r="D1811" s="14" t="s">
        <v>12</v>
      </c>
      <c r="E1811" s="14" t="str">
        <f>_xlfn.XLOOKUP($D1811,'Chart of Accounts'!$A:$A,'Chart of Accounts'!B:B,"")</f>
        <v>Accrued Payroll</v>
      </c>
      <c r="F1811" s="14" t="str">
        <f>_xlfn.XLOOKUP($D1811,'Chart of Accounts'!$A:$A,'Chart of Accounts'!C:C,"")</f>
        <v>Liability</v>
      </c>
      <c r="G1811" s="14" t="s">
        <v>610</v>
      </c>
      <c r="H1811" s="16">
        <v>151306.26</v>
      </c>
      <c r="I1811" s="16"/>
      <c r="J1811" s="16">
        <v>151306.26</v>
      </c>
      <c r="K1811" s="14" t="s">
        <v>225</v>
      </c>
    </row>
    <row r="1812" spans="1:11" ht="15" customHeight="1">
      <c r="A1812" s="13">
        <v>46203</v>
      </c>
      <c r="B1812" s="14" t="s">
        <v>621</v>
      </c>
      <c r="C1812" s="14"/>
      <c r="D1812" s="14" t="s">
        <v>4</v>
      </c>
      <c r="E1812" s="14" t="str">
        <f>_xlfn.XLOOKUP($D1812,'Chart of Accounts'!$A:$A,'Chart of Accounts'!B:B,"")</f>
        <v>Cash - Payroll</v>
      </c>
      <c r="F1812" s="14" t="str">
        <f>_xlfn.XLOOKUP($D1812,'Chart of Accounts'!$A:$A,'Chart of Accounts'!C:C,"")</f>
        <v>Asset</v>
      </c>
      <c r="G1812" s="14" t="s">
        <v>610</v>
      </c>
      <c r="H1812" s="16"/>
      <c r="I1812" s="16">
        <v>151306.26</v>
      </c>
      <c r="J1812" s="16">
        <v>-151306.26</v>
      </c>
      <c r="K1812" s="14" t="s">
        <v>225</v>
      </c>
    </row>
    <row r="1813" spans="1:11" ht="15" customHeight="1">
      <c r="A1813" s="13">
        <v>45839</v>
      </c>
      <c r="B1813" s="14" t="s">
        <v>622</v>
      </c>
      <c r="C1813" s="14" t="s">
        <v>4</v>
      </c>
      <c r="D1813" s="14" t="s">
        <v>30</v>
      </c>
      <c r="E1813" s="14" t="str">
        <f>_xlfn.XLOOKUP($D1813,'Chart of Accounts'!$A:$A,'Chart of Accounts'!B:B,"")</f>
        <v>Employee Benefits</v>
      </c>
      <c r="F1813" s="14" t="str">
        <f>_xlfn.XLOOKUP($D1813,'Chart of Accounts'!$A:$A,'Chart of Accounts'!C:C,"")</f>
        <v>Expense</v>
      </c>
      <c r="G1813" s="14" t="s">
        <v>623</v>
      </c>
      <c r="H1813" s="16">
        <v>945.16158065217405</v>
      </c>
      <c r="I1813" s="16"/>
      <c r="J1813" s="16">
        <v>945.16158065217405</v>
      </c>
      <c r="K1813" s="14" t="s">
        <v>225</v>
      </c>
    </row>
    <row r="1814" spans="1:11" ht="15" customHeight="1">
      <c r="A1814" s="13">
        <v>45839</v>
      </c>
      <c r="B1814" s="14" t="s">
        <v>622</v>
      </c>
      <c r="C1814" s="14" t="s">
        <v>6</v>
      </c>
      <c r="D1814" s="14" t="s">
        <v>30</v>
      </c>
      <c r="E1814" s="14" t="str">
        <f>_xlfn.XLOOKUP($D1814,'Chart of Accounts'!$A:$A,'Chart of Accounts'!B:B,"")</f>
        <v>Employee Benefits</v>
      </c>
      <c r="F1814" s="14" t="str">
        <f>_xlfn.XLOOKUP($D1814,'Chart of Accounts'!$A:$A,'Chart of Accounts'!C:C,"")</f>
        <v>Expense</v>
      </c>
      <c r="G1814" s="14" t="s">
        <v>623</v>
      </c>
      <c r="H1814" s="16">
        <v>1565.0489360869565</v>
      </c>
      <c r="I1814" s="16"/>
      <c r="J1814" s="16">
        <v>1565.0489360869565</v>
      </c>
      <c r="K1814" s="14" t="s">
        <v>225</v>
      </c>
    </row>
    <row r="1815" spans="1:11" ht="15" customHeight="1">
      <c r="A1815" s="13">
        <v>45839</v>
      </c>
      <c r="B1815" s="14" t="s">
        <v>622</v>
      </c>
      <c r="C1815" s="14" t="s">
        <v>8</v>
      </c>
      <c r="D1815" s="14" t="s">
        <v>30</v>
      </c>
      <c r="E1815" s="14" t="str">
        <f>_xlfn.XLOOKUP($D1815,'Chart of Accounts'!$A:$A,'Chart of Accounts'!B:B,"")</f>
        <v>Employee Benefits</v>
      </c>
      <c r="F1815" s="14" t="str">
        <f>_xlfn.XLOOKUP($D1815,'Chart of Accounts'!$A:$A,'Chart of Accounts'!C:C,"")</f>
        <v>Expense</v>
      </c>
      <c r="G1815" s="14" t="s">
        <v>623</v>
      </c>
      <c r="H1815" s="16">
        <v>669.21172565217398</v>
      </c>
      <c r="I1815" s="16"/>
      <c r="J1815" s="16">
        <v>669.21172565217398</v>
      </c>
      <c r="K1815" s="14" t="s">
        <v>225</v>
      </c>
    </row>
    <row r="1816" spans="1:11" ht="15" customHeight="1">
      <c r="A1816" s="13">
        <v>45839</v>
      </c>
      <c r="B1816" s="14" t="s">
        <v>622</v>
      </c>
      <c r="C1816" s="14" t="s">
        <v>10</v>
      </c>
      <c r="D1816" s="14" t="s">
        <v>30</v>
      </c>
      <c r="E1816" s="14" t="str">
        <f>_xlfn.XLOOKUP($D1816,'Chart of Accounts'!$A:$A,'Chart of Accounts'!B:B,"")</f>
        <v>Employee Benefits</v>
      </c>
      <c r="F1816" s="14" t="str">
        <f>_xlfn.XLOOKUP($D1816,'Chart of Accounts'!$A:$A,'Chart of Accounts'!C:C,"")</f>
        <v>Expense</v>
      </c>
      <c r="G1816" s="14" t="s">
        <v>623</v>
      </c>
      <c r="H1816" s="16">
        <v>2383.5668634782614</v>
      </c>
      <c r="I1816" s="16"/>
      <c r="J1816" s="16">
        <v>2383.5668634782614</v>
      </c>
      <c r="K1816" s="14" t="s">
        <v>225</v>
      </c>
    </row>
    <row r="1817" spans="1:11" ht="15" customHeight="1">
      <c r="A1817" s="13">
        <v>45839</v>
      </c>
      <c r="B1817" s="14" t="s">
        <v>622</v>
      </c>
      <c r="C1817" s="14" t="s">
        <v>12</v>
      </c>
      <c r="D1817" s="14" t="s">
        <v>30</v>
      </c>
      <c r="E1817" s="14" t="str">
        <f>_xlfn.XLOOKUP($D1817,'Chart of Accounts'!$A:$A,'Chart of Accounts'!B:B,"")</f>
        <v>Employee Benefits</v>
      </c>
      <c r="F1817" s="14" t="str">
        <f>_xlfn.XLOOKUP($D1817,'Chart of Accounts'!$A:$A,'Chart of Accounts'!C:C,"")</f>
        <v>Expense</v>
      </c>
      <c r="G1817" s="14" t="s">
        <v>623</v>
      </c>
      <c r="H1817" s="16">
        <v>2044.9617273913045</v>
      </c>
      <c r="I1817" s="16"/>
      <c r="J1817" s="16">
        <v>2044.9617273913045</v>
      </c>
      <c r="K1817" s="14" t="s">
        <v>225</v>
      </c>
    </row>
    <row r="1818" spans="1:11" ht="15" customHeight="1">
      <c r="A1818" s="13">
        <v>45839</v>
      </c>
      <c r="B1818" s="14" t="s">
        <v>622</v>
      </c>
      <c r="C1818" s="14" t="s">
        <v>14</v>
      </c>
      <c r="D1818" s="14" t="s">
        <v>30</v>
      </c>
      <c r="E1818" s="14" t="str">
        <f>_xlfn.XLOOKUP($D1818,'Chart of Accounts'!$A:$A,'Chart of Accounts'!B:B,"")</f>
        <v>Employee Benefits</v>
      </c>
      <c r="F1818" s="14" t="str">
        <f>_xlfn.XLOOKUP($D1818,'Chart of Accounts'!$A:$A,'Chart of Accounts'!C:C,"")</f>
        <v>Expense</v>
      </c>
      <c r="G1818" s="14" t="s">
        <v>623</v>
      </c>
      <c r="H1818" s="16">
        <v>1405.0780056521742</v>
      </c>
      <c r="I1818" s="16"/>
      <c r="J1818" s="16">
        <v>1405.0780056521742</v>
      </c>
      <c r="K1818" s="14" t="s">
        <v>225</v>
      </c>
    </row>
    <row r="1819" spans="1:11" ht="15" customHeight="1">
      <c r="A1819" s="13">
        <v>45839</v>
      </c>
      <c r="B1819" s="14" t="s">
        <v>622</v>
      </c>
      <c r="C1819" s="14" t="s">
        <v>16</v>
      </c>
      <c r="D1819" s="14" t="s">
        <v>30</v>
      </c>
      <c r="E1819" s="14" t="str">
        <f>_xlfn.XLOOKUP($D1819,'Chart of Accounts'!$A:$A,'Chart of Accounts'!B:B,"")</f>
        <v>Employee Benefits</v>
      </c>
      <c r="F1819" s="14" t="str">
        <f>_xlfn.XLOOKUP($D1819,'Chart of Accounts'!$A:$A,'Chart of Accounts'!C:C,"")</f>
        <v>Expense</v>
      </c>
      <c r="G1819" s="14" t="s">
        <v>623</v>
      </c>
      <c r="H1819" s="16">
        <v>2591.5290730434785</v>
      </c>
      <c r="I1819" s="16"/>
      <c r="J1819" s="16">
        <v>2591.5290730434785</v>
      </c>
      <c r="K1819" s="14" t="s">
        <v>225</v>
      </c>
    </row>
    <row r="1820" spans="1:11" ht="15" customHeight="1">
      <c r="A1820" s="13">
        <v>45839</v>
      </c>
      <c r="B1820" s="14" t="s">
        <v>622</v>
      </c>
      <c r="C1820" s="14" t="s">
        <v>18</v>
      </c>
      <c r="D1820" s="14" t="s">
        <v>30</v>
      </c>
      <c r="E1820" s="14" t="str">
        <f>_xlfn.XLOOKUP($D1820,'Chart of Accounts'!$A:$A,'Chart of Accounts'!B:B,"")</f>
        <v>Employee Benefits</v>
      </c>
      <c r="F1820" s="14" t="str">
        <f>_xlfn.XLOOKUP($D1820,'Chart of Accounts'!$A:$A,'Chart of Accounts'!C:C,"")</f>
        <v>Expense</v>
      </c>
      <c r="G1820" s="14" t="s">
        <v>623</v>
      </c>
      <c r="H1820" s="16">
        <v>4201.9031060869575</v>
      </c>
      <c r="I1820" s="16"/>
      <c r="J1820" s="16">
        <v>4201.9031060869575</v>
      </c>
      <c r="K1820" s="14" t="s">
        <v>225</v>
      </c>
    </row>
    <row r="1821" spans="1:11" ht="15" customHeight="1">
      <c r="A1821" s="13">
        <v>45839</v>
      </c>
      <c r="B1821" s="14" t="s">
        <v>622</v>
      </c>
      <c r="C1821" s="14" t="s">
        <v>20</v>
      </c>
      <c r="D1821" s="14" t="s">
        <v>30</v>
      </c>
      <c r="E1821" s="14" t="str">
        <f>_xlfn.XLOOKUP($D1821,'Chart of Accounts'!$A:$A,'Chart of Accounts'!B:B,"")</f>
        <v>Employee Benefits</v>
      </c>
      <c r="F1821" s="14" t="str">
        <f>_xlfn.XLOOKUP($D1821,'Chart of Accounts'!$A:$A,'Chart of Accounts'!C:C,"")</f>
        <v>Expense</v>
      </c>
      <c r="G1821" s="14" t="s">
        <v>623</v>
      </c>
      <c r="H1821" s="16">
        <v>2148.9428321739133</v>
      </c>
      <c r="I1821" s="16"/>
      <c r="J1821" s="16">
        <v>2148.9428321739133</v>
      </c>
      <c r="K1821" s="14" t="s">
        <v>225</v>
      </c>
    </row>
    <row r="1822" spans="1:11" ht="15" customHeight="1">
      <c r="A1822" s="13">
        <v>45839</v>
      </c>
      <c r="B1822" s="14" t="s">
        <v>622</v>
      </c>
      <c r="C1822" s="14"/>
      <c r="D1822" s="14" t="s">
        <v>14</v>
      </c>
      <c r="E1822" s="14" t="str">
        <f>_xlfn.XLOOKUP($D1822,'Chart of Accounts'!$A:$A,'Chart of Accounts'!B:B,"")</f>
        <v>Accrued Vacation/PTO</v>
      </c>
      <c r="F1822" s="14" t="str">
        <f>_xlfn.XLOOKUP($D1822,'Chart of Accounts'!$A:$A,'Chart of Accounts'!C:C,"")</f>
        <v>Liability</v>
      </c>
      <c r="G1822" s="14" t="s">
        <v>623</v>
      </c>
      <c r="H1822" s="16"/>
      <c r="I1822" s="16">
        <v>17955.403850217393</v>
      </c>
      <c r="J1822" s="16">
        <v>-17955.403850217393</v>
      </c>
      <c r="K1822" s="14" t="s">
        <v>225</v>
      </c>
    </row>
    <row r="1823" spans="1:11" ht="15" customHeight="1">
      <c r="A1823" s="13">
        <v>45870</v>
      </c>
      <c r="B1823" s="14" t="s">
        <v>624</v>
      </c>
      <c r="C1823" s="14" t="s">
        <v>4</v>
      </c>
      <c r="D1823" s="14" t="s">
        <v>30</v>
      </c>
      <c r="E1823" s="14" t="str">
        <f>_xlfn.XLOOKUP($D1823,'Chart of Accounts'!$A:$A,'Chart of Accounts'!B:B,"")</f>
        <v>Employee Benefits</v>
      </c>
      <c r="F1823" s="14" t="str">
        <f>_xlfn.XLOOKUP($D1823,'Chart of Accounts'!$A:$A,'Chart of Accounts'!C:C,"")</f>
        <v>Expense</v>
      </c>
      <c r="G1823" s="14" t="s">
        <v>623</v>
      </c>
      <c r="H1823" s="16">
        <v>146.91722571428573</v>
      </c>
      <c r="I1823" s="16"/>
      <c r="J1823" s="16">
        <v>146.91722571428573</v>
      </c>
      <c r="K1823" s="14" t="s">
        <v>225</v>
      </c>
    </row>
    <row r="1824" spans="1:11" ht="15" customHeight="1">
      <c r="A1824" s="13">
        <v>45870</v>
      </c>
      <c r="B1824" s="14" t="s">
        <v>624</v>
      </c>
      <c r="C1824" s="14" t="s">
        <v>6</v>
      </c>
      <c r="D1824" s="14" t="s">
        <v>30</v>
      </c>
      <c r="E1824" s="14" t="str">
        <f>_xlfn.XLOOKUP($D1824,'Chart of Accounts'!$A:$A,'Chart of Accounts'!B:B,"")</f>
        <v>Employee Benefits</v>
      </c>
      <c r="F1824" s="14" t="str">
        <f>_xlfn.XLOOKUP($D1824,'Chart of Accounts'!$A:$A,'Chart of Accounts'!C:C,"")</f>
        <v>Expense</v>
      </c>
      <c r="G1824" s="14" t="s">
        <v>623</v>
      </c>
      <c r="H1824" s="16">
        <v>2098.3935066666663</v>
      </c>
      <c r="I1824" s="16"/>
      <c r="J1824" s="16">
        <v>2098.3935066666663</v>
      </c>
      <c r="K1824" s="14" t="s">
        <v>225</v>
      </c>
    </row>
    <row r="1825" spans="1:11" ht="15" customHeight="1">
      <c r="A1825" s="13">
        <v>45870</v>
      </c>
      <c r="B1825" s="14" t="s">
        <v>624</v>
      </c>
      <c r="C1825" s="14" t="s">
        <v>8</v>
      </c>
      <c r="D1825" s="14" t="s">
        <v>30</v>
      </c>
      <c r="E1825" s="14" t="str">
        <f>_xlfn.XLOOKUP($D1825,'Chart of Accounts'!$A:$A,'Chart of Accounts'!B:B,"")</f>
        <v>Employee Benefits</v>
      </c>
      <c r="F1825" s="14" t="str">
        <f>_xlfn.XLOOKUP($D1825,'Chart of Accounts'!$A:$A,'Chart of Accounts'!C:C,"")</f>
        <v>Expense</v>
      </c>
      <c r="G1825" s="14" t="s">
        <v>623</v>
      </c>
      <c r="H1825" s="16">
        <v>863.69520571428575</v>
      </c>
      <c r="I1825" s="16"/>
      <c r="J1825" s="16">
        <v>863.69520571428575</v>
      </c>
      <c r="K1825" s="14" t="s">
        <v>225</v>
      </c>
    </row>
    <row r="1826" spans="1:11" ht="15" customHeight="1">
      <c r="A1826" s="13">
        <v>45870</v>
      </c>
      <c r="B1826" s="14" t="s">
        <v>624</v>
      </c>
      <c r="C1826" s="14" t="s">
        <v>10</v>
      </c>
      <c r="D1826" s="14" t="s">
        <v>30</v>
      </c>
      <c r="E1826" s="14" t="str">
        <f>_xlfn.XLOOKUP($D1826,'Chart of Accounts'!$A:$A,'Chart of Accounts'!B:B,"")</f>
        <v>Employee Benefits</v>
      </c>
      <c r="F1826" s="14" t="str">
        <f>_xlfn.XLOOKUP($D1826,'Chart of Accounts'!$A:$A,'Chart of Accounts'!C:C,"")</f>
        <v>Expense</v>
      </c>
      <c r="G1826" s="14" t="s">
        <v>623</v>
      </c>
      <c r="H1826" s="16">
        <v>1584.9252228571429</v>
      </c>
      <c r="I1826" s="16"/>
      <c r="J1826" s="16">
        <v>1584.9252228571429</v>
      </c>
      <c r="K1826" s="14" t="s">
        <v>225</v>
      </c>
    </row>
    <row r="1827" spans="1:11" ht="15" customHeight="1">
      <c r="A1827" s="13">
        <v>45870</v>
      </c>
      <c r="B1827" s="14" t="s">
        <v>624</v>
      </c>
      <c r="C1827" s="14" t="s">
        <v>12</v>
      </c>
      <c r="D1827" s="14" t="s">
        <v>30</v>
      </c>
      <c r="E1827" s="14" t="str">
        <f>_xlfn.XLOOKUP($D1827,'Chart of Accounts'!$A:$A,'Chart of Accounts'!B:B,"")</f>
        <v>Employee Benefits</v>
      </c>
      <c r="F1827" s="14" t="str">
        <f>_xlfn.XLOOKUP($D1827,'Chart of Accounts'!$A:$A,'Chart of Accounts'!C:C,"")</f>
        <v>Expense</v>
      </c>
      <c r="G1827" s="14" t="s">
        <v>623</v>
      </c>
      <c r="H1827" s="16">
        <v>3077.841678095238</v>
      </c>
      <c r="I1827" s="16"/>
      <c r="J1827" s="16">
        <v>3077.841678095238</v>
      </c>
      <c r="K1827" s="14" t="s">
        <v>225</v>
      </c>
    </row>
    <row r="1828" spans="1:11" ht="15" customHeight="1">
      <c r="A1828" s="13">
        <v>45870</v>
      </c>
      <c r="B1828" s="14" t="s">
        <v>624</v>
      </c>
      <c r="C1828" s="14" t="s">
        <v>14</v>
      </c>
      <c r="D1828" s="14" t="s">
        <v>30</v>
      </c>
      <c r="E1828" s="14" t="str">
        <f>_xlfn.XLOOKUP($D1828,'Chart of Accounts'!$A:$A,'Chart of Accounts'!B:B,"")</f>
        <v>Employee Benefits</v>
      </c>
      <c r="F1828" s="14" t="str">
        <f>_xlfn.XLOOKUP($D1828,'Chart of Accounts'!$A:$A,'Chart of Accounts'!C:C,"")</f>
        <v>Expense</v>
      </c>
      <c r="G1828" s="14" t="s">
        <v>623</v>
      </c>
      <c r="H1828" s="16">
        <v>2217.1144971428571</v>
      </c>
      <c r="I1828" s="16"/>
      <c r="J1828" s="16">
        <v>2217.1144971428571</v>
      </c>
      <c r="K1828" s="14" t="s">
        <v>225</v>
      </c>
    </row>
    <row r="1829" spans="1:11" ht="15" customHeight="1">
      <c r="A1829" s="13">
        <v>45870</v>
      </c>
      <c r="B1829" s="14" t="s">
        <v>624</v>
      </c>
      <c r="C1829" s="14" t="s">
        <v>16</v>
      </c>
      <c r="D1829" s="14" t="s">
        <v>30</v>
      </c>
      <c r="E1829" s="14" t="str">
        <f>_xlfn.XLOOKUP($D1829,'Chart of Accounts'!$A:$A,'Chart of Accounts'!B:B,"")</f>
        <v>Employee Benefits</v>
      </c>
      <c r="F1829" s="14" t="str">
        <f>_xlfn.XLOOKUP($D1829,'Chart of Accounts'!$A:$A,'Chart of Accounts'!C:C,"")</f>
        <v>Expense</v>
      </c>
      <c r="G1829" s="14" t="s">
        <v>623</v>
      </c>
      <c r="H1829" s="16">
        <v>3063.0015542857145</v>
      </c>
      <c r="I1829" s="16"/>
      <c r="J1829" s="16">
        <v>3063.0015542857145</v>
      </c>
      <c r="K1829" s="14" t="s">
        <v>225</v>
      </c>
    </row>
    <row r="1830" spans="1:11" ht="15" customHeight="1">
      <c r="A1830" s="13">
        <v>45870</v>
      </c>
      <c r="B1830" s="14" t="s">
        <v>624</v>
      </c>
      <c r="C1830" s="14" t="s">
        <v>18</v>
      </c>
      <c r="D1830" s="14" t="s">
        <v>30</v>
      </c>
      <c r="E1830" s="14" t="str">
        <f>_xlfn.XLOOKUP($D1830,'Chart of Accounts'!$A:$A,'Chart of Accounts'!B:B,"")</f>
        <v>Employee Benefits</v>
      </c>
      <c r="F1830" s="14" t="str">
        <f>_xlfn.XLOOKUP($D1830,'Chart of Accounts'!$A:$A,'Chart of Accounts'!C:C,"")</f>
        <v>Expense</v>
      </c>
      <c r="G1830" s="14" t="s">
        <v>623</v>
      </c>
      <c r="H1830" s="16">
        <v>5389.9329676190473</v>
      </c>
      <c r="I1830" s="16"/>
      <c r="J1830" s="16">
        <v>5389.9329676190473</v>
      </c>
      <c r="K1830" s="14" t="s">
        <v>225</v>
      </c>
    </row>
    <row r="1831" spans="1:11" ht="15" customHeight="1">
      <c r="A1831" s="13">
        <v>45870</v>
      </c>
      <c r="B1831" s="14" t="s">
        <v>624</v>
      </c>
      <c r="C1831" s="14" t="s">
        <v>20</v>
      </c>
      <c r="D1831" s="14" t="s">
        <v>30</v>
      </c>
      <c r="E1831" s="14" t="str">
        <f>_xlfn.XLOOKUP($D1831,'Chart of Accounts'!$A:$A,'Chart of Accounts'!B:B,"")</f>
        <v>Employee Benefits</v>
      </c>
      <c r="F1831" s="14" t="str">
        <f>_xlfn.XLOOKUP($D1831,'Chart of Accounts'!$A:$A,'Chart of Accounts'!C:C,"")</f>
        <v>Expense</v>
      </c>
      <c r="G1831" s="14" t="s">
        <v>623</v>
      </c>
      <c r="H1831" s="16">
        <v>3193.5946438095234</v>
      </c>
      <c r="I1831" s="16"/>
      <c r="J1831" s="16">
        <v>3193.5946438095234</v>
      </c>
      <c r="K1831" s="14" t="s">
        <v>225</v>
      </c>
    </row>
    <row r="1832" spans="1:11" ht="15" customHeight="1">
      <c r="A1832" s="13">
        <v>45870</v>
      </c>
      <c r="B1832" s="14" t="s">
        <v>624</v>
      </c>
      <c r="C1832" s="14"/>
      <c r="D1832" s="14" t="s">
        <v>14</v>
      </c>
      <c r="E1832" s="14" t="str">
        <f>_xlfn.XLOOKUP($D1832,'Chart of Accounts'!$A:$A,'Chart of Accounts'!B:B,"")</f>
        <v>Accrued Vacation/PTO</v>
      </c>
      <c r="F1832" s="14" t="str">
        <f>_xlfn.XLOOKUP($D1832,'Chart of Accounts'!$A:$A,'Chart of Accounts'!C:C,"")</f>
        <v>Liability</v>
      </c>
      <c r="G1832" s="14" t="s">
        <v>623</v>
      </c>
      <c r="H1832" s="16"/>
      <c r="I1832" s="16">
        <v>21635.416501904761</v>
      </c>
      <c r="J1832" s="16">
        <v>-21635.416501904761</v>
      </c>
      <c r="K1832" s="14" t="s">
        <v>225</v>
      </c>
    </row>
    <row r="1833" spans="1:11" ht="15" customHeight="1">
      <c r="A1833" s="13">
        <v>45901</v>
      </c>
      <c r="B1833" s="14" t="s">
        <v>625</v>
      </c>
      <c r="C1833" s="14" t="s">
        <v>4</v>
      </c>
      <c r="D1833" s="14" t="s">
        <v>30</v>
      </c>
      <c r="E1833" s="14" t="str">
        <f>_xlfn.XLOOKUP($D1833,'Chart of Accounts'!$A:$A,'Chart of Accounts'!B:B,"")</f>
        <v>Employee Benefits</v>
      </c>
      <c r="F1833" s="14" t="str">
        <f>_xlfn.XLOOKUP($D1833,'Chart of Accounts'!$A:$A,'Chart of Accounts'!C:C,"")</f>
        <v>Expense</v>
      </c>
      <c r="G1833" s="14" t="s">
        <v>623</v>
      </c>
      <c r="H1833" s="16">
        <v>653.27627465909097</v>
      </c>
      <c r="I1833" s="16"/>
      <c r="J1833" s="16">
        <v>653.27627465909097</v>
      </c>
      <c r="K1833" s="14" t="s">
        <v>225</v>
      </c>
    </row>
    <row r="1834" spans="1:11" ht="15" customHeight="1">
      <c r="A1834" s="13">
        <v>45901</v>
      </c>
      <c r="B1834" s="14" t="s">
        <v>625</v>
      </c>
      <c r="C1834" s="14" t="s">
        <v>6</v>
      </c>
      <c r="D1834" s="14" t="s">
        <v>30</v>
      </c>
      <c r="E1834" s="14" t="str">
        <f>_xlfn.XLOOKUP($D1834,'Chart of Accounts'!$A:$A,'Chart of Accounts'!B:B,"")</f>
        <v>Employee Benefits</v>
      </c>
      <c r="F1834" s="14" t="str">
        <f>_xlfn.XLOOKUP($D1834,'Chart of Accounts'!$A:$A,'Chart of Accounts'!C:C,"")</f>
        <v>Expense</v>
      </c>
      <c r="G1834" s="14" t="s">
        <v>623</v>
      </c>
      <c r="H1834" s="16">
        <v>2639.2943479545456</v>
      </c>
      <c r="I1834" s="16"/>
      <c r="J1834" s="16">
        <v>2639.2943479545456</v>
      </c>
      <c r="K1834" s="14" t="s">
        <v>225</v>
      </c>
    </row>
    <row r="1835" spans="1:11" ht="15" customHeight="1">
      <c r="A1835" s="13">
        <v>45901</v>
      </c>
      <c r="B1835" s="14" t="s">
        <v>625</v>
      </c>
      <c r="C1835" s="14" t="s">
        <v>8</v>
      </c>
      <c r="D1835" s="14" t="s">
        <v>30</v>
      </c>
      <c r="E1835" s="14" t="str">
        <f>_xlfn.XLOOKUP($D1835,'Chart of Accounts'!$A:$A,'Chart of Accounts'!B:B,"")</f>
        <v>Employee Benefits</v>
      </c>
      <c r="F1835" s="14" t="str">
        <f>_xlfn.XLOOKUP($D1835,'Chart of Accounts'!$A:$A,'Chart of Accounts'!C:C,"")</f>
        <v>Expense</v>
      </c>
      <c r="G1835" s="14" t="s">
        <v>623</v>
      </c>
      <c r="H1835" s="16">
        <v>1428.7690461363636</v>
      </c>
      <c r="I1835" s="16"/>
      <c r="J1835" s="16">
        <v>1428.7690461363636</v>
      </c>
      <c r="K1835" s="14" t="s">
        <v>225</v>
      </c>
    </row>
    <row r="1836" spans="1:11" ht="15" customHeight="1">
      <c r="A1836" s="13">
        <v>45901</v>
      </c>
      <c r="B1836" s="14" t="s">
        <v>625</v>
      </c>
      <c r="C1836" s="14" t="s">
        <v>10</v>
      </c>
      <c r="D1836" s="14" t="s">
        <v>30</v>
      </c>
      <c r="E1836" s="14" t="str">
        <f>_xlfn.XLOOKUP($D1836,'Chart of Accounts'!$A:$A,'Chart of Accounts'!B:B,"")</f>
        <v>Employee Benefits</v>
      </c>
      <c r="F1836" s="14" t="str">
        <f>_xlfn.XLOOKUP($D1836,'Chart of Accounts'!$A:$A,'Chart of Accounts'!C:C,"")</f>
        <v>Expense</v>
      </c>
      <c r="G1836" s="14" t="s">
        <v>623</v>
      </c>
      <c r="H1836" s="16">
        <v>1670.2921231818182</v>
      </c>
      <c r="I1836" s="16"/>
      <c r="J1836" s="16">
        <v>1670.2921231818182</v>
      </c>
      <c r="K1836" s="14" t="s">
        <v>225</v>
      </c>
    </row>
    <row r="1837" spans="1:11" ht="15" customHeight="1">
      <c r="A1837" s="13">
        <v>45901</v>
      </c>
      <c r="B1837" s="14" t="s">
        <v>625</v>
      </c>
      <c r="C1837" s="14" t="s">
        <v>12</v>
      </c>
      <c r="D1837" s="14" t="s">
        <v>30</v>
      </c>
      <c r="E1837" s="14" t="str">
        <f>_xlfn.XLOOKUP($D1837,'Chart of Accounts'!$A:$A,'Chart of Accounts'!B:B,"")</f>
        <v>Employee Benefits</v>
      </c>
      <c r="F1837" s="14" t="str">
        <f>_xlfn.XLOOKUP($D1837,'Chart of Accounts'!$A:$A,'Chart of Accounts'!C:C,"")</f>
        <v>Expense</v>
      </c>
      <c r="G1837" s="14" t="s">
        <v>623</v>
      </c>
      <c r="H1837" s="16">
        <v>3029.2231711363634</v>
      </c>
      <c r="I1837" s="16"/>
      <c r="J1837" s="16">
        <v>3029.2231711363634</v>
      </c>
      <c r="K1837" s="14" t="s">
        <v>225</v>
      </c>
    </row>
    <row r="1838" spans="1:11" ht="15" customHeight="1">
      <c r="A1838" s="13">
        <v>45901</v>
      </c>
      <c r="B1838" s="14" t="s">
        <v>625</v>
      </c>
      <c r="C1838" s="14" t="s">
        <v>14</v>
      </c>
      <c r="D1838" s="14" t="s">
        <v>30</v>
      </c>
      <c r="E1838" s="14" t="str">
        <f>_xlfn.XLOOKUP($D1838,'Chart of Accounts'!$A:$A,'Chart of Accounts'!B:B,"")</f>
        <v>Employee Benefits</v>
      </c>
      <c r="F1838" s="14" t="str">
        <f>_xlfn.XLOOKUP($D1838,'Chart of Accounts'!$A:$A,'Chart of Accounts'!C:C,"")</f>
        <v>Expense</v>
      </c>
      <c r="G1838" s="14" t="s">
        <v>623</v>
      </c>
      <c r="H1838" s="16">
        <v>1882.7160343181818</v>
      </c>
      <c r="I1838" s="16"/>
      <c r="J1838" s="16">
        <v>1882.7160343181818</v>
      </c>
      <c r="K1838" s="14" t="s">
        <v>225</v>
      </c>
    </row>
    <row r="1839" spans="1:11" ht="15" customHeight="1">
      <c r="A1839" s="13">
        <v>45901</v>
      </c>
      <c r="B1839" s="14" t="s">
        <v>625</v>
      </c>
      <c r="C1839" s="14" t="s">
        <v>16</v>
      </c>
      <c r="D1839" s="14" t="s">
        <v>30</v>
      </c>
      <c r="E1839" s="14" t="str">
        <f>_xlfn.XLOOKUP($D1839,'Chart of Accounts'!$A:$A,'Chart of Accounts'!B:B,"")</f>
        <v>Employee Benefits</v>
      </c>
      <c r="F1839" s="14" t="str">
        <f>_xlfn.XLOOKUP($D1839,'Chart of Accounts'!$A:$A,'Chart of Accounts'!C:C,"")</f>
        <v>Expense</v>
      </c>
      <c r="G1839" s="14" t="s">
        <v>623</v>
      </c>
      <c r="H1839" s="16">
        <v>3410.4222445454548</v>
      </c>
      <c r="I1839" s="16"/>
      <c r="J1839" s="16">
        <v>3410.4222445454548</v>
      </c>
      <c r="K1839" s="14" t="s">
        <v>225</v>
      </c>
    </row>
    <row r="1840" spans="1:11" ht="15" customHeight="1">
      <c r="A1840" s="13">
        <v>45901</v>
      </c>
      <c r="B1840" s="14" t="s">
        <v>625</v>
      </c>
      <c r="C1840" s="14" t="s">
        <v>18</v>
      </c>
      <c r="D1840" s="14" t="s">
        <v>30</v>
      </c>
      <c r="E1840" s="14" t="str">
        <f>_xlfn.XLOOKUP($D1840,'Chart of Accounts'!$A:$A,'Chart of Accounts'!B:B,"")</f>
        <v>Employee Benefits</v>
      </c>
      <c r="F1840" s="14" t="str">
        <f>_xlfn.XLOOKUP($D1840,'Chart of Accounts'!$A:$A,'Chart of Accounts'!C:C,"")</f>
        <v>Expense</v>
      </c>
      <c r="G1840" s="14" t="s">
        <v>623</v>
      </c>
      <c r="H1840" s="16">
        <v>5284.4085290909097</v>
      </c>
      <c r="I1840" s="16"/>
      <c r="J1840" s="16">
        <v>5284.4085290909097</v>
      </c>
      <c r="K1840" s="14" t="s">
        <v>225</v>
      </c>
    </row>
    <row r="1841" spans="1:11" ht="15" customHeight="1">
      <c r="A1841" s="13">
        <v>45901</v>
      </c>
      <c r="B1841" s="14" t="s">
        <v>625</v>
      </c>
      <c r="C1841" s="14" t="s">
        <v>20</v>
      </c>
      <c r="D1841" s="14" t="s">
        <v>30</v>
      </c>
      <c r="E1841" s="14" t="str">
        <f>_xlfn.XLOOKUP($D1841,'Chart of Accounts'!$A:$A,'Chart of Accounts'!B:B,"")</f>
        <v>Employee Benefits</v>
      </c>
      <c r="F1841" s="14" t="str">
        <f>_xlfn.XLOOKUP($D1841,'Chart of Accounts'!$A:$A,'Chart of Accounts'!C:C,"")</f>
        <v>Expense</v>
      </c>
      <c r="G1841" s="14" t="s">
        <v>623</v>
      </c>
      <c r="H1841" s="16">
        <v>2287.1944404545457</v>
      </c>
      <c r="I1841" s="16"/>
      <c r="J1841" s="16">
        <v>2287.1944404545457</v>
      </c>
      <c r="K1841" s="14" t="s">
        <v>225</v>
      </c>
    </row>
    <row r="1842" spans="1:11" ht="15" customHeight="1">
      <c r="A1842" s="13">
        <v>45901</v>
      </c>
      <c r="B1842" s="14" t="s">
        <v>625</v>
      </c>
      <c r="C1842" s="14"/>
      <c r="D1842" s="14" t="s">
        <v>14</v>
      </c>
      <c r="E1842" s="14" t="str">
        <f>_xlfn.XLOOKUP($D1842,'Chart of Accounts'!$A:$A,'Chart of Accounts'!B:B,"")</f>
        <v>Accrued Vacation/PTO</v>
      </c>
      <c r="F1842" s="14" t="str">
        <f>_xlfn.XLOOKUP($D1842,'Chart of Accounts'!$A:$A,'Chart of Accounts'!C:C,"")</f>
        <v>Liability</v>
      </c>
      <c r="G1842" s="14" t="s">
        <v>623</v>
      </c>
      <c r="H1842" s="16"/>
      <c r="I1842" s="16">
        <v>22285.596211477274</v>
      </c>
      <c r="J1842" s="16">
        <v>-22285.596211477274</v>
      </c>
      <c r="K1842" s="14" t="s">
        <v>225</v>
      </c>
    </row>
    <row r="1843" spans="1:11" ht="15" customHeight="1">
      <c r="A1843" s="13">
        <v>45931</v>
      </c>
      <c r="B1843" s="14" t="s">
        <v>626</v>
      </c>
      <c r="C1843" s="14" t="s">
        <v>4</v>
      </c>
      <c r="D1843" s="14" t="s">
        <v>30</v>
      </c>
      <c r="E1843" s="14" t="str">
        <f>_xlfn.XLOOKUP($D1843,'Chart of Accounts'!$A:$A,'Chart of Accounts'!B:B,"")</f>
        <v>Employee Benefits</v>
      </c>
      <c r="F1843" s="14" t="str">
        <f>_xlfn.XLOOKUP($D1843,'Chart of Accounts'!$A:$A,'Chart of Accounts'!C:C,"")</f>
        <v>Expense</v>
      </c>
      <c r="G1843" s="14" t="s">
        <v>623</v>
      </c>
      <c r="H1843" s="16">
        <v>784.43376304347851</v>
      </c>
      <c r="I1843" s="16"/>
      <c r="J1843" s="16">
        <v>784.43376304347851</v>
      </c>
      <c r="K1843" s="14" t="s">
        <v>225</v>
      </c>
    </row>
    <row r="1844" spans="1:11" ht="15" customHeight="1">
      <c r="A1844" s="13">
        <v>45931</v>
      </c>
      <c r="B1844" s="14" t="s">
        <v>626</v>
      </c>
      <c r="C1844" s="14" t="s">
        <v>6</v>
      </c>
      <c r="D1844" s="14" t="s">
        <v>30</v>
      </c>
      <c r="E1844" s="14" t="str">
        <f>_xlfn.XLOOKUP($D1844,'Chart of Accounts'!$A:$A,'Chart of Accounts'!B:B,"")</f>
        <v>Employee Benefits</v>
      </c>
      <c r="F1844" s="14" t="str">
        <f>_xlfn.XLOOKUP($D1844,'Chart of Accounts'!$A:$A,'Chart of Accounts'!C:C,"")</f>
        <v>Expense</v>
      </c>
      <c r="G1844" s="14" t="s">
        <v>623</v>
      </c>
      <c r="H1844" s="16">
        <v>2882.3380130434789</v>
      </c>
      <c r="I1844" s="16"/>
      <c r="J1844" s="16">
        <v>2882.3380130434789</v>
      </c>
      <c r="K1844" s="14" t="s">
        <v>225</v>
      </c>
    </row>
    <row r="1845" spans="1:11" ht="15" customHeight="1">
      <c r="A1845" s="13">
        <v>45931</v>
      </c>
      <c r="B1845" s="14" t="s">
        <v>626</v>
      </c>
      <c r="C1845" s="14" t="s">
        <v>8</v>
      </c>
      <c r="D1845" s="14" t="s">
        <v>30</v>
      </c>
      <c r="E1845" s="14" t="str">
        <f>_xlfn.XLOOKUP($D1845,'Chart of Accounts'!$A:$A,'Chart of Accounts'!B:B,"")</f>
        <v>Employee Benefits</v>
      </c>
      <c r="F1845" s="14" t="str">
        <f>_xlfn.XLOOKUP($D1845,'Chart of Accounts'!$A:$A,'Chart of Accounts'!C:C,"")</f>
        <v>Expense</v>
      </c>
      <c r="G1845" s="14" t="s">
        <v>623</v>
      </c>
      <c r="H1845" s="16">
        <v>1714.8086913043483</v>
      </c>
      <c r="I1845" s="16"/>
      <c r="J1845" s="16">
        <v>1714.8086913043483</v>
      </c>
      <c r="K1845" s="14" t="s">
        <v>225</v>
      </c>
    </row>
    <row r="1846" spans="1:11" ht="15" customHeight="1">
      <c r="A1846" s="13">
        <v>45931</v>
      </c>
      <c r="B1846" s="14" t="s">
        <v>626</v>
      </c>
      <c r="C1846" s="14" t="s">
        <v>10</v>
      </c>
      <c r="D1846" s="14" t="s">
        <v>30</v>
      </c>
      <c r="E1846" s="14" t="str">
        <f>_xlfn.XLOOKUP($D1846,'Chart of Accounts'!$A:$A,'Chart of Accounts'!B:B,"")</f>
        <v>Employee Benefits</v>
      </c>
      <c r="F1846" s="14" t="str">
        <f>_xlfn.XLOOKUP($D1846,'Chart of Accounts'!$A:$A,'Chart of Accounts'!C:C,"")</f>
        <v>Expense</v>
      </c>
      <c r="G1846" s="14" t="s">
        <v>623</v>
      </c>
      <c r="H1846" s="16">
        <v>1947.7532434782611</v>
      </c>
      <c r="I1846" s="16"/>
      <c r="J1846" s="16">
        <v>1947.7532434782611</v>
      </c>
      <c r="K1846" s="14" t="s">
        <v>225</v>
      </c>
    </row>
    <row r="1847" spans="1:11" ht="15" customHeight="1">
      <c r="A1847" s="13">
        <v>45931</v>
      </c>
      <c r="B1847" s="14" t="s">
        <v>626</v>
      </c>
      <c r="C1847" s="14" t="s">
        <v>12</v>
      </c>
      <c r="D1847" s="14" t="s">
        <v>30</v>
      </c>
      <c r="E1847" s="14" t="str">
        <f>_xlfn.XLOOKUP($D1847,'Chart of Accounts'!$A:$A,'Chart of Accounts'!B:B,"")</f>
        <v>Employee Benefits</v>
      </c>
      <c r="F1847" s="14" t="str">
        <f>_xlfn.XLOOKUP($D1847,'Chart of Accounts'!$A:$A,'Chart of Accounts'!C:C,"")</f>
        <v>Expense</v>
      </c>
      <c r="G1847" s="14" t="s">
        <v>623</v>
      </c>
      <c r="H1847" s="16">
        <v>3230.3515608695657</v>
      </c>
      <c r="I1847" s="16"/>
      <c r="J1847" s="16">
        <v>3230.3515608695657</v>
      </c>
      <c r="K1847" s="14" t="s">
        <v>225</v>
      </c>
    </row>
    <row r="1848" spans="1:11" ht="15" customHeight="1">
      <c r="A1848" s="13">
        <v>45931</v>
      </c>
      <c r="B1848" s="14" t="s">
        <v>626</v>
      </c>
      <c r="C1848" s="14" t="s">
        <v>14</v>
      </c>
      <c r="D1848" s="14" t="s">
        <v>30</v>
      </c>
      <c r="E1848" s="14" t="str">
        <f>_xlfn.XLOOKUP($D1848,'Chart of Accounts'!$A:$A,'Chart of Accounts'!B:B,"")</f>
        <v>Employee Benefits</v>
      </c>
      <c r="F1848" s="14" t="str">
        <f>_xlfn.XLOOKUP($D1848,'Chart of Accounts'!$A:$A,'Chart of Accounts'!C:C,"")</f>
        <v>Expense</v>
      </c>
      <c r="G1848" s="14" t="s">
        <v>623</v>
      </c>
      <c r="H1848" s="16">
        <v>2433.2882739130441</v>
      </c>
      <c r="I1848" s="16"/>
      <c r="J1848" s="16">
        <v>2433.2882739130441</v>
      </c>
      <c r="K1848" s="14" t="s">
        <v>225</v>
      </c>
    </row>
    <row r="1849" spans="1:11" ht="15" customHeight="1">
      <c r="A1849" s="13">
        <v>45931</v>
      </c>
      <c r="B1849" s="14" t="s">
        <v>626</v>
      </c>
      <c r="C1849" s="14" t="s">
        <v>16</v>
      </c>
      <c r="D1849" s="14" t="s">
        <v>30</v>
      </c>
      <c r="E1849" s="14" t="str">
        <f>_xlfn.XLOOKUP($D1849,'Chart of Accounts'!$A:$A,'Chart of Accounts'!B:B,"")</f>
        <v>Employee Benefits</v>
      </c>
      <c r="F1849" s="14" t="str">
        <f>_xlfn.XLOOKUP($D1849,'Chart of Accounts'!$A:$A,'Chart of Accounts'!C:C,"")</f>
        <v>Expense</v>
      </c>
      <c r="G1849" s="14" t="s">
        <v>623</v>
      </c>
      <c r="H1849" s="16">
        <v>2335.0586434782617</v>
      </c>
      <c r="I1849" s="16"/>
      <c r="J1849" s="16">
        <v>2335.0586434782617</v>
      </c>
      <c r="K1849" s="14" t="s">
        <v>225</v>
      </c>
    </row>
    <row r="1850" spans="1:11" ht="15" customHeight="1">
      <c r="A1850" s="13">
        <v>45931</v>
      </c>
      <c r="B1850" s="14" t="s">
        <v>626</v>
      </c>
      <c r="C1850" s="14" t="s">
        <v>18</v>
      </c>
      <c r="D1850" s="14" t="s">
        <v>30</v>
      </c>
      <c r="E1850" s="14" t="str">
        <f>_xlfn.XLOOKUP($D1850,'Chart of Accounts'!$A:$A,'Chart of Accounts'!B:B,"")</f>
        <v>Employee Benefits</v>
      </c>
      <c r="F1850" s="14" t="str">
        <f>_xlfn.XLOOKUP($D1850,'Chart of Accounts'!$A:$A,'Chart of Accounts'!C:C,"")</f>
        <v>Expense</v>
      </c>
      <c r="G1850" s="14" t="s">
        <v>623</v>
      </c>
      <c r="H1850" s="16">
        <v>5321.2394086956538</v>
      </c>
      <c r="I1850" s="16"/>
      <c r="J1850" s="16">
        <v>5321.2394086956538</v>
      </c>
      <c r="K1850" s="14" t="s">
        <v>225</v>
      </c>
    </row>
    <row r="1851" spans="1:11" ht="15" customHeight="1">
      <c r="A1851" s="13">
        <v>45931</v>
      </c>
      <c r="B1851" s="14" t="s">
        <v>626</v>
      </c>
      <c r="C1851" s="14" t="s">
        <v>20</v>
      </c>
      <c r="D1851" s="14" t="s">
        <v>30</v>
      </c>
      <c r="E1851" s="14" t="str">
        <f>_xlfn.XLOOKUP($D1851,'Chart of Accounts'!$A:$A,'Chart of Accounts'!B:B,"")</f>
        <v>Employee Benefits</v>
      </c>
      <c r="F1851" s="14" t="str">
        <f>_xlfn.XLOOKUP($D1851,'Chart of Accounts'!$A:$A,'Chart of Accounts'!C:C,"")</f>
        <v>Expense</v>
      </c>
      <c r="G1851" s="14" t="s">
        <v>623</v>
      </c>
      <c r="H1851" s="16">
        <v>2851.4658434782614</v>
      </c>
      <c r="I1851" s="16"/>
      <c r="J1851" s="16">
        <v>2851.4658434782614</v>
      </c>
      <c r="K1851" s="14" t="s">
        <v>225</v>
      </c>
    </row>
    <row r="1852" spans="1:11" ht="15" customHeight="1">
      <c r="A1852" s="13">
        <v>45931</v>
      </c>
      <c r="B1852" s="14" t="s">
        <v>626</v>
      </c>
      <c r="C1852" s="14"/>
      <c r="D1852" s="14" t="s">
        <v>14</v>
      </c>
      <c r="E1852" s="14" t="str">
        <f>_xlfn.XLOOKUP($D1852,'Chart of Accounts'!$A:$A,'Chart of Accounts'!B:B,"")</f>
        <v>Accrued Vacation/PTO</v>
      </c>
      <c r="F1852" s="14" t="str">
        <f>_xlfn.XLOOKUP($D1852,'Chart of Accounts'!$A:$A,'Chart of Accounts'!C:C,"")</f>
        <v>Liability</v>
      </c>
      <c r="G1852" s="14" t="s">
        <v>623</v>
      </c>
      <c r="H1852" s="16"/>
      <c r="I1852" s="16">
        <v>23500.737441304351</v>
      </c>
      <c r="J1852" s="16">
        <v>-23500.737441304351</v>
      </c>
      <c r="K1852" s="14" t="s">
        <v>225</v>
      </c>
    </row>
    <row r="1853" spans="1:11" ht="15" customHeight="1">
      <c r="A1853" s="13">
        <v>45962</v>
      </c>
      <c r="B1853" s="14" t="s">
        <v>627</v>
      </c>
      <c r="C1853" s="14" t="s">
        <v>4</v>
      </c>
      <c r="D1853" s="14" t="s">
        <v>30</v>
      </c>
      <c r="E1853" s="14" t="str">
        <f>_xlfn.XLOOKUP($D1853,'Chart of Accounts'!$A:$A,'Chart of Accounts'!B:B,"")</f>
        <v>Employee Benefits</v>
      </c>
      <c r="F1853" s="14" t="str">
        <f>_xlfn.XLOOKUP($D1853,'Chart of Accounts'!$A:$A,'Chart of Accounts'!C:C,"")</f>
        <v>Expense</v>
      </c>
      <c r="G1853" s="14" t="s">
        <v>623</v>
      </c>
      <c r="H1853" s="16">
        <v>1362.6544770432711</v>
      </c>
      <c r="I1853" s="16"/>
      <c r="J1853" s="16">
        <v>1362.6544770432711</v>
      </c>
      <c r="K1853" s="14" t="s">
        <v>225</v>
      </c>
    </row>
    <row r="1854" spans="1:11" ht="15" customHeight="1">
      <c r="A1854" s="13">
        <v>45962</v>
      </c>
      <c r="B1854" s="14" t="s">
        <v>627</v>
      </c>
      <c r="C1854" s="14" t="s">
        <v>6</v>
      </c>
      <c r="D1854" s="14" t="s">
        <v>30</v>
      </c>
      <c r="E1854" s="14" t="str">
        <f>_xlfn.XLOOKUP($D1854,'Chart of Accounts'!$A:$A,'Chart of Accounts'!B:B,"")</f>
        <v>Employee Benefits</v>
      </c>
      <c r="F1854" s="14" t="str">
        <f>_xlfn.XLOOKUP($D1854,'Chart of Accounts'!$A:$A,'Chart of Accounts'!C:C,"")</f>
        <v>Expense</v>
      </c>
      <c r="G1854" s="14" t="s">
        <v>623</v>
      </c>
      <c r="H1854" s="16">
        <v>3678.7173670673128</v>
      </c>
      <c r="I1854" s="16"/>
      <c r="J1854" s="16">
        <v>3678.7173670673128</v>
      </c>
      <c r="K1854" s="14" t="s">
        <v>225</v>
      </c>
    </row>
    <row r="1855" spans="1:11" ht="15" customHeight="1">
      <c r="A1855" s="13">
        <v>45962</v>
      </c>
      <c r="B1855" s="14" t="s">
        <v>627</v>
      </c>
      <c r="C1855" s="14" t="s">
        <v>8</v>
      </c>
      <c r="D1855" s="14" t="s">
        <v>30</v>
      </c>
      <c r="E1855" s="14" t="str">
        <f>_xlfn.XLOOKUP($D1855,'Chart of Accounts'!$A:$A,'Chart of Accounts'!B:B,"")</f>
        <v>Employee Benefits</v>
      </c>
      <c r="F1855" s="14" t="str">
        <f>_xlfn.XLOOKUP($D1855,'Chart of Accounts'!$A:$A,'Chart of Accounts'!C:C,"")</f>
        <v>Expense</v>
      </c>
      <c r="G1855" s="14" t="s">
        <v>623</v>
      </c>
      <c r="H1855" s="16">
        <v>1711.9377478365409</v>
      </c>
      <c r="I1855" s="16"/>
      <c r="J1855" s="16">
        <v>1711.9377478365409</v>
      </c>
      <c r="K1855" s="14" t="s">
        <v>225</v>
      </c>
    </row>
    <row r="1856" spans="1:11" ht="15" customHeight="1">
      <c r="A1856" s="13">
        <v>45962</v>
      </c>
      <c r="B1856" s="14" t="s">
        <v>627</v>
      </c>
      <c r="C1856" s="14" t="s">
        <v>10</v>
      </c>
      <c r="D1856" s="14" t="s">
        <v>30</v>
      </c>
      <c r="E1856" s="14" t="str">
        <f>_xlfn.XLOOKUP($D1856,'Chart of Accounts'!$A:$A,'Chart of Accounts'!B:B,"")</f>
        <v>Employee Benefits</v>
      </c>
      <c r="F1856" s="14" t="str">
        <f>_xlfn.XLOOKUP($D1856,'Chart of Accounts'!$A:$A,'Chart of Accounts'!C:C,"")</f>
        <v>Expense</v>
      </c>
      <c r="G1856" s="14" t="s">
        <v>623</v>
      </c>
      <c r="H1856" s="16">
        <v>2440.4856860576956</v>
      </c>
      <c r="I1856" s="16"/>
      <c r="J1856" s="16">
        <v>2440.4856860576956</v>
      </c>
      <c r="K1856" s="14" t="s">
        <v>225</v>
      </c>
    </row>
    <row r="1857" spans="1:11" ht="15" customHeight="1">
      <c r="A1857" s="13">
        <v>45962</v>
      </c>
      <c r="B1857" s="14" t="s">
        <v>627</v>
      </c>
      <c r="C1857" s="14" t="s">
        <v>12</v>
      </c>
      <c r="D1857" s="14" t="s">
        <v>30</v>
      </c>
      <c r="E1857" s="14" t="str">
        <f>_xlfn.XLOOKUP($D1857,'Chart of Accounts'!$A:$A,'Chart of Accounts'!B:B,"")</f>
        <v>Employee Benefits</v>
      </c>
      <c r="F1857" s="14" t="str">
        <f>_xlfn.XLOOKUP($D1857,'Chart of Accounts'!$A:$A,'Chart of Accounts'!C:C,"")</f>
        <v>Expense</v>
      </c>
      <c r="G1857" s="14" t="s">
        <v>623</v>
      </c>
      <c r="H1857" s="16">
        <v>4500.2076348557757</v>
      </c>
      <c r="I1857" s="16"/>
      <c r="J1857" s="16">
        <v>4500.2076348557757</v>
      </c>
      <c r="K1857" s="14" t="s">
        <v>225</v>
      </c>
    </row>
    <row r="1858" spans="1:11" ht="15" customHeight="1">
      <c r="A1858" s="13">
        <v>45962</v>
      </c>
      <c r="B1858" s="14" t="s">
        <v>627</v>
      </c>
      <c r="C1858" s="14" t="s">
        <v>14</v>
      </c>
      <c r="D1858" s="14" t="s">
        <v>30</v>
      </c>
      <c r="E1858" s="14" t="str">
        <f>_xlfn.XLOOKUP($D1858,'Chart of Accounts'!$A:$A,'Chart of Accounts'!B:B,"")</f>
        <v>Employee Benefits</v>
      </c>
      <c r="F1858" s="14" t="str">
        <f>_xlfn.XLOOKUP($D1858,'Chart of Accounts'!$A:$A,'Chart of Accounts'!C:C,"")</f>
        <v>Expense</v>
      </c>
      <c r="G1858" s="14" t="s">
        <v>623</v>
      </c>
      <c r="H1858" s="16">
        <v>3318.9406074519279</v>
      </c>
      <c r="I1858" s="16"/>
      <c r="J1858" s="16">
        <v>3318.9406074519279</v>
      </c>
      <c r="K1858" s="14" t="s">
        <v>225</v>
      </c>
    </row>
    <row r="1859" spans="1:11" ht="15" customHeight="1">
      <c r="A1859" s="13">
        <v>45962</v>
      </c>
      <c r="B1859" s="14" t="s">
        <v>627</v>
      </c>
      <c r="C1859" s="14" t="s">
        <v>16</v>
      </c>
      <c r="D1859" s="14" t="s">
        <v>30</v>
      </c>
      <c r="E1859" s="14" t="str">
        <f>_xlfn.XLOOKUP($D1859,'Chart of Accounts'!$A:$A,'Chart of Accounts'!B:B,"")</f>
        <v>Employee Benefits</v>
      </c>
      <c r="F1859" s="14" t="str">
        <f>_xlfn.XLOOKUP($D1859,'Chart of Accounts'!$A:$A,'Chart of Accounts'!C:C,"")</f>
        <v>Expense</v>
      </c>
      <c r="G1859" s="14" t="s">
        <v>623</v>
      </c>
      <c r="H1859" s="16">
        <v>3154.042925961543</v>
      </c>
      <c r="I1859" s="16"/>
      <c r="J1859" s="16">
        <v>3154.042925961543</v>
      </c>
      <c r="K1859" s="14" t="s">
        <v>225</v>
      </c>
    </row>
    <row r="1860" spans="1:11" ht="15" customHeight="1">
      <c r="A1860" s="13">
        <v>45962</v>
      </c>
      <c r="B1860" s="14" t="s">
        <v>627</v>
      </c>
      <c r="C1860" s="14" t="s">
        <v>18</v>
      </c>
      <c r="D1860" s="14" t="s">
        <v>30</v>
      </c>
      <c r="E1860" s="14" t="str">
        <f>_xlfn.XLOOKUP($D1860,'Chart of Accounts'!$A:$A,'Chart of Accounts'!B:B,"")</f>
        <v>Employee Benefits</v>
      </c>
      <c r="F1860" s="14" t="str">
        <f>_xlfn.XLOOKUP($D1860,'Chart of Accounts'!$A:$A,'Chart of Accounts'!C:C,"")</f>
        <v>Expense</v>
      </c>
      <c r="G1860" s="14" t="s">
        <v>623</v>
      </c>
      <c r="H1860" s="16">
        <v>5684.4728019230843</v>
      </c>
      <c r="I1860" s="16"/>
      <c r="J1860" s="16">
        <v>5684.4728019230843</v>
      </c>
      <c r="K1860" s="14" t="s">
        <v>225</v>
      </c>
    </row>
    <row r="1861" spans="1:11" ht="15" customHeight="1">
      <c r="A1861" s="13">
        <v>45962</v>
      </c>
      <c r="B1861" s="14" t="s">
        <v>627</v>
      </c>
      <c r="C1861" s="14" t="s">
        <v>20</v>
      </c>
      <c r="D1861" s="14" t="s">
        <v>30</v>
      </c>
      <c r="E1861" s="14" t="str">
        <f>_xlfn.XLOOKUP($D1861,'Chart of Accounts'!$A:$A,'Chart of Accounts'!B:B,"")</f>
        <v>Employee Benefits</v>
      </c>
      <c r="F1861" s="14" t="str">
        <f>_xlfn.XLOOKUP($D1861,'Chart of Accounts'!$A:$A,'Chart of Accounts'!C:C,"")</f>
        <v>Expense</v>
      </c>
      <c r="G1861" s="14" t="s">
        <v>623</v>
      </c>
      <c r="H1861" s="16">
        <v>3255.9796745192348</v>
      </c>
      <c r="I1861" s="16"/>
      <c r="J1861" s="16">
        <v>3255.9796745192348</v>
      </c>
      <c r="K1861" s="14" t="s">
        <v>225</v>
      </c>
    </row>
    <row r="1862" spans="1:11" ht="15" customHeight="1">
      <c r="A1862" s="13">
        <v>45962</v>
      </c>
      <c r="B1862" s="14" t="s">
        <v>627</v>
      </c>
      <c r="C1862" s="14"/>
      <c r="D1862" s="14" t="s">
        <v>14</v>
      </c>
      <c r="E1862" s="14" t="str">
        <f>_xlfn.XLOOKUP($D1862,'Chart of Accounts'!$A:$A,'Chart of Accounts'!B:B,"")</f>
        <v>Accrued Vacation/PTO</v>
      </c>
      <c r="F1862" s="14" t="str">
        <f>_xlfn.XLOOKUP($D1862,'Chart of Accounts'!$A:$A,'Chart of Accounts'!C:C,"")</f>
        <v>Liability</v>
      </c>
      <c r="G1862" s="14" t="s">
        <v>623</v>
      </c>
      <c r="H1862" s="16"/>
      <c r="I1862" s="16">
        <v>29107.438922716385</v>
      </c>
      <c r="J1862" s="16">
        <v>-29107.438922716385</v>
      </c>
      <c r="K1862" s="14" t="s">
        <v>225</v>
      </c>
    </row>
    <row r="1863" spans="1:11" ht="15" customHeight="1">
      <c r="A1863" s="13">
        <v>45992</v>
      </c>
      <c r="B1863" s="14" t="s">
        <v>628</v>
      </c>
      <c r="C1863" s="14" t="s">
        <v>4</v>
      </c>
      <c r="D1863" s="14" t="s">
        <v>30</v>
      </c>
      <c r="E1863" s="14" t="str">
        <f>_xlfn.XLOOKUP($D1863,'Chart of Accounts'!$A:$A,'Chart of Accounts'!B:B,"")</f>
        <v>Employee Benefits</v>
      </c>
      <c r="F1863" s="14" t="str">
        <f>_xlfn.XLOOKUP($D1863,'Chart of Accounts'!$A:$A,'Chart of Accounts'!C:C,"")</f>
        <v>Expense</v>
      </c>
      <c r="G1863" s="14" t="s">
        <v>623</v>
      </c>
      <c r="H1863" s="16">
        <v>1669.4843968436439</v>
      </c>
      <c r="I1863" s="16"/>
      <c r="J1863" s="16">
        <v>1669.4843968436439</v>
      </c>
      <c r="K1863" s="14" t="s">
        <v>225</v>
      </c>
    </row>
    <row r="1864" spans="1:11" ht="15" customHeight="1">
      <c r="A1864" s="13">
        <v>45992</v>
      </c>
      <c r="B1864" s="14" t="s">
        <v>628</v>
      </c>
      <c r="C1864" s="14" t="s">
        <v>6</v>
      </c>
      <c r="D1864" s="14" t="s">
        <v>30</v>
      </c>
      <c r="E1864" s="14" t="str">
        <f>_xlfn.XLOOKUP($D1864,'Chart of Accounts'!$A:$A,'Chart of Accounts'!B:B,"")</f>
        <v>Employee Benefits</v>
      </c>
      <c r="F1864" s="14" t="str">
        <f>_xlfn.XLOOKUP($D1864,'Chart of Accounts'!$A:$A,'Chart of Accounts'!C:C,"")</f>
        <v>Expense</v>
      </c>
      <c r="G1864" s="14" t="s">
        <v>623</v>
      </c>
      <c r="H1864" s="16">
        <v>3784.5182435200632</v>
      </c>
      <c r="I1864" s="16"/>
      <c r="J1864" s="16">
        <v>3784.5182435200632</v>
      </c>
      <c r="K1864" s="14" t="s">
        <v>225</v>
      </c>
    </row>
    <row r="1865" spans="1:11" ht="15" customHeight="1">
      <c r="A1865" s="13">
        <v>45992</v>
      </c>
      <c r="B1865" s="14" t="s">
        <v>628</v>
      </c>
      <c r="C1865" s="14" t="s">
        <v>8</v>
      </c>
      <c r="D1865" s="14" t="s">
        <v>30</v>
      </c>
      <c r="E1865" s="14" t="str">
        <f>_xlfn.XLOOKUP($D1865,'Chart of Accounts'!$A:$A,'Chart of Accounts'!B:B,"")</f>
        <v>Employee Benefits</v>
      </c>
      <c r="F1865" s="14" t="str">
        <f>_xlfn.XLOOKUP($D1865,'Chart of Accounts'!$A:$A,'Chart of Accounts'!C:C,"")</f>
        <v>Expense</v>
      </c>
      <c r="G1865" s="14" t="s">
        <v>623</v>
      </c>
      <c r="H1865" s="16">
        <v>1832.5873204431421</v>
      </c>
      <c r="I1865" s="16"/>
      <c r="J1865" s="16">
        <v>1832.5873204431421</v>
      </c>
      <c r="K1865" s="14" t="s">
        <v>225</v>
      </c>
    </row>
    <row r="1866" spans="1:11" ht="15" customHeight="1">
      <c r="A1866" s="13">
        <v>45992</v>
      </c>
      <c r="B1866" s="14" t="s">
        <v>628</v>
      </c>
      <c r="C1866" s="14" t="s">
        <v>10</v>
      </c>
      <c r="D1866" s="14" t="s">
        <v>30</v>
      </c>
      <c r="E1866" s="14" t="str">
        <f>_xlfn.XLOOKUP($D1866,'Chart of Accounts'!$A:$A,'Chart of Accounts'!B:B,"")</f>
        <v>Employee Benefits</v>
      </c>
      <c r="F1866" s="14" t="str">
        <f>_xlfn.XLOOKUP($D1866,'Chart of Accounts'!$A:$A,'Chart of Accounts'!C:C,"")</f>
        <v>Expense</v>
      </c>
      <c r="G1866" s="14" t="s">
        <v>623</v>
      </c>
      <c r="H1866" s="16">
        <v>1787.5019594481585</v>
      </c>
      <c r="I1866" s="16"/>
      <c r="J1866" s="16">
        <v>1787.5019594481585</v>
      </c>
      <c r="K1866" s="14" t="s">
        <v>225</v>
      </c>
    </row>
    <row r="1867" spans="1:11" ht="15" customHeight="1">
      <c r="A1867" s="13">
        <v>45992</v>
      </c>
      <c r="B1867" s="14" t="s">
        <v>628</v>
      </c>
      <c r="C1867" s="14" t="s">
        <v>12</v>
      </c>
      <c r="D1867" s="14" t="s">
        <v>30</v>
      </c>
      <c r="E1867" s="14" t="str">
        <f>_xlfn.XLOOKUP($D1867,'Chart of Accounts'!$A:$A,'Chart of Accounts'!B:B,"")</f>
        <v>Employee Benefits</v>
      </c>
      <c r="F1867" s="14" t="str">
        <f>_xlfn.XLOOKUP($D1867,'Chart of Accounts'!$A:$A,'Chart of Accounts'!C:C,"")</f>
        <v>Expense</v>
      </c>
      <c r="G1867" s="14" t="s">
        <v>623</v>
      </c>
      <c r="H1867" s="16">
        <v>4696.8337836538421</v>
      </c>
      <c r="I1867" s="16"/>
      <c r="J1867" s="16">
        <v>4696.8337836538421</v>
      </c>
      <c r="K1867" s="14" t="s">
        <v>225</v>
      </c>
    </row>
    <row r="1868" spans="1:11" ht="15" customHeight="1">
      <c r="A1868" s="13">
        <v>45992</v>
      </c>
      <c r="B1868" s="14" t="s">
        <v>628</v>
      </c>
      <c r="C1868" s="14" t="s">
        <v>14</v>
      </c>
      <c r="D1868" s="14" t="s">
        <v>30</v>
      </c>
      <c r="E1868" s="14" t="str">
        <f>_xlfn.XLOOKUP($D1868,'Chart of Accounts'!$A:$A,'Chart of Accounts'!B:B,"")</f>
        <v>Employee Benefits</v>
      </c>
      <c r="F1868" s="14" t="str">
        <f>_xlfn.XLOOKUP($D1868,'Chart of Accounts'!$A:$A,'Chart of Accounts'!C:C,"")</f>
        <v>Expense</v>
      </c>
      <c r="G1868" s="14" t="s">
        <v>623</v>
      </c>
      <c r="H1868" s="16">
        <v>3784.5182435200632</v>
      </c>
      <c r="I1868" s="16"/>
      <c r="J1868" s="16">
        <v>3784.5182435200632</v>
      </c>
      <c r="K1868" s="14" t="s">
        <v>225</v>
      </c>
    </row>
    <row r="1869" spans="1:11" ht="15" customHeight="1">
      <c r="A1869" s="13">
        <v>45992</v>
      </c>
      <c r="B1869" s="14" t="s">
        <v>628</v>
      </c>
      <c r="C1869" s="14" t="s">
        <v>16</v>
      </c>
      <c r="D1869" s="14" t="s">
        <v>30</v>
      </c>
      <c r="E1869" s="14" t="str">
        <f>_xlfn.XLOOKUP($D1869,'Chart of Accounts'!$A:$A,'Chart of Accounts'!B:B,"")</f>
        <v>Employee Benefits</v>
      </c>
      <c r="F1869" s="14" t="str">
        <f>_xlfn.XLOOKUP($D1869,'Chart of Accounts'!$A:$A,'Chart of Accounts'!C:C,"")</f>
        <v>Expense</v>
      </c>
      <c r="G1869" s="14" t="s">
        <v>623</v>
      </c>
      <c r="H1869" s="16">
        <v>2524.7802157190613</v>
      </c>
      <c r="I1869" s="16"/>
      <c r="J1869" s="16">
        <v>2524.7802157190613</v>
      </c>
      <c r="K1869" s="14" t="s">
        <v>225</v>
      </c>
    </row>
    <row r="1870" spans="1:11" ht="15" customHeight="1">
      <c r="A1870" s="13">
        <v>45992</v>
      </c>
      <c r="B1870" s="14" t="s">
        <v>628</v>
      </c>
      <c r="C1870" s="14" t="s">
        <v>18</v>
      </c>
      <c r="D1870" s="14" t="s">
        <v>30</v>
      </c>
      <c r="E1870" s="14" t="str">
        <f>_xlfn.XLOOKUP($D1870,'Chart of Accounts'!$A:$A,'Chart of Accounts'!B:B,"")</f>
        <v>Employee Benefits</v>
      </c>
      <c r="F1870" s="14" t="str">
        <f>_xlfn.XLOOKUP($D1870,'Chart of Accounts'!$A:$A,'Chart of Accounts'!C:C,"")</f>
        <v>Expense</v>
      </c>
      <c r="G1870" s="14" t="s">
        <v>623</v>
      </c>
      <c r="H1870" s="16">
        <v>4922.2605886287583</v>
      </c>
      <c r="I1870" s="16"/>
      <c r="J1870" s="16">
        <v>4922.2605886287583</v>
      </c>
      <c r="K1870" s="14" t="s">
        <v>225</v>
      </c>
    </row>
    <row r="1871" spans="1:11" ht="15" customHeight="1">
      <c r="A1871" s="13">
        <v>45992</v>
      </c>
      <c r="B1871" s="14" t="s">
        <v>628</v>
      </c>
      <c r="C1871" s="14" t="s">
        <v>20</v>
      </c>
      <c r="D1871" s="14" t="s">
        <v>30</v>
      </c>
      <c r="E1871" s="14" t="str">
        <f>_xlfn.XLOOKUP($D1871,'Chart of Accounts'!$A:$A,'Chart of Accounts'!B:B,"")</f>
        <v>Employee Benefits</v>
      </c>
      <c r="F1871" s="14" t="str">
        <f>_xlfn.XLOOKUP($D1871,'Chart of Accounts'!$A:$A,'Chart of Accounts'!C:C,"")</f>
        <v>Expense</v>
      </c>
      <c r="G1871" s="14" t="s">
        <v>623</v>
      </c>
      <c r="H1871" s="16">
        <v>3596.2205593645449</v>
      </c>
      <c r="I1871" s="16"/>
      <c r="J1871" s="16">
        <v>3596.2205593645449</v>
      </c>
      <c r="K1871" s="14" t="s">
        <v>225</v>
      </c>
    </row>
    <row r="1872" spans="1:11" ht="15" customHeight="1">
      <c r="A1872" s="13">
        <v>45992</v>
      </c>
      <c r="B1872" s="14" t="s">
        <v>628</v>
      </c>
      <c r="C1872" s="14"/>
      <c r="D1872" s="14" t="s">
        <v>14</v>
      </c>
      <c r="E1872" s="14" t="str">
        <f>_xlfn.XLOOKUP($D1872,'Chart of Accounts'!$A:$A,'Chart of Accounts'!B:B,"")</f>
        <v>Accrued Vacation/PTO</v>
      </c>
      <c r="F1872" s="14" t="str">
        <f>_xlfn.XLOOKUP($D1872,'Chart of Accounts'!$A:$A,'Chart of Accounts'!C:C,"")</f>
        <v>Liability</v>
      </c>
      <c r="G1872" s="14" t="s">
        <v>623</v>
      </c>
      <c r="H1872" s="16"/>
      <c r="I1872" s="16">
        <v>28598.705311141279</v>
      </c>
      <c r="J1872" s="16">
        <v>-28598.705311141279</v>
      </c>
      <c r="K1872" s="14" t="s">
        <v>225</v>
      </c>
    </row>
    <row r="1873" spans="1:11" ht="15" customHeight="1">
      <c r="A1873" s="13">
        <v>46023</v>
      </c>
      <c r="B1873" s="14" t="s">
        <v>629</v>
      </c>
      <c r="C1873" s="14" t="s">
        <v>4</v>
      </c>
      <c r="D1873" s="14" t="s">
        <v>30</v>
      </c>
      <c r="E1873" s="14" t="str">
        <f>_xlfn.XLOOKUP($D1873,'Chart of Accounts'!$A:$A,'Chart of Accounts'!B:B,"")</f>
        <v>Employee Benefits</v>
      </c>
      <c r="F1873" s="14" t="str">
        <f>_xlfn.XLOOKUP($D1873,'Chart of Accounts'!$A:$A,'Chart of Accounts'!C:C,"")</f>
        <v>Expense</v>
      </c>
      <c r="G1873" s="14" t="s">
        <v>623</v>
      </c>
      <c r="H1873" s="16">
        <v>2295.6912140909089</v>
      </c>
      <c r="I1873" s="16"/>
      <c r="J1873" s="16">
        <v>2295.6912140909089</v>
      </c>
      <c r="K1873" s="14" t="s">
        <v>225</v>
      </c>
    </row>
    <row r="1874" spans="1:11" ht="15" customHeight="1">
      <c r="A1874" s="13">
        <v>46023</v>
      </c>
      <c r="B1874" s="14" t="s">
        <v>629</v>
      </c>
      <c r="C1874" s="14" t="s">
        <v>6</v>
      </c>
      <c r="D1874" s="14" t="s">
        <v>30</v>
      </c>
      <c r="E1874" s="14" t="str">
        <f>_xlfn.XLOOKUP($D1874,'Chart of Accounts'!$A:$A,'Chart of Accounts'!B:B,"")</f>
        <v>Employee Benefits</v>
      </c>
      <c r="F1874" s="14" t="str">
        <f>_xlfn.XLOOKUP($D1874,'Chart of Accounts'!$A:$A,'Chart of Accounts'!C:C,"")</f>
        <v>Expense</v>
      </c>
      <c r="G1874" s="14" t="s">
        <v>623</v>
      </c>
      <c r="H1874" s="16">
        <v>4642.7465572727269</v>
      </c>
      <c r="I1874" s="16"/>
      <c r="J1874" s="16">
        <v>4642.7465572727269</v>
      </c>
      <c r="K1874" s="14" t="s">
        <v>225</v>
      </c>
    </row>
    <row r="1875" spans="1:11" ht="15" customHeight="1">
      <c r="A1875" s="13">
        <v>46023</v>
      </c>
      <c r="B1875" s="14" t="s">
        <v>629</v>
      </c>
      <c r="C1875" s="14" t="s">
        <v>8</v>
      </c>
      <c r="D1875" s="14" t="s">
        <v>30</v>
      </c>
      <c r="E1875" s="14" t="str">
        <f>_xlfn.XLOOKUP($D1875,'Chart of Accounts'!$A:$A,'Chart of Accounts'!B:B,"")</f>
        <v>Employee Benefits</v>
      </c>
      <c r="F1875" s="14" t="str">
        <f>_xlfn.XLOOKUP($D1875,'Chart of Accounts'!$A:$A,'Chart of Accounts'!C:C,"")</f>
        <v>Expense</v>
      </c>
      <c r="G1875" s="14" t="s">
        <v>623</v>
      </c>
      <c r="H1875" s="16">
        <v>2085.954353636364</v>
      </c>
      <c r="I1875" s="16"/>
      <c r="J1875" s="16">
        <v>2085.954353636364</v>
      </c>
      <c r="K1875" s="14" t="s">
        <v>225</v>
      </c>
    </row>
    <row r="1876" spans="1:11" ht="15" customHeight="1">
      <c r="A1876" s="13">
        <v>46023</v>
      </c>
      <c r="B1876" s="14" t="s">
        <v>629</v>
      </c>
      <c r="C1876" s="14" t="s">
        <v>10</v>
      </c>
      <c r="D1876" s="14" t="s">
        <v>30</v>
      </c>
      <c r="E1876" s="14" t="str">
        <f>_xlfn.XLOOKUP($D1876,'Chart of Accounts'!$A:$A,'Chart of Accounts'!B:B,"")</f>
        <v>Employee Benefits</v>
      </c>
      <c r="F1876" s="14" t="str">
        <f>_xlfn.XLOOKUP($D1876,'Chart of Accounts'!$A:$A,'Chart of Accounts'!C:C,"")</f>
        <v>Expense</v>
      </c>
      <c r="G1876" s="14" t="s">
        <v>623</v>
      </c>
      <c r="H1876" s="16">
        <v>2494.0138236363637</v>
      </c>
      <c r="I1876" s="16"/>
      <c r="J1876" s="16">
        <v>2494.0138236363637</v>
      </c>
      <c r="K1876" s="14" t="s">
        <v>225</v>
      </c>
    </row>
    <row r="1877" spans="1:11" ht="15" customHeight="1">
      <c r="A1877" s="13">
        <v>46023</v>
      </c>
      <c r="B1877" s="14" t="s">
        <v>629</v>
      </c>
      <c r="C1877" s="14" t="s">
        <v>12</v>
      </c>
      <c r="D1877" s="14" t="s">
        <v>30</v>
      </c>
      <c r="E1877" s="14" t="str">
        <f>_xlfn.XLOOKUP($D1877,'Chart of Accounts'!$A:$A,'Chart of Accounts'!B:B,"")</f>
        <v>Employee Benefits</v>
      </c>
      <c r="F1877" s="14" t="str">
        <f>_xlfn.XLOOKUP($D1877,'Chart of Accounts'!$A:$A,'Chart of Accounts'!C:C,"")</f>
        <v>Expense</v>
      </c>
      <c r="G1877" s="14" t="s">
        <v>623</v>
      </c>
      <c r="H1877" s="16">
        <v>5139.2664718181823</v>
      </c>
      <c r="I1877" s="16"/>
      <c r="J1877" s="16">
        <v>5139.2664718181823</v>
      </c>
      <c r="K1877" s="14" t="s">
        <v>225</v>
      </c>
    </row>
    <row r="1878" spans="1:11" ht="15" customHeight="1">
      <c r="A1878" s="13">
        <v>46023</v>
      </c>
      <c r="B1878" s="14" t="s">
        <v>629</v>
      </c>
      <c r="C1878" s="14" t="s">
        <v>14</v>
      </c>
      <c r="D1878" s="14" t="s">
        <v>30</v>
      </c>
      <c r="E1878" s="14" t="str">
        <f>_xlfn.XLOOKUP($D1878,'Chart of Accounts'!$A:$A,'Chart of Accounts'!B:B,"")</f>
        <v>Employee Benefits</v>
      </c>
      <c r="F1878" s="14" t="str">
        <f>_xlfn.XLOOKUP($D1878,'Chart of Accounts'!$A:$A,'Chart of Accounts'!C:C,"")</f>
        <v>Expense</v>
      </c>
      <c r="G1878" s="14" t="s">
        <v>623</v>
      </c>
      <c r="H1878" s="16">
        <v>4985.174084545456</v>
      </c>
      <c r="I1878" s="16"/>
      <c r="J1878" s="16">
        <v>4985.174084545456</v>
      </c>
      <c r="K1878" s="14" t="s">
        <v>225</v>
      </c>
    </row>
    <row r="1879" spans="1:11" ht="15" customHeight="1">
      <c r="A1879" s="13">
        <v>46023</v>
      </c>
      <c r="B1879" s="14" t="s">
        <v>629</v>
      </c>
      <c r="C1879" s="14" t="s">
        <v>16</v>
      </c>
      <c r="D1879" s="14" t="s">
        <v>30</v>
      </c>
      <c r="E1879" s="14" t="str">
        <f>_xlfn.XLOOKUP($D1879,'Chart of Accounts'!$A:$A,'Chart of Accounts'!B:B,"")</f>
        <v>Employee Benefits</v>
      </c>
      <c r="F1879" s="14" t="str">
        <f>_xlfn.XLOOKUP($D1879,'Chart of Accounts'!$A:$A,'Chart of Accounts'!C:C,"")</f>
        <v>Expense</v>
      </c>
      <c r="G1879" s="14" t="s">
        <v>623</v>
      </c>
      <c r="H1879" s="16">
        <v>3344.375516363637</v>
      </c>
      <c r="I1879" s="16"/>
      <c r="J1879" s="16">
        <v>3344.375516363637</v>
      </c>
      <c r="K1879" s="14" t="s">
        <v>225</v>
      </c>
    </row>
    <row r="1880" spans="1:11" ht="15" customHeight="1">
      <c r="A1880" s="13">
        <v>46023</v>
      </c>
      <c r="B1880" s="14" t="s">
        <v>629</v>
      </c>
      <c r="C1880" s="14" t="s">
        <v>18</v>
      </c>
      <c r="D1880" s="14" t="s">
        <v>30</v>
      </c>
      <c r="E1880" s="14" t="str">
        <f>_xlfn.XLOOKUP($D1880,'Chart of Accounts'!$A:$A,'Chart of Accounts'!B:B,"")</f>
        <v>Employee Benefits</v>
      </c>
      <c r="F1880" s="14" t="str">
        <f>_xlfn.XLOOKUP($D1880,'Chart of Accounts'!$A:$A,'Chart of Accounts'!C:C,"")</f>
        <v>Expense</v>
      </c>
      <c r="G1880" s="14" t="s">
        <v>623</v>
      </c>
      <c r="H1880" s="16">
        <v>4146.2266427272734</v>
      </c>
      <c r="I1880" s="16"/>
      <c r="J1880" s="16">
        <v>4146.2266427272734</v>
      </c>
      <c r="K1880" s="14" t="s">
        <v>225</v>
      </c>
    </row>
    <row r="1881" spans="1:11" ht="15" customHeight="1">
      <c r="A1881" s="13">
        <v>46023</v>
      </c>
      <c r="B1881" s="14" t="s">
        <v>629</v>
      </c>
      <c r="C1881" s="14" t="s">
        <v>20</v>
      </c>
      <c r="D1881" s="14" t="s">
        <v>30</v>
      </c>
      <c r="E1881" s="14" t="str">
        <f>_xlfn.XLOOKUP($D1881,'Chart of Accounts'!$A:$A,'Chart of Accounts'!B:B,"")</f>
        <v>Employee Benefits</v>
      </c>
      <c r="F1881" s="14" t="str">
        <f>_xlfn.XLOOKUP($D1881,'Chart of Accounts'!$A:$A,'Chart of Accounts'!C:C,"")</f>
        <v>Expense</v>
      </c>
      <c r="G1881" s="14" t="s">
        <v>623</v>
      </c>
      <c r="H1881" s="16">
        <v>4868.1780127272732</v>
      </c>
      <c r="I1881" s="16"/>
      <c r="J1881" s="16">
        <v>4868.1780127272732</v>
      </c>
      <c r="K1881" s="14" t="s">
        <v>225</v>
      </c>
    </row>
    <row r="1882" spans="1:11" ht="15" customHeight="1">
      <c r="A1882" s="13">
        <v>46023</v>
      </c>
      <c r="B1882" s="14" t="s">
        <v>629</v>
      </c>
      <c r="C1882" s="14"/>
      <c r="D1882" s="14" t="s">
        <v>14</v>
      </c>
      <c r="E1882" s="14" t="str">
        <f>_xlfn.XLOOKUP($D1882,'Chart of Accounts'!$A:$A,'Chart of Accounts'!B:B,"")</f>
        <v>Accrued Vacation/PTO</v>
      </c>
      <c r="F1882" s="14" t="str">
        <f>_xlfn.XLOOKUP($D1882,'Chart of Accounts'!$A:$A,'Chart of Accounts'!C:C,"")</f>
        <v>Liability</v>
      </c>
      <c r="G1882" s="14" t="s">
        <v>623</v>
      </c>
      <c r="H1882" s="16"/>
      <c r="I1882" s="16">
        <v>34001.626676818189</v>
      </c>
      <c r="J1882" s="16">
        <v>-34001.626676818189</v>
      </c>
      <c r="K1882" s="14" t="s">
        <v>225</v>
      </c>
    </row>
    <row r="1883" spans="1:11" ht="15" customHeight="1">
      <c r="A1883" s="13">
        <v>46054</v>
      </c>
      <c r="B1883" s="14" t="s">
        <v>630</v>
      </c>
      <c r="C1883" s="14" t="s">
        <v>4</v>
      </c>
      <c r="D1883" s="14" t="s">
        <v>30</v>
      </c>
      <c r="E1883" s="14" t="str">
        <f>_xlfn.XLOOKUP($D1883,'Chart of Accounts'!$A:$A,'Chart of Accounts'!B:B,"")</f>
        <v>Employee Benefits</v>
      </c>
      <c r="F1883" s="14" t="str">
        <f>_xlfn.XLOOKUP($D1883,'Chart of Accounts'!$A:$A,'Chart of Accounts'!C:C,"")</f>
        <v>Expense</v>
      </c>
      <c r="G1883" s="14" t="s">
        <v>623</v>
      </c>
      <c r="H1883" s="16">
        <v>2536.3010842548119</v>
      </c>
      <c r="I1883" s="16"/>
      <c r="J1883" s="16">
        <v>2536.3010842548119</v>
      </c>
      <c r="K1883" s="14" t="s">
        <v>225</v>
      </c>
    </row>
    <row r="1884" spans="1:11" ht="15" customHeight="1">
      <c r="A1884" s="13">
        <v>46054</v>
      </c>
      <c r="B1884" s="14" t="s">
        <v>630</v>
      </c>
      <c r="C1884" s="14" t="s">
        <v>6</v>
      </c>
      <c r="D1884" s="14" t="s">
        <v>30</v>
      </c>
      <c r="E1884" s="14" t="str">
        <f>_xlfn.XLOOKUP($D1884,'Chart of Accounts'!$A:$A,'Chart of Accounts'!B:B,"")</f>
        <v>Employee Benefits</v>
      </c>
      <c r="F1884" s="14" t="str">
        <f>_xlfn.XLOOKUP($D1884,'Chart of Accounts'!$A:$A,'Chart of Accounts'!C:C,"")</f>
        <v>Expense</v>
      </c>
      <c r="G1884" s="14" t="s">
        <v>623</v>
      </c>
      <c r="H1884" s="16">
        <v>5654.4503733173178</v>
      </c>
      <c r="I1884" s="16"/>
      <c r="J1884" s="16">
        <v>5654.4503733173178</v>
      </c>
      <c r="K1884" s="14" t="s">
        <v>225</v>
      </c>
    </row>
    <row r="1885" spans="1:11" ht="15" customHeight="1">
      <c r="A1885" s="13">
        <v>46054</v>
      </c>
      <c r="B1885" s="14" t="s">
        <v>630</v>
      </c>
      <c r="C1885" s="14" t="s">
        <v>8</v>
      </c>
      <c r="D1885" s="14" t="s">
        <v>30</v>
      </c>
      <c r="E1885" s="14" t="str">
        <f>_xlfn.XLOOKUP($D1885,'Chart of Accounts'!$A:$A,'Chart of Accounts'!B:B,"")</f>
        <v>Employee Benefits</v>
      </c>
      <c r="F1885" s="14" t="str">
        <f>_xlfn.XLOOKUP($D1885,'Chart of Accounts'!$A:$A,'Chart of Accounts'!C:C,"")</f>
        <v>Expense</v>
      </c>
      <c r="G1885" s="14" t="s">
        <v>623</v>
      </c>
      <c r="H1885" s="16">
        <v>2881.3865887019283</v>
      </c>
      <c r="I1885" s="16"/>
      <c r="J1885" s="16">
        <v>2881.3865887019283</v>
      </c>
      <c r="K1885" s="14" t="s">
        <v>225</v>
      </c>
    </row>
    <row r="1886" spans="1:11" ht="15" customHeight="1">
      <c r="A1886" s="13">
        <v>46054</v>
      </c>
      <c r="B1886" s="14" t="s">
        <v>630</v>
      </c>
      <c r="C1886" s="14" t="s">
        <v>10</v>
      </c>
      <c r="D1886" s="14" t="s">
        <v>30</v>
      </c>
      <c r="E1886" s="14" t="str">
        <f>_xlfn.XLOOKUP($D1886,'Chart of Accounts'!$A:$A,'Chart of Accounts'!B:B,"")</f>
        <v>Employee Benefits</v>
      </c>
      <c r="F1886" s="14" t="str">
        <f>_xlfn.XLOOKUP($D1886,'Chart of Accounts'!$A:$A,'Chart of Accounts'!C:C,"")</f>
        <v>Expense</v>
      </c>
      <c r="G1886" s="14" t="s">
        <v>623</v>
      </c>
      <c r="H1886" s="16">
        <v>2571.8928627403889</v>
      </c>
      <c r="I1886" s="16"/>
      <c r="J1886" s="16">
        <v>2571.8928627403889</v>
      </c>
      <c r="K1886" s="14" t="s">
        <v>225</v>
      </c>
    </row>
    <row r="1887" spans="1:11" ht="15" customHeight="1">
      <c r="A1887" s="13">
        <v>46054</v>
      </c>
      <c r="B1887" s="14" t="s">
        <v>630</v>
      </c>
      <c r="C1887" s="14" t="s">
        <v>12</v>
      </c>
      <c r="D1887" s="14" t="s">
        <v>30</v>
      </c>
      <c r="E1887" s="14" t="str">
        <f>_xlfn.XLOOKUP($D1887,'Chart of Accounts'!$A:$A,'Chart of Accounts'!B:B,"")</f>
        <v>Employee Benefits</v>
      </c>
      <c r="F1887" s="14" t="str">
        <f>_xlfn.XLOOKUP($D1887,'Chart of Accounts'!$A:$A,'Chart of Accounts'!C:C,"")</f>
        <v>Expense</v>
      </c>
      <c r="G1887" s="14" t="s">
        <v>623</v>
      </c>
      <c r="H1887" s="16">
        <v>5914.4251031250105</v>
      </c>
      <c r="I1887" s="16"/>
      <c r="J1887" s="16">
        <v>5914.4251031250105</v>
      </c>
      <c r="K1887" s="14" t="s">
        <v>225</v>
      </c>
    </row>
    <row r="1888" spans="1:11" ht="15" customHeight="1">
      <c r="A1888" s="13">
        <v>46054</v>
      </c>
      <c r="B1888" s="14" t="s">
        <v>630</v>
      </c>
      <c r="C1888" s="14" t="s">
        <v>14</v>
      </c>
      <c r="D1888" s="14" t="s">
        <v>30</v>
      </c>
      <c r="E1888" s="14" t="str">
        <f>_xlfn.XLOOKUP($D1888,'Chart of Accounts'!$A:$A,'Chart of Accounts'!B:B,"")</f>
        <v>Employee Benefits</v>
      </c>
      <c r="F1888" s="14" t="str">
        <f>_xlfn.XLOOKUP($D1888,'Chart of Accounts'!$A:$A,'Chart of Accounts'!C:C,"")</f>
        <v>Expense</v>
      </c>
      <c r="G1888" s="14" t="s">
        <v>623</v>
      </c>
      <c r="H1888" s="16">
        <v>6397.235315625011</v>
      </c>
      <c r="I1888" s="16"/>
      <c r="J1888" s="16">
        <v>6397.235315625011</v>
      </c>
      <c r="K1888" s="14" t="s">
        <v>225</v>
      </c>
    </row>
    <row r="1889" spans="1:11" ht="15" customHeight="1">
      <c r="A1889" s="13">
        <v>46054</v>
      </c>
      <c r="B1889" s="14" t="s">
        <v>630</v>
      </c>
      <c r="C1889" s="14" t="s">
        <v>16</v>
      </c>
      <c r="D1889" s="14" t="s">
        <v>30</v>
      </c>
      <c r="E1889" s="14" t="str">
        <f>_xlfn.XLOOKUP($D1889,'Chart of Accounts'!$A:$A,'Chart of Accounts'!B:B,"")</f>
        <v>Employee Benefits</v>
      </c>
      <c r="F1889" s="14" t="str">
        <f>_xlfn.XLOOKUP($D1889,'Chart of Accounts'!$A:$A,'Chart of Accounts'!C:C,"")</f>
        <v>Expense</v>
      </c>
      <c r="G1889" s="14" t="s">
        <v>623</v>
      </c>
      <c r="H1889" s="16">
        <v>3317.7727423076985</v>
      </c>
      <c r="I1889" s="16"/>
      <c r="J1889" s="16">
        <v>3317.7727423076985</v>
      </c>
      <c r="K1889" s="14" t="s">
        <v>225</v>
      </c>
    </row>
    <row r="1890" spans="1:11" ht="15" customHeight="1">
      <c r="A1890" s="13">
        <v>46054</v>
      </c>
      <c r="B1890" s="14" t="s">
        <v>630</v>
      </c>
      <c r="C1890" s="14" t="s">
        <v>18</v>
      </c>
      <c r="D1890" s="14" t="s">
        <v>30</v>
      </c>
      <c r="E1890" s="14" t="str">
        <f>_xlfn.XLOOKUP($D1890,'Chart of Accounts'!$A:$A,'Chart of Accounts'!B:B,"")</f>
        <v>Employee Benefits</v>
      </c>
      <c r="F1890" s="14" t="str">
        <f>_xlfn.XLOOKUP($D1890,'Chart of Accounts'!$A:$A,'Chart of Accounts'!C:C,"")</f>
        <v>Expense</v>
      </c>
      <c r="G1890" s="14" t="s">
        <v>623</v>
      </c>
      <c r="H1890" s="16">
        <v>3754.1588959134683</v>
      </c>
      <c r="I1890" s="16"/>
      <c r="J1890" s="16">
        <v>3754.1588959134683</v>
      </c>
      <c r="K1890" s="14" t="s">
        <v>225</v>
      </c>
    </row>
    <row r="1891" spans="1:11" ht="15" customHeight="1">
      <c r="A1891" s="13">
        <v>46054</v>
      </c>
      <c r="B1891" s="14" t="s">
        <v>630</v>
      </c>
      <c r="C1891" s="14" t="s">
        <v>20</v>
      </c>
      <c r="D1891" s="14" t="s">
        <v>30</v>
      </c>
      <c r="E1891" s="14" t="str">
        <f>_xlfn.XLOOKUP($D1891,'Chart of Accounts'!$A:$A,'Chart of Accounts'!B:B,"")</f>
        <v>Employee Benefits</v>
      </c>
      <c r="F1891" s="14" t="str">
        <f>_xlfn.XLOOKUP($D1891,'Chart of Accounts'!$A:$A,'Chart of Accounts'!C:C,"")</f>
        <v>Expense</v>
      </c>
      <c r="G1891" s="14" t="s">
        <v>623</v>
      </c>
      <c r="H1891" s="16">
        <v>5496.6085730769319</v>
      </c>
      <c r="I1891" s="16"/>
      <c r="J1891" s="16">
        <v>5496.6085730769319</v>
      </c>
      <c r="K1891" s="14" t="s">
        <v>225</v>
      </c>
    </row>
    <row r="1892" spans="1:11" ht="15" customHeight="1">
      <c r="A1892" s="13">
        <v>46054</v>
      </c>
      <c r="B1892" s="14" t="s">
        <v>630</v>
      </c>
      <c r="C1892" s="14"/>
      <c r="D1892" s="14" t="s">
        <v>14</v>
      </c>
      <c r="E1892" s="14" t="str">
        <f>_xlfn.XLOOKUP($D1892,'Chart of Accounts'!$A:$A,'Chart of Accounts'!B:B,"")</f>
        <v>Accrued Vacation/PTO</v>
      </c>
      <c r="F1892" s="14" t="str">
        <f>_xlfn.XLOOKUP($D1892,'Chart of Accounts'!$A:$A,'Chart of Accounts'!C:C,"")</f>
        <v>Liability</v>
      </c>
      <c r="G1892" s="14" t="s">
        <v>623</v>
      </c>
      <c r="H1892" s="16"/>
      <c r="I1892" s="16">
        <v>38524.231539062566</v>
      </c>
      <c r="J1892" s="16">
        <v>-38524.231539062566</v>
      </c>
      <c r="K1892" s="14" t="s">
        <v>225</v>
      </c>
    </row>
    <row r="1893" spans="1:11" ht="15" customHeight="1">
      <c r="A1893" s="13">
        <v>46082</v>
      </c>
      <c r="B1893" s="14" t="s">
        <v>631</v>
      </c>
      <c r="C1893" s="14" t="s">
        <v>4</v>
      </c>
      <c r="D1893" s="14" t="s">
        <v>30</v>
      </c>
      <c r="E1893" s="14" t="str">
        <f>_xlfn.XLOOKUP($D1893,'Chart of Accounts'!$A:$A,'Chart of Accounts'!B:B,"")</f>
        <v>Employee Benefits</v>
      </c>
      <c r="F1893" s="14" t="str">
        <f>_xlfn.XLOOKUP($D1893,'Chart of Accounts'!$A:$A,'Chart of Accounts'!C:C,"")</f>
        <v>Expense</v>
      </c>
      <c r="G1893" s="14" t="s">
        <v>623</v>
      </c>
      <c r="H1893" s="16">
        <v>2741.6137372159119</v>
      </c>
      <c r="I1893" s="16"/>
      <c r="J1893" s="16">
        <v>2741.6137372159119</v>
      </c>
      <c r="K1893" s="14" t="s">
        <v>225</v>
      </c>
    </row>
    <row r="1894" spans="1:11" ht="15" customHeight="1">
      <c r="A1894" s="13">
        <v>46082</v>
      </c>
      <c r="B1894" s="14" t="s">
        <v>631</v>
      </c>
      <c r="C1894" s="14" t="s">
        <v>6</v>
      </c>
      <c r="D1894" s="14" t="s">
        <v>30</v>
      </c>
      <c r="E1894" s="14" t="str">
        <f>_xlfn.XLOOKUP($D1894,'Chart of Accounts'!$A:$A,'Chart of Accounts'!B:B,"")</f>
        <v>Employee Benefits</v>
      </c>
      <c r="F1894" s="14" t="str">
        <f>_xlfn.XLOOKUP($D1894,'Chart of Accounts'!$A:$A,'Chart of Accounts'!C:C,"")</f>
        <v>Expense</v>
      </c>
      <c r="G1894" s="14" t="s">
        <v>623</v>
      </c>
      <c r="H1894" s="16">
        <v>3823.648319274479</v>
      </c>
      <c r="I1894" s="16"/>
      <c r="J1894" s="16">
        <v>3823.648319274479</v>
      </c>
      <c r="K1894" s="14" t="s">
        <v>225</v>
      </c>
    </row>
    <row r="1895" spans="1:11" ht="15" customHeight="1">
      <c r="A1895" s="13">
        <v>46082</v>
      </c>
      <c r="B1895" s="14" t="s">
        <v>631</v>
      </c>
      <c r="C1895" s="14" t="s">
        <v>8</v>
      </c>
      <c r="D1895" s="14" t="s">
        <v>30</v>
      </c>
      <c r="E1895" s="14" t="str">
        <f>_xlfn.XLOOKUP($D1895,'Chart of Accounts'!$A:$A,'Chart of Accounts'!B:B,"")</f>
        <v>Employee Benefits</v>
      </c>
      <c r="F1895" s="14" t="str">
        <f>_xlfn.XLOOKUP($D1895,'Chart of Accounts'!$A:$A,'Chart of Accounts'!C:C,"")</f>
        <v>Expense</v>
      </c>
      <c r="G1895" s="14" t="s">
        <v>623</v>
      </c>
      <c r="H1895" s="16">
        <v>2897.3715815122405</v>
      </c>
      <c r="I1895" s="16"/>
      <c r="J1895" s="16">
        <v>2897.3715815122405</v>
      </c>
      <c r="K1895" s="14" t="s">
        <v>225</v>
      </c>
    </row>
    <row r="1896" spans="1:11" ht="15" customHeight="1">
      <c r="A1896" s="13">
        <v>46082</v>
      </c>
      <c r="B1896" s="14" t="s">
        <v>631</v>
      </c>
      <c r="C1896" s="14" t="s">
        <v>10</v>
      </c>
      <c r="D1896" s="14" t="s">
        <v>30</v>
      </c>
      <c r="E1896" s="14" t="str">
        <f>_xlfn.XLOOKUP($D1896,'Chart of Accounts'!$A:$A,'Chart of Accounts'!B:B,"")</f>
        <v>Employee Benefits</v>
      </c>
      <c r="F1896" s="14" t="str">
        <f>_xlfn.XLOOKUP($D1896,'Chart of Accounts'!$A:$A,'Chart of Accounts'!C:C,"")</f>
        <v>Expense</v>
      </c>
      <c r="G1896" s="14" t="s">
        <v>623</v>
      </c>
      <c r="H1896" s="16">
        <v>2346.0163804632889</v>
      </c>
      <c r="I1896" s="16"/>
      <c r="J1896" s="16">
        <v>2346.0163804632889</v>
      </c>
      <c r="K1896" s="14" t="s">
        <v>225</v>
      </c>
    </row>
    <row r="1897" spans="1:11" ht="15" customHeight="1">
      <c r="A1897" s="13">
        <v>46082</v>
      </c>
      <c r="B1897" s="14" t="s">
        <v>631</v>
      </c>
      <c r="C1897" s="14" t="s">
        <v>12</v>
      </c>
      <c r="D1897" s="14" t="s">
        <v>30</v>
      </c>
      <c r="E1897" s="14" t="str">
        <f>_xlfn.XLOOKUP($D1897,'Chart of Accounts'!$A:$A,'Chart of Accounts'!B:B,"")</f>
        <v>Employee Benefits</v>
      </c>
      <c r="F1897" s="14" t="str">
        <f>_xlfn.XLOOKUP($D1897,'Chart of Accounts'!$A:$A,'Chart of Accounts'!C:C,"")</f>
        <v>Expense</v>
      </c>
      <c r="G1897" s="14" t="s">
        <v>623</v>
      </c>
      <c r="H1897" s="16">
        <v>5791.9863870192366</v>
      </c>
      <c r="I1897" s="16"/>
      <c r="J1897" s="16">
        <v>5791.9863870192366</v>
      </c>
      <c r="K1897" s="14" t="s">
        <v>225</v>
      </c>
    </row>
    <row r="1898" spans="1:11" ht="15" customHeight="1">
      <c r="A1898" s="13">
        <v>46082</v>
      </c>
      <c r="B1898" s="14" t="s">
        <v>631</v>
      </c>
      <c r="C1898" s="14" t="s">
        <v>14</v>
      </c>
      <c r="D1898" s="14" t="s">
        <v>30</v>
      </c>
      <c r="E1898" s="14" t="str">
        <f>_xlfn.XLOOKUP($D1898,'Chart of Accounts'!$A:$A,'Chart of Accounts'!B:B,"")</f>
        <v>Employee Benefits</v>
      </c>
      <c r="F1898" s="14" t="str">
        <f>_xlfn.XLOOKUP($D1898,'Chart of Accounts'!$A:$A,'Chart of Accounts'!C:C,"")</f>
        <v>Expense</v>
      </c>
      <c r="G1898" s="14" t="s">
        <v>623</v>
      </c>
      <c r="H1898" s="16">
        <v>6580.4243245192374</v>
      </c>
      <c r="I1898" s="16"/>
      <c r="J1898" s="16">
        <v>6580.4243245192374</v>
      </c>
      <c r="K1898" s="14" t="s">
        <v>225</v>
      </c>
    </row>
    <row r="1899" spans="1:11" ht="15" customHeight="1">
      <c r="A1899" s="13">
        <v>46082</v>
      </c>
      <c r="B1899" s="14" t="s">
        <v>631</v>
      </c>
      <c r="C1899" s="14" t="s">
        <v>16</v>
      </c>
      <c r="D1899" s="14" t="s">
        <v>30</v>
      </c>
      <c r="E1899" s="14" t="str">
        <f>_xlfn.XLOOKUP($D1899,'Chart of Accounts'!$A:$A,'Chart of Accounts'!B:B,"")</f>
        <v>Employee Benefits</v>
      </c>
      <c r="F1899" s="14" t="str">
        <f>_xlfn.XLOOKUP($D1899,'Chart of Accounts'!$A:$A,'Chart of Accounts'!C:C,"")</f>
        <v>Expense</v>
      </c>
      <c r="G1899" s="14" t="s">
        <v>623</v>
      </c>
      <c r="H1899" s="16">
        <v>3341.2125183566468</v>
      </c>
      <c r="I1899" s="16"/>
      <c r="J1899" s="16">
        <v>3341.2125183566468</v>
      </c>
      <c r="K1899" s="14" t="s">
        <v>225</v>
      </c>
    </row>
    <row r="1900" spans="1:11" ht="15" customHeight="1">
      <c r="A1900" s="13">
        <v>46082</v>
      </c>
      <c r="B1900" s="14" t="s">
        <v>631</v>
      </c>
      <c r="C1900" s="14" t="s">
        <v>18</v>
      </c>
      <c r="D1900" s="14" t="s">
        <v>30</v>
      </c>
      <c r="E1900" s="14" t="str">
        <f>_xlfn.XLOOKUP($D1900,'Chart of Accounts'!$A:$A,'Chart of Accounts'!B:B,"")</f>
        <v>Employee Benefits</v>
      </c>
      <c r="F1900" s="14" t="str">
        <f>_xlfn.XLOOKUP($D1900,'Chart of Accounts'!$A:$A,'Chart of Accounts'!C:C,"")</f>
        <v>Expense</v>
      </c>
      <c r="G1900" s="14" t="s">
        <v>623</v>
      </c>
      <c r="H1900" s="16">
        <v>4722.3572969842699</v>
      </c>
      <c r="I1900" s="16"/>
      <c r="J1900" s="16">
        <v>4722.3572969842699</v>
      </c>
      <c r="K1900" s="14" t="s">
        <v>225</v>
      </c>
    </row>
    <row r="1901" spans="1:11" ht="15" customHeight="1">
      <c r="A1901" s="13">
        <v>46082</v>
      </c>
      <c r="B1901" s="14" t="s">
        <v>631</v>
      </c>
      <c r="C1901" s="14" t="s">
        <v>20</v>
      </c>
      <c r="D1901" s="14" t="s">
        <v>30</v>
      </c>
      <c r="E1901" s="14" t="str">
        <f>_xlfn.XLOOKUP($D1901,'Chart of Accounts'!$A:$A,'Chart of Accounts'!B:B,"")</f>
        <v>Employee Benefits</v>
      </c>
      <c r="F1901" s="14" t="str">
        <f>_xlfn.XLOOKUP($D1901,'Chart of Accounts'!$A:$A,'Chart of Accounts'!C:C,"")</f>
        <v>Expense</v>
      </c>
      <c r="G1901" s="14" t="s">
        <v>623</v>
      </c>
      <c r="H1901" s="16">
        <v>4537.6533046328714</v>
      </c>
      <c r="I1901" s="16"/>
      <c r="J1901" s="16">
        <v>4537.6533046328714</v>
      </c>
      <c r="K1901" s="14" t="s">
        <v>225</v>
      </c>
    </row>
    <row r="1902" spans="1:11" ht="15" customHeight="1">
      <c r="A1902" s="13">
        <v>46082</v>
      </c>
      <c r="B1902" s="14" t="s">
        <v>631</v>
      </c>
      <c r="C1902" s="14"/>
      <c r="D1902" s="14" t="s">
        <v>14</v>
      </c>
      <c r="E1902" s="14" t="str">
        <f>_xlfn.XLOOKUP($D1902,'Chart of Accounts'!$A:$A,'Chart of Accounts'!B:B,"")</f>
        <v>Accrued Vacation/PTO</v>
      </c>
      <c r="F1902" s="14" t="str">
        <f>_xlfn.XLOOKUP($D1902,'Chart of Accounts'!$A:$A,'Chart of Accounts'!C:C,"")</f>
        <v>Liability</v>
      </c>
      <c r="G1902" s="14" t="s">
        <v>623</v>
      </c>
      <c r="H1902" s="16"/>
      <c r="I1902" s="16">
        <v>36782.283849978179</v>
      </c>
      <c r="J1902" s="16">
        <v>-36782.283849978179</v>
      </c>
      <c r="K1902" s="14" t="s">
        <v>225</v>
      </c>
    </row>
    <row r="1903" spans="1:11" ht="15" customHeight="1">
      <c r="A1903" s="13">
        <v>46113</v>
      </c>
      <c r="B1903" s="14" t="s">
        <v>632</v>
      </c>
      <c r="C1903" s="14" t="s">
        <v>4</v>
      </c>
      <c r="D1903" s="14" t="s">
        <v>30</v>
      </c>
      <c r="E1903" s="14" t="str">
        <f>_xlfn.XLOOKUP($D1903,'Chart of Accounts'!$A:$A,'Chart of Accounts'!B:B,"")</f>
        <v>Employee Benefits</v>
      </c>
      <c r="F1903" s="14" t="str">
        <f>_xlfn.XLOOKUP($D1903,'Chart of Accounts'!$A:$A,'Chart of Accounts'!C:C,"")</f>
        <v>Expense</v>
      </c>
      <c r="G1903" s="14" t="s">
        <v>623</v>
      </c>
      <c r="H1903" s="16">
        <v>3250.425903409091</v>
      </c>
      <c r="I1903" s="16"/>
      <c r="J1903" s="16">
        <v>3250.425903409091</v>
      </c>
      <c r="K1903" s="14" t="s">
        <v>225</v>
      </c>
    </row>
    <row r="1904" spans="1:11" ht="15" customHeight="1">
      <c r="A1904" s="13">
        <v>46113</v>
      </c>
      <c r="B1904" s="14" t="s">
        <v>632</v>
      </c>
      <c r="C1904" s="14" t="s">
        <v>6</v>
      </c>
      <c r="D1904" s="14" t="s">
        <v>30</v>
      </c>
      <c r="E1904" s="14" t="str">
        <f>_xlfn.XLOOKUP($D1904,'Chart of Accounts'!$A:$A,'Chart of Accounts'!B:B,"")</f>
        <v>Employee Benefits</v>
      </c>
      <c r="F1904" s="14" t="str">
        <f>_xlfn.XLOOKUP($D1904,'Chart of Accounts'!$A:$A,'Chart of Accounts'!C:C,"")</f>
        <v>Expense</v>
      </c>
      <c r="G1904" s="14" t="s">
        <v>623</v>
      </c>
      <c r="H1904" s="16">
        <v>4410.7959886363642</v>
      </c>
      <c r="I1904" s="16"/>
      <c r="J1904" s="16">
        <v>4410.7959886363642</v>
      </c>
      <c r="K1904" s="14" t="s">
        <v>225</v>
      </c>
    </row>
    <row r="1905" spans="1:11" ht="15" customHeight="1">
      <c r="A1905" s="13">
        <v>46113</v>
      </c>
      <c r="B1905" s="14" t="s">
        <v>632</v>
      </c>
      <c r="C1905" s="14" t="s">
        <v>8</v>
      </c>
      <c r="D1905" s="14" t="s">
        <v>30</v>
      </c>
      <c r="E1905" s="14" t="str">
        <f>_xlfn.XLOOKUP($D1905,'Chart of Accounts'!$A:$A,'Chart of Accounts'!B:B,"")</f>
        <v>Employee Benefits</v>
      </c>
      <c r="F1905" s="14" t="str">
        <f>_xlfn.XLOOKUP($D1905,'Chart of Accounts'!$A:$A,'Chart of Accounts'!C:C,"")</f>
        <v>Expense</v>
      </c>
      <c r="G1905" s="14" t="s">
        <v>623</v>
      </c>
      <c r="H1905" s="16">
        <v>2809.9021704545453</v>
      </c>
      <c r="I1905" s="16"/>
      <c r="J1905" s="16">
        <v>2809.9021704545453</v>
      </c>
      <c r="K1905" s="14" t="s">
        <v>225</v>
      </c>
    </row>
    <row r="1906" spans="1:11" ht="15" customHeight="1">
      <c r="A1906" s="13">
        <v>46113</v>
      </c>
      <c r="B1906" s="14" t="s">
        <v>632</v>
      </c>
      <c r="C1906" s="14" t="s">
        <v>10</v>
      </c>
      <c r="D1906" s="14" t="s">
        <v>30</v>
      </c>
      <c r="E1906" s="14" t="str">
        <f>_xlfn.XLOOKUP($D1906,'Chart of Accounts'!$A:$A,'Chart of Accounts'!B:B,"")</f>
        <v>Employee Benefits</v>
      </c>
      <c r="F1906" s="14" t="str">
        <f>_xlfn.XLOOKUP($D1906,'Chart of Accounts'!$A:$A,'Chart of Accounts'!C:C,"")</f>
        <v>Expense</v>
      </c>
      <c r="G1906" s="14" t="s">
        <v>623</v>
      </c>
      <c r="H1906" s="16">
        <v>2643.1423977272725</v>
      </c>
      <c r="I1906" s="16"/>
      <c r="J1906" s="16">
        <v>2643.1423977272725</v>
      </c>
      <c r="K1906" s="14" t="s">
        <v>225</v>
      </c>
    </row>
    <row r="1907" spans="1:11" ht="15" customHeight="1">
      <c r="A1907" s="13">
        <v>46113</v>
      </c>
      <c r="B1907" s="14" t="s">
        <v>632</v>
      </c>
      <c r="C1907" s="14" t="s">
        <v>12</v>
      </c>
      <c r="D1907" s="14" t="s">
        <v>30</v>
      </c>
      <c r="E1907" s="14" t="str">
        <f>_xlfn.XLOOKUP($D1907,'Chart of Accounts'!$A:$A,'Chart of Accounts'!B:B,"")</f>
        <v>Employee Benefits</v>
      </c>
      <c r="F1907" s="14" t="str">
        <f>_xlfn.XLOOKUP($D1907,'Chart of Accounts'!$A:$A,'Chart of Accounts'!C:C,"")</f>
        <v>Expense</v>
      </c>
      <c r="G1907" s="14" t="s">
        <v>623</v>
      </c>
      <c r="H1907" s="16">
        <v>6589.7903522727265</v>
      </c>
      <c r="I1907" s="16"/>
      <c r="J1907" s="16">
        <v>6589.7903522727265</v>
      </c>
      <c r="K1907" s="14" t="s">
        <v>225</v>
      </c>
    </row>
    <row r="1908" spans="1:11" ht="15" customHeight="1">
      <c r="A1908" s="13">
        <v>46113</v>
      </c>
      <c r="B1908" s="14" t="s">
        <v>632</v>
      </c>
      <c r="C1908" s="14" t="s">
        <v>14</v>
      </c>
      <c r="D1908" s="14" t="s">
        <v>30</v>
      </c>
      <c r="E1908" s="14" t="str">
        <f>_xlfn.XLOOKUP($D1908,'Chart of Accounts'!$A:$A,'Chart of Accounts'!B:B,"")</f>
        <v>Employee Benefits</v>
      </c>
      <c r="F1908" s="14" t="str">
        <f>_xlfn.XLOOKUP($D1908,'Chart of Accounts'!$A:$A,'Chart of Accounts'!C:C,"")</f>
        <v>Expense</v>
      </c>
      <c r="G1908" s="14" t="s">
        <v>623</v>
      </c>
      <c r="H1908" s="16">
        <v>7301.2987159090908</v>
      </c>
      <c r="I1908" s="16"/>
      <c r="J1908" s="16">
        <v>7301.2987159090908</v>
      </c>
      <c r="K1908" s="14" t="s">
        <v>225</v>
      </c>
    </row>
    <row r="1909" spans="1:11" ht="15" customHeight="1">
      <c r="A1909" s="13">
        <v>46113</v>
      </c>
      <c r="B1909" s="14" t="s">
        <v>632</v>
      </c>
      <c r="C1909" s="14" t="s">
        <v>16</v>
      </c>
      <c r="D1909" s="14" t="s">
        <v>30</v>
      </c>
      <c r="E1909" s="14" t="str">
        <f>_xlfn.XLOOKUP($D1909,'Chart of Accounts'!$A:$A,'Chart of Accounts'!B:B,"")</f>
        <v>Employee Benefits</v>
      </c>
      <c r="F1909" s="14" t="str">
        <f>_xlfn.XLOOKUP($D1909,'Chart of Accounts'!$A:$A,'Chart of Accounts'!C:C,"")</f>
        <v>Expense</v>
      </c>
      <c r="G1909" s="14" t="s">
        <v>623</v>
      </c>
      <c r="H1909" s="16">
        <v>1067.2625454545455</v>
      </c>
      <c r="I1909" s="16"/>
      <c r="J1909" s="16">
        <v>1067.2625454545455</v>
      </c>
      <c r="K1909" s="14" t="s">
        <v>225</v>
      </c>
    </row>
    <row r="1910" spans="1:11" ht="15" customHeight="1">
      <c r="A1910" s="13">
        <v>46113</v>
      </c>
      <c r="B1910" s="14" t="s">
        <v>632</v>
      </c>
      <c r="C1910" s="14" t="s">
        <v>18</v>
      </c>
      <c r="D1910" s="14" t="s">
        <v>30</v>
      </c>
      <c r="E1910" s="14" t="str">
        <f>_xlfn.XLOOKUP($D1910,'Chart of Accounts'!$A:$A,'Chart of Accounts'!B:B,"")</f>
        <v>Employee Benefits</v>
      </c>
      <c r="F1910" s="14" t="str">
        <f>_xlfn.XLOOKUP($D1910,'Chart of Accounts'!$A:$A,'Chart of Accounts'!C:C,"")</f>
        <v>Expense</v>
      </c>
      <c r="G1910" s="14" t="s">
        <v>623</v>
      </c>
      <c r="H1910" s="16">
        <v>5261.2708295454549</v>
      </c>
      <c r="I1910" s="16"/>
      <c r="J1910" s="16">
        <v>5261.2708295454549</v>
      </c>
      <c r="K1910" s="14" t="s">
        <v>225</v>
      </c>
    </row>
    <row r="1911" spans="1:11" ht="15" customHeight="1">
      <c r="A1911" s="13">
        <v>46113</v>
      </c>
      <c r="B1911" s="14" t="s">
        <v>632</v>
      </c>
      <c r="C1911" s="14" t="s">
        <v>20</v>
      </c>
      <c r="D1911" s="14" t="s">
        <v>30</v>
      </c>
      <c r="E1911" s="14" t="str">
        <f>_xlfn.XLOOKUP($D1911,'Chart of Accounts'!$A:$A,'Chart of Accounts'!B:B,"")</f>
        <v>Employee Benefits</v>
      </c>
      <c r="F1911" s="14" t="str">
        <f>_xlfn.XLOOKUP($D1911,'Chart of Accounts'!$A:$A,'Chart of Accounts'!C:C,"")</f>
        <v>Expense</v>
      </c>
      <c r="G1911" s="14" t="s">
        <v>623</v>
      </c>
      <c r="H1911" s="16">
        <v>4880.5026818181823</v>
      </c>
      <c r="I1911" s="16"/>
      <c r="J1911" s="16">
        <v>4880.5026818181823</v>
      </c>
      <c r="K1911" s="14" t="s">
        <v>225</v>
      </c>
    </row>
    <row r="1912" spans="1:11" ht="15" customHeight="1">
      <c r="A1912" s="13">
        <v>46113</v>
      </c>
      <c r="B1912" s="14" t="s">
        <v>632</v>
      </c>
      <c r="C1912" s="14"/>
      <c r="D1912" s="14" t="s">
        <v>14</v>
      </c>
      <c r="E1912" s="14" t="str">
        <f>_xlfn.XLOOKUP($D1912,'Chart of Accounts'!$A:$A,'Chart of Accounts'!B:B,"")</f>
        <v>Accrued Vacation/PTO</v>
      </c>
      <c r="F1912" s="14" t="str">
        <f>_xlfn.XLOOKUP($D1912,'Chart of Accounts'!$A:$A,'Chart of Accounts'!C:C,"")</f>
        <v>Liability</v>
      </c>
      <c r="G1912" s="14" t="s">
        <v>623</v>
      </c>
      <c r="H1912" s="16"/>
      <c r="I1912" s="16">
        <v>38214.391585227269</v>
      </c>
      <c r="J1912" s="16">
        <v>-38214.391585227269</v>
      </c>
      <c r="K1912" s="14" t="s">
        <v>225</v>
      </c>
    </row>
    <row r="1913" spans="1:11" ht="15" customHeight="1">
      <c r="A1913" s="13">
        <v>46143</v>
      </c>
      <c r="B1913" s="14" t="s">
        <v>633</v>
      </c>
      <c r="C1913" s="14" t="s">
        <v>4</v>
      </c>
      <c r="D1913" s="14" t="s">
        <v>30</v>
      </c>
      <c r="E1913" s="14" t="str">
        <f>_xlfn.XLOOKUP($D1913,'Chart of Accounts'!$A:$A,'Chart of Accounts'!B:B,"")</f>
        <v>Employee Benefits</v>
      </c>
      <c r="F1913" s="14" t="str">
        <f>_xlfn.XLOOKUP($D1913,'Chart of Accounts'!$A:$A,'Chart of Accounts'!C:C,"")</f>
        <v>Expense</v>
      </c>
      <c r="G1913" s="14" t="s">
        <v>623</v>
      </c>
      <c r="H1913" s="16">
        <v>2787.9194522664839</v>
      </c>
      <c r="I1913" s="16"/>
      <c r="J1913" s="16">
        <v>2787.9194522664839</v>
      </c>
      <c r="K1913" s="14" t="s">
        <v>225</v>
      </c>
    </row>
    <row r="1914" spans="1:11" ht="15" customHeight="1">
      <c r="A1914" s="13">
        <v>46143</v>
      </c>
      <c r="B1914" s="14" t="s">
        <v>633</v>
      </c>
      <c r="C1914" s="14" t="s">
        <v>6</v>
      </c>
      <c r="D1914" s="14" t="s">
        <v>30</v>
      </c>
      <c r="E1914" s="14" t="str">
        <f>_xlfn.XLOOKUP($D1914,'Chart of Accounts'!$A:$A,'Chart of Accounts'!B:B,"")</f>
        <v>Employee Benefits</v>
      </c>
      <c r="F1914" s="14" t="str">
        <f>_xlfn.XLOOKUP($D1914,'Chart of Accounts'!$A:$A,'Chart of Accounts'!C:C,"")</f>
        <v>Expense</v>
      </c>
      <c r="G1914" s="14" t="s">
        <v>623</v>
      </c>
      <c r="H1914" s="16">
        <v>3992.0720707417595</v>
      </c>
      <c r="I1914" s="16"/>
      <c r="J1914" s="16">
        <v>3992.0720707417595</v>
      </c>
      <c r="K1914" s="14" t="s">
        <v>225</v>
      </c>
    </row>
    <row r="1915" spans="1:11" ht="15" customHeight="1">
      <c r="A1915" s="13">
        <v>46143</v>
      </c>
      <c r="B1915" s="14" t="s">
        <v>633</v>
      </c>
      <c r="C1915" s="14" t="s">
        <v>8</v>
      </c>
      <c r="D1915" s="14" t="s">
        <v>30</v>
      </c>
      <c r="E1915" s="14" t="str">
        <f>_xlfn.XLOOKUP($D1915,'Chart of Accounts'!$A:$A,'Chart of Accounts'!B:B,"")</f>
        <v>Employee Benefits</v>
      </c>
      <c r="F1915" s="14" t="str">
        <f>_xlfn.XLOOKUP($D1915,'Chart of Accounts'!$A:$A,'Chart of Accounts'!C:C,"")</f>
        <v>Expense</v>
      </c>
      <c r="G1915" s="14" t="s">
        <v>623</v>
      </c>
      <c r="H1915" s="16">
        <v>3295.4323637820521</v>
      </c>
      <c r="I1915" s="16"/>
      <c r="J1915" s="16">
        <v>3295.4323637820521</v>
      </c>
      <c r="K1915" s="14" t="s">
        <v>225</v>
      </c>
    </row>
    <row r="1916" spans="1:11" ht="15" customHeight="1">
      <c r="A1916" s="13">
        <v>46143</v>
      </c>
      <c r="B1916" s="14" t="s">
        <v>633</v>
      </c>
      <c r="C1916" s="14" t="s">
        <v>10</v>
      </c>
      <c r="D1916" s="14" t="s">
        <v>30</v>
      </c>
      <c r="E1916" s="14" t="str">
        <f>_xlfn.XLOOKUP($D1916,'Chart of Accounts'!$A:$A,'Chart of Accounts'!B:B,"")</f>
        <v>Employee Benefits</v>
      </c>
      <c r="F1916" s="14" t="str">
        <f>_xlfn.XLOOKUP($D1916,'Chart of Accounts'!$A:$A,'Chart of Accounts'!C:C,"")</f>
        <v>Expense</v>
      </c>
      <c r="G1916" s="14" t="s">
        <v>623</v>
      </c>
      <c r="H1916" s="16">
        <v>2424.6327300824178</v>
      </c>
      <c r="I1916" s="16"/>
      <c r="J1916" s="16">
        <v>2424.6327300824178</v>
      </c>
      <c r="K1916" s="14" t="s">
        <v>225</v>
      </c>
    </row>
    <row r="1917" spans="1:11" ht="15" customHeight="1">
      <c r="A1917" s="13">
        <v>46143</v>
      </c>
      <c r="B1917" s="14" t="s">
        <v>633</v>
      </c>
      <c r="C1917" s="14" t="s">
        <v>12</v>
      </c>
      <c r="D1917" s="14" t="s">
        <v>30</v>
      </c>
      <c r="E1917" s="14" t="str">
        <f>_xlfn.XLOOKUP($D1917,'Chart of Accounts'!$A:$A,'Chart of Accounts'!B:B,"")</f>
        <v>Employee Benefits</v>
      </c>
      <c r="F1917" s="14" t="str">
        <f>_xlfn.XLOOKUP($D1917,'Chart of Accounts'!$A:$A,'Chart of Accounts'!C:C,"")</f>
        <v>Expense</v>
      </c>
      <c r="G1917" s="14" t="s">
        <v>623</v>
      </c>
      <c r="H1917" s="16">
        <v>6098.3186847527486</v>
      </c>
      <c r="I1917" s="16"/>
      <c r="J1917" s="16">
        <v>6098.3186847527486</v>
      </c>
      <c r="K1917" s="14" t="s">
        <v>225</v>
      </c>
    </row>
    <row r="1918" spans="1:11" ht="15" customHeight="1">
      <c r="A1918" s="13">
        <v>46143</v>
      </c>
      <c r="B1918" s="14" t="s">
        <v>633</v>
      </c>
      <c r="C1918" s="14" t="s">
        <v>14</v>
      </c>
      <c r="D1918" s="14" t="s">
        <v>30</v>
      </c>
      <c r="E1918" s="14" t="str">
        <f>_xlfn.XLOOKUP($D1918,'Chart of Accounts'!$A:$A,'Chart of Accounts'!B:B,"")</f>
        <v>Employee Benefits</v>
      </c>
      <c r="F1918" s="14" t="str">
        <f>_xlfn.XLOOKUP($D1918,'Chart of Accounts'!$A:$A,'Chart of Accounts'!C:C,"")</f>
        <v>Expense</v>
      </c>
      <c r="G1918" s="14" t="s">
        <v>623</v>
      </c>
      <c r="H1918" s="16">
        <v>7366.4206513278405</v>
      </c>
      <c r="I1918" s="16"/>
      <c r="J1918" s="16">
        <v>7366.4206513278405</v>
      </c>
      <c r="K1918" s="14" t="s">
        <v>225</v>
      </c>
    </row>
    <row r="1919" spans="1:11" ht="15" customHeight="1">
      <c r="A1919" s="13">
        <v>46143</v>
      </c>
      <c r="B1919" s="14" t="s">
        <v>633</v>
      </c>
      <c r="C1919" s="14" t="s">
        <v>16</v>
      </c>
      <c r="D1919" s="14" t="s">
        <v>30</v>
      </c>
      <c r="E1919" s="14" t="str">
        <f>_xlfn.XLOOKUP($D1919,'Chart of Accounts'!$A:$A,'Chart of Accounts'!B:B,"")</f>
        <v>Employee Benefits</v>
      </c>
      <c r="F1919" s="14" t="str">
        <f>_xlfn.XLOOKUP($D1919,'Chart of Accounts'!$A:$A,'Chart of Accounts'!C:C,"")</f>
        <v>Expense</v>
      </c>
      <c r="G1919" s="14" t="s">
        <v>623</v>
      </c>
      <c r="H1919" s="16">
        <v>1153.809514652015</v>
      </c>
      <c r="I1919" s="16"/>
      <c r="J1919" s="16">
        <v>1153.809514652015</v>
      </c>
      <c r="K1919" s="14" t="s">
        <v>225</v>
      </c>
    </row>
    <row r="1920" spans="1:11" ht="15" customHeight="1">
      <c r="A1920" s="13">
        <v>46143</v>
      </c>
      <c r="B1920" s="14" t="s">
        <v>633</v>
      </c>
      <c r="C1920" s="14" t="s">
        <v>18</v>
      </c>
      <c r="D1920" s="14" t="s">
        <v>30</v>
      </c>
      <c r="E1920" s="14" t="str">
        <f>_xlfn.XLOOKUP($D1920,'Chart of Accounts'!$A:$A,'Chart of Accounts'!B:B,"")</f>
        <v>Employee Benefits</v>
      </c>
      <c r="F1920" s="14" t="str">
        <f>_xlfn.XLOOKUP($D1920,'Chart of Accounts'!$A:$A,'Chart of Accounts'!C:C,"")</f>
        <v>Expense</v>
      </c>
      <c r="G1920" s="14" t="s">
        <v>623</v>
      </c>
      <c r="H1920" s="16">
        <v>5205.7490602106236</v>
      </c>
      <c r="I1920" s="16"/>
      <c r="J1920" s="16">
        <v>5205.7490602106236</v>
      </c>
      <c r="K1920" s="14" t="s">
        <v>225</v>
      </c>
    </row>
    <row r="1921" spans="1:11" ht="15" customHeight="1">
      <c r="A1921" s="13">
        <v>46143</v>
      </c>
      <c r="B1921" s="14" t="s">
        <v>633</v>
      </c>
      <c r="C1921" s="14" t="s">
        <v>20</v>
      </c>
      <c r="D1921" s="14" t="s">
        <v>30</v>
      </c>
      <c r="E1921" s="14" t="str">
        <f>_xlfn.XLOOKUP($D1921,'Chart of Accounts'!$A:$A,'Chart of Accounts'!B:B,"")</f>
        <v>Employee Benefits</v>
      </c>
      <c r="F1921" s="14" t="str">
        <f>_xlfn.XLOOKUP($D1921,'Chart of Accounts'!$A:$A,'Chart of Accounts'!C:C,"")</f>
        <v>Expense</v>
      </c>
      <c r="G1921" s="14" t="s">
        <v>623</v>
      </c>
      <c r="H1921" s="16">
        <v>5349.9752495421262</v>
      </c>
      <c r="I1921" s="16"/>
      <c r="J1921" s="16">
        <v>5349.9752495421262</v>
      </c>
      <c r="K1921" s="14" t="s">
        <v>225</v>
      </c>
    </row>
    <row r="1922" spans="1:11" ht="15" customHeight="1">
      <c r="A1922" s="13">
        <v>46143</v>
      </c>
      <c r="B1922" s="14" t="s">
        <v>633</v>
      </c>
      <c r="C1922" s="14"/>
      <c r="D1922" s="14" t="s">
        <v>14</v>
      </c>
      <c r="E1922" s="14" t="str">
        <f>_xlfn.XLOOKUP($D1922,'Chart of Accounts'!$A:$A,'Chart of Accounts'!B:B,"")</f>
        <v>Accrued Vacation/PTO</v>
      </c>
      <c r="F1922" s="14" t="str">
        <f>_xlfn.XLOOKUP($D1922,'Chart of Accounts'!$A:$A,'Chart of Accounts'!C:C,"")</f>
        <v>Liability</v>
      </c>
      <c r="G1922" s="14" t="s">
        <v>623</v>
      </c>
      <c r="H1922" s="16"/>
      <c r="I1922" s="16">
        <v>37674.329777358063</v>
      </c>
      <c r="J1922" s="16">
        <v>-37674.329777358063</v>
      </c>
      <c r="K1922" s="14" t="s">
        <v>225</v>
      </c>
    </row>
    <row r="1923" spans="1:11" ht="15" customHeight="1">
      <c r="A1923" s="13">
        <v>46174</v>
      </c>
      <c r="B1923" s="14" t="s">
        <v>634</v>
      </c>
      <c r="C1923" s="14" t="s">
        <v>4</v>
      </c>
      <c r="D1923" s="14" t="s">
        <v>30</v>
      </c>
      <c r="E1923" s="14" t="str">
        <f>_xlfn.XLOOKUP($D1923,'Chart of Accounts'!$A:$A,'Chart of Accounts'!B:B,"")</f>
        <v>Employee Benefits</v>
      </c>
      <c r="F1923" s="14" t="str">
        <f>_xlfn.XLOOKUP($D1923,'Chart of Accounts'!$A:$A,'Chart of Accounts'!C:C,"")</f>
        <v>Expense</v>
      </c>
      <c r="G1923" s="14" t="s">
        <v>623</v>
      </c>
      <c r="H1923" s="16">
        <v>2607.976984812065</v>
      </c>
      <c r="I1923" s="16"/>
      <c r="J1923" s="16">
        <v>2607.976984812065</v>
      </c>
      <c r="K1923" s="14" t="s">
        <v>225</v>
      </c>
    </row>
    <row r="1924" spans="1:11" ht="15" customHeight="1">
      <c r="A1924" s="13">
        <v>46174</v>
      </c>
      <c r="B1924" s="14" t="s">
        <v>634</v>
      </c>
      <c r="C1924" s="14" t="s">
        <v>6</v>
      </c>
      <c r="D1924" s="14" t="s">
        <v>30</v>
      </c>
      <c r="E1924" s="14" t="str">
        <f>_xlfn.XLOOKUP($D1924,'Chart of Accounts'!$A:$A,'Chart of Accounts'!B:B,"")</f>
        <v>Employee Benefits</v>
      </c>
      <c r="F1924" s="14" t="str">
        <f>_xlfn.XLOOKUP($D1924,'Chart of Accounts'!$A:$A,'Chart of Accounts'!C:C,"")</f>
        <v>Expense</v>
      </c>
      <c r="G1924" s="14" t="s">
        <v>623</v>
      </c>
      <c r="H1924" s="16">
        <v>4531.0032659528015</v>
      </c>
      <c r="I1924" s="16"/>
      <c r="J1924" s="16">
        <v>4531.0032659528015</v>
      </c>
      <c r="K1924" s="14" t="s">
        <v>225</v>
      </c>
    </row>
    <row r="1925" spans="1:11" ht="15" customHeight="1">
      <c r="A1925" s="13">
        <v>46174</v>
      </c>
      <c r="B1925" s="14" t="s">
        <v>634</v>
      </c>
      <c r="C1925" s="14" t="s">
        <v>8</v>
      </c>
      <c r="D1925" s="14" t="s">
        <v>30</v>
      </c>
      <c r="E1925" s="14" t="str">
        <f>_xlfn.XLOOKUP($D1925,'Chart of Accounts'!$A:$A,'Chart of Accounts'!B:B,"")</f>
        <v>Employee Benefits</v>
      </c>
      <c r="F1925" s="14" t="str">
        <f>_xlfn.XLOOKUP($D1925,'Chart of Accounts'!$A:$A,'Chart of Accounts'!C:C,"")</f>
        <v>Expense</v>
      </c>
      <c r="G1925" s="14" t="s">
        <v>623</v>
      </c>
      <c r="H1925" s="16">
        <v>2747.956989729023</v>
      </c>
      <c r="I1925" s="16"/>
      <c r="J1925" s="16">
        <v>2747.956989729023</v>
      </c>
      <c r="K1925" s="14" t="s">
        <v>225</v>
      </c>
    </row>
    <row r="1926" spans="1:11" ht="15" customHeight="1">
      <c r="A1926" s="13">
        <v>46174</v>
      </c>
      <c r="B1926" s="14" t="s">
        <v>634</v>
      </c>
      <c r="C1926" s="14" t="s">
        <v>10</v>
      </c>
      <c r="D1926" s="14" t="s">
        <v>30</v>
      </c>
      <c r="E1926" s="14" t="str">
        <f>_xlfn.XLOOKUP($D1926,'Chart of Accounts'!$A:$A,'Chart of Accounts'!B:B,"")</f>
        <v>Employee Benefits</v>
      </c>
      <c r="F1926" s="14" t="str">
        <f>_xlfn.XLOOKUP($D1926,'Chart of Accounts'!$A:$A,'Chart of Accounts'!C:C,"")</f>
        <v>Expense</v>
      </c>
      <c r="G1926" s="14" t="s">
        <v>623</v>
      </c>
      <c r="H1926" s="16">
        <v>2693.5958227709812</v>
      </c>
      <c r="I1926" s="16"/>
      <c r="J1926" s="16">
        <v>2693.5958227709812</v>
      </c>
      <c r="K1926" s="14" t="s">
        <v>225</v>
      </c>
    </row>
    <row r="1927" spans="1:11" ht="15" customHeight="1">
      <c r="A1927" s="13">
        <v>46174</v>
      </c>
      <c r="B1927" s="14" t="s">
        <v>634</v>
      </c>
      <c r="C1927" s="14" t="s">
        <v>12</v>
      </c>
      <c r="D1927" s="14" t="s">
        <v>30</v>
      </c>
      <c r="E1927" s="14" t="str">
        <f>_xlfn.XLOOKUP($D1927,'Chart of Accounts'!$A:$A,'Chart of Accounts'!B:B,"")</f>
        <v>Employee Benefits</v>
      </c>
      <c r="F1927" s="14" t="str">
        <f>_xlfn.XLOOKUP($D1927,'Chart of Accounts'!$A:$A,'Chart of Accounts'!C:C,"")</f>
        <v>Expense</v>
      </c>
      <c r="G1927" s="14" t="s">
        <v>623</v>
      </c>
      <c r="H1927" s="16">
        <v>7042.4891794143414</v>
      </c>
      <c r="I1927" s="16"/>
      <c r="J1927" s="16">
        <v>7042.4891794143414</v>
      </c>
      <c r="K1927" s="14" t="s">
        <v>225</v>
      </c>
    </row>
    <row r="1928" spans="1:11" ht="15" customHeight="1">
      <c r="A1928" s="13">
        <v>46174</v>
      </c>
      <c r="B1928" s="14" t="s">
        <v>634</v>
      </c>
      <c r="C1928" s="14" t="s">
        <v>14</v>
      </c>
      <c r="D1928" s="14" t="s">
        <v>30</v>
      </c>
      <c r="E1928" s="14" t="str">
        <f>_xlfn.XLOOKUP($D1928,'Chart of Accounts'!$A:$A,'Chart of Accounts'!B:B,"")</f>
        <v>Employee Benefits</v>
      </c>
      <c r="F1928" s="14" t="str">
        <f>_xlfn.XLOOKUP($D1928,'Chart of Accounts'!$A:$A,'Chart of Accounts'!C:C,"")</f>
        <v>Expense</v>
      </c>
      <c r="G1928" s="14" t="s">
        <v>623</v>
      </c>
      <c r="H1928" s="16">
        <v>7357.7839477709858</v>
      </c>
      <c r="I1928" s="16"/>
      <c r="J1928" s="16">
        <v>7357.7839477709858</v>
      </c>
      <c r="K1928" s="14" t="s">
        <v>225</v>
      </c>
    </row>
    <row r="1929" spans="1:11" ht="15" customHeight="1">
      <c r="A1929" s="13">
        <v>46174</v>
      </c>
      <c r="B1929" s="14" t="s">
        <v>634</v>
      </c>
      <c r="C1929" s="14" t="s">
        <v>16</v>
      </c>
      <c r="D1929" s="14" t="s">
        <v>30</v>
      </c>
      <c r="E1929" s="14" t="str">
        <f>_xlfn.XLOOKUP($D1929,'Chart of Accounts'!$A:$A,'Chart of Accounts'!B:B,"")</f>
        <v>Employee Benefits</v>
      </c>
      <c r="F1929" s="14" t="str">
        <f>_xlfn.XLOOKUP($D1929,'Chart of Accounts'!$A:$A,'Chart of Accounts'!C:C,"")</f>
        <v>Expense</v>
      </c>
      <c r="G1929" s="14" t="s">
        <v>623</v>
      </c>
      <c r="H1929" s="16">
        <v>1696.0684090909106</v>
      </c>
      <c r="I1929" s="16"/>
      <c r="J1929" s="16">
        <v>1696.0684090909106</v>
      </c>
      <c r="K1929" s="14" t="s">
        <v>225</v>
      </c>
    </row>
    <row r="1930" spans="1:11" ht="15" customHeight="1">
      <c r="A1930" s="13">
        <v>46174</v>
      </c>
      <c r="B1930" s="14" t="s">
        <v>634</v>
      </c>
      <c r="C1930" s="14" t="s">
        <v>18</v>
      </c>
      <c r="D1930" s="14" t="s">
        <v>30</v>
      </c>
      <c r="E1930" s="14" t="str">
        <f>_xlfn.XLOOKUP($D1930,'Chart of Accounts'!$A:$A,'Chart of Accounts'!B:B,"")</f>
        <v>Employee Benefits</v>
      </c>
      <c r="F1930" s="14" t="str">
        <f>_xlfn.XLOOKUP($D1930,'Chart of Accounts'!$A:$A,'Chart of Accounts'!C:C,"")</f>
        <v>Expense</v>
      </c>
      <c r="G1930" s="14" t="s">
        <v>623</v>
      </c>
      <c r="H1930" s="16">
        <v>6558.6747934877685</v>
      </c>
      <c r="I1930" s="16"/>
      <c r="J1930" s="16">
        <v>6558.6747934877685</v>
      </c>
      <c r="K1930" s="14" t="s">
        <v>225</v>
      </c>
    </row>
    <row r="1931" spans="1:11" ht="15" customHeight="1">
      <c r="A1931" s="13">
        <v>46174</v>
      </c>
      <c r="B1931" s="14" t="s">
        <v>634</v>
      </c>
      <c r="C1931" s="14" t="s">
        <v>20</v>
      </c>
      <c r="D1931" s="14" t="s">
        <v>30</v>
      </c>
      <c r="E1931" s="14" t="str">
        <f>_xlfn.XLOOKUP($D1931,'Chart of Accounts'!$A:$A,'Chart of Accounts'!B:B,"")</f>
        <v>Employee Benefits</v>
      </c>
      <c r="F1931" s="14" t="str">
        <f>_xlfn.XLOOKUP($D1931,'Chart of Accounts'!$A:$A,'Chart of Accounts'!C:C,"")</f>
        <v>Expense</v>
      </c>
      <c r="G1931" s="14" t="s">
        <v>623</v>
      </c>
      <c r="H1931" s="16">
        <v>6096.6048743444107</v>
      </c>
      <c r="I1931" s="16"/>
      <c r="J1931" s="16">
        <v>6096.6048743444107</v>
      </c>
      <c r="K1931" s="14" t="s">
        <v>225</v>
      </c>
    </row>
    <row r="1932" spans="1:11" ht="15" customHeight="1">
      <c r="A1932" s="13">
        <v>46174</v>
      </c>
      <c r="B1932" s="14" t="s">
        <v>634</v>
      </c>
      <c r="C1932" s="14"/>
      <c r="D1932" s="14" t="s">
        <v>14</v>
      </c>
      <c r="E1932" s="14" t="str">
        <f>_xlfn.XLOOKUP($D1932,'Chart of Accounts'!$A:$A,'Chart of Accounts'!B:B,"")</f>
        <v>Accrued Vacation/PTO</v>
      </c>
      <c r="F1932" s="14" t="str">
        <f>_xlfn.XLOOKUP($D1932,'Chart of Accounts'!$A:$A,'Chart of Accounts'!C:C,"")</f>
        <v>Liability</v>
      </c>
      <c r="G1932" s="14" t="s">
        <v>623</v>
      </c>
      <c r="H1932" s="16"/>
      <c r="I1932" s="16">
        <v>41332.154267373291</v>
      </c>
      <c r="J1932" s="16">
        <v>-41332.154267373291</v>
      </c>
      <c r="K1932" s="14" t="s">
        <v>225</v>
      </c>
    </row>
    <row r="1934" spans="1:11">
      <c r="H1934" s="21"/>
      <c r="I1934" s="21"/>
      <c r="J1934" s="21"/>
    </row>
  </sheetData>
  <autoFilter ref="A1:K1932" xr:uid="{00000000-0009-0000-0000-000006000000}">
    <sortState xmlns:xlrd2="http://schemas.microsoft.com/office/spreadsheetml/2017/richdata2" ref="A2:K1932">
      <sortCondition ref="A2:A1932"/>
    </sortState>
  </autoFilter>
  <pageMargins left="0.7" right="0.7" top="0.75" bottom="0.75"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B47"/>
  <sheetViews>
    <sheetView showGridLines="0" zoomScaleNormal="100" workbookViewId="0">
      <pane xSplit="2" ySplit="7" topLeftCell="C8" activePane="bottomRight" state="frozen"/>
      <selection pane="topRight" activeCell="B1" sqref="B1"/>
      <selection pane="bottomLeft" activeCell="A8" sqref="A8"/>
      <selection pane="bottomRight"/>
    </sheetView>
  </sheetViews>
  <sheetFormatPr baseColWidth="10" defaultColWidth="11.1640625" defaultRowHeight="15"/>
  <cols>
    <col min="1" max="1" width="3.6640625" style="12" customWidth="1"/>
    <col min="2" max="2" width="14.6640625" style="12" customWidth="1"/>
    <col min="3" max="3" width="30.1640625" style="12" customWidth="1"/>
    <col min="4" max="4" width="24.6640625" style="12" customWidth="1"/>
    <col min="5" max="14" width="12.6640625" style="12" customWidth="1"/>
    <col min="15" max="16384" width="11.1640625" style="12"/>
  </cols>
  <sheetData>
    <row r="2" spans="2:28" ht="18">
      <c r="B2" s="164" t="s">
        <v>786</v>
      </c>
    </row>
    <row r="3" spans="2:28">
      <c r="B3" s="53" t="s">
        <v>783</v>
      </c>
    </row>
    <row r="4" spans="2:28">
      <c r="B4" s="53" t="s">
        <v>207</v>
      </c>
    </row>
    <row r="5" spans="2:28">
      <c r="B5" s="54" t="s">
        <v>784</v>
      </c>
    </row>
    <row r="7" spans="2:28" ht="15" customHeight="1">
      <c r="B7" s="142" t="s">
        <v>2</v>
      </c>
      <c r="C7" s="142" t="s">
        <v>643</v>
      </c>
      <c r="D7" s="142" t="s">
        <v>745</v>
      </c>
      <c r="E7" s="142">
        <v>45839</v>
      </c>
      <c r="F7" s="142" t="s">
        <v>645</v>
      </c>
      <c r="G7" s="142">
        <v>45870</v>
      </c>
      <c r="H7" s="142" t="s">
        <v>645</v>
      </c>
      <c r="I7" s="142">
        <v>45901</v>
      </c>
      <c r="J7" s="142" t="s">
        <v>645</v>
      </c>
      <c r="K7" s="142">
        <v>45931</v>
      </c>
      <c r="L7" s="142" t="s">
        <v>645</v>
      </c>
      <c r="M7" s="142">
        <v>45962</v>
      </c>
      <c r="N7" s="142" t="s">
        <v>645</v>
      </c>
      <c r="O7" s="142">
        <v>45992</v>
      </c>
      <c r="P7" s="142" t="s">
        <v>645</v>
      </c>
      <c r="Q7" s="142">
        <v>46023</v>
      </c>
      <c r="R7" s="142" t="s">
        <v>645</v>
      </c>
      <c r="S7" s="142">
        <v>46054</v>
      </c>
      <c r="T7" s="142" t="s">
        <v>645</v>
      </c>
      <c r="U7" s="142">
        <v>46082</v>
      </c>
      <c r="V7" s="142" t="s">
        <v>645</v>
      </c>
      <c r="W7" s="142">
        <v>46113</v>
      </c>
      <c r="X7" s="142" t="s">
        <v>645</v>
      </c>
      <c r="Y7" s="142">
        <v>46143</v>
      </c>
      <c r="Z7" s="142" t="s">
        <v>645</v>
      </c>
      <c r="AA7" s="142">
        <v>46174</v>
      </c>
      <c r="AB7" s="142" t="s">
        <v>645</v>
      </c>
    </row>
    <row r="8" spans="2:28" ht="15" customHeight="1">
      <c r="B8" s="19" t="s">
        <v>12</v>
      </c>
      <c r="C8" s="14" t="s">
        <v>13</v>
      </c>
      <c r="D8" s="14" t="s">
        <v>133</v>
      </c>
      <c r="E8" s="23">
        <f>SUMIFS('Allocated Transactions'!$J:$J,'Allocated Transactions'!$F:$F,"Expense",'Allocated Transactions'!$C:$C,'Indirect Pool'!$B8,'Allocated Transactions'!$A:$A,"&lt;="&amp;'Indirect Pool'!E$7,'Allocated Transactions'!$A:$A,"&gt;="&amp;'Indirect Pool'!E$7)</f>
        <v>24621.241327391304</v>
      </c>
      <c r="F8" s="24">
        <f>E8/E$14</f>
        <v>0.19653933221199549</v>
      </c>
      <c r="G8" s="23">
        <f>SUMIFS('Allocated Transactions'!$J:$J,'Allocated Transactions'!$F:$F,"Expense",'Allocated Transactions'!$C:$C,'Indirect Pool'!$B8,'Allocated Transactions'!$A:$A,"&lt;="&amp;'Indirect Pool'!G$7,'Allocated Transactions'!$A:$A,"&gt;="&amp;'Indirect Pool'!G$7)</f>
        <v>26003.506678095237</v>
      </c>
      <c r="H8" s="24">
        <f>G8/G$14</f>
        <v>0.19764030007107483</v>
      </c>
      <c r="I8" s="23">
        <f>SUMIFS('Allocated Transactions'!$J:$J,'Allocated Transactions'!$F:$F,"Expense",'Allocated Transactions'!$C:$C,'Indirect Pool'!$B8,'Allocated Transactions'!$A:$A,"&lt;="&amp;'Indirect Pool'!I$7,'Allocated Transactions'!$A:$A,"&gt;="&amp;'Indirect Pool'!I$7)</f>
        <v>26477.307971136364</v>
      </c>
      <c r="J8" s="24">
        <f>I8/I$14</f>
        <v>0.19887647618040527</v>
      </c>
      <c r="K8" s="23">
        <f>SUMIFS('Allocated Transactions'!$J:$J,'Allocated Transactions'!$F:$F,"Expense",'Allocated Transactions'!$C:$C,'Indirect Pool'!$B8,'Allocated Transactions'!$A:$A,"&lt;="&amp;'Indirect Pool'!K$7,'Allocated Transactions'!$A:$A,"&gt;="&amp;'Indirect Pool'!K$7)</f>
        <v>20100.083560869567</v>
      </c>
      <c r="L8" s="24">
        <f>K8/K$14</f>
        <v>0.14971061208926442</v>
      </c>
      <c r="M8" s="23">
        <f>SUMIFS('Allocated Transactions'!$J:$J,'Allocated Transactions'!$F:$F,"Expense",'Allocated Transactions'!$C:$C,'Indirect Pool'!$B8,'Allocated Transactions'!$A:$A,"&lt;="&amp;'Indirect Pool'!M$7,'Allocated Transactions'!$A:$A,"&gt;="&amp;'Indirect Pool'!M$7)</f>
        <v>26506.355134855763</v>
      </c>
      <c r="N8" s="24">
        <f>M8/M$14</f>
        <v>0.19456786588115557</v>
      </c>
      <c r="O8" s="23">
        <f>SUMIFS('Allocated Transactions'!$J:$J,'Allocated Transactions'!$F:$F,"Expense",'Allocated Transactions'!$C:$C,'Indirect Pool'!$B8,'Allocated Transactions'!$A:$A,"&lt;="&amp;'Indirect Pool'!O$7,'Allocated Transactions'!$A:$A,"&gt;="&amp;'Indirect Pool'!O$7)</f>
        <v>27085.964745192334</v>
      </c>
      <c r="P8" s="24">
        <f>O8/O$14</f>
        <v>0.1964641152299588</v>
      </c>
      <c r="Q8" s="23">
        <f>SUMIFS('Allocated Transactions'!$J:$J,'Allocated Transactions'!$F:$F,"Expense",'Allocated Transactions'!$C:$C,'Indirect Pool'!$B8,'Allocated Transactions'!$A:$A,"&lt;="&amp;'Indirect Pool'!Q$7,'Allocated Transactions'!$A:$A,"&gt;="&amp;'Indirect Pool'!Q$7)</f>
        <v>28201.851471818183</v>
      </c>
      <c r="R8" s="24">
        <f>Q8/Q$14</f>
        <v>0.20466349831202482</v>
      </c>
      <c r="S8" s="23">
        <f>SUMIFS('Allocated Transactions'!$J:$J,'Allocated Transactions'!$F:$F,"Expense",'Allocated Transactions'!$C:$C,'Indirect Pool'!$B8,'Allocated Transactions'!$A:$A,"&lt;="&amp;'Indirect Pool'!S$7,'Allocated Transactions'!$A:$A,"&gt;="&amp;'Indirect Pool'!S$7)</f>
        <v>28606.927987740444</v>
      </c>
      <c r="T8" s="24">
        <f>S8/S$14</f>
        <v>0.19752569679553605</v>
      </c>
      <c r="U8" s="23">
        <f>SUMIFS('Allocated Transactions'!$J:$J,'Allocated Transactions'!$F:$F,"Expense",'Allocated Transactions'!$C:$C,'Indirect Pool'!$B8,'Allocated Transactions'!$A:$A,"&lt;="&amp;'Indirect Pool'!U$7,'Allocated Transactions'!$A:$A,"&gt;="&amp;'Indirect Pool'!U$7)</f>
        <v>28011.965233173098</v>
      </c>
      <c r="V8" s="24">
        <f>U8/U$14</f>
        <v>0.18828951917475606</v>
      </c>
      <c r="W8" s="23">
        <f>SUMIFS('Allocated Transactions'!$J:$J,'Allocated Transactions'!$F:$F,"Expense",'Allocated Transactions'!$C:$C,'Indirect Pool'!$B8,'Allocated Transactions'!$A:$A,"&lt;="&amp;'Indirect Pool'!W$7,'Allocated Transactions'!$A:$A,"&gt;="&amp;'Indirect Pool'!W$7)</f>
        <v>28954.212852272729</v>
      </c>
      <c r="X8" s="24">
        <f>W8/W$14</f>
        <v>0.19341238626152352</v>
      </c>
      <c r="Y8" s="23">
        <f>SUMIFS('Allocated Transactions'!$J:$J,'Allocated Transactions'!$F:$F,"Expense",'Allocated Transactions'!$C:$C,'Indirect Pool'!$B8,'Allocated Transactions'!$A:$A,"&lt;="&amp;'Indirect Pool'!Y$7,'Allocated Transactions'!$A:$A,"&gt;="&amp;'Indirect Pool'!Y$7)</f>
        <v>27117.494453983549</v>
      </c>
      <c r="Z8" s="24">
        <f>Y8/Y$14</f>
        <v>0.19898994055730981</v>
      </c>
      <c r="AA8" s="23">
        <f>SUMIFS('Allocated Transactions'!$J:$J,'Allocated Transactions'!$F:$F,"Expense",'Allocated Transactions'!$C:$C,'Indirect Pool'!$B8,'Allocated Transactions'!$A:$A,"&lt;="&amp;'Indirect Pool'!AA$7,'Allocated Transactions'!$A:$A,"&gt;="&amp;'Indirect Pool'!AA$7)</f>
        <v>28964.593602491244</v>
      </c>
      <c r="AB8" s="24">
        <f>AA8/AA$14</f>
        <v>0.20027283122346726</v>
      </c>
    </row>
    <row r="9" spans="2:28" ht="15" customHeight="1">
      <c r="B9" s="19" t="s">
        <v>14</v>
      </c>
      <c r="C9" s="14" t="s">
        <v>15</v>
      </c>
      <c r="D9" s="14" t="s">
        <v>133</v>
      </c>
      <c r="E9" s="23">
        <f>SUMIFS('Allocated Transactions'!$J:$J,'Allocated Transactions'!$F:$F,"Expense",'Allocated Transactions'!$C:$C,'Indirect Pool'!$B9,'Allocated Transactions'!$A:$A,"&lt;="&amp;'Indirect Pool'!E$7,'Allocated Transactions'!$A:$A,"&gt;="&amp;'Indirect Pool'!E$7)</f>
        <v>20756.194805652172</v>
      </c>
      <c r="F9" s="24">
        <f>E9/E$14</f>
        <v>0.16568655544700733</v>
      </c>
      <c r="G9" s="23">
        <f>SUMIFS('Allocated Transactions'!$J:$J,'Allocated Transactions'!$F:$F,"Expense",'Allocated Transactions'!$C:$C,'Indirect Pool'!$B9,'Allocated Transactions'!$A:$A,"&lt;="&amp;'Indirect Pool'!G$7,'Allocated Transactions'!$A:$A,"&gt;="&amp;'Indirect Pool'!G$7)</f>
        <v>21867.704497142859</v>
      </c>
      <c r="H9" s="24">
        <f>G9/G$14</f>
        <v>0.16620603260104189</v>
      </c>
      <c r="I9" s="23">
        <f>SUMIFS('Allocated Transactions'!$J:$J,'Allocated Transactions'!$F:$F,"Expense",'Allocated Transactions'!$C:$C,'Indirect Pool'!$B9,'Allocated Transactions'!$A:$A,"&lt;="&amp;'Indirect Pool'!I$7,'Allocated Transactions'!$A:$A,"&gt;="&amp;'Indirect Pool'!I$7)</f>
        <v>21981.09443431818</v>
      </c>
      <c r="J9" s="24">
        <f>I9/I$14</f>
        <v>0.1651044965920038</v>
      </c>
      <c r="K9" s="23">
        <f>SUMIFS('Allocated Transactions'!$J:$J,'Allocated Transactions'!$F:$F,"Expense",'Allocated Transactions'!$C:$C,'Indirect Pool'!$B9,'Allocated Transactions'!$A:$A,"&lt;="&amp;'Indirect Pool'!K$7,'Allocated Transactions'!$A:$A,"&gt;="&amp;'Indirect Pool'!K$7)</f>
        <v>29424.879473913046</v>
      </c>
      <c r="L9" s="24">
        <f>K9/K$14</f>
        <v>0.21916409965918454</v>
      </c>
      <c r="M9" s="23">
        <f>SUMIFS('Allocated Transactions'!$J:$J,'Allocated Transactions'!$F:$F,"Expense",'Allocated Transactions'!$C:$C,'Indirect Pool'!$B9,'Allocated Transactions'!$A:$A,"&lt;="&amp;'Indirect Pool'!M$7,'Allocated Transactions'!$A:$A,"&gt;="&amp;'Indirect Pool'!M$7)</f>
        <v>28468.850607451983</v>
      </c>
      <c r="N9" s="24">
        <f>M9/M$14</f>
        <v>0.20897341330409641</v>
      </c>
      <c r="O9" s="23">
        <f>SUMIFS('Allocated Transactions'!$J:$J,'Allocated Transactions'!$F:$F,"Expense",'Allocated Transactions'!$C:$C,'Indirect Pool'!$B9,'Allocated Transactions'!$A:$A,"&lt;="&amp;'Indirect Pool'!O$7,'Allocated Transactions'!$A:$A,"&gt;="&amp;'Indirect Pool'!O$7)</f>
        <v>29372.123628135414</v>
      </c>
      <c r="P9" s="24">
        <f>O9/O$14</f>
        <v>0.21304643697621467</v>
      </c>
      <c r="Q9" s="23">
        <f>SUMIFS('Allocated Transactions'!$J:$J,'Allocated Transactions'!$F:$F,"Expense",'Allocated Transactions'!$C:$C,'Indirect Pool'!$B9,'Allocated Transactions'!$A:$A,"&lt;="&amp;'Indirect Pool'!Q$7,'Allocated Transactions'!$A:$A,"&gt;="&amp;'Indirect Pool'!Q$7)</f>
        <v>31342.434084545457</v>
      </c>
      <c r="R9" s="24">
        <f>Q9/Q$14</f>
        <v>0.22745500279537367</v>
      </c>
      <c r="S9" s="23">
        <f>SUMIFS('Allocated Transactions'!$J:$J,'Allocated Transactions'!$F:$F,"Expense",'Allocated Transactions'!$C:$C,'Indirect Pool'!$B9,'Allocated Transactions'!$A:$A,"&lt;="&amp;'Indirect Pool'!S$7,'Allocated Transactions'!$A:$A,"&gt;="&amp;'Indirect Pool'!S$7)</f>
        <v>32331.551469471207</v>
      </c>
      <c r="T9" s="24">
        <f>S9/S$14</f>
        <v>0.22324355258365752</v>
      </c>
      <c r="U9" s="23">
        <f>SUMIFS('Allocated Transactions'!$J:$J,'Allocated Transactions'!$F:$F,"Expense",'Allocated Transactions'!$C:$C,'Indirect Pool'!$B9,'Allocated Transactions'!$A:$A,"&lt;="&amp;'Indirect Pool'!U$7,'Allocated Transactions'!$A:$A,"&gt;="&amp;'Indirect Pool'!U$7)</f>
        <v>31974.705862980791</v>
      </c>
      <c r="V9" s="24">
        <f>U9/U$14</f>
        <v>0.21492608399945973</v>
      </c>
      <c r="W9" s="23">
        <f>SUMIFS('Allocated Transactions'!$J:$J,'Allocated Transactions'!$F:$F,"Expense",'Allocated Transactions'!$C:$C,'Indirect Pool'!$B9,'Allocated Transactions'!$A:$A,"&lt;="&amp;'Indirect Pool'!W$7,'Allocated Transactions'!$A:$A,"&gt;="&amp;'Indirect Pool'!W$7)</f>
        <v>32860.658715909092</v>
      </c>
      <c r="X9" s="24">
        <f>W9/W$14</f>
        <v>0.21950720776961577</v>
      </c>
      <c r="Y9" s="23">
        <f>SUMIFS('Allocated Transactions'!$J:$J,'Allocated Transactions'!$F:$F,"Expense",'Allocated Transactions'!$C:$C,'Indirect Pool'!$B9,'Allocated Transactions'!$A:$A,"&lt;="&amp;'Indirect Pool'!Y$7,'Allocated Transactions'!$A:$A,"&gt;="&amp;'Indirect Pool'!Y$7)</f>
        <v>31388.362959020138</v>
      </c>
      <c r="Z9" s="24">
        <f>Y9/Y$14</f>
        <v>0.23032985182335503</v>
      </c>
      <c r="AA9" s="23">
        <f>SUMIFS('Allocated Transactions'!$J:$J,'Allocated Transactions'!$F:$F,"Expense",'Allocated Transactions'!$C:$C,'Indirect Pool'!$B9,'Allocated Transactions'!$A:$A,"&lt;="&amp;'Indirect Pool'!AA$7,'Allocated Transactions'!$A:$A,"&gt;="&amp;'Indirect Pool'!AA$7)</f>
        <v>32411.644717001789</v>
      </c>
      <c r="AB9" s="24">
        <f>AA9/AA$14</f>
        <v>0.22410712683104167</v>
      </c>
    </row>
    <row r="10" spans="2:28" ht="15" customHeight="1">
      <c r="B10" s="19" t="s">
        <v>16</v>
      </c>
      <c r="C10" s="14" t="s">
        <v>17</v>
      </c>
      <c r="D10" s="14" t="s">
        <v>133</v>
      </c>
      <c r="E10" s="23">
        <f>SUMIFS('Allocated Transactions'!$J:$J,'Allocated Transactions'!$F:$F,"Expense",'Allocated Transactions'!$C:$C,'Indirect Pool'!$B10,'Allocated Transactions'!$A:$A,"&lt;="&amp;'Indirect Pool'!E$7,'Allocated Transactions'!$A:$A,"&gt;="&amp;'Indirect Pool'!E$7)</f>
        <v>21942.63587304348</v>
      </c>
      <c r="F10" s="24">
        <f>E10/E$14</f>
        <v>0.17515733443793324</v>
      </c>
      <c r="G10" s="23">
        <f>SUMIFS('Allocated Transactions'!$J:$J,'Allocated Transactions'!$F:$F,"Expense",'Allocated Transactions'!$C:$C,'Indirect Pool'!$B10,'Allocated Transactions'!$A:$A,"&lt;="&amp;'Indirect Pool'!G$7,'Allocated Transactions'!$A:$A,"&gt;="&amp;'Indirect Pool'!G$7)</f>
        <v>22713.581554285716</v>
      </c>
      <c r="H10" s="24">
        <f>G10/G$14</f>
        <v>0.17263514223869628</v>
      </c>
      <c r="I10" s="23">
        <f>SUMIFS('Allocated Transactions'!$J:$J,'Allocated Transactions'!$F:$F,"Expense",'Allocated Transactions'!$C:$C,'Indirect Pool'!$B10,'Allocated Transactions'!$A:$A,"&lt;="&amp;'Indirect Pool'!I$7,'Allocated Transactions'!$A:$A,"&gt;="&amp;'Indirect Pool'!I$7)</f>
        <v>23508.790644545454</v>
      </c>
      <c r="J10" s="24">
        <f>I10/I$14</f>
        <v>0.17657933532165732</v>
      </c>
      <c r="K10" s="23">
        <f>SUMIFS('Allocated Transactions'!$J:$J,'Allocated Transactions'!$F:$F,"Expense",'Allocated Transactions'!$C:$C,'Indirect Pool'!$B10,'Allocated Transactions'!$A:$A,"&lt;="&amp;'Indirect Pool'!K$7,'Allocated Transactions'!$A:$A,"&gt;="&amp;'Indirect Pool'!K$7)</f>
        <v>22578.747043478266</v>
      </c>
      <c r="L10" s="24">
        <f>K10/K$14</f>
        <v>0.16817233768462816</v>
      </c>
      <c r="M10" s="23">
        <f>SUMIFS('Allocated Transactions'!$J:$J,'Allocated Transactions'!$F:$F,"Expense",'Allocated Transactions'!$C:$C,'Indirect Pool'!$B10,'Allocated Transactions'!$A:$A,"&lt;="&amp;'Indirect Pool'!M$7,'Allocated Transactions'!$A:$A,"&gt;="&amp;'Indirect Pool'!M$7)</f>
        <v>22016.467925961559</v>
      </c>
      <c r="N10" s="24">
        <f>M10/M$14</f>
        <v>0.16161019335933538</v>
      </c>
      <c r="O10" s="23">
        <f>SUMIFS('Allocated Transactions'!$J:$J,'Allocated Transactions'!$F:$F,"Expense",'Allocated Transactions'!$C:$C,'Indirect Pool'!$B10,'Allocated Transactions'!$A:$A,"&lt;="&amp;'Indirect Pool'!O$7,'Allocated Transactions'!$A:$A,"&gt;="&amp;'Indirect Pool'!O$7)</f>
        <v>21715.476754180578</v>
      </c>
      <c r="P10" s="24">
        <f>O10/O$14</f>
        <v>0.15751005982033853</v>
      </c>
      <c r="Q10" s="23">
        <f>SUMIFS('Allocated Transactions'!$J:$J,'Allocated Transactions'!$F:$F,"Expense",'Allocated Transactions'!$C:$C,'Indirect Pool'!$B10,'Allocated Transactions'!$A:$A,"&lt;="&amp;'Indirect Pool'!Q$7,'Allocated Transactions'!$A:$A,"&gt;="&amp;'Indirect Pool'!Q$7)</f>
        <v>23112.31551636364</v>
      </c>
      <c r="R10" s="24">
        <f>Q10/Q$14</f>
        <v>0.16772825544440448</v>
      </c>
      <c r="S10" s="23">
        <f>SUMIFS('Allocated Transactions'!$J:$J,'Allocated Transactions'!$F:$F,"Expense",'Allocated Transactions'!$C:$C,'Indirect Pool'!$B10,'Allocated Transactions'!$A:$A,"&lt;="&amp;'Indirect Pool'!S$7,'Allocated Transactions'!$A:$A,"&gt;="&amp;'Indirect Pool'!S$7)</f>
        <v>22768.502357692363</v>
      </c>
      <c r="T10" s="24">
        <f>S10/S$14</f>
        <v>0.15721241704531658</v>
      </c>
      <c r="U10" s="23">
        <f>SUMIFS('Allocated Transactions'!$J:$J,'Allocated Transactions'!$F:$F,"Expense",'Allocated Transactions'!$C:$C,'Indirect Pool'!$B10,'Allocated Transactions'!$A:$A,"&lt;="&amp;'Indirect Pool'!U$7,'Allocated Transactions'!$A:$A,"&gt;="&amp;'Indirect Pool'!U$7)</f>
        <v>22386.918672202792</v>
      </c>
      <c r="V10" s="24">
        <f>U10/U$14</f>
        <v>0.15047934400552396</v>
      </c>
      <c r="W10" s="23">
        <f>SUMIFS('Allocated Transactions'!$J:$J,'Allocated Transactions'!$F:$F,"Expense",'Allocated Transactions'!$C:$C,'Indirect Pool'!$B10,'Allocated Transactions'!$A:$A,"&lt;="&amp;'Indirect Pool'!W$7,'Allocated Transactions'!$A:$A,"&gt;="&amp;'Indirect Pool'!W$7)</f>
        <v>20236.777545454548</v>
      </c>
      <c r="X10" s="24">
        <f>W10/W$14</f>
        <v>0.13518044697950587</v>
      </c>
      <c r="Y10" s="23">
        <f>SUMIFS('Allocated Transactions'!$J:$J,'Allocated Transactions'!$F:$F,"Expense",'Allocated Transactions'!$C:$C,'Indirect Pool'!$B10,'Allocated Transactions'!$A:$A,"&lt;="&amp;'Indirect Pool'!Y$7,'Allocated Transactions'!$A:$A,"&gt;="&amp;'Indirect Pool'!Y$7)</f>
        <v>13164.775668498169</v>
      </c>
      <c r="Z10" s="24">
        <f>Y10/Y$14</f>
        <v>9.6603981321730939E-2</v>
      </c>
      <c r="AA10" s="23">
        <f>SUMIFS('Allocated Transactions'!$J:$J,'Allocated Transactions'!$F:$F,"Expense",'Allocated Transactions'!$C:$C,'Indirect Pool'!$B10,'Allocated Transactions'!$A:$A,"&lt;="&amp;'Indirect Pool'!AA$7,'Allocated Transactions'!$A:$A,"&gt;="&amp;'Indirect Pool'!AA$7)</f>
        <v>14222.9937937063</v>
      </c>
      <c r="AB10" s="24">
        <f>AA10/AA$14</f>
        <v>9.8343490491589927E-2</v>
      </c>
    </row>
    <row r="11" spans="2:28" ht="15" customHeight="1">
      <c r="B11" s="19" t="s">
        <v>18</v>
      </c>
      <c r="C11" s="14" t="s">
        <v>19</v>
      </c>
      <c r="D11" s="14" t="s">
        <v>133</v>
      </c>
      <c r="E11" s="23">
        <f>SUMIFS('Allocated Transactions'!$J:$J,'Allocated Transactions'!$F:$F,"Expense",'Allocated Transactions'!$C:$C,'Indirect Pool'!$B11,'Allocated Transactions'!$A:$A,"&lt;="&amp;'Indirect Pool'!E$7,'Allocated Transactions'!$A:$A,"&gt;="&amp;'Indirect Pool'!E$7)</f>
        <v>30003.375506086955</v>
      </c>
      <c r="F11" s="24">
        <f>E11/E$14</f>
        <v>0.23950227803956387</v>
      </c>
      <c r="G11" s="23">
        <f>SUMIFS('Allocated Transactions'!$J:$J,'Allocated Transactions'!$F:$F,"Expense",'Allocated Transactions'!$C:$C,'Indirect Pool'!$B11,'Allocated Transactions'!$A:$A,"&lt;="&amp;'Indirect Pool'!G$7,'Allocated Transactions'!$A:$A,"&gt;="&amp;'Indirect Pool'!G$7)</f>
        <v>31590.702967619047</v>
      </c>
      <c r="H11" s="24">
        <f>G11/G$14</f>
        <v>0.24010592460731023</v>
      </c>
      <c r="I11" s="23">
        <f>SUMIFS('Allocated Transactions'!$J:$J,'Allocated Transactions'!$F:$F,"Expense",'Allocated Transactions'!$C:$C,'Indirect Pool'!$B11,'Allocated Transactions'!$A:$A,"&lt;="&amp;'Indirect Pool'!I$7,'Allocated Transactions'!$A:$A,"&gt;="&amp;'Indirect Pool'!I$7)</f>
        <v>32082.229729090905</v>
      </c>
      <c r="J11" s="24">
        <f>I11/I$14</f>
        <v>0.24097619000720491</v>
      </c>
      <c r="K11" s="23">
        <f>SUMIFS('Allocated Transactions'!$J:$J,'Allocated Transactions'!$F:$F,"Expense",'Allocated Transactions'!$C:$C,'Indirect Pool'!$B11,'Allocated Transactions'!$A:$A,"&lt;="&amp;'Indirect Pool'!K$7,'Allocated Transactions'!$A:$A,"&gt;="&amp;'Indirect Pool'!K$7)</f>
        <v>32312.820608695656</v>
      </c>
      <c r="L11" s="24">
        <f>K11/K$14</f>
        <v>0.24067423088111489</v>
      </c>
      <c r="M11" s="23">
        <f>SUMIFS('Allocated Transactions'!$J:$J,'Allocated Transactions'!$F:$F,"Expense",'Allocated Transactions'!$C:$C,'Indirect Pool'!$B11,'Allocated Transactions'!$A:$A,"&lt;="&amp;'Indirect Pool'!M$7,'Allocated Transactions'!$A:$A,"&gt;="&amp;'Indirect Pool'!M$7)</f>
        <v>30834.372801923135</v>
      </c>
      <c r="N11" s="24">
        <f>M11/M$14</f>
        <v>0.22633734745238399</v>
      </c>
      <c r="O11" s="23">
        <f>SUMIFS('Allocated Transactions'!$J:$J,'Allocated Transactions'!$F:$F,"Expense",'Allocated Transactions'!$C:$C,'Indirect Pool'!$B11,'Allocated Transactions'!$A:$A,"&lt;="&amp;'Indirect Pool'!O$7,'Allocated Transactions'!$A:$A,"&gt;="&amp;'Indirect Pool'!O$7)</f>
        <v>30509.855973244106</v>
      </c>
      <c r="P11" s="24">
        <f>O11/O$14</f>
        <v>0.22129881346171387</v>
      </c>
      <c r="Q11" s="23">
        <f>SUMIFS('Allocated Transactions'!$J:$J,'Allocated Transactions'!$F:$F,"Expense",'Allocated Transactions'!$C:$C,'Indirect Pool'!$B11,'Allocated Transactions'!$A:$A,"&lt;="&amp;'Indirect Pool'!Q$7,'Allocated Transactions'!$A:$A,"&gt;="&amp;'Indirect Pool'!Q$7)</f>
        <v>23914.166642727276</v>
      </c>
      <c r="R11" s="24">
        <f>Q11/Q$14</f>
        <v>0.17354736476107513</v>
      </c>
      <c r="S11" s="23">
        <f>SUMIFS('Allocated Transactions'!$J:$J,'Allocated Transactions'!$F:$F,"Expense",'Allocated Transactions'!$C:$C,'Indirect Pool'!$B11,'Allocated Transactions'!$A:$A,"&lt;="&amp;'Indirect Pool'!S$7,'Allocated Transactions'!$A:$A,"&gt;="&amp;'Indirect Pool'!S$7)</f>
        <v>29688.465049759663</v>
      </c>
      <c r="T11" s="24">
        <f>S11/S$14</f>
        <v>0.20499351584542128</v>
      </c>
      <c r="U11" s="23">
        <f>SUMIFS('Allocated Transactions'!$J:$J,'Allocated Transactions'!$F:$F,"Expense",'Allocated Transactions'!$C:$C,'Indirect Pool'!$B11,'Allocated Transactions'!$A:$A,"&lt;="&amp;'Indirect Pool'!U$7,'Allocated Transactions'!$A:$A,"&gt;="&amp;'Indirect Pool'!U$7)</f>
        <v>30116.628835445823</v>
      </c>
      <c r="V11" s="24">
        <f>U11/U$14</f>
        <v>0.2024365486458351</v>
      </c>
      <c r="W11" s="23">
        <f>SUMIFS('Allocated Transactions'!$J:$J,'Allocated Transactions'!$F:$F,"Expense",'Allocated Transactions'!$C:$C,'Indirect Pool'!$B11,'Allocated Transactions'!$A:$A,"&lt;="&amp;'Indirect Pool'!W$7,'Allocated Transactions'!$A:$A,"&gt;="&amp;'Indirect Pool'!W$7)</f>
        <v>30820.620829545456</v>
      </c>
      <c r="X11" s="24">
        <f>W11/W$14</f>
        <v>0.20587987838308974</v>
      </c>
      <c r="Y11" s="23">
        <f>SUMIFS('Allocated Transactions'!$J:$J,'Allocated Transactions'!$F:$F,"Expense",'Allocated Transactions'!$C:$C,'Indirect Pool'!$B11,'Allocated Transactions'!$A:$A,"&lt;="&amp;'Indirect Pool'!Y$7,'Allocated Transactions'!$A:$A,"&gt;="&amp;'Indirect Pool'!Y$7)</f>
        <v>29227.681367902918</v>
      </c>
      <c r="Z11" s="24">
        <f>Y11/Y$14</f>
        <v>0.2144746295752491</v>
      </c>
      <c r="AA11" s="23">
        <f>SUMIFS('Allocated Transactions'!$J:$J,'Allocated Transactions'!$F:$F,"Expense",'Allocated Transactions'!$C:$C,'Indirect Pool'!$B11,'Allocated Transactions'!$A:$A,"&lt;="&amp;'Indirect Pool'!AA$7,'Allocated Transactions'!$A:$A,"&gt;="&amp;'Indirect Pool'!AA$7)</f>
        <v>31612.525562718569</v>
      </c>
      <c r="AB11" s="24">
        <f>AA11/AA$14</f>
        <v>0.2185816961031119</v>
      </c>
    </row>
    <row r="12" spans="2:28" ht="15" customHeight="1">
      <c r="B12" s="19" t="s">
        <v>20</v>
      </c>
      <c r="C12" s="14" t="s">
        <v>21</v>
      </c>
      <c r="D12" s="14" t="s">
        <v>133</v>
      </c>
      <c r="E12" s="23">
        <f>SUMIFS('Allocated Transactions'!$J:$J,'Allocated Transactions'!$F:$F,"Expense",'Allocated Transactions'!$C:$C,'Indirect Pool'!$B12,'Allocated Transactions'!$A:$A,"&lt;="&amp;'Indirect Pool'!E$7,'Allocated Transactions'!$A:$A,"&gt;="&amp;'Indirect Pool'!E$7)</f>
        <v>27950.415232173913</v>
      </c>
      <c r="F12" s="24">
        <f>E12/E$14</f>
        <v>0.22311449986350002</v>
      </c>
      <c r="G12" s="23">
        <f>SUMIFS('Allocated Transactions'!$J:$J,'Allocated Transactions'!$F:$F,"Expense",'Allocated Transactions'!$C:$C,'Indirect Pool'!$B12,'Allocated Transactions'!$A:$A,"&lt;="&amp;'Indirect Pool'!G$7,'Allocated Transactions'!$A:$A,"&gt;="&amp;'Indirect Pool'!G$7)</f>
        <v>29394.364643809524</v>
      </c>
      <c r="H12" s="24">
        <f>G12/G$14</f>
        <v>0.22341260048187683</v>
      </c>
      <c r="I12" s="23">
        <f>SUMIFS('Allocated Transactions'!$J:$J,'Allocated Transactions'!$F:$F,"Expense",'Allocated Transactions'!$C:$C,'Indirect Pool'!$B12,'Allocated Transactions'!$A:$A,"&lt;="&amp;'Indirect Pool'!I$7,'Allocated Transactions'!$A:$A,"&gt;="&amp;'Indirect Pool'!I$7)</f>
        <v>29085.015640454541</v>
      </c>
      <c r="J12" s="24">
        <f>I12/I$14</f>
        <v>0.21846350189872865</v>
      </c>
      <c r="K12" s="23">
        <f>SUMIFS('Allocated Transactions'!$J:$J,'Allocated Transactions'!$F:$F,"Expense",'Allocated Transactions'!$C:$C,'Indirect Pool'!$B12,'Allocated Transactions'!$A:$A,"&lt;="&amp;'Indirect Pool'!K$7,'Allocated Transactions'!$A:$A,"&gt;="&amp;'Indirect Pool'!K$7)</f>
        <v>29843.047043478262</v>
      </c>
      <c r="L12" s="24">
        <f>K12/K$14</f>
        <v>0.22227871968580795</v>
      </c>
      <c r="M12" s="23">
        <f>SUMIFS('Allocated Transactions'!$J:$J,'Allocated Transactions'!$F:$F,"Expense",'Allocated Transactions'!$C:$C,'Indirect Pool'!$B12,'Allocated Transactions'!$A:$A,"&lt;="&amp;'Indirect Pool'!M$7,'Allocated Transactions'!$A:$A,"&gt;="&amp;'Indirect Pool'!M$7)</f>
        <v>28405.879674519289</v>
      </c>
      <c r="N12" s="24">
        <f>M12/M$14</f>
        <v>0.20851118000302862</v>
      </c>
      <c r="O12" s="23">
        <f>SUMIFS('Allocated Transactions'!$J:$J,'Allocated Transactions'!$F:$F,"Expense",'Allocated Transactions'!$C:$C,'Indirect Pool'!$B12,'Allocated Transactions'!$A:$A,"&lt;="&amp;'Indirect Pool'!O$7,'Allocated Transactions'!$A:$A,"&gt;="&amp;'Indirect Pool'!O$7)</f>
        <v>29183.815943979895</v>
      </c>
      <c r="P12" s="24">
        <f>O12/O$14</f>
        <v>0.21168057451177419</v>
      </c>
      <c r="Q12" s="23">
        <f>SUMIFS('Allocated Transactions'!$J:$J,'Allocated Transactions'!$F:$F,"Expense",'Allocated Transactions'!$C:$C,'Indirect Pool'!$B12,'Allocated Transactions'!$A:$A,"&lt;="&amp;'Indirect Pool'!Q$7,'Allocated Transactions'!$A:$A,"&gt;="&amp;'Indirect Pool'!Q$7)</f>
        <v>31225.428012727272</v>
      </c>
      <c r="R12" s="24">
        <f>Q12/Q$14</f>
        <v>0.22660587868712187</v>
      </c>
      <c r="S12" s="23">
        <f>SUMIFS('Allocated Transactions'!$J:$J,'Allocated Transactions'!$F:$F,"Expense",'Allocated Transactions'!$C:$C,'Indirect Pool'!$B12,'Allocated Transactions'!$A:$A,"&lt;="&amp;'Indirect Pool'!S$7,'Allocated Transactions'!$A:$A,"&gt;="&amp;'Indirect Pool'!S$7)</f>
        <v>31430.914726923125</v>
      </c>
      <c r="T12" s="24">
        <f>S12/S$14</f>
        <v>0.21702481773006851</v>
      </c>
      <c r="U12" s="23">
        <f>SUMIFS('Allocated Transactions'!$J:$J,'Allocated Transactions'!$F:$F,"Expense",'Allocated Transactions'!$C:$C,'Indirect Pool'!$B12,'Allocated Transactions'!$A:$A,"&lt;="&amp;'Indirect Pool'!U$7,'Allocated Transactions'!$A:$A,"&gt;="&amp;'Indirect Pool'!U$7)</f>
        <v>36280.490227709859</v>
      </c>
      <c r="V12" s="24">
        <f>U12/U$14</f>
        <v>0.24386850417442513</v>
      </c>
      <c r="W12" s="23">
        <f>SUMIFS('Allocated Transactions'!$J:$J,'Allocated Transactions'!$F:$F,"Expense",'Allocated Transactions'!$C:$C,'Indirect Pool'!$B12,'Allocated Transactions'!$A:$A,"&lt;="&amp;'Indirect Pool'!W$7,'Allocated Transactions'!$A:$A,"&gt;="&amp;'Indirect Pool'!W$7)</f>
        <v>36829.687681818185</v>
      </c>
      <c r="X12" s="24">
        <f>W12/W$14</f>
        <v>0.2460200806062651</v>
      </c>
      <c r="Y12" s="23">
        <f>SUMIFS('Allocated Transactions'!$J:$J,'Allocated Transactions'!$F:$F,"Expense",'Allocated Transactions'!$C:$C,'Indirect Pool'!$B12,'Allocated Transactions'!$A:$A,"&lt;="&amp;'Indirect Pool'!Y$7,'Allocated Transactions'!$A:$A,"&gt;="&amp;'Indirect Pool'!Y$7)</f>
        <v>35377.390634157542</v>
      </c>
      <c r="Z12" s="24">
        <f>Y12/Y$14</f>
        <v>0.25960159672235511</v>
      </c>
      <c r="AA12" s="23">
        <f>SUMIFS('Allocated Transactions'!$J:$J,'Allocated Transactions'!$F:$F,"Expense",'Allocated Transactions'!$C:$C,'Indirect Pool'!$B12,'Allocated Transactions'!$A:$A,"&lt;="&amp;'Indirect Pool'!AA$7,'Allocated Transactions'!$A:$A,"&gt;="&amp;'Indirect Pool'!AA$7)</f>
        <v>37413.91833588291</v>
      </c>
      <c r="AB12" s="24">
        <f>AA12/AA$14</f>
        <v>0.25869485535078918</v>
      </c>
    </row>
    <row r="13" spans="2:28" ht="15" customHeight="1">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row>
    <row r="14" spans="2:28" ht="15" customHeight="1">
      <c r="B14" s="25"/>
      <c r="C14" s="25"/>
      <c r="D14" s="25"/>
      <c r="E14" s="26">
        <f>SUM(E8:E12)</f>
        <v>125273.86274434783</v>
      </c>
      <c r="F14" s="26"/>
      <c r="G14" s="26">
        <f>SUM(G8:G12)</f>
        <v>131569.86034095238</v>
      </c>
      <c r="H14" s="26"/>
      <c r="I14" s="26">
        <f>SUM(I8:I12)</f>
        <v>133134.43841954545</v>
      </c>
      <c r="J14" s="26"/>
      <c r="K14" s="26">
        <f>SUM(K8:K12)</f>
        <v>134259.5777304348</v>
      </c>
      <c r="L14" s="26"/>
      <c r="M14" s="26">
        <f>SUM(M8:M12)</f>
        <v>136231.92614471173</v>
      </c>
      <c r="N14" s="26"/>
      <c r="O14" s="26">
        <f>SUM(O8:O12)</f>
        <v>137867.23704473232</v>
      </c>
      <c r="P14" s="26"/>
      <c r="Q14" s="26">
        <f>SUM(Q8:Q12)</f>
        <v>137796.19572818183</v>
      </c>
      <c r="R14" s="26"/>
      <c r="S14" s="26">
        <f>SUM(S8:S12)</f>
        <v>144826.36159158681</v>
      </c>
      <c r="T14" s="26"/>
      <c r="U14" s="26">
        <f>SUM(U8:U12)</f>
        <v>148770.70883151237</v>
      </c>
      <c r="V14" s="26"/>
      <c r="W14" s="26">
        <f>SUM(W8:W12)</f>
        <v>149701.95762500001</v>
      </c>
      <c r="X14" s="26"/>
      <c r="Y14" s="26">
        <f>SUM(Y8:Y12)</f>
        <v>136275.70508356232</v>
      </c>
      <c r="Z14" s="26"/>
      <c r="AA14" s="26">
        <f>SUM(AA8:AA12)</f>
        <v>144625.67601180082</v>
      </c>
      <c r="AB14" s="26"/>
    </row>
    <row r="15" spans="2:28" ht="15" customHeight="1">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row>
    <row r="16" spans="2:28" ht="15" customHeight="1">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row>
    <row r="17" spans="2:28" ht="15" customHeight="1">
      <c r="B17" s="17" t="s">
        <v>4</v>
      </c>
      <c r="C17" s="14" t="s">
        <v>5</v>
      </c>
      <c r="D17" s="14" t="s">
        <v>131</v>
      </c>
      <c r="E17" s="23">
        <f>SUMIFS('Allocated Transactions'!$J:$J,'Allocated Transactions'!$F:$F,"Expense",'Allocated Transactions'!$C:$C,'Indirect Pool'!$B17,'Allocated Transactions'!$A:$A,"&gt;="&amp;'Indirect Pool'!E$7,'Allocated Transactions'!$A:$A,"&lt;="&amp;EOMONTH(E$7,0))</f>
        <v>11694.059980652175</v>
      </c>
      <c r="F17" s="25"/>
      <c r="G17" s="23">
        <f>SUMIFS('Allocated Transactions'!$J:$J,'Allocated Transactions'!$F:$F,"Expense",'Allocated Transactions'!$C:$C,'Indirect Pool'!$B17,'Allocated Transactions'!$A:$A,"&gt;="&amp;'Indirect Pool'!G$7,'Allocated Transactions'!$A:$A,"&lt;="&amp;EOMONTH(G$7,0))</f>
        <v>12975.272225714287</v>
      </c>
      <c r="H17" s="25"/>
      <c r="I17" s="23">
        <f>SUMIFS('Allocated Transactions'!$J:$J,'Allocated Transactions'!$F:$F,"Expense",'Allocated Transactions'!$C:$C,'Indirect Pool'!$B17,'Allocated Transactions'!$A:$A,"&gt;="&amp;'Indirect Pool'!I$7,'Allocated Transactions'!$A:$A,"&lt;="&amp;EOMONTH(I$7,0))</f>
        <v>11074.74547465909</v>
      </c>
      <c r="J17" s="25"/>
      <c r="K17" s="23">
        <f>SUMIFS('Allocated Transactions'!$J:$J,'Allocated Transactions'!$F:$F,"Expense",'Allocated Transactions'!$C:$C,'Indirect Pool'!$B17,'Allocated Transactions'!$A:$A,"&gt;="&amp;'Indirect Pool'!K$7,'Allocated Transactions'!$A:$A,"&lt;="&amp;EOMONTH(K$7,0))</f>
        <v>11278.56296304348</v>
      </c>
      <c r="L17" s="25"/>
      <c r="M17" s="23">
        <f>SUMIFS('Allocated Transactions'!$J:$J,'Allocated Transactions'!$F:$F,"Expense",'Allocated Transactions'!$C:$C,'Indirect Pool'!$B17,'Allocated Transactions'!$A:$A,"&gt;="&amp;'Indirect Pool'!M$7,'Allocated Transactions'!$A:$A,"&lt;="&amp;EOMONTH(M$7,0))</f>
        <v>11434.771977043267</v>
      </c>
      <c r="N17" s="25"/>
      <c r="O17" s="23">
        <f>SUMIFS('Allocated Transactions'!$J:$J,'Allocated Transactions'!$F:$F,"Expense",'Allocated Transactions'!$C:$C,'Indirect Pool'!$B17,'Allocated Transactions'!$A:$A,"&gt;="&amp;'Indirect Pool'!O$7,'Allocated Transactions'!$A:$A,"&lt;="&amp;EOMONTH(O$7,0))</f>
        <v>11639.837666074412</v>
      </c>
      <c r="P17" s="25"/>
      <c r="Q17" s="23">
        <f>SUMIFS('Allocated Transactions'!$J:$J,'Allocated Transactions'!$F:$F,"Expense",'Allocated Transactions'!$C:$C,'Indirect Pool'!$B17,'Allocated Transactions'!$A:$A,"&gt;="&amp;'Indirect Pool'!Q$7,'Allocated Transactions'!$A:$A,"&lt;="&amp;EOMONTH(Q$7,0))</f>
        <v>12551.946214090909</v>
      </c>
      <c r="R17" s="25"/>
      <c r="S17" s="23">
        <f>SUMIFS('Allocated Transactions'!$J:$J,'Allocated Transactions'!$F:$F,"Expense",'Allocated Transactions'!$C:$C,'Indirect Pool'!$B17,'Allocated Transactions'!$A:$A,"&gt;="&amp;'Indirect Pool'!S$7,'Allocated Transactions'!$A:$A,"&lt;="&amp;EOMONTH(S$7,0))</f>
        <v>12636.670891947118</v>
      </c>
      <c r="T17" s="25"/>
      <c r="U17" s="23">
        <f>SUMIFS('Allocated Transactions'!$J:$J,'Allocated Transactions'!$F:$F,"Expense",'Allocated Transactions'!$C:$C,'Indirect Pool'!$B17,'Allocated Transactions'!$A:$A,"&gt;="&amp;'Indirect Pool'!U$7,'Allocated Transactions'!$A:$A,"&lt;="&amp;EOMONTH(U$7,0))</f>
        <v>13581.811814138997</v>
      </c>
      <c r="V17" s="25"/>
      <c r="W17" s="23">
        <f>SUMIFS('Allocated Transactions'!$J:$J,'Allocated Transactions'!$F:$F,"Expense",'Allocated Transactions'!$C:$C,'Indirect Pool'!$B17,'Allocated Transactions'!$A:$A,"&gt;="&amp;'Indirect Pool'!W$7,'Allocated Transactions'!$A:$A,"&lt;="&amp;EOMONTH(W$7,0))</f>
        <v>13277.64840340909</v>
      </c>
      <c r="X17" s="25"/>
      <c r="Y17" s="23">
        <f>SUMIFS('Allocated Transactions'!$J:$J,'Allocated Transactions'!$F:$F,"Expense",'Allocated Transactions'!$C:$C,'Indirect Pool'!$B17,'Allocated Transactions'!$A:$A,"&gt;="&amp;'Indirect Pool'!Y$7,'Allocated Transactions'!$A:$A,"&lt;="&amp;EOMONTH(Y$7,0))</f>
        <v>12171.149067651104</v>
      </c>
      <c r="Z17" s="25"/>
      <c r="AA17" s="23">
        <f>SUMIFS('Allocated Transactions'!$J:$J,'Allocated Transactions'!$F:$F,"Expense",'Allocated Transactions'!$C:$C,'Indirect Pool'!$B17,'Allocated Transactions'!$A:$A,"&gt;="&amp;'Indirect Pool'!AA$7,'Allocated Transactions'!$A:$A,"&lt;="&amp;EOMONTH(AA$7,0))</f>
        <v>12378.176023273603</v>
      </c>
      <c r="AB17" s="25"/>
    </row>
    <row r="18" spans="2:28" ht="15" customHeight="1">
      <c r="B18" s="17" t="s">
        <v>6</v>
      </c>
      <c r="C18" s="14" t="s">
        <v>7</v>
      </c>
      <c r="D18" s="14" t="s">
        <v>131</v>
      </c>
      <c r="E18" s="23">
        <f>SUMIFS('Allocated Transactions'!$J:$J,'Allocated Transactions'!$F:$F,"Expense",'Allocated Transactions'!$C:$C,'Indirect Pool'!$B18,'Allocated Transactions'!$A:$A,"&gt;="&amp;'Indirect Pool'!E$7,'Allocated Transactions'!$A:$A,"&lt;="&amp;EOMONTH(E$7,0))</f>
        <v>14962.170136086956</v>
      </c>
      <c r="F18" s="25"/>
      <c r="G18" s="23">
        <f>SUMIFS('Allocated Transactions'!$J:$J,'Allocated Transactions'!$F:$F,"Expense",'Allocated Transactions'!$C:$C,'Indirect Pool'!$B18,'Allocated Transactions'!$A:$A,"&gt;="&amp;'Indirect Pool'!G$7,'Allocated Transactions'!$A:$A,"&lt;="&amp;EOMONTH(G$7,0))</f>
        <v>15908.623506666667</v>
      </c>
      <c r="H18" s="25"/>
      <c r="I18" s="23">
        <f>SUMIFS('Allocated Transactions'!$J:$J,'Allocated Transactions'!$F:$F,"Expense",'Allocated Transactions'!$C:$C,'Indirect Pool'!$B18,'Allocated Transactions'!$A:$A,"&gt;="&amp;'Indirect Pool'!I$7,'Allocated Transactions'!$A:$A,"&lt;="&amp;EOMONTH(I$7,0))</f>
        <v>16534.589947954544</v>
      </c>
      <c r="J18" s="25"/>
      <c r="K18" s="23">
        <f>SUMIFS('Allocated Transactions'!$J:$J,'Allocated Transactions'!$F:$F,"Expense",'Allocated Transactions'!$C:$C,'Indirect Pool'!$B18,'Allocated Transactions'!$A:$A,"&gt;="&amp;'Indirect Pool'!K$7,'Allocated Transactions'!$A:$A,"&lt;="&amp;EOMONTH(K$7,0))</f>
        <v>19392.373613043481</v>
      </c>
      <c r="L18" s="25"/>
      <c r="M18" s="23">
        <f>SUMIFS('Allocated Transactions'!$J:$J,'Allocated Transactions'!$F:$F,"Expense",'Allocated Transactions'!$C:$C,'Indirect Pool'!$B18,'Allocated Transactions'!$A:$A,"&gt;="&amp;'Indirect Pool'!M$7,'Allocated Transactions'!$A:$A,"&lt;="&amp;EOMONTH(M$7,0))</f>
        <v>16753.677367067314</v>
      </c>
      <c r="N18" s="25"/>
      <c r="O18" s="23">
        <f>SUMIFS('Allocated Transactions'!$J:$J,'Allocated Transactions'!$F:$F,"Expense",'Allocated Transactions'!$C:$C,'Indirect Pool'!$B18,'Allocated Transactions'!$A:$A,"&gt;="&amp;'Indirect Pool'!O$7,'Allocated Transactions'!$A:$A,"&lt;="&amp;EOMONTH(O$7,0))</f>
        <v>17442.705935827762</v>
      </c>
      <c r="P18" s="25"/>
      <c r="Q18" s="23">
        <f>SUMIFS('Allocated Transactions'!$J:$J,'Allocated Transactions'!$F:$F,"Expense",'Allocated Transactions'!$C:$C,'Indirect Pool'!$B18,'Allocated Transactions'!$A:$A,"&gt;="&amp;'Indirect Pool'!Q$7,'Allocated Transactions'!$A:$A,"&lt;="&amp;EOMONTH(Q$7,0))</f>
        <v>18317.756557272725</v>
      </c>
      <c r="R18" s="25"/>
      <c r="S18" s="23">
        <f>SUMIFS('Allocated Transactions'!$J:$J,'Allocated Transactions'!$F:$F,"Expense",'Allocated Transactions'!$C:$C,'Indirect Pool'!$B18,'Allocated Transactions'!$A:$A,"&gt;="&amp;'Indirect Pool'!S$7,'Allocated Transactions'!$A:$A,"&lt;="&amp;EOMONTH(S$7,0))</f>
        <v>19121.613450240391</v>
      </c>
      <c r="T18" s="25"/>
      <c r="U18" s="23">
        <f>SUMIFS('Allocated Transactions'!$J:$J,'Allocated Transactions'!$F:$F,"Expense",'Allocated Transactions'!$C:$C,'Indirect Pool'!$B18,'Allocated Transactions'!$A:$A,"&gt;="&amp;'Indirect Pool'!U$7,'Allocated Transactions'!$A:$A,"&lt;="&amp;EOMONTH(U$7,0))</f>
        <v>18534.309088505252</v>
      </c>
      <c r="V18" s="25"/>
      <c r="W18" s="23">
        <f>SUMIFS('Allocated Transactions'!$J:$J,'Allocated Transactions'!$F:$F,"Expense",'Allocated Transactions'!$C:$C,'Indirect Pool'!$B18,'Allocated Transactions'!$A:$A,"&gt;="&amp;'Indirect Pool'!W$7,'Allocated Transactions'!$A:$A,"&lt;="&amp;EOMONTH(W$7,0))</f>
        <v>17780.415988636363</v>
      </c>
      <c r="X18" s="25"/>
      <c r="Y18" s="23">
        <f>SUMIFS('Allocated Transactions'!$J:$J,'Allocated Transactions'!$F:$F,"Expense",'Allocated Transactions'!$C:$C,'Indirect Pool'!$B18,'Allocated Transactions'!$A:$A,"&gt;="&amp;'Indirect Pool'!Y$7,'Allocated Transactions'!$A:$A,"&lt;="&amp;EOMONTH(Y$7,0))</f>
        <v>16503.048224587914</v>
      </c>
      <c r="Z18" s="25"/>
      <c r="AA18" s="23">
        <f>SUMIFS('Allocated Transactions'!$J:$J,'Allocated Transactions'!$F:$F,"Expense",'Allocated Transactions'!$C:$C,'Indirect Pool'!$B18,'Allocated Transactions'!$A:$A,"&gt;="&amp;'Indirect Pool'!AA$7,'Allocated Transactions'!$A:$A,"&lt;="&amp;EOMONTH(AA$7,0))</f>
        <v>17557.93865056819</v>
      </c>
      <c r="AB18" s="25"/>
    </row>
    <row r="19" spans="2:28" ht="15" customHeight="1">
      <c r="B19" s="17" t="s">
        <v>8</v>
      </c>
      <c r="C19" s="14" t="s">
        <v>9</v>
      </c>
      <c r="D19" s="14" t="s">
        <v>131</v>
      </c>
      <c r="E19" s="23">
        <f>SUMIFS('Allocated Transactions'!$J:$J,'Allocated Transactions'!$F:$F,"Expense",'Allocated Transactions'!$C:$C,'Indirect Pool'!$B19,'Allocated Transactions'!$A:$A,"&gt;="&amp;'Indirect Pool'!E$7,'Allocated Transactions'!$A:$A,"&lt;="&amp;EOMONTH(E$7,0))</f>
        <v>14066.332925652174</v>
      </c>
      <c r="F19" s="25"/>
      <c r="G19" s="23">
        <f>SUMIFS('Allocated Transactions'!$J:$J,'Allocated Transactions'!$F:$F,"Expense",'Allocated Transactions'!$C:$C,'Indirect Pool'!$B19,'Allocated Transactions'!$A:$A,"&gt;="&amp;'Indirect Pool'!G$7,'Allocated Transactions'!$A:$A,"&lt;="&amp;EOMONTH(G$7,0))</f>
        <v>15105.335205714287</v>
      </c>
      <c r="H19" s="25"/>
      <c r="I19" s="23">
        <f>SUMIFS('Allocated Transactions'!$J:$J,'Allocated Transactions'!$F:$F,"Expense",'Allocated Transactions'!$C:$C,'Indirect Pool'!$B19,'Allocated Transactions'!$A:$A,"&gt;="&amp;'Indirect Pool'!I$7,'Allocated Transactions'!$A:$A,"&lt;="&amp;EOMONTH(I$7,0))</f>
        <v>15324.064646136361</v>
      </c>
      <c r="J19" s="25"/>
      <c r="K19" s="23">
        <f>SUMIFS('Allocated Transactions'!$J:$J,'Allocated Transactions'!$F:$F,"Expense",'Allocated Transactions'!$C:$C,'Indirect Pool'!$B19,'Allocated Transactions'!$A:$A,"&gt;="&amp;'Indirect Pool'!K$7,'Allocated Transactions'!$A:$A,"&lt;="&amp;EOMONTH(K$7,0))</f>
        <v>15706.984291304349</v>
      </c>
      <c r="L19" s="25"/>
      <c r="M19" s="23">
        <f>SUMIFS('Allocated Transactions'!$J:$J,'Allocated Transactions'!$F:$F,"Expense",'Allocated Transactions'!$C:$C,'Indirect Pool'!$B19,'Allocated Transactions'!$A:$A,"&gt;="&amp;'Indirect Pool'!M$7,'Allocated Transactions'!$A:$A,"&lt;="&amp;EOMONTH(M$7,0))</f>
        <v>17804.947747836544</v>
      </c>
      <c r="N19" s="25"/>
      <c r="O19" s="23">
        <f>SUMIFS('Allocated Transactions'!$J:$J,'Allocated Transactions'!$F:$F,"Expense",'Allocated Transactions'!$C:$C,'Indirect Pool'!$B19,'Allocated Transactions'!$A:$A,"&gt;="&amp;'Indirect Pool'!O$7,'Allocated Transactions'!$A:$A,"&lt;="&amp;EOMONTH(O$7,0))</f>
        <v>15982.465012750841</v>
      </c>
      <c r="P19" s="25"/>
      <c r="Q19" s="23">
        <f>SUMIFS('Allocated Transactions'!$J:$J,'Allocated Transactions'!$F:$F,"Expense",'Allocated Transactions'!$C:$C,'Indirect Pool'!$B19,'Allocated Transactions'!$A:$A,"&gt;="&amp;'Indirect Pool'!Q$7,'Allocated Transactions'!$A:$A,"&lt;="&amp;EOMONTH(Q$7,0))</f>
        <v>15760.964353636364</v>
      </c>
      <c r="R19" s="25"/>
      <c r="S19" s="23">
        <f>SUMIFS('Allocated Transactions'!$J:$J,'Allocated Transactions'!$F:$F,"Expense",'Allocated Transactions'!$C:$C,'Indirect Pool'!$B19,'Allocated Transactions'!$A:$A,"&gt;="&amp;'Indirect Pool'!S$7,'Allocated Transactions'!$A:$A,"&lt;="&amp;EOMONTH(S$7,0))</f>
        <v>16348.549665625</v>
      </c>
      <c r="T19" s="25"/>
      <c r="U19" s="23">
        <f>SUMIFS('Allocated Transactions'!$J:$J,'Allocated Transactions'!$F:$F,"Expense",'Allocated Transactions'!$C:$C,'Indirect Pool'!$B19,'Allocated Transactions'!$A:$A,"&gt;="&amp;'Indirect Pool'!U$7,'Allocated Transactions'!$A:$A,"&lt;="&amp;EOMONTH(U$7,0))</f>
        <v>16184.452350743013</v>
      </c>
      <c r="V19" s="25"/>
      <c r="W19" s="23">
        <f>SUMIFS('Allocated Transactions'!$J:$J,'Allocated Transactions'!$F:$F,"Expense",'Allocated Transactions'!$C:$C,'Indirect Pool'!$B19,'Allocated Transactions'!$A:$A,"&gt;="&amp;'Indirect Pool'!W$7,'Allocated Transactions'!$A:$A,"&lt;="&amp;EOMONTH(W$7,0))</f>
        <v>16879.432170454544</v>
      </c>
      <c r="X19" s="25"/>
      <c r="Y19" s="23">
        <f>SUMIFS('Allocated Transactions'!$J:$J,'Allocated Transactions'!$F:$F,"Expense",'Allocated Transactions'!$C:$C,'Indirect Pool'!$B19,'Allocated Transactions'!$A:$A,"&gt;="&amp;'Indirect Pool'!Y$7,'Allocated Transactions'!$A:$A,"&lt;="&amp;EOMONTH(Y$7,0))</f>
        <v>22061.89159455126</v>
      </c>
      <c r="Z19" s="25"/>
      <c r="AA19" s="23">
        <f>SUMIFS('Allocated Transactions'!$J:$J,'Allocated Transactions'!$F:$F,"Expense",'Allocated Transactions'!$C:$C,'Indirect Pool'!$B19,'Allocated Transactions'!$A:$A,"&gt;="&amp;'Indirect Pool'!AA$7,'Allocated Transactions'!$A:$A,"&lt;="&amp;EOMONTH(AA$7,0))</f>
        <v>22288.355066652119</v>
      </c>
      <c r="AB19" s="25"/>
    </row>
    <row r="20" spans="2:28" ht="15" customHeight="1">
      <c r="B20" s="17" t="s">
        <v>10</v>
      </c>
      <c r="C20" s="14" t="s">
        <v>11</v>
      </c>
      <c r="D20" s="14" t="s">
        <v>131</v>
      </c>
      <c r="E20" s="23">
        <f>SUMIFS('Allocated Transactions'!$J:$J,'Allocated Transactions'!$F:$F,"Expense",'Allocated Transactions'!$C:$C,'Indirect Pool'!$B20,'Allocated Transactions'!$A:$A,"&gt;="&amp;'Indirect Pool'!E$7,'Allocated Transactions'!$A:$A,"&lt;="&amp;EOMONTH(E$7,0))</f>
        <v>15780.688063478261</v>
      </c>
      <c r="F20" s="25"/>
      <c r="G20" s="23">
        <f>SUMIFS('Allocated Transactions'!$J:$J,'Allocated Transactions'!$F:$F,"Expense",'Allocated Transactions'!$C:$C,'Indirect Pool'!$B20,'Allocated Transactions'!$A:$A,"&gt;="&amp;'Indirect Pool'!G$7,'Allocated Transactions'!$A:$A,"&lt;="&amp;EOMONTH(G$7,0))</f>
        <v>16244.645222857143</v>
      </c>
      <c r="H20" s="25"/>
      <c r="I20" s="23">
        <f>SUMIFS('Allocated Transactions'!$J:$J,'Allocated Transactions'!$F:$F,"Expense",'Allocated Transactions'!$C:$C,'Indirect Pool'!$B20,'Allocated Transactions'!$A:$A,"&gt;="&amp;'Indirect Pool'!I$7,'Allocated Transactions'!$A:$A,"&lt;="&amp;EOMONTH(I$7,0))</f>
        <v>15565.587723181816</v>
      </c>
      <c r="J20" s="25"/>
      <c r="K20" s="23">
        <f>SUMIFS('Allocated Transactions'!$J:$J,'Allocated Transactions'!$F:$F,"Expense",'Allocated Transactions'!$C:$C,'Indirect Pool'!$B20,'Allocated Transactions'!$A:$A,"&gt;="&amp;'Indirect Pool'!K$7,'Allocated Transactions'!$A:$A,"&lt;="&amp;EOMONTH(K$7,0))</f>
        <v>15939.928843478261</v>
      </c>
      <c r="L20" s="25"/>
      <c r="M20" s="23">
        <f>SUMIFS('Allocated Transactions'!$J:$J,'Allocated Transactions'!$F:$F,"Expense",'Allocated Transactions'!$C:$C,'Indirect Pool'!$B20,'Allocated Transactions'!$A:$A,"&gt;="&amp;'Indirect Pool'!M$7,'Allocated Transactions'!$A:$A,"&lt;="&amp;EOMONTH(M$7,0))</f>
        <v>15515.445686057697</v>
      </c>
      <c r="N20" s="25"/>
      <c r="O20" s="23">
        <f>SUMIFS('Allocated Transactions'!$J:$J,'Allocated Transactions'!$F:$F,"Expense",'Allocated Transactions'!$C:$C,'Indirect Pool'!$B20,'Allocated Transactions'!$A:$A,"&gt;="&amp;'Indirect Pool'!O$7,'Allocated Transactions'!$A:$A,"&lt;="&amp;EOMONTH(O$7,0))</f>
        <v>18757.699651755858</v>
      </c>
      <c r="P20" s="25"/>
      <c r="Q20" s="23">
        <f>SUMIFS('Allocated Transactions'!$J:$J,'Allocated Transactions'!$F:$F,"Expense",'Allocated Transactions'!$C:$C,'Indirect Pool'!$B20,'Allocated Transactions'!$A:$A,"&gt;="&amp;'Indirect Pool'!Q$7,'Allocated Transactions'!$A:$A,"&lt;="&amp;EOMONTH(Q$7,0))</f>
        <v>16169.023823636364</v>
      </c>
      <c r="R20" s="25"/>
      <c r="S20" s="23">
        <f>SUMIFS('Allocated Transactions'!$J:$J,'Allocated Transactions'!$F:$F,"Expense",'Allocated Transactions'!$C:$C,'Indirect Pool'!$B20,'Allocated Transactions'!$A:$A,"&gt;="&amp;'Indirect Pool'!S$7,'Allocated Transactions'!$A:$A,"&lt;="&amp;EOMONTH(S$7,0))</f>
        <v>16039.055939663462</v>
      </c>
      <c r="T20" s="25"/>
      <c r="U20" s="23">
        <f>SUMIFS('Allocated Transactions'!$J:$J,'Allocated Transactions'!$F:$F,"Expense",'Allocated Transactions'!$C:$C,'Indirect Pool'!$B20,'Allocated Transactions'!$A:$A,"&gt;="&amp;'Indirect Pool'!U$7,'Allocated Transactions'!$A:$A,"&lt;="&amp;EOMONTH(U$7,0))</f>
        <v>8989.5617650786735</v>
      </c>
      <c r="V20" s="25"/>
      <c r="W20" s="23">
        <f>SUMIFS('Allocated Transactions'!$J:$J,'Allocated Transactions'!$F:$F,"Expense",'Allocated Transactions'!$C:$C,'Indirect Pool'!$B20,'Allocated Transactions'!$A:$A,"&gt;="&amp;'Indirect Pool'!W$7,'Allocated Transactions'!$A:$A,"&lt;="&amp;EOMONTH(W$7,0))</f>
        <v>10449.277397727274</v>
      </c>
      <c r="X20" s="25"/>
      <c r="Y20" s="23">
        <f>SUMIFS('Allocated Transactions'!$J:$J,'Allocated Transactions'!$F:$F,"Expense",'Allocated Transactions'!$C:$C,'Indirect Pool'!$B20,'Allocated Transactions'!$A:$A,"&gt;="&amp;'Indirect Pool'!Y$7,'Allocated Transactions'!$A:$A,"&lt;="&amp;EOMONTH(Y$7,0))</f>
        <v>8680.1158070054989</v>
      </c>
      <c r="Z20" s="25"/>
      <c r="AA20" s="23">
        <f>SUMIFS('Allocated Transactions'!$J:$J,'Allocated Transactions'!$F:$F,"Expense",'Allocated Transactions'!$C:$C,'Indirect Pool'!$B20,'Allocated Transactions'!$A:$A,"&gt;="&amp;'Indirect Pool'!AA$7,'Allocated Transactions'!$A:$A,"&lt;="&amp;EOMONTH(AA$7,0))</f>
        <v>9207.0585150786737</v>
      </c>
      <c r="AB20" s="25"/>
    </row>
    <row r="21" spans="2:28" ht="15" customHeight="1">
      <c r="F21" s="25"/>
      <c r="H21" s="25"/>
    </row>
    <row r="22" spans="2:28" ht="15" customHeight="1">
      <c r="E22" s="26">
        <f>SUM(E17:E20)</f>
        <v>56503.251105869567</v>
      </c>
      <c r="F22" s="25"/>
      <c r="G22" s="26">
        <f>SUM(G17:G20)</f>
        <v>60233.876160952379</v>
      </c>
      <c r="H22" s="25"/>
      <c r="I22" s="26">
        <f>SUM(I17:I20)</f>
        <v>58498.98779193181</v>
      </c>
      <c r="K22" s="26">
        <f>SUM(K17:K20)</f>
        <v>62317.849710869574</v>
      </c>
      <c r="M22" s="26">
        <f>SUM(M17:M20)</f>
        <v>61508.842778004822</v>
      </c>
      <c r="O22" s="26">
        <f>SUM(O17:O20)</f>
        <v>63822.708266408874</v>
      </c>
      <c r="Q22" s="26">
        <f>SUM(Q17:Q20)</f>
        <v>62799.690948636366</v>
      </c>
      <c r="S22" s="26">
        <f>SUM(S17:S20)</f>
        <v>64145.889947475967</v>
      </c>
      <c r="U22" s="26">
        <f>SUM(U17:U20)</f>
        <v>57290.135018465939</v>
      </c>
      <c r="W22" s="26">
        <f>SUM(W17:W20)</f>
        <v>58386.77396022727</v>
      </c>
      <c r="Y22" s="26">
        <f>SUM(Y17:Y20)</f>
        <v>59416.204693795778</v>
      </c>
      <c r="AA22" s="26">
        <f>SUM(AA17:AA20)</f>
        <v>61431.528255572586</v>
      </c>
    </row>
    <row r="23" spans="2:28" ht="15" customHeight="1">
      <c r="F23" s="25"/>
      <c r="H23" s="25"/>
    </row>
    <row r="24" spans="2:28" ht="15" customHeight="1">
      <c r="B24" s="17" t="s">
        <v>4</v>
      </c>
      <c r="C24" s="14" t="s">
        <v>5</v>
      </c>
      <c r="D24" s="14" t="s">
        <v>335</v>
      </c>
      <c r="E24" s="23">
        <f>-E$17*F8</f>
        <v>-2298.3427394443993</v>
      </c>
      <c r="G24" s="23">
        <f>-G$17*H8</f>
        <v>-2564.4366961940545</v>
      </c>
      <c r="I24" s="23">
        <f>-I$17*J8</f>
        <v>-2202.5063545950898</v>
      </c>
      <c r="K24" s="23">
        <f>-K$17*L8</f>
        <v>-1688.520564684547</v>
      </c>
      <c r="M24" s="23">
        <f>-M$17*N8</f>
        <v>-2224.8391804109506</v>
      </c>
      <c r="O24" s="23">
        <f>-O$17*P8</f>
        <v>-2286.8104084856582</v>
      </c>
      <c r="Q24" s="23">
        <f>-Q$17*R8</f>
        <v>-2568.925222800221</v>
      </c>
      <c r="S24" s="23">
        <f>-S$17*T8</f>
        <v>-2496.0672231077228</v>
      </c>
      <c r="U24" s="23">
        <f>-U$17*V8</f>
        <v>-2557.3128160062529</v>
      </c>
      <c r="W24" s="23">
        <f>-W$17*X8</f>
        <v>-2568.0616616448601</v>
      </c>
      <c r="Y24" s="23">
        <f>-Y$17*Z8</f>
        <v>-2421.9362294860498</v>
      </c>
      <c r="AA24" s="23">
        <f>-AA$17*AB8</f>
        <v>-2479.0123575634434</v>
      </c>
    </row>
    <row r="25" spans="2:28" ht="15" customHeight="1">
      <c r="B25" s="17" t="s">
        <v>4</v>
      </c>
      <c r="C25" s="14" t="s">
        <v>5</v>
      </c>
      <c r="D25" s="14" t="s">
        <v>336</v>
      </c>
      <c r="E25" s="23">
        <f>-E$17*F9</f>
        <v>-1937.5485173849561</v>
      </c>
      <c r="G25" s="23">
        <f>-G$17*H9</f>
        <v>-2156.5685185544621</v>
      </c>
      <c r="I25" s="23">
        <f>-I$17*J9</f>
        <v>-1828.4902764781611</v>
      </c>
      <c r="K25" s="23">
        <f>-K$17*L9</f>
        <v>-2471.856097244849</v>
      </c>
      <c r="M25" s="23">
        <f>-M$17*N9</f>
        <v>-2389.563330396762</v>
      </c>
      <c r="O25" s="23">
        <f>-O$17*P9</f>
        <v>-2479.8259417386921</v>
      </c>
      <c r="Q25" s="23">
        <f>-Q$17*R9</f>
        <v>-2855.0029612134276</v>
      </c>
      <c r="S25" s="23">
        <f>-S$17*T9</f>
        <v>-2821.0553027487708</v>
      </c>
      <c r="U25" s="23">
        <f>-U$17*V9</f>
        <v>-2919.0856268304924</v>
      </c>
      <c r="W25" s="23">
        <f>-W$17*X9</f>
        <v>-2914.5395267790263</v>
      </c>
      <c r="Y25" s="23">
        <f>-Y$17*Z9</f>
        <v>-2803.3789612720443</v>
      </c>
      <c r="AA25" s="23">
        <f>-AA$17*AB9</f>
        <v>-2774.0374639847364</v>
      </c>
    </row>
    <row r="26" spans="2:28" ht="15" customHeight="1">
      <c r="B26" s="17" t="s">
        <v>4</v>
      </c>
      <c r="C26" s="14" t="s">
        <v>5</v>
      </c>
      <c r="D26" s="14" t="s">
        <v>337</v>
      </c>
      <c r="E26" s="23">
        <f>-E$17*F10</f>
        <v>-2048.3003749683444</v>
      </c>
      <c r="G26" s="23">
        <f>-G$17*H10</f>
        <v>-2239.9879662719909</v>
      </c>
      <c r="I26" s="23">
        <f>-I$17*J10</f>
        <v>-1955.5711947718344</v>
      </c>
      <c r="K26" s="23">
        <f>-K$17*L10</f>
        <v>-1896.7422992182885</v>
      </c>
      <c r="M26" s="23">
        <f>-M$17*N10</f>
        <v>-1847.975710229872</v>
      </c>
      <c r="O26" s="23">
        <f>-O$17*P10</f>
        <v>-1833.3915270824102</v>
      </c>
      <c r="Q26" s="23">
        <f>-Q$17*R10</f>
        <v>-2105.3160409214656</v>
      </c>
      <c r="S26" s="23">
        <f>-S$17*T10</f>
        <v>-1986.641574329203</v>
      </c>
      <c r="U26" s="23">
        <f>-U$17*V10</f>
        <v>-2043.7821321981114</v>
      </c>
      <c r="W26" s="23">
        <f>-W$17*X10</f>
        <v>-1794.8784460095633</v>
      </c>
      <c r="Y26" s="23">
        <f>-Y$17*Z10</f>
        <v>-1175.7814571953702</v>
      </c>
      <c r="AA26" s="23">
        <f>-AA$17*AB10</f>
        <v>-1217.3130360480341</v>
      </c>
    </row>
    <row r="27" spans="2:28" ht="15" customHeight="1">
      <c r="B27" s="17" t="s">
        <v>4</v>
      </c>
      <c r="C27" s="14" t="s">
        <v>5</v>
      </c>
      <c r="D27" s="14" t="s">
        <v>338</v>
      </c>
      <c r="E27" s="23">
        <f>-E$17*F11</f>
        <v>-2800.7540048974943</v>
      </c>
      <c r="G27" s="23">
        <f>-G$17*H11</f>
        <v>-3115.4397347866811</v>
      </c>
      <c r="I27" s="23">
        <f>-I$17*J11</f>
        <v>-2668.7499697828816</v>
      </c>
      <c r="K27" s="23">
        <f>-K$17*L11</f>
        <v>-2714.4594665747177</v>
      </c>
      <c r="M27" s="23">
        <f>-M$17*N11</f>
        <v>-2588.1159580068256</v>
      </c>
      <c r="O27" s="23">
        <f>-O$17*P11</f>
        <v>-2575.8822643892322</v>
      </c>
      <c r="Q27" s="23">
        <f>-Q$17*R11</f>
        <v>-2178.357188078231</v>
      </c>
      <c r="S27" s="23">
        <f>-S$17*T11</f>
        <v>-2590.4355947217355</v>
      </c>
      <c r="U27" s="23">
        <f>-U$17*V11</f>
        <v>-2749.455108011527</v>
      </c>
      <c r="W27" s="23">
        <f>-W$17*X11</f>
        <v>-2733.6006385072892</v>
      </c>
      <c r="Y27" s="23">
        <f>-Y$17*Z11</f>
        <v>-2610.402687789609</v>
      </c>
      <c r="AA27" s="23">
        <f>-AA$17*AB11</f>
        <v>-2705.6427098300169</v>
      </c>
    </row>
    <row r="28" spans="2:28" ht="15" customHeight="1">
      <c r="B28" s="17" t="s">
        <v>4</v>
      </c>
      <c r="C28" s="14" t="s">
        <v>5</v>
      </c>
      <c r="D28" s="14" t="s">
        <v>339</v>
      </c>
      <c r="E28" s="23">
        <f>-E$17*F12</f>
        <v>-2609.1143439569805</v>
      </c>
      <c r="G28" s="23">
        <f>-G$17*H12</f>
        <v>-2898.8393099070986</v>
      </c>
      <c r="I28" s="23">
        <f>-I$17*J12</f>
        <v>-2419.4276790311228</v>
      </c>
      <c r="K28" s="23">
        <f>-K$17*L12</f>
        <v>-2506.9845353210771</v>
      </c>
      <c r="M28" s="23">
        <f>-M$17*N12</f>
        <v>-2384.2777979988559</v>
      </c>
      <c r="O28" s="23">
        <f>-O$17*P12</f>
        <v>-2463.9275243784205</v>
      </c>
      <c r="Q28" s="23">
        <f>-Q$17*R12</f>
        <v>-2844.3448010775633</v>
      </c>
      <c r="S28" s="23">
        <f>-S$17*T12</f>
        <v>-2742.4711970396856</v>
      </c>
      <c r="U28" s="23">
        <f>-U$17*V12</f>
        <v>-3312.1761310926126</v>
      </c>
      <c r="W28" s="23">
        <f>-W$17*X12</f>
        <v>-3266.5681304683512</v>
      </c>
      <c r="Y28" s="23">
        <f>-Y$17*Z12</f>
        <v>-3159.6497319080304</v>
      </c>
      <c r="AA28" s="23">
        <f>-AA$17*AB12</f>
        <v>-3202.1704558473716</v>
      </c>
    </row>
    <row r="29" spans="2:28" ht="15" customHeight="1">
      <c r="B29" s="17" t="s">
        <v>6</v>
      </c>
      <c r="C29" s="14" t="s">
        <v>7</v>
      </c>
      <c r="D29" s="14" t="s">
        <v>335</v>
      </c>
      <c r="E29" s="23">
        <f>-E$18*F8</f>
        <v>-2940.6549269887919</v>
      </c>
      <c r="G29" s="23">
        <f>-G$18*H8</f>
        <v>-3144.1851235753547</v>
      </c>
      <c r="I29" s="23">
        <f>-I$18*J8</f>
        <v>-3288.3409839371502</v>
      </c>
      <c r="K29" s="23">
        <f>-K$18*L8</f>
        <v>-2903.2441234724397</v>
      </c>
      <c r="M29" s="23">
        <f>-M$18*N8</f>
        <v>-3259.7272509717045</v>
      </c>
      <c r="O29" s="23">
        <f>-O$18*P8</f>
        <v>-3426.8657888987518</v>
      </c>
      <c r="Q29" s="23">
        <f>-Q$18*R8</f>
        <v>-3748.9761382394681</v>
      </c>
      <c r="S29" s="23">
        <f>-S$18*T8</f>
        <v>-3777.0100206136276</v>
      </c>
      <c r="U29" s="23">
        <f>-U$18*V8</f>
        <v>-3489.8161465109652</v>
      </c>
      <c r="W29" s="23">
        <f>-W$18*X8</f>
        <v>-3438.9526850847046</v>
      </c>
      <c r="Y29" s="23">
        <f>-Y$18*Z8</f>
        <v>-3283.9405852251662</v>
      </c>
      <c r="AA29" s="23">
        <f>-AA$18*AB8</f>
        <v>-3516.3780839972355</v>
      </c>
    </row>
    <row r="30" spans="2:28" ht="15" customHeight="1">
      <c r="B30" s="17" t="s">
        <v>6</v>
      </c>
      <c r="C30" s="14" t="s">
        <v>7</v>
      </c>
      <c r="D30" s="14" t="s">
        <v>336</v>
      </c>
      <c r="E30" s="23">
        <f>-E$18*F9</f>
        <v>-2479.0304318603285</v>
      </c>
      <c r="G30" s="23">
        <f>-G$18*H9</f>
        <v>-2644.1091971867413</v>
      </c>
      <c r="I30" s="23">
        <f>-I$18*J9</f>
        <v>-2729.9351497122411</v>
      </c>
      <c r="K30" s="23">
        <f>-K$18*L9</f>
        <v>-4250.112103157202</v>
      </c>
      <c r="M30" s="23">
        <f>-M$18*N9</f>
        <v>-3501.0731447916437</v>
      </c>
      <c r="O30" s="23">
        <f>-O$18*P9</f>
        <v>-3716.1063508519746</v>
      </c>
      <c r="Q30" s="23">
        <f>-Q$18*R9</f>
        <v>-4166.4653689394418</v>
      </c>
      <c r="S30" s="23">
        <f>-S$18*T9</f>
        <v>-4268.7769177631135</v>
      </c>
      <c r="U30" s="23">
        <f>-U$18*V9</f>
        <v>-3983.5064720280297</v>
      </c>
      <c r="W30" s="23">
        <f>-W$18*X9</f>
        <v>-3902.9294666478004</v>
      </c>
      <c r="Y30" s="23">
        <f>-Y$18*Z9</f>
        <v>-3801.1446522030164</v>
      </c>
      <c r="AA30" s="23">
        <f>-AA$18*AB9</f>
        <v>-3934.8591840545341</v>
      </c>
    </row>
    <row r="31" spans="2:28" ht="15" customHeight="1">
      <c r="B31" s="17" t="s">
        <v>6</v>
      </c>
      <c r="C31" s="14" t="s">
        <v>7</v>
      </c>
      <c r="D31" s="14" t="s">
        <v>337</v>
      </c>
      <c r="E31" s="23">
        <f>-E$18*F10</f>
        <v>-2620.7338384438399</v>
      </c>
      <c r="G31" s="23">
        <f>-G$18*H10</f>
        <v>-2746.3874818952672</v>
      </c>
      <c r="I31" s="23">
        <f>-I$18*J10</f>
        <v>-2919.6669028259698</v>
      </c>
      <c r="K31" s="23">
        <f>-K$18*L10</f>
        <v>-3261.2608037592208</v>
      </c>
      <c r="M31" s="23">
        <f>-M$18*N10</f>
        <v>-2707.5650387716696</v>
      </c>
      <c r="O31" s="23">
        <f>-O$18*P10</f>
        <v>-2747.4016553808046</v>
      </c>
      <c r="Q31" s="23">
        <f>-Q$18*R10</f>
        <v>-3072.4053510066547</v>
      </c>
      <c r="S31" s="23">
        <f>-S$18*T10</f>
        <v>-3006.1550683185274</v>
      </c>
      <c r="U31" s="23">
        <f>-U$18*V10</f>
        <v>-2789.0306732338909</v>
      </c>
      <c r="W31" s="23">
        <f>-W$18*X10</f>
        <v>-2403.5645808254162</v>
      </c>
      <c r="Y31" s="23">
        <f>-Y$18*Z10</f>
        <v>-1594.2601624397157</v>
      </c>
      <c r="AA31" s="23">
        <f>-AA$18*AB10</f>
        <v>-1726.7089727340722</v>
      </c>
    </row>
    <row r="32" spans="2:28" ht="15" customHeight="1">
      <c r="B32" s="17" t="s">
        <v>6</v>
      </c>
      <c r="C32" s="14" t="s">
        <v>7</v>
      </c>
      <c r="D32" s="14" t="s">
        <v>338</v>
      </c>
      <c r="E32" s="23">
        <f>-E$18*F11</f>
        <v>-3583.473832008357</v>
      </c>
      <c r="G32" s="23">
        <f>-G$18*H11</f>
        <v>-3819.7547562977898</v>
      </c>
      <c r="I32" s="23">
        <f>-I$18*J11</f>
        <v>-3984.4424889895145</v>
      </c>
      <c r="K32" s="23">
        <f>-K$18*L11</f>
        <v>-4667.2446042784668</v>
      </c>
      <c r="M32" s="23">
        <f>-M$18*N11</f>
        <v>-3791.9828953350561</v>
      </c>
      <c r="O32" s="23">
        <f>-O$18*P11</f>
        <v>-3860.050127160277</v>
      </c>
      <c r="Q32" s="23">
        <f>-Q$18*R11</f>
        <v>-3178.9983788495856</v>
      </c>
      <c r="S32" s="23">
        <f>-S$18*T11</f>
        <v>-3919.806769801874</v>
      </c>
      <c r="U32" s="23">
        <f>-U$18*V11</f>
        <v>-3752.0215634121369</v>
      </c>
      <c r="W32" s="23">
        <f>-W$18*X11</f>
        <v>-3660.6298813411991</v>
      </c>
      <c r="Y32" s="23">
        <f>-Y$18*Z11</f>
        <v>-3539.4851548309653</v>
      </c>
      <c r="AA32" s="23">
        <f>-AA$18*AB11</f>
        <v>-3837.844010315579</v>
      </c>
    </row>
    <row r="33" spans="2:27" ht="15" customHeight="1">
      <c r="B33" s="17" t="s">
        <v>6</v>
      </c>
      <c r="C33" s="14" t="s">
        <v>7</v>
      </c>
      <c r="D33" s="14" t="s">
        <v>339</v>
      </c>
      <c r="E33" s="23">
        <f>-E$18*F12</f>
        <v>-3338.277106785637</v>
      </c>
      <c r="G33" s="23">
        <f>-G$18*H12</f>
        <v>-3554.1869477115147</v>
      </c>
      <c r="I33" s="23">
        <f>-I$18*J12</f>
        <v>-3612.2044224896672</v>
      </c>
      <c r="K33" s="23">
        <f>-K$18*L12</f>
        <v>-4310.5119783761511</v>
      </c>
      <c r="M33" s="23">
        <f>-M$18*N12</f>
        <v>-3493.3290371972394</v>
      </c>
      <c r="O33" s="23">
        <f>-O$18*P12</f>
        <v>-3692.2820135359543</v>
      </c>
      <c r="Q33" s="23">
        <f>-Q$18*R12</f>
        <v>-4150.9113202375747</v>
      </c>
      <c r="S33" s="23">
        <f>-S$18*T12</f>
        <v>-4149.8646737432473</v>
      </c>
      <c r="U33" s="23">
        <f>-U$18*V12</f>
        <v>-4519.9342333202285</v>
      </c>
      <c r="W33" s="23">
        <f>-W$18*X12</f>
        <v>-4374.3393747372429</v>
      </c>
      <c r="Y33" s="23">
        <f>-Y$18*Z12</f>
        <v>-4284.2176698890498</v>
      </c>
      <c r="AA33" s="23">
        <f>-AA$18*AB12</f>
        <v>-4542.1483994667688</v>
      </c>
    </row>
    <row r="34" spans="2:27" ht="15" customHeight="1">
      <c r="B34" s="17" t="s">
        <v>8</v>
      </c>
      <c r="C34" s="14" t="s">
        <v>9</v>
      </c>
      <c r="D34" s="14" t="s">
        <v>335</v>
      </c>
      <c r="E34" s="23">
        <f>-E$19*F8</f>
        <v>-2764.5876798792829</v>
      </c>
      <c r="G34" s="23">
        <f>-G$19*H8</f>
        <v>-2985.4229827315426</v>
      </c>
      <c r="I34" s="23">
        <f>-I$19*J8</f>
        <v>-3047.5959775843285</v>
      </c>
      <c r="K34" s="23">
        <f>-K$19*L8</f>
        <v>-2351.5022323276353</v>
      </c>
      <c r="M34" s="23">
        <f>-M$19*N8</f>
        <v>-3464.2706854220437</v>
      </c>
      <c r="O34" s="23">
        <f>-O$19*P8</f>
        <v>-3139.9808479238663</v>
      </c>
      <c r="Q34" s="23">
        <f>-Q$19*R8</f>
        <v>-3225.6941013863393</v>
      </c>
      <c r="S34" s="23">
        <f>-S$19*T8</f>
        <v>-3229.2586642990059</v>
      </c>
      <c r="U34" s="23">
        <f>-U$19*V8</f>
        <v>-3047.3627512281523</v>
      </c>
      <c r="W34" s="23">
        <f>-W$19*X8</f>
        <v>-3264.6912548271403</v>
      </c>
      <c r="Y34" s="23">
        <f>-Y$19*Z8</f>
        <v>-4390.0944969815682</v>
      </c>
      <c r="AA34" s="23">
        <f>-AA$19*AB8</f>
        <v>-4463.7519725123311</v>
      </c>
    </row>
    <row r="35" spans="2:27" ht="15" customHeight="1">
      <c r="B35" s="17" t="s">
        <v>8</v>
      </c>
      <c r="C35" s="14" t="s">
        <v>9</v>
      </c>
      <c r="D35" s="14" t="s">
        <v>336</v>
      </c>
      <c r="E35" s="23">
        <f>-E$19*F9</f>
        <v>-2330.602250222134</v>
      </c>
      <c r="G35" s="23">
        <f>-G$19*H9</f>
        <v>-2510.5978356506148</v>
      </c>
      <c r="I35" s="23">
        <f>-I$19*J9</f>
        <v>-2530.0719791436668</v>
      </c>
      <c r="K35" s="23">
        <f>-K$19*L9</f>
        <v>-3442.4070705646723</v>
      </c>
      <c r="M35" s="23">
        <f>-M$19*N9</f>
        <v>-3720.7607045664868</v>
      </c>
      <c r="O35" s="23">
        <f>-O$19*P9</f>
        <v>-3405.0072250635781</v>
      </c>
      <c r="Q35" s="23">
        <f>-Q$19*R9</f>
        <v>-3584.9101911141438</v>
      </c>
      <c r="S35" s="23">
        <f>-S$19*T9</f>
        <v>-3649.7083069444911</v>
      </c>
      <c r="U35" s="23">
        <f>-U$19*V9</f>
        <v>-3478.4609654210462</v>
      </c>
      <c r="W35" s="23">
        <f>-W$19*X9</f>
        <v>-3705.157024473102</v>
      </c>
      <c r="Y35" s="23">
        <f>-Y$19*Z9</f>
        <v>-5081.5122219159139</v>
      </c>
      <c r="AA35" s="23">
        <f>-AA$19*AB9</f>
        <v>-4994.9792157774964</v>
      </c>
    </row>
    <row r="36" spans="2:27" ht="15" customHeight="1">
      <c r="B36" s="17" t="s">
        <v>8</v>
      </c>
      <c r="C36" s="14" t="s">
        <v>9</v>
      </c>
      <c r="D36" s="14" t="s">
        <v>337</v>
      </c>
      <c r="E36" s="23">
        <f>-E$19*F10</f>
        <v>-2463.8213805737696</v>
      </c>
      <c r="G36" s="23">
        <f>-G$19*H10</f>
        <v>-2607.7116918016727</v>
      </c>
      <c r="I36" s="23">
        <f>-I$19*J10</f>
        <v>-2705.9131496408663</v>
      </c>
      <c r="K36" s="23">
        <f>-K$19*L10</f>
        <v>-2641.4802662443849</v>
      </c>
      <c r="M36" s="23">
        <f>-M$19*N10</f>
        <v>-2877.461048280727</v>
      </c>
      <c r="O36" s="23">
        <f>-O$19*P10</f>
        <v>-2517.3990202348527</v>
      </c>
      <c r="Q36" s="23">
        <f>-Q$19*R10</f>
        <v>-2643.5590551568735</v>
      </c>
      <c r="S36" s="23">
        <f>-S$19*T10</f>
        <v>-2570.1950081183081</v>
      </c>
      <c r="U36" s="23">
        <f>-U$19*V10</f>
        <v>-2435.4257728284688</v>
      </c>
      <c r="W36" s="23">
        <f>-W$19*X10</f>
        <v>-2281.7691855622961</v>
      </c>
      <c r="Y36" s="23">
        <f>-Y$19*Z10</f>
        <v>-2131.2665635220828</v>
      </c>
      <c r="AA36" s="23">
        <f>-AA$19*AB10</f>
        <v>-2191.914634570483</v>
      </c>
    </row>
    <row r="37" spans="2:27" ht="15" customHeight="1">
      <c r="B37" s="17" t="s">
        <v>8</v>
      </c>
      <c r="C37" s="14" t="s">
        <v>9</v>
      </c>
      <c r="D37" s="14" t="s">
        <v>338</v>
      </c>
      <c r="E37" s="23">
        <f>-E$19*F11</f>
        <v>-3368.9187793566189</v>
      </c>
      <c r="G37" s="23">
        <f>-G$19*H11</f>
        <v>-3626.8804760713838</v>
      </c>
      <c r="I37" s="23">
        <f>-I$19*J11</f>
        <v>-3692.7347138500472</v>
      </c>
      <c r="K37" s="23">
        <f>-K$19*L11</f>
        <v>-3780.2663637714277</v>
      </c>
      <c r="M37" s="23">
        <f>-M$19*N11</f>
        <v>-4029.9246447736218</v>
      </c>
      <c r="O37" s="23">
        <f>-O$19*P11</f>
        <v>-3536.9005435151166</v>
      </c>
      <c r="Q37" s="23">
        <f>-Q$19*R11</f>
        <v>-2735.2738296668326</v>
      </c>
      <c r="S37" s="23">
        <f>-S$19*T11</f>
        <v>-3351.346674929955</v>
      </c>
      <c r="U37" s="23">
        <f>-U$19*V11</f>
        <v>-3276.3246756073881</v>
      </c>
      <c r="W37" s="23">
        <f>-W$19*X11</f>
        <v>-3475.1354424287938</v>
      </c>
      <c r="Y37" s="23">
        <f>-Y$19*Z11</f>
        <v>-4731.716027470683</v>
      </c>
      <c r="AA37" s="23">
        <f>-AA$19*AB11</f>
        <v>-4871.8264538172079</v>
      </c>
    </row>
    <row r="38" spans="2:27" ht="15" customHeight="1">
      <c r="B38" s="17" t="s">
        <v>8</v>
      </c>
      <c r="C38" s="14" t="s">
        <v>9</v>
      </c>
      <c r="D38" s="14" t="s">
        <v>339</v>
      </c>
      <c r="E38" s="23">
        <f>-E$19*F12</f>
        <v>-3138.4028356203676</v>
      </c>
      <c r="G38" s="23">
        <f>-G$19*H12</f>
        <v>-3374.7222194590749</v>
      </c>
      <c r="I38" s="23">
        <f>-I$19*J12</f>
        <v>-3347.7488259174515</v>
      </c>
      <c r="K38" s="23">
        <f>-K$19*L12</f>
        <v>-3491.3283583962279</v>
      </c>
      <c r="M38" s="23">
        <f>-M$19*N12</f>
        <v>-3712.530664793665</v>
      </c>
      <c r="O38" s="23">
        <f>-O$19*P12</f>
        <v>-3383.1773760134283</v>
      </c>
      <c r="Q38" s="23">
        <f>-Q$19*R12</f>
        <v>-3571.5271763121741</v>
      </c>
      <c r="S38" s="23">
        <f>-S$19*T12</f>
        <v>-3548.0410113332382</v>
      </c>
      <c r="U38" s="23">
        <f>-U$19*V12</f>
        <v>-3946.8781856579571</v>
      </c>
      <c r="W38" s="23">
        <f>-W$19*X12</f>
        <v>-4152.6792631632106</v>
      </c>
      <c r="Y38" s="23">
        <f>-Y$19*Z12</f>
        <v>-5727.302284661012</v>
      </c>
      <c r="AA38" s="23">
        <f>-AA$19*AB12</f>
        <v>-5765.8827899745993</v>
      </c>
    </row>
    <row r="39" spans="2:27" ht="15" customHeight="1">
      <c r="B39" s="17" t="s">
        <v>10</v>
      </c>
      <c r="C39" s="14" t="s">
        <v>11</v>
      </c>
      <c r="D39" s="14" t="s">
        <v>335</v>
      </c>
      <c r="E39" s="23">
        <f>-E$20*F8</f>
        <v>-3101.5258938418256</v>
      </c>
      <c r="G39" s="23">
        <f>-G$20*H8</f>
        <v>-3210.5965563936379</v>
      </c>
      <c r="I39" s="23">
        <f>-I$20*J8</f>
        <v>-3095.629236063377</v>
      </c>
      <c r="K39" s="23">
        <f>-K$20*L8</f>
        <v>-2386.3765038164511</v>
      </c>
      <c r="M39" s="23">
        <f>-M$20*N8</f>
        <v>-3018.8071553312279</v>
      </c>
      <c r="O39" s="23">
        <f>-O$20*P8</f>
        <v>-3685.2148658315209</v>
      </c>
      <c r="Q39" s="23">
        <f>-Q$20*R8</f>
        <v>-3309.2089800358899</v>
      </c>
      <c r="S39" s="23">
        <f>-S$20*T8</f>
        <v>-3168.1257004246067</v>
      </c>
      <c r="U39" s="23">
        <f>-U$20*V8</f>
        <v>-1692.6402623384349</v>
      </c>
      <c r="W39" s="23">
        <f>-W$20*X8</f>
        <v>-2021.0196762030348</v>
      </c>
      <c r="Y39" s="23">
        <f>-Y$20*Z8</f>
        <v>-1727.2557284665895</v>
      </c>
      <c r="AA39" s="23">
        <f>-AA$20*AB8</f>
        <v>-1843.9236760549384</v>
      </c>
    </row>
    <row r="40" spans="2:27" ht="15" customHeight="1">
      <c r="B40" s="17" t="s">
        <v>10</v>
      </c>
      <c r="C40" s="14" t="s">
        <v>11</v>
      </c>
      <c r="D40" s="14" t="s">
        <v>336</v>
      </c>
      <c r="E40" s="23">
        <f>-E$20*F9</f>
        <v>-2614.6478478214176</v>
      </c>
      <c r="G40" s="23">
        <f>-G$20*H9</f>
        <v>-2699.9580335025539</v>
      </c>
      <c r="I40" s="23">
        <f>-I$20*J9</f>
        <v>-2569.9485251946085</v>
      </c>
      <c r="K40" s="23">
        <f>-K$20*L9</f>
        <v>-3493.4601536123796</v>
      </c>
      <c r="M40" s="23">
        <f>-M$20*N9</f>
        <v>-3242.3156439497948</v>
      </c>
      <c r="O40" s="23">
        <f>-O$20*P9</f>
        <v>-3996.2610766765683</v>
      </c>
      <c r="Q40" s="23">
        <f>-Q$20*R9</f>
        <v>-3677.7253590036726</v>
      </c>
      <c r="S40" s="23">
        <f>-S$20*T9</f>
        <v>-3580.6158280584846</v>
      </c>
      <c r="U40" s="23">
        <f>-U$20*V9</f>
        <v>-1932.0913070396305</v>
      </c>
      <c r="W40" s="23">
        <f>-W$20*X9</f>
        <v>-2293.6917047852708</v>
      </c>
      <c r="Y40" s="23">
        <f>-Y$20*Z9</f>
        <v>-1999.2897876371383</v>
      </c>
      <c r="AA40" s="23">
        <f>-AA$20*AB9</f>
        <v>-2063.3674303795583</v>
      </c>
    </row>
    <row r="41" spans="2:27" ht="15" customHeight="1">
      <c r="B41" s="17" t="s">
        <v>10</v>
      </c>
      <c r="C41" s="14" t="s">
        <v>11</v>
      </c>
      <c r="D41" s="14" t="s">
        <v>337</v>
      </c>
      <c r="E41" s="23">
        <f>-E$20*F10</f>
        <v>-2764.103256795363</v>
      </c>
      <c r="G41" s="23">
        <f>-G$20*H10</f>
        <v>-2804.3966386651009</v>
      </c>
      <c r="I41" s="23">
        <f>-I$20*J10</f>
        <v>-2748.5611340503942</v>
      </c>
      <c r="K41" s="23">
        <f>-K$20*L10</f>
        <v>-2680.6550961343705</v>
      </c>
      <c r="M41" s="23">
        <f>-M$20*N10</f>
        <v>-2507.4541773800506</v>
      </c>
      <c r="O41" s="23">
        <f>-O$20*P10</f>
        <v>-2954.5263942400084</v>
      </c>
      <c r="Q41" s="23">
        <f>-Q$20*R10</f>
        <v>-2712.0021581775418</v>
      </c>
      <c r="S41" s="23">
        <f>-S$20*T10</f>
        <v>-2521.5387513995342</v>
      </c>
      <c r="U41" s="23">
        <f>-U$20*V10</f>
        <v>-1352.743357306179</v>
      </c>
      <c r="W41" s="23">
        <f>-W$20*X10</f>
        <v>-1412.5379892376209</v>
      </c>
      <c r="Y41" s="23">
        <f>-Y$20*Z10</f>
        <v>-838.53374529042071</v>
      </c>
      <c r="AA41" s="23">
        <f>-AA$20*AB10</f>
        <v>-905.45427153315165</v>
      </c>
    </row>
    <row r="42" spans="2:27" ht="15" customHeight="1">
      <c r="B42" s="17" t="s">
        <v>10</v>
      </c>
      <c r="C42" s="14" t="s">
        <v>11</v>
      </c>
      <c r="D42" s="14" t="s">
        <v>338</v>
      </c>
      <c r="E42" s="23">
        <f>-E$20*F11</f>
        <v>-3779.5107402347971</v>
      </c>
      <c r="G42" s="23">
        <f>-G$20*H11</f>
        <v>-3900.4355611518395</v>
      </c>
      <c r="I42" s="23">
        <f>-I$20*J11</f>
        <v>-3750.9360247552772</v>
      </c>
      <c r="K42" s="23">
        <f>-K$20*L11</f>
        <v>-3836.3301147038296</v>
      </c>
      <c r="M42" s="23">
        <f>-M$20*N11</f>
        <v>-3511.7248211238334</v>
      </c>
      <c r="O42" s="23">
        <f>-O$20*P11</f>
        <v>-4151.0566762047747</v>
      </c>
      <c r="Q42" s="23">
        <f>-Q$20*R11</f>
        <v>-2806.0914753511338</v>
      </c>
      <c r="S42" s="23">
        <f>-S$20*T11</f>
        <v>-3287.9024679130002</v>
      </c>
      <c r="U42" s="23">
        <f>-U$20*V11</f>
        <v>-1819.8158575610883</v>
      </c>
      <c r="W42" s="23">
        <f>-W$20*X11</f>
        <v>-2151.2959598352595</v>
      </c>
      <c r="Y42" s="23">
        <f>-Y$20*Z11</f>
        <v>-1861.6646223777689</v>
      </c>
      <c r="AA42" s="23">
        <f>-AA$20*AB11</f>
        <v>-2012.4944663464953</v>
      </c>
    </row>
    <row r="43" spans="2:27" ht="15" customHeight="1">
      <c r="B43" s="17" t="s">
        <v>10</v>
      </c>
      <c r="C43" s="14" t="s">
        <v>11</v>
      </c>
      <c r="D43" s="14" t="s">
        <v>339</v>
      </c>
      <c r="E43" s="23">
        <f>-E$20*F12</f>
        <v>-3520.9003247848568</v>
      </c>
      <c r="G43" s="23">
        <f>-G$20*H12</f>
        <v>-3629.2584331440121</v>
      </c>
      <c r="I43" s="23">
        <f>-I$20*J12</f>
        <v>-3400.512803118158</v>
      </c>
      <c r="K43" s="23">
        <f>-K$20*L12</f>
        <v>-3543.1069752112294</v>
      </c>
      <c r="M43" s="23">
        <f>-M$20*N12</f>
        <v>-3235.1438882727903</v>
      </c>
      <c r="O43" s="23">
        <f>-O$20*P12</f>
        <v>-3970.6406388029868</v>
      </c>
      <c r="Q43" s="23">
        <f>-Q$20*R12</f>
        <v>-3663.9958510681254</v>
      </c>
      <c r="S43" s="23">
        <f>-S$20*T12</f>
        <v>-3480.8731918678354</v>
      </c>
      <c r="U43" s="23">
        <f>-U$20*V12</f>
        <v>-2192.2709808333411</v>
      </c>
      <c r="W43" s="23">
        <f>-W$20*X12</f>
        <v>-2570.7320676660879</v>
      </c>
      <c r="Y43" s="23">
        <f>-Y$20*Z12</f>
        <v>-2253.3719232335816</v>
      </c>
      <c r="AA43" s="23">
        <f>-AA$20*AB12</f>
        <v>-2381.8186707645291</v>
      </c>
    </row>
    <row r="45" spans="2:27" ht="15" customHeight="1">
      <c r="E45" s="26">
        <f>SUM(E24:E43)</f>
        <v>-56503.251105869575</v>
      </c>
      <c r="G45" s="26">
        <f>SUM(G24:G43)</f>
        <v>-60233.876160952379</v>
      </c>
      <c r="I45" s="26">
        <f>SUM(I24:I43)</f>
        <v>-58498.98779193181</v>
      </c>
      <c r="K45" s="26">
        <f>SUM(K24:K43)</f>
        <v>-62317.849710869559</v>
      </c>
      <c r="M45" s="26">
        <f>SUM(M24:M43)</f>
        <v>-61508.842778004822</v>
      </c>
      <c r="O45" s="26">
        <f>SUM(O24:O43)</f>
        <v>-63822.708266408874</v>
      </c>
      <c r="Q45" s="26">
        <f>SUM(Q24:Q43)</f>
        <v>-62799.690948636344</v>
      </c>
      <c r="S45" s="26">
        <f>SUM(S24:S43)</f>
        <v>-64145.889947475975</v>
      </c>
      <c r="U45" s="26">
        <f>SUM(U24:U43)</f>
        <v>-57290.135018465931</v>
      </c>
      <c r="W45" s="26">
        <f>SUM(W24:W43)</f>
        <v>-58386.773960227278</v>
      </c>
      <c r="Y45" s="26">
        <f>SUM(Y24:Y43)</f>
        <v>-59416.204693795778</v>
      </c>
      <c r="AA45" s="26">
        <f>SUM(AA24:AA43)</f>
        <v>-61431.528255572572</v>
      </c>
    </row>
    <row r="47" spans="2:27" ht="15" customHeight="1">
      <c r="I47" s="25"/>
      <c r="J47" s="25"/>
    </row>
  </sheetData>
  <pageMargins left="0.7" right="0.7" top="0.75" bottom="0.75" header="0.511811023622047" footer="0.511811023622047"/>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23"/>
  <sheetViews>
    <sheetView showGridLines="0" zoomScaleNormal="100" workbookViewId="0">
      <pane xSplit="2" ySplit="4" topLeftCell="C5" activePane="bottomRight" state="frozen"/>
      <selection pane="topRight" activeCell="C1" sqref="C1"/>
      <selection pane="bottomLeft" activeCell="A5" sqref="A5"/>
      <selection pane="bottomRight" activeCell="G21" sqref="G21"/>
    </sheetView>
  </sheetViews>
  <sheetFormatPr baseColWidth="10" defaultColWidth="8.6640625" defaultRowHeight="15"/>
  <cols>
    <col min="1" max="1" width="17.5" style="12" customWidth="1"/>
    <col min="2" max="2" width="24.5" style="12" bestFit="1" customWidth="1"/>
    <col min="3" max="14" width="12.1640625" style="12" bestFit="1" customWidth="1"/>
    <col min="15" max="15" width="13.1640625" style="12" bestFit="1" customWidth="1"/>
    <col min="16" max="16" width="4.6640625" style="12" customWidth="1"/>
    <col min="17" max="16384" width="8.6640625" style="12"/>
  </cols>
  <sheetData>
    <row r="1" spans="1:27" ht="15.75" customHeight="1">
      <c r="A1" s="41" t="s">
        <v>0</v>
      </c>
    </row>
    <row r="2" spans="1:27" ht="15" customHeight="1">
      <c r="A2" s="42" t="s">
        <v>1</v>
      </c>
    </row>
    <row r="4" spans="1:27" ht="15" customHeight="1">
      <c r="A4" s="43" t="s">
        <v>2</v>
      </c>
      <c r="B4" s="43" t="s">
        <v>3</v>
      </c>
      <c r="C4" s="22">
        <v>45839</v>
      </c>
      <c r="D4" s="22">
        <v>45870</v>
      </c>
      <c r="E4" s="22">
        <v>45901</v>
      </c>
      <c r="F4" s="22">
        <v>45931</v>
      </c>
      <c r="G4" s="22">
        <v>45962</v>
      </c>
      <c r="H4" s="22">
        <v>45992</v>
      </c>
      <c r="I4" s="22">
        <v>46023</v>
      </c>
      <c r="J4" s="22">
        <v>46054</v>
      </c>
      <c r="K4" s="22">
        <v>46082</v>
      </c>
      <c r="L4" s="22">
        <v>46113</v>
      </c>
      <c r="M4" s="22">
        <v>46143</v>
      </c>
      <c r="N4" s="22">
        <v>46174</v>
      </c>
    </row>
    <row r="5" spans="1:27" ht="15" customHeight="1">
      <c r="A5" s="19" t="s">
        <v>12</v>
      </c>
      <c r="B5" s="14" t="s">
        <v>13</v>
      </c>
      <c r="C5" s="44">
        <f>SUMIFS('Employee Headcount'!$G:$G,'Employee Headcount'!$D:$D,'Revenue Allocation'!$A5,'Employee Headcount'!$A:$A,'Revenue Allocation'!C$4)/SUMIFS('Employee Headcount'!$G:$G,'Employee Headcount'!$F:$F,"Programs",'Employee Headcount'!$A:$A,'Revenue Allocation'!C$4)</f>
        <v>0.2</v>
      </c>
      <c r="D5" s="44">
        <f>SUMIFS('Employee Headcount'!$G:$G,'Employee Headcount'!$D:$D,'Revenue Allocation'!$A5,'Employee Headcount'!$A:$A,'Revenue Allocation'!D$4)/SUMIFS('Employee Headcount'!$G:$G,'Employee Headcount'!$F:$F,"Programs",'Employee Headcount'!$A:$A,'Revenue Allocation'!D$4)</f>
        <v>0.2</v>
      </c>
      <c r="E5" s="44">
        <f>SUMIFS('Employee Headcount'!$G:$G,'Employee Headcount'!$D:$D,'Revenue Allocation'!$A5,'Employee Headcount'!$A:$A,'Revenue Allocation'!E$4)/SUMIFS('Employee Headcount'!$G:$G,'Employee Headcount'!$F:$F,"Programs",'Employee Headcount'!$A:$A,'Revenue Allocation'!E$4)</f>
        <v>0.2</v>
      </c>
      <c r="F5" s="44">
        <f>SUMIFS('Employee Headcount'!$G:$G,'Employee Headcount'!$D:$D,'Revenue Allocation'!$A5,'Employee Headcount'!$A:$A,'Revenue Allocation'!F$4)/SUMIFS('Employee Headcount'!$G:$G,'Employee Headcount'!$F:$F,"Programs",'Employee Headcount'!$A:$A,'Revenue Allocation'!F$4)</f>
        <v>0.14285714285714285</v>
      </c>
      <c r="G5" s="44">
        <f>SUMIFS('Employee Headcount'!$G:$G,'Employee Headcount'!$D:$D,'Revenue Allocation'!$A5,'Employee Headcount'!$A:$A,'Revenue Allocation'!G$4)/SUMIFS('Employee Headcount'!$G:$G,'Employee Headcount'!$F:$F,"Programs",'Employee Headcount'!$A:$A,'Revenue Allocation'!G$4)</f>
        <v>0.1891891891891892</v>
      </c>
      <c r="H5" s="44">
        <f>SUMIFS('Employee Headcount'!$G:$G,'Employee Headcount'!$D:$D,'Revenue Allocation'!$A5,'Employee Headcount'!$A:$A,'Revenue Allocation'!H$4)/SUMIFS('Employee Headcount'!$G:$G,'Employee Headcount'!$F:$F,"Programs",'Employee Headcount'!$A:$A,'Revenue Allocation'!H$4)</f>
        <v>0.1891891891891892</v>
      </c>
      <c r="I5" s="44">
        <f>SUMIFS('Employee Headcount'!$G:$G,'Employee Headcount'!$D:$D,'Revenue Allocation'!$A5,'Employee Headcount'!$A:$A,'Revenue Allocation'!I$4)/SUMIFS('Employee Headcount'!$G:$G,'Employee Headcount'!$F:$F,"Programs",'Employee Headcount'!$A:$A,'Revenue Allocation'!I$4)</f>
        <v>0.2</v>
      </c>
      <c r="J5" s="44">
        <f>SUMIFS('Employee Headcount'!$G:$G,'Employee Headcount'!$D:$D,'Revenue Allocation'!$A5,'Employee Headcount'!$A:$A,'Revenue Allocation'!J$4)/SUMIFS('Employee Headcount'!$G:$G,'Employee Headcount'!$F:$F,"Programs",'Employee Headcount'!$A:$A,'Revenue Allocation'!J$4)</f>
        <v>0.1891891891891892</v>
      </c>
      <c r="K5" s="44">
        <f>SUMIFS('Employee Headcount'!$G:$G,'Employee Headcount'!$D:$D,'Revenue Allocation'!$A5,'Employee Headcount'!$A:$A,'Revenue Allocation'!K$4)/SUMIFS('Employee Headcount'!$G:$G,'Employee Headcount'!$F:$F,"Programs",'Employee Headcount'!$A:$A,'Revenue Allocation'!K$4)</f>
        <v>0.17948717948717949</v>
      </c>
      <c r="L5" s="44">
        <f>SUMIFS('Employee Headcount'!$G:$G,'Employee Headcount'!$D:$D,'Revenue Allocation'!$A5,'Employee Headcount'!$A:$A,'Revenue Allocation'!L$4)/SUMIFS('Employee Headcount'!$G:$G,'Employee Headcount'!$F:$F,"Programs",'Employee Headcount'!$A:$A,'Revenue Allocation'!L$4)</f>
        <v>0.17948717948717949</v>
      </c>
      <c r="M5" s="44">
        <f>SUMIFS('Employee Headcount'!$G:$G,'Employee Headcount'!$D:$D,'Revenue Allocation'!$A5,'Employee Headcount'!$A:$A,'Revenue Allocation'!M$4)/SUMIFS('Employee Headcount'!$G:$G,'Employee Headcount'!$F:$F,"Programs",'Employee Headcount'!$A:$A,'Revenue Allocation'!M$4)</f>
        <v>0.1891891891891892</v>
      </c>
      <c r="N5" s="44">
        <f>SUMIFS('Employee Headcount'!$G:$G,'Employee Headcount'!$D:$D,'Revenue Allocation'!$A5,'Employee Headcount'!$A:$A,'Revenue Allocation'!N$4)/SUMIFS('Employee Headcount'!$G:$G,'Employee Headcount'!$F:$F,"Programs",'Employee Headcount'!$A:$A,'Revenue Allocation'!N$4)</f>
        <v>0.1891891891891892</v>
      </c>
      <c r="P5" s="45"/>
      <c r="Q5" s="45"/>
      <c r="R5" s="45"/>
      <c r="S5" s="45"/>
      <c r="T5" s="45"/>
      <c r="U5" s="45"/>
      <c r="V5" s="45"/>
      <c r="W5" s="45"/>
      <c r="X5" s="45"/>
      <c r="Y5" s="45"/>
      <c r="Z5" s="45"/>
      <c r="AA5" s="45"/>
    </row>
    <row r="6" spans="1:27" ht="15" customHeight="1">
      <c r="A6" s="19" t="s">
        <v>14</v>
      </c>
      <c r="B6" s="14" t="s">
        <v>15</v>
      </c>
      <c r="C6" s="44">
        <f>SUMIFS('Employee Headcount'!$G:$G,'Employee Headcount'!$D:$D,'Revenue Allocation'!$A6,'Employee Headcount'!$A:$A,'Revenue Allocation'!C$4)/SUMIFS('Employee Headcount'!$G:$G,'Employee Headcount'!$F:$F,"Programs",'Employee Headcount'!$A:$A,'Revenue Allocation'!C$4)</f>
        <v>0.17142857142857143</v>
      </c>
      <c r="D6" s="44">
        <f>SUMIFS('Employee Headcount'!$G:$G,'Employee Headcount'!$D:$D,'Revenue Allocation'!$A6,'Employee Headcount'!$A:$A,'Revenue Allocation'!D$4)/SUMIFS('Employee Headcount'!$G:$G,'Employee Headcount'!$F:$F,"Programs",'Employee Headcount'!$A:$A,'Revenue Allocation'!D$4)</f>
        <v>0.17142857142857143</v>
      </c>
      <c r="E6" s="44">
        <f>SUMIFS('Employee Headcount'!$G:$G,'Employee Headcount'!$D:$D,'Revenue Allocation'!$A6,'Employee Headcount'!$A:$A,'Revenue Allocation'!E$4)/SUMIFS('Employee Headcount'!$G:$G,'Employee Headcount'!$F:$F,"Programs",'Employee Headcount'!$A:$A,'Revenue Allocation'!E$4)</f>
        <v>0.17142857142857143</v>
      </c>
      <c r="F6" s="44">
        <f>SUMIFS('Employee Headcount'!$G:$G,'Employee Headcount'!$D:$D,'Revenue Allocation'!$A6,'Employee Headcount'!$A:$A,'Revenue Allocation'!F$4)/SUMIFS('Employee Headcount'!$G:$G,'Employee Headcount'!$F:$F,"Programs",'Employee Headcount'!$A:$A,'Revenue Allocation'!F$4)</f>
        <v>0.22857142857142856</v>
      </c>
      <c r="G6" s="44">
        <f>SUMIFS('Employee Headcount'!$G:$G,'Employee Headcount'!$D:$D,'Revenue Allocation'!$A6,'Employee Headcount'!$A:$A,'Revenue Allocation'!G$4)/SUMIFS('Employee Headcount'!$G:$G,'Employee Headcount'!$F:$F,"Programs",'Employee Headcount'!$A:$A,'Revenue Allocation'!G$4)</f>
        <v>0.21621621621621623</v>
      </c>
      <c r="H6" s="44">
        <f>SUMIFS('Employee Headcount'!$G:$G,'Employee Headcount'!$D:$D,'Revenue Allocation'!$A6,'Employee Headcount'!$A:$A,'Revenue Allocation'!H$4)/SUMIFS('Employee Headcount'!$G:$G,'Employee Headcount'!$F:$F,"Programs",'Employee Headcount'!$A:$A,'Revenue Allocation'!H$4)</f>
        <v>0.21621621621621623</v>
      </c>
      <c r="I6" s="44">
        <f>SUMIFS('Employee Headcount'!$G:$G,'Employee Headcount'!$D:$D,'Revenue Allocation'!$A6,'Employee Headcount'!$A:$A,'Revenue Allocation'!I$4)/SUMIFS('Employee Headcount'!$G:$G,'Employee Headcount'!$F:$F,"Programs",'Employee Headcount'!$A:$A,'Revenue Allocation'!I$4)</f>
        <v>0.22857142857142856</v>
      </c>
      <c r="J6" s="44">
        <f>SUMIFS('Employee Headcount'!$G:$G,'Employee Headcount'!$D:$D,'Revenue Allocation'!$A6,'Employee Headcount'!$A:$A,'Revenue Allocation'!J$4)/SUMIFS('Employee Headcount'!$G:$G,'Employee Headcount'!$F:$F,"Programs",'Employee Headcount'!$A:$A,'Revenue Allocation'!J$4)</f>
        <v>0.21621621621621623</v>
      </c>
      <c r="K6" s="44">
        <f>SUMIFS('Employee Headcount'!$G:$G,'Employee Headcount'!$D:$D,'Revenue Allocation'!$A6,'Employee Headcount'!$A:$A,'Revenue Allocation'!K$4)/SUMIFS('Employee Headcount'!$G:$G,'Employee Headcount'!$F:$F,"Programs",'Employee Headcount'!$A:$A,'Revenue Allocation'!K$4)</f>
        <v>0.20512820512820512</v>
      </c>
      <c r="L6" s="44">
        <f>SUMIFS('Employee Headcount'!$G:$G,'Employee Headcount'!$D:$D,'Revenue Allocation'!$A6,'Employee Headcount'!$A:$A,'Revenue Allocation'!L$4)/SUMIFS('Employee Headcount'!$G:$G,'Employee Headcount'!$F:$F,"Programs",'Employee Headcount'!$A:$A,'Revenue Allocation'!L$4)</f>
        <v>0.20512820512820512</v>
      </c>
      <c r="M6" s="44">
        <f>SUMIFS('Employee Headcount'!$G:$G,'Employee Headcount'!$D:$D,'Revenue Allocation'!$A6,'Employee Headcount'!$A:$A,'Revenue Allocation'!M$4)/SUMIFS('Employee Headcount'!$G:$G,'Employee Headcount'!$F:$F,"Programs",'Employee Headcount'!$A:$A,'Revenue Allocation'!M$4)</f>
        <v>0.21621621621621623</v>
      </c>
      <c r="N6" s="44">
        <f>SUMIFS('Employee Headcount'!$G:$G,'Employee Headcount'!$D:$D,'Revenue Allocation'!$A6,'Employee Headcount'!$A:$A,'Revenue Allocation'!N$4)/SUMIFS('Employee Headcount'!$G:$G,'Employee Headcount'!$F:$F,"Programs",'Employee Headcount'!$A:$A,'Revenue Allocation'!N$4)</f>
        <v>0.21621621621621623</v>
      </c>
      <c r="P6" s="45"/>
      <c r="Q6" s="45"/>
      <c r="R6" s="45"/>
      <c r="S6" s="45"/>
      <c r="T6" s="45"/>
      <c r="U6" s="45"/>
      <c r="V6" s="45"/>
      <c r="W6" s="45"/>
      <c r="X6" s="45"/>
      <c r="Y6" s="45"/>
      <c r="Z6" s="45"/>
      <c r="AA6" s="45"/>
    </row>
    <row r="7" spans="1:27" ht="15" customHeight="1">
      <c r="A7" s="19" t="s">
        <v>16</v>
      </c>
      <c r="B7" s="14" t="s">
        <v>17</v>
      </c>
      <c r="C7" s="44">
        <f>SUMIFS('Employee Headcount'!$G:$G,'Employee Headcount'!$D:$D,'Revenue Allocation'!$A7,'Employee Headcount'!$A:$A,'Revenue Allocation'!C$4)/SUMIFS('Employee Headcount'!$G:$G,'Employee Headcount'!$F:$F,"Programs",'Employee Headcount'!$A:$A,'Revenue Allocation'!C$4)</f>
        <v>0.17142857142857143</v>
      </c>
      <c r="D7" s="44">
        <f>SUMIFS('Employee Headcount'!$G:$G,'Employee Headcount'!$D:$D,'Revenue Allocation'!$A7,'Employee Headcount'!$A:$A,'Revenue Allocation'!D$4)/SUMIFS('Employee Headcount'!$G:$G,'Employee Headcount'!$F:$F,"Programs",'Employee Headcount'!$A:$A,'Revenue Allocation'!D$4)</f>
        <v>0.17142857142857143</v>
      </c>
      <c r="E7" s="44">
        <f>SUMIFS('Employee Headcount'!$G:$G,'Employee Headcount'!$D:$D,'Revenue Allocation'!$A7,'Employee Headcount'!$A:$A,'Revenue Allocation'!E$4)/SUMIFS('Employee Headcount'!$G:$G,'Employee Headcount'!$F:$F,"Programs",'Employee Headcount'!$A:$A,'Revenue Allocation'!E$4)</f>
        <v>0.17142857142857143</v>
      </c>
      <c r="F7" s="44">
        <f>SUMIFS('Employee Headcount'!$G:$G,'Employee Headcount'!$D:$D,'Revenue Allocation'!$A7,'Employee Headcount'!$A:$A,'Revenue Allocation'!F$4)/SUMIFS('Employee Headcount'!$G:$G,'Employee Headcount'!$F:$F,"Programs",'Employee Headcount'!$A:$A,'Revenue Allocation'!F$4)</f>
        <v>0.17142857142857143</v>
      </c>
      <c r="G7" s="44">
        <f>SUMIFS('Employee Headcount'!$G:$G,'Employee Headcount'!$D:$D,'Revenue Allocation'!$A7,'Employee Headcount'!$A:$A,'Revenue Allocation'!G$4)/SUMIFS('Employee Headcount'!$G:$G,'Employee Headcount'!$F:$F,"Programs",'Employee Headcount'!$A:$A,'Revenue Allocation'!G$4)</f>
        <v>0.16216216216216217</v>
      </c>
      <c r="H7" s="44">
        <f>SUMIFS('Employee Headcount'!$G:$G,'Employee Headcount'!$D:$D,'Revenue Allocation'!$A7,'Employee Headcount'!$A:$A,'Revenue Allocation'!H$4)/SUMIFS('Employee Headcount'!$G:$G,'Employee Headcount'!$F:$F,"Programs",'Employee Headcount'!$A:$A,'Revenue Allocation'!H$4)</f>
        <v>0.16216216216216217</v>
      </c>
      <c r="I7" s="44">
        <f>SUMIFS('Employee Headcount'!$G:$G,'Employee Headcount'!$D:$D,'Revenue Allocation'!$A7,'Employee Headcount'!$A:$A,'Revenue Allocation'!I$4)/SUMIFS('Employee Headcount'!$G:$G,'Employee Headcount'!$F:$F,"Programs",'Employee Headcount'!$A:$A,'Revenue Allocation'!I$4)</f>
        <v>0.17142857142857143</v>
      </c>
      <c r="J7" s="44">
        <f>SUMIFS('Employee Headcount'!$G:$G,'Employee Headcount'!$D:$D,'Revenue Allocation'!$A7,'Employee Headcount'!$A:$A,'Revenue Allocation'!J$4)/SUMIFS('Employee Headcount'!$G:$G,'Employee Headcount'!$F:$F,"Programs",'Employee Headcount'!$A:$A,'Revenue Allocation'!J$4)</f>
        <v>0.16216216216216217</v>
      </c>
      <c r="K7" s="44">
        <f>SUMIFS('Employee Headcount'!$G:$G,'Employee Headcount'!$D:$D,'Revenue Allocation'!$A7,'Employee Headcount'!$A:$A,'Revenue Allocation'!K$4)/SUMIFS('Employee Headcount'!$G:$G,'Employee Headcount'!$F:$F,"Programs",'Employee Headcount'!$A:$A,'Revenue Allocation'!K$4)</f>
        <v>0.15384615384615385</v>
      </c>
      <c r="L7" s="44">
        <f>SUMIFS('Employee Headcount'!$G:$G,'Employee Headcount'!$D:$D,'Revenue Allocation'!$A7,'Employee Headcount'!$A:$A,'Revenue Allocation'!L$4)/SUMIFS('Employee Headcount'!$G:$G,'Employee Headcount'!$F:$F,"Programs",'Employee Headcount'!$A:$A,'Revenue Allocation'!L$4)</f>
        <v>0.15384615384615385</v>
      </c>
      <c r="M7" s="44">
        <f>SUMIFS('Employee Headcount'!$G:$G,'Employee Headcount'!$D:$D,'Revenue Allocation'!$A7,'Employee Headcount'!$A:$A,'Revenue Allocation'!M$4)/SUMIFS('Employee Headcount'!$G:$G,'Employee Headcount'!$F:$F,"Programs",'Employee Headcount'!$A:$A,'Revenue Allocation'!M$4)</f>
        <v>0.10810810810810811</v>
      </c>
      <c r="N7" s="44">
        <f>SUMIFS('Employee Headcount'!$G:$G,'Employee Headcount'!$D:$D,'Revenue Allocation'!$A7,'Employee Headcount'!$A:$A,'Revenue Allocation'!N$4)/SUMIFS('Employee Headcount'!$G:$G,'Employee Headcount'!$F:$F,"Programs",'Employee Headcount'!$A:$A,'Revenue Allocation'!N$4)</f>
        <v>0.10810810810810811</v>
      </c>
      <c r="P7" s="45"/>
      <c r="Q7" s="45"/>
      <c r="R7" s="45"/>
      <c r="S7" s="45"/>
      <c r="T7" s="45"/>
      <c r="U7" s="45"/>
      <c r="V7" s="45"/>
      <c r="W7" s="45"/>
      <c r="X7" s="45"/>
      <c r="Y7" s="45"/>
      <c r="Z7" s="45"/>
      <c r="AA7" s="45"/>
    </row>
    <row r="8" spans="1:27" ht="15" customHeight="1">
      <c r="A8" s="19" t="s">
        <v>18</v>
      </c>
      <c r="B8" s="14" t="s">
        <v>19</v>
      </c>
      <c r="C8" s="44">
        <f>SUMIFS('Employee Headcount'!$G:$G,'Employee Headcount'!$D:$D,'Revenue Allocation'!$A8,'Employee Headcount'!$A:$A,'Revenue Allocation'!C$4)/SUMIFS('Employee Headcount'!$G:$G,'Employee Headcount'!$F:$F,"Programs",'Employee Headcount'!$A:$A,'Revenue Allocation'!C$4)</f>
        <v>0.22857142857142856</v>
      </c>
      <c r="D8" s="44">
        <f>SUMIFS('Employee Headcount'!$G:$G,'Employee Headcount'!$D:$D,'Revenue Allocation'!$A8,'Employee Headcount'!$A:$A,'Revenue Allocation'!D$4)/SUMIFS('Employee Headcount'!$G:$G,'Employee Headcount'!$F:$F,"Programs",'Employee Headcount'!$A:$A,'Revenue Allocation'!D$4)</f>
        <v>0.22857142857142856</v>
      </c>
      <c r="E8" s="44">
        <f>SUMIFS('Employee Headcount'!$G:$G,'Employee Headcount'!$D:$D,'Revenue Allocation'!$A8,'Employee Headcount'!$A:$A,'Revenue Allocation'!E$4)/SUMIFS('Employee Headcount'!$G:$G,'Employee Headcount'!$F:$F,"Programs",'Employee Headcount'!$A:$A,'Revenue Allocation'!E$4)</f>
        <v>0.22857142857142856</v>
      </c>
      <c r="F8" s="44">
        <f>SUMIFS('Employee Headcount'!$G:$G,'Employee Headcount'!$D:$D,'Revenue Allocation'!$A8,'Employee Headcount'!$A:$A,'Revenue Allocation'!F$4)/SUMIFS('Employee Headcount'!$G:$G,'Employee Headcount'!$F:$F,"Programs",'Employee Headcount'!$A:$A,'Revenue Allocation'!F$4)</f>
        <v>0.22857142857142856</v>
      </c>
      <c r="G8" s="44">
        <f>SUMIFS('Employee Headcount'!$G:$G,'Employee Headcount'!$D:$D,'Revenue Allocation'!$A8,'Employee Headcount'!$A:$A,'Revenue Allocation'!G$4)/SUMIFS('Employee Headcount'!$G:$G,'Employee Headcount'!$F:$F,"Programs",'Employee Headcount'!$A:$A,'Revenue Allocation'!G$4)</f>
        <v>0.21621621621621623</v>
      </c>
      <c r="H8" s="44">
        <f>SUMIFS('Employee Headcount'!$G:$G,'Employee Headcount'!$D:$D,'Revenue Allocation'!$A8,'Employee Headcount'!$A:$A,'Revenue Allocation'!H$4)/SUMIFS('Employee Headcount'!$G:$G,'Employee Headcount'!$F:$F,"Programs",'Employee Headcount'!$A:$A,'Revenue Allocation'!H$4)</f>
        <v>0.21621621621621623</v>
      </c>
      <c r="I8" s="44">
        <f>SUMIFS('Employee Headcount'!$G:$G,'Employee Headcount'!$D:$D,'Revenue Allocation'!$A8,'Employee Headcount'!$A:$A,'Revenue Allocation'!I$4)/SUMIFS('Employee Headcount'!$G:$G,'Employee Headcount'!$F:$F,"Programs",'Employee Headcount'!$A:$A,'Revenue Allocation'!I$4)</f>
        <v>0.17142857142857143</v>
      </c>
      <c r="J8" s="44">
        <f>SUMIFS('Employee Headcount'!$G:$G,'Employee Headcount'!$D:$D,'Revenue Allocation'!$A8,'Employee Headcount'!$A:$A,'Revenue Allocation'!J$4)/SUMIFS('Employee Headcount'!$G:$G,'Employee Headcount'!$F:$F,"Programs",'Employee Headcount'!$A:$A,'Revenue Allocation'!J$4)</f>
        <v>0.21621621621621623</v>
      </c>
      <c r="K8" s="44">
        <f>SUMIFS('Employee Headcount'!$G:$G,'Employee Headcount'!$D:$D,'Revenue Allocation'!$A8,'Employee Headcount'!$A:$A,'Revenue Allocation'!K$4)/SUMIFS('Employee Headcount'!$G:$G,'Employee Headcount'!$F:$F,"Programs",'Employee Headcount'!$A:$A,'Revenue Allocation'!K$4)</f>
        <v>0.20512820512820512</v>
      </c>
      <c r="L8" s="44">
        <f>SUMIFS('Employee Headcount'!$G:$G,'Employee Headcount'!$D:$D,'Revenue Allocation'!$A8,'Employee Headcount'!$A:$A,'Revenue Allocation'!L$4)/SUMIFS('Employee Headcount'!$G:$G,'Employee Headcount'!$F:$F,"Programs",'Employee Headcount'!$A:$A,'Revenue Allocation'!L$4)</f>
        <v>0.20512820512820512</v>
      </c>
      <c r="M8" s="44">
        <f>SUMIFS('Employee Headcount'!$G:$G,'Employee Headcount'!$D:$D,'Revenue Allocation'!$A8,'Employee Headcount'!$A:$A,'Revenue Allocation'!M$4)/SUMIFS('Employee Headcount'!$G:$G,'Employee Headcount'!$F:$F,"Programs",'Employee Headcount'!$A:$A,'Revenue Allocation'!M$4)</f>
        <v>0.21621621621621623</v>
      </c>
      <c r="N8" s="44">
        <f>SUMIFS('Employee Headcount'!$G:$G,'Employee Headcount'!$D:$D,'Revenue Allocation'!$A8,'Employee Headcount'!$A:$A,'Revenue Allocation'!N$4)/SUMIFS('Employee Headcount'!$G:$G,'Employee Headcount'!$F:$F,"Programs",'Employee Headcount'!$A:$A,'Revenue Allocation'!N$4)</f>
        <v>0.21621621621621623</v>
      </c>
      <c r="P8" s="45"/>
      <c r="Q8" s="45"/>
      <c r="R8" s="45"/>
      <c r="S8" s="45"/>
      <c r="T8" s="45"/>
      <c r="U8" s="45"/>
      <c r="V8" s="45"/>
      <c r="W8" s="45"/>
      <c r="X8" s="45"/>
      <c r="Y8" s="45"/>
      <c r="Z8" s="45"/>
      <c r="AA8" s="45"/>
    </row>
    <row r="9" spans="1:27" ht="15" customHeight="1">
      <c r="A9" s="19" t="s">
        <v>20</v>
      </c>
      <c r="B9" s="14" t="s">
        <v>21</v>
      </c>
      <c r="C9" s="44">
        <f>SUMIFS('Employee Headcount'!$G:$G,'Employee Headcount'!$D:$D,'Revenue Allocation'!$A9,'Employee Headcount'!$A:$A,'Revenue Allocation'!C$4)/SUMIFS('Employee Headcount'!$G:$G,'Employee Headcount'!$F:$F,"Programs",'Employee Headcount'!$A:$A,'Revenue Allocation'!C$4)</f>
        <v>0.22857142857142856</v>
      </c>
      <c r="D9" s="44">
        <f>SUMIFS('Employee Headcount'!$G:$G,'Employee Headcount'!$D:$D,'Revenue Allocation'!$A9,'Employee Headcount'!$A:$A,'Revenue Allocation'!D$4)/SUMIFS('Employee Headcount'!$G:$G,'Employee Headcount'!$F:$F,"Programs",'Employee Headcount'!$A:$A,'Revenue Allocation'!D$4)</f>
        <v>0.22857142857142856</v>
      </c>
      <c r="E9" s="44">
        <f>SUMIFS('Employee Headcount'!$G:$G,'Employee Headcount'!$D:$D,'Revenue Allocation'!$A9,'Employee Headcount'!$A:$A,'Revenue Allocation'!E$4)/SUMIFS('Employee Headcount'!$G:$G,'Employee Headcount'!$F:$F,"Programs",'Employee Headcount'!$A:$A,'Revenue Allocation'!E$4)</f>
        <v>0.22857142857142856</v>
      </c>
      <c r="F9" s="44">
        <f>SUMIFS('Employee Headcount'!$G:$G,'Employee Headcount'!$D:$D,'Revenue Allocation'!$A9,'Employee Headcount'!$A:$A,'Revenue Allocation'!F$4)/SUMIFS('Employee Headcount'!$G:$G,'Employee Headcount'!$F:$F,"Programs",'Employee Headcount'!$A:$A,'Revenue Allocation'!F$4)</f>
        <v>0.22857142857142856</v>
      </c>
      <c r="G9" s="44">
        <f>SUMIFS('Employee Headcount'!$G:$G,'Employee Headcount'!$D:$D,'Revenue Allocation'!$A9,'Employee Headcount'!$A:$A,'Revenue Allocation'!G$4)/SUMIFS('Employee Headcount'!$G:$G,'Employee Headcount'!$F:$F,"Programs",'Employee Headcount'!$A:$A,'Revenue Allocation'!G$4)</f>
        <v>0.21621621621621623</v>
      </c>
      <c r="H9" s="44">
        <f>SUMIFS('Employee Headcount'!$G:$G,'Employee Headcount'!$D:$D,'Revenue Allocation'!$A9,'Employee Headcount'!$A:$A,'Revenue Allocation'!H$4)/SUMIFS('Employee Headcount'!$G:$G,'Employee Headcount'!$F:$F,"Programs",'Employee Headcount'!$A:$A,'Revenue Allocation'!H$4)</f>
        <v>0.21621621621621623</v>
      </c>
      <c r="I9" s="44">
        <f>SUMIFS('Employee Headcount'!$G:$G,'Employee Headcount'!$D:$D,'Revenue Allocation'!$A9,'Employee Headcount'!$A:$A,'Revenue Allocation'!I$4)/SUMIFS('Employee Headcount'!$G:$G,'Employee Headcount'!$F:$F,"Programs",'Employee Headcount'!$A:$A,'Revenue Allocation'!I$4)</f>
        <v>0.22857142857142856</v>
      </c>
      <c r="J9" s="44">
        <f>SUMIFS('Employee Headcount'!$G:$G,'Employee Headcount'!$D:$D,'Revenue Allocation'!$A9,'Employee Headcount'!$A:$A,'Revenue Allocation'!J$4)/SUMIFS('Employee Headcount'!$G:$G,'Employee Headcount'!$F:$F,"Programs",'Employee Headcount'!$A:$A,'Revenue Allocation'!J$4)</f>
        <v>0.21621621621621623</v>
      </c>
      <c r="K9" s="44">
        <f>SUMIFS('Employee Headcount'!$G:$G,'Employee Headcount'!$D:$D,'Revenue Allocation'!$A9,'Employee Headcount'!$A:$A,'Revenue Allocation'!K$4)/SUMIFS('Employee Headcount'!$G:$G,'Employee Headcount'!$F:$F,"Programs",'Employee Headcount'!$A:$A,'Revenue Allocation'!K$4)</f>
        <v>0.25641025641025639</v>
      </c>
      <c r="L9" s="44">
        <f>SUMIFS('Employee Headcount'!$G:$G,'Employee Headcount'!$D:$D,'Revenue Allocation'!$A9,'Employee Headcount'!$A:$A,'Revenue Allocation'!L$4)/SUMIFS('Employee Headcount'!$G:$G,'Employee Headcount'!$F:$F,"Programs",'Employee Headcount'!$A:$A,'Revenue Allocation'!L$4)</f>
        <v>0.25641025641025639</v>
      </c>
      <c r="M9" s="44">
        <f>SUMIFS('Employee Headcount'!$G:$G,'Employee Headcount'!$D:$D,'Revenue Allocation'!$A9,'Employee Headcount'!$A:$A,'Revenue Allocation'!M$4)/SUMIFS('Employee Headcount'!$G:$G,'Employee Headcount'!$F:$F,"Programs",'Employee Headcount'!$A:$A,'Revenue Allocation'!M$4)</f>
        <v>0.27027027027027029</v>
      </c>
      <c r="N9" s="44">
        <f>SUMIFS('Employee Headcount'!$G:$G,'Employee Headcount'!$D:$D,'Revenue Allocation'!$A9,'Employee Headcount'!$A:$A,'Revenue Allocation'!N$4)/SUMIFS('Employee Headcount'!$G:$G,'Employee Headcount'!$F:$F,"Programs",'Employee Headcount'!$A:$A,'Revenue Allocation'!N$4)</f>
        <v>0.27027027027027029</v>
      </c>
      <c r="P9" s="45"/>
      <c r="Q9" s="45"/>
      <c r="R9" s="45"/>
      <c r="S9" s="45"/>
      <c r="T9" s="45"/>
      <c r="U9" s="45"/>
      <c r="V9" s="45"/>
      <c r="W9" s="45"/>
      <c r="X9" s="45"/>
      <c r="Y9" s="45"/>
      <c r="Z9" s="45"/>
      <c r="AA9" s="45"/>
    </row>
    <row r="10" spans="1:27" ht="15" customHeight="1">
      <c r="A10" s="46"/>
      <c r="B10" s="47" t="s">
        <v>22</v>
      </c>
      <c r="C10" s="48">
        <f t="shared" ref="C10:N10" si="0">SUM(C5:C9)</f>
        <v>1</v>
      </c>
      <c r="D10" s="48">
        <f t="shared" si="0"/>
        <v>1</v>
      </c>
      <c r="E10" s="48">
        <f t="shared" si="0"/>
        <v>1</v>
      </c>
      <c r="F10" s="48">
        <f t="shared" si="0"/>
        <v>1</v>
      </c>
      <c r="G10" s="48">
        <f t="shared" si="0"/>
        <v>1</v>
      </c>
      <c r="H10" s="48">
        <f t="shared" si="0"/>
        <v>1</v>
      </c>
      <c r="I10" s="48">
        <f t="shared" si="0"/>
        <v>1.0000000000000002</v>
      </c>
      <c r="J10" s="48">
        <f t="shared" si="0"/>
        <v>1</v>
      </c>
      <c r="K10" s="48">
        <f t="shared" si="0"/>
        <v>1</v>
      </c>
      <c r="L10" s="48">
        <f t="shared" si="0"/>
        <v>1</v>
      </c>
      <c r="M10" s="48">
        <f t="shared" si="0"/>
        <v>1</v>
      </c>
      <c r="N10" s="48">
        <f t="shared" si="0"/>
        <v>1</v>
      </c>
    </row>
    <row r="12" spans="1:27" ht="15" customHeight="1">
      <c r="A12" s="42" t="s">
        <v>23</v>
      </c>
    </row>
    <row r="15" spans="1:27" ht="15" customHeight="1">
      <c r="A15" s="49" t="s">
        <v>24</v>
      </c>
      <c r="C15" s="49" t="s">
        <v>25</v>
      </c>
    </row>
    <row r="16" spans="1:27" ht="15" customHeight="1">
      <c r="A16" s="49" t="s">
        <v>26</v>
      </c>
      <c r="B16" s="49" t="s">
        <v>27</v>
      </c>
      <c r="C16" s="22">
        <v>45839</v>
      </c>
      <c r="D16" s="22">
        <v>45870</v>
      </c>
      <c r="E16" s="22">
        <v>45901</v>
      </c>
      <c r="F16" s="22">
        <v>45931</v>
      </c>
      <c r="G16" s="22">
        <v>45962</v>
      </c>
      <c r="H16" s="22">
        <v>45992</v>
      </c>
      <c r="I16" s="22">
        <v>46023</v>
      </c>
      <c r="J16" s="22">
        <v>46054</v>
      </c>
      <c r="K16" s="22">
        <v>46082</v>
      </c>
      <c r="L16" s="22">
        <v>46113</v>
      </c>
      <c r="M16" s="22">
        <v>46143</v>
      </c>
      <c r="N16" s="22">
        <v>46174</v>
      </c>
    </row>
    <row r="17" spans="1:14" ht="15" customHeight="1">
      <c r="A17" s="12" t="s">
        <v>83</v>
      </c>
      <c r="B17" s="12" t="s">
        <v>84</v>
      </c>
      <c r="C17" s="50">
        <v>-132364.9200000001</v>
      </c>
      <c r="D17" s="50">
        <v>-132524.01999999999</v>
      </c>
      <c r="E17" s="50">
        <v>-136023.98999999993</v>
      </c>
      <c r="F17" s="50">
        <v>-100308.7</v>
      </c>
      <c r="G17" s="50">
        <v>-128639.7099999999</v>
      </c>
      <c r="H17" s="50">
        <v>-140749.22</v>
      </c>
      <c r="I17" s="50">
        <v>-104483.2800000001</v>
      </c>
      <c r="J17" s="50">
        <v>-143240.0100000001</v>
      </c>
      <c r="K17" s="50">
        <v>-105585.04999999999</v>
      </c>
      <c r="L17" s="50">
        <v>-108008.70000000001</v>
      </c>
      <c r="M17" s="50">
        <v>-123383.32999999989</v>
      </c>
      <c r="N17" s="50">
        <v>-125032.33999999989</v>
      </c>
    </row>
    <row r="18" spans="1:14" ht="15" customHeight="1">
      <c r="A18" s="12" t="s">
        <v>86</v>
      </c>
      <c r="B18" s="12" t="s">
        <v>87</v>
      </c>
      <c r="C18" s="50">
        <v>-53909.540000000059</v>
      </c>
      <c r="D18" s="50">
        <v>-54469.399999999958</v>
      </c>
      <c r="E18" s="50">
        <v>-55772.649999999936</v>
      </c>
      <c r="F18" s="50">
        <v>-79603.969999999899</v>
      </c>
      <c r="G18" s="50">
        <v>-49945.559999999983</v>
      </c>
      <c r="H18" s="50">
        <v>-66964.800000000192</v>
      </c>
      <c r="I18" s="50"/>
      <c r="J18" s="50">
        <v>-67516.270000000106</v>
      </c>
      <c r="K18" s="50">
        <v>-68959.009999999995</v>
      </c>
      <c r="L18" s="50">
        <v>-59789.29</v>
      </c>
      <c r="M18" s="50">
        <v>-73169.440000000177</v>
      </c>
      <c r="N18" s="50">
        <v>-43762.190000000017</v>
      </c>
    </row>
    <row r="19" spans="1:14" ht="15" customHeight="1">
      <c r="A19" s="12" t="s">
        <v>88</v>
      </c>
      <c r="B19" s="12" t="s">
        <v>89</v>
      </c>
      <c r="C19" s="50">
        <v>-110851.02</v>
      </c>
      <c r="D19" s="50"/>
      <c r="E19" s="50"/>
      <c r="F19" s="50">
        <v>-79551.199999999793</v>
      </c>
      <c r="G19" s="50"/>
      <c r="H19" s="50"/>
      <c r="I19" s="50">
        <v>-89973.019999999786</v>
      </c>
      <c r="J19" s="50"/>
      <c r="K19" s="50"/>
      <c r="L19" s="50">
        <v>-97018.32</v>
      </c>
      <c r="M19" s="50"/>
      <c r="N19" s="50"/>
    </row>
    <row r="20" spans="1:14" ht="15" customHeight="1">
      <c r="A20" s="12" t="s">
        <v>90</v>
      </c>
      <c r="B20" s="12" t="s">
        <v>91</v>
      </c>
      <c r="C20" s="50">
        <v>-56727.819999999949</v>
      </c>
      <c r="D20" s="50">
        <v>-56796.01000000014</v>
      </c>
      <c r="E20" s="50">
        <v>-58296.000000000102</v>
      </c>
      <c r="F20" s="50">
        <v>-42989.44000000001</v>
      </c>
      <c r="G20" s="50">
        <v>-55131.299999999967</v>
      </c>
      <c r="H20" s="50">
        <v>-60321.090000000149</v>
      </c>
      <c r="I20" s="50">
        <v>-44778.55000000001</v>
      </c>
      <c r="J20" s="50">
        <v>-61388.580000000133</v>
      </c>
      <c r="K20" s="50">
        <v>-45250.73</v>
      </c>
      <c r="L20" s="50">
        <v>-46289.440000000002</v>
      </c>
      <c r="M20" s="50">
        <v>-42164.290000000023</v>
      </c>
      <c r="N20" s="50">
        <v>-53585.289999999964</v>
      </c>
    </row>
    <row r="21" spans="1:14" ht="15" customHeight="1">
      <c r="A21" s="12" t="s">
        <v>685</v>
      </c>
      <c r="C21" s="50">
        <v>-353853.3000000001</v>
      </c>
      <c r="D21" s="50">
        <v>-243789.43000000011</v>
      </c>
      <c r="E21" s="50">
        <v>-250092.63999999996</v>
      </c>
      <c r="F21" s="50">
        <v>-302453.30999999971</v>
      </c>
      <c r="G21" s="50">
        <v>-233716.56999999986</v>
      </c>
      <c r="H21" s="50">
        <v>-268035.11000000034</v>
      </c>
      <c r="I21" s="50">
        <v>-239234.84999999989</v>
      </c>
      <c r="J21" s="50">
        <v>-272144.86000000034</v>
      </c>
      <c r="K21" s="50">
        <v>-219794.79</v>
      </c>
      <c r="L21" s="50">
        <v>-311105.75000000006</v>
      </c>
      <c r="M21" s="50">
        <v>-238717.06000000011</v>
      </c>
      <c r="N21" s="50">
        <v>-222379.81999999989</v>
      </c>
    </row>
    <row r="22" spans="1:14" ht="15" customHeight="1"/>
    <row r="23" spans="1:14" ht="15" customHeight="1"/>
  </sheetData>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P38"/>
  <sheetViews>
    <sheetView showGridLines="0" zoomScaleNormal="100" workbookViewId="0">
      <pane ySplit="7" topLeftCell="A8" activePane="bottomLeft" state="frozen"/>
      <selection pane="bottomLeft"/>
    </sheetView>
  </sheetViews>
  <sheetFormatPr baseColWidth="10" defaultColWidth="12.33203125" defaultRowHeight="15"/>
  <cols>
    <col min="1" max="1" width="4.1640625" style="12" customWidth="1"/>
    <col min="2" max="2" width="12.1640625" style="12" customWidth="1"/>
    <col min="3" max="3" width="21.5" style="12" bestFit="1" customWidth="1"/>
    <col min="4" max="15" width="14.6640625" style="12" customWidth="1"/>
    <col min="16" max="16" width="12.6640625" style="12" customWidth="1"/>
    <col min="17" max="16384" width="12.33203125" style="12"/>
  </cols>
  <sheetData>
    <row r="2" spans="2:15" ht="18">
      <c r="B2" s="164" t="s">
        <v>786</v>
      </c>
    </row>
    <row r="3" spans="2:15" ht="15" customHeight="1">
      <c r="B3" s="53" t="s">
        <v>742</v>
      </c>
    </row>
    <row r="4" spans="2:15" ht="15" customHeight="1">
      <c r="B4" s="53" t="s">
        <v>207</v>
      </c>
    </row>
    <row r="5" spans="2:15" ht="15" customHeight="1">
      <c r="B5" s="42" t="s">
        <v>1</v>
      </c>
    </row>
    <row r="7" spans="2:15" ht="15" customHeight="1">
      <c r="B7" s="139" t="s">
        <v>2</v>
      </c>
      <c r="C7" s="139" t="s">
        <v>3</v>
      </c>
      <c r="D7" s="139">
        <v>45839</v>
      </c>
      <c r="E7" s="139">
        <v>45870</v>
      </c>
      <c r="F7" s="139">
        <v>45901</v>
      </c>
      <c r="G7" s="139">
        <v>45931</v>
      </c>
      <c r="H7" s="139">
        <v>45962</v>
      </c>
      <c r="I7" s="139">
        <v>45992</v>
      </c>
      <c r="J7" s="139">
        <v>46023</v>
      </c>
      <c r="K7" s="139">
        <v>46054</v>
      </c>
      <c r="L7" s="139">
        <v>46082</v>
      </c>
      <c r="M7" s="139">
        <v>46113</v>
      </c>
      <c r="N7" s="139">
        <v>46143</v>
      </c>
      <c r="O7" s="139">
        <v>46174</v>
      </c>
    </row>
    <row r="8" spans="2:15" ht="15" customHeight="1">
      <c r="B8" s="19" t="s">
        <v>4</v>
      </c>
      <c r="C8" s="14" t="s">
        <v>5</v>
      </c>
      <c r="D8" s="44">
        <f>SUMIFS(Headcount[FTE],Headcount[Month],D$7,Headcount[Cost Center],$B8)/SUMIFS(Headcount[FTE],Headcount[Month],D$7)</f>
        <v>0.06</v>
      </c>
      <c r="E8" s="44">
        <f>SUMIFS(Headcount[FTE],Headcount[Month],E$7,Headcount[Cost Center],$B8)/SUMIFS(Headcount[FTE],Headcount[Month],E$7)</f>
        <v>0.06</v>
      </c>
      <c r="F8" s="44">
        <f>SUMIFS(Headcount[FTE],Headcount[Month],F$7,Headcount[Cost Center],$B8)/SUMIFS(Headcount[FTE],Headcount[Month],F$7)</f>
        <v>0.06</v>
      </c>
      <c r="G8" s="44">
        <f>SUMIFS(Headcount[FTE],Headcount[Month],G$7,Headcount[Cost Center],$B8)/SUMIFS(Headcount[FTE],Headcount[Month],G$7)</f>
        <v>0.06</v>
      </c>
      <c r="H8" s="44">
        <f>SUMIFS(Headcount[FTE],Headcount[Month],H$7,Headcount[Cost Center],$B8)/SUMIFS(Headcount[FTE],Headcount[Month],H$7)</f>
        <v>5.7692307692307696E-2</v>
      </c>
      <c r="I8" s="44">
        <f>SUMIFS(Headcount[FTE],Headcount[Month],I$7,Headcount[Cost Center],$B8)/SUMIFS(Headcount[FTE],Headcount[Month],I$7)</f>
        <v>5.7692307692307696E-2</v>
      </c>
      <c r="J8" s="44">
        <f>SUMIFS(Headcount[FTE],Headcount[Month],J$7,Headcount[Cost Center],$B8)/SUMIFS(Headcount[FTE],Headcount[Month],J$7)</f>
        <v>0.06</v>
      </c>
      <c r="K8" s="44">
        <f>SUMIFS(Headcount[FTE],Headcount[Month],K$7,Headcount[Cost Center],$B8)/SUMIFS(Headcount[FTE],Headcount[Month],K$7)</f>
        <v>5.7692307692307696E-2</v>
      </c>
      <c r="L8" s="44">
        <f>SUMIFS(Headcount[FTE],Headcount[Month],L$7,Headcount[Cost Center],$B8)/SUMIFS(Headcount[FTE],Headcount[Month],L$7)</f>
        <v>5.7692307692307696E-2</v>
      </c>
      <c r="M8" s="44">
        <f>SUMIFS(Headcount[FTE],Headcount[Month],M$7,Headcount[Cost Center],$B8)/SUMIFS(Headcount[FTE],Headcount[Month],M$7)</f>
        <v>5.7692307692307696E-2</v>
      </c>
      <c r="N8" s="44">
        <f>SUMIFS(Headcount[FTE],Headcount[Month],N$7,Headcount[Cost Center],$B8)/SUMIFS(Headcount[FTE],Headcount[Month],N$7)</f>
        <v>5.7692307692307696E-2</v>
      </c>
      <c r="O8" s="44">
        <f>SUMIFS(Headcount[FTE],Headcount[Month],O$7,Headcount[Cost Center],$B8)/SUMIFS(Headcount[FTE],Headcount[Month],O$7)</f>
        <v>5.7692307692307696E-2</v>
      </c>
    </row>
    <row r="9" spans="2:15" ht="15" customHeight="1">
      <c r="B9" s="19" t="s">
        <v>6</v>
      </c>
      <c r="C9" s="14" t="s">
        <v>7</v>
      </c>
      <c r="D9" s="44">
        <f>SUMIFS(Headcount[FTE],Headcount[Month],D$7,Headcount[Cost Center],$B9)/SUMIFS(Headcount[FTE],Headcount[Month],D$7)</f>
        <v>0.08</v>
      </c>
      <c r="E9" s="44">
        <f>SUMIFS(Headcount[FTE],Headcount[Month],E$7,Headcount[Cost Center],$B9)/SUMIFS(Headcount[FTE],Headcount[Month],E$7)</f>
        <v>0.08</v>
      </c>
      <c r="F9" s="44">
        <f>SUMIFS(Headcount[FTE],Headcount[Month],F$7,Headcount[Cost Center],$B9)/SUMIFS(Headcount[FTE],Headcount[Month],F$7)</f>
        <v>0.08</v>
      </c>
      <c r="G9" s="44">
        <f>SUMIFS(Headcount[FTE],Headcount[Month],G$7,Headcount[Cost Center],$B9)/SUMIFS(Headcount[FTE],Headcount[Month],G$7)</f>
        <v>0.08</v>
      </c>
      <c r="H9" s="44">
        <f>SUMIFS(Headcount[FTE],Headcount[Month],H$7,Headcount[Cost Center],$B9)/SUMIFS(Headcount[FTE],Headcount[Month],H$7)</f>
        <v>7.6923076923076927E-2</v>
      </c>
      <c r="I9" s="44">
        <f>SUMIFS(Headcount[FTE],Headcount[Month],I$7,Headcount[Cost Center],$B9)/SUMIFS(Headcount[FTE],Headcount[Month],I$7)</f>
        <v>7.6923076923076927E-2</v>
      </c>
      <c r="J9" s="44">
        <f>SUMIFS(Headcount[FTE],Headcount[Month],J$7,Headcount[Cost Center],$B9)/SUMIFS(Headcount[FTE],Headcount[Month],J$7)</f>
        <v>0.08</v>
      </c>
      <c r="K9" s="44">
        <f>SUMIFS(Headcount[FTE],Headcount[Month],K$7,Headcount[Cost Center],$B9)/SUMIFS(Headcount[FTE],Headcount[Month],K$7)</f>
        <v>7.6923076923076927E-2</v>
      </c>
      <c r="L9" s="44">
        <f>SUMIFS(Headcount[FTE],Headcount[Month],L$7,Headcount[Cost Center],$B9)/SUMIFS(Headcount[FTE],Headcount[Month],L$7)</f>
        <v>7.6923076923076927E-2</v>
      </c>
      <c r="M9" s="44">
        <f>SUMIFS(Headcount[FTE],Headcount[Month],M$7,Headcount[Cost Center],$B9)/SUMIFS(Headcount[FTE],Headcount[Month],M$7)</f>
        <v>7.6923076923076927E-2</v>
      </c>
      <c r="N9" s="44">
        <f>SUMIFS(Headcount[FTE],Headcount[Month],N$7,Headcount[Cost Center],$B9)/SUMIFS(Headcount[FTE],Headcount[Month],N$7)</f>
        <v>7.6923076923076927E-2</v>
      </c>
      <c r="O9" s="44">
        <f>SUMIFS(Headcount[FTE],Headcount[Month],O$7,Headcount[Cost Center],$B9)/SUMIFS(Headcount[FTE],Headcount[Month],O$7)</f>
        <v>7.6923076923076927E-2</v>
      </c>
    </row>
    <row r="10" spans="2:15" ht="15" customHeight="1">
      <c r="B10" s="19" t="s">
        <v>8</v>
      </c>
      <c r="C10" s="14" t="s">
        <v>9</v>
      </c>
      <c r="D10" s="44">
        <f>SUMIFS(Headcount[FTE],Headcount[Month],D$7,Headcount[Cost Center],$B10)/SUMIFS(Headcount[FTE],Headcount[Month],D$7)</f>
        <v>0.08</v>
      </c>
      <c r="E10" s="44">
        <f>SUMIFS(Headcount[FTE],Headcount[Month],E$7,Headcount[Cost Center],$B10)/SUMIFS(Headcount[FTE],Headcount[Month],E$7)</f>
        <v>0.08</v>
      </c>
      <c r="F10" s="44">
        <f>SUMIFS(Headcount[FTE],Headcount[Month],F$7,Headcount[Cost Center],$B10)/SUMIFS(Headcount[FTE],Headcount[Month],F$7)</f>
        <v>0.08</v>
      </c>
      <c r="G10" s="44">
        <f>SUMIFS(Headcount[FTE],Headcount[Month],G$7,Headcount[Cost Center],$B10)/SUMIFS(Headcount[FTE],Headcount[Month],G$7)</f>
        <v>0.08</v>
      </c>
      <c r="H10" s="44">
        <f>SUMIFS(Headcount[FTE],Headcount[Month],H$7,Headcount[Cost Center],$B10)/SUMIFS(Headcount[FTE],Headcount[Month],H$7)</f>
        <v>7.6923076923076927E-2</v>
      </c>
      <c r="I10" s="44">
        <f>SUMIFS(Headcount[FTE],Headcount[Month],I$7,Headcount[Cost Center],$B10)/SUMIFS(Headcount[FTE],Headcount[Month],I$7)</f>
        <v>7.6923076923076927E-2</v>
      </c>
      <c r="J10" s="44">
        <f>SUMIFS(Headcount[FTE],Headcount[Month],J$7,Headcount[Cost Center],$B10)/SUMIFS(Headcount[FTE],Headcount[Month],J$7)</f>
        <v>0.08</v>
      </c>
      <c r="K10" s="44">
        <f>SUMIFS(Headcount[FTE],Headcount[Month],K$7,Headcount[Cost Center],$B10)/SUMIFS(Headcount[FTE],Headcount[Month],K$7)</f>
        <v>7.6923076923076927E-2</v>
      </c>
      <c r="L10" s="44">
        <f>SUMIFS(Headcount[FTE],Headcount[Month],L$7,Headcount[Cost Center],$B10)/SUMIFS(Headcount[FTE],Headcount[Month],L$7)</f>
        <v>7.6923076923076927E-2</v>
      </c>
      <c r="M10" s="44">
        <f>SUMIFS(Headcount[FTE],Headcount[Month],M$7,Headcount[Cost Center],$B10)/SUMIFS(Headcount[FTE],Headcount[Month],M$7)</f>
        <v>7.6923076923076927E-2</v>
      </c>
      <c r="N10" s="44">
        <f>SUMIFS(Headcount[FTE],Headcount[Month],N$7,Headcount[Cost Center],$B10)/SUMIFS(Headcount[FTE],Headcount[Month],N$7)</f>
        <v>0.11538461538461539</v>
      </c>
      <c r="O10" s="44">
        <f>SUMIFS(Headcount[FTE],Headcount[Month],O$7,Headcount[Cost Center],$B10)/SUMIFS(Headcount[FTE],Headcount[Month],O$7)</f>
        <v>0.11538461538461539</v>
      </c>
    </row>
    <row r="11" spans="2:15" ht="15" customHeight="1">
      <c r="B11" s="19" t="s">
        <v>10</v>
      </c>
      <c r="C11" s="14" t="s">
        <v>11</v>
      </c>
      <c r="D11" s="44">
        <f>SUMIFS(Headcount[FTE],Headcount[Month],D$7,Headcount[Cost Center],$B11)/SUMIFS(Headcount[FTE],Headcount[Month],D$7)</f>
        <v>0.08</v>
      </c>
      <c r="E11" s="44">
        <f>SUMIFS(Headcount[FTE],Headcount[Month],E$7,Headcount[Cost Center],$B11)/SUMIFS(Headcount[FTE],Headcount[Month],E$7)</f>
        <v>0.08</v>
      </c>
      <c r="F11" s="44">
        <f>SUMIFS(Headcount[FTE],Headcount[Month],F$7,Headcount[Cost Center],$B11)/SUMIFS(Headcount[FTE],Headcount[Month],F$7)</f>
        <v>0.08</v>
      </c>
      <c r="G11" s="44">
        <f>SUMIFS(Headcount[FTE],Headcount[Month],G$7,Headcount[Cost Center],$B11)/SUMIFS(Headcount[FTE],Headcount[Month],G$7)</f>
        <v>0.08</v>
      </c>
      <c r="H11" s="44">
        <f>SUMIFS(Headcount[FTE],Headcount[Month],H$7,Headcount[Cost Center],$B11)/SUMIFS(Headcount[FTE],Headcount[Month],H$7)</f>
        <v>7.6923076923076927E-2</v>
      </c>
      <c r="I11" s="44">
        <f>SUMIFS(Headcount[FTE],Headcount[Month],I$7,Headcount[Cost Center],$B11)/SUMIFS(Headcount[FTE],Headcount[Month],I$7)</f>
        <v>7.6923076923076927E-2</v>
      </c>
      <c r="J11" s="44">
        <f>SUMIFS(Headcount[FTE],Headcount[Month],J$7,Headcount[Cost Center],$B11)/SUMIFS(Headcount[FTE],Headcount[Month],J$7)</f>
        <v>0.08</v>
      </c>
      <c r="K11" s="44">
        <f>SUMIFS(Headcount[FTE],Headcount[Month],K$7,Headcount[Cost Center],$B11)/SUMIFS(Headcount[FTE],Headcount[Month],K$7)</f>
        <v>7.6923076923076927E-2</v>
      </c>
      <c r="L11" s="44">
        <f>SUMIFS(Headcount[FTE],Headcount[Month],L$7,Headcount[Cost Center],$B11)/SUMIFS(Headcount[FTE],Headcount[Month],L$7)</f>
        <v>3.8461538461538464E-2</v>
      </c>
      <c r="M11" s="44">
        <f>SUMIFS(Headcount[FTE],Headcount[Month],M$7,Headcount[Cost Center],$B11)/SUMIFS(Headcount[FTE],Headcount[Month],M$7)</f>
        <v>3.8461538461538464E-2</v>
      </c>
      <c r="N11" s="44">
        <f>SUMIFS(Headcount[FTE],Headcount[Month],N$7,Headcount[Cost Center],$B11)/SUMIFS(Headcount[FTE],Headcount[Month],N$7)</f>
        <v>3.8461538461538464E-2</v>
      </c>
      <c r="O11" s="44">
        <f>SUMIFS(Headcount[FTE],Headcount[Month],O$7,Headcount[Cost Center],$B11)/SUMIFS(Headcount[FTE],Headcount[Month],O$7)</f>
        <v>3.8461538461538464E-2</v>
      </c>
    </row>
    <row r="12" spans="2:15" ht="15" customHeight="1">
      <c r="B12" s="19" t="s">
        <v>12</v>
      </c>
      <c r="C12" s="14" t="s">
        <v>13</v>
      </c>
      <c r="D12" s="44">
        <f>SUMIFS(Headcount[FTE],Headcount[Month],D$7,Headcount[Cost Center],$B12)/SUMIFS(Headcount[FTE],Headcount[Month],D$7)</f>
        <v>0.14000000000000001</v>
      </c>
      <c r="E12" s="44">
        <f>SUMIFS(Headcount[FTE],Headcount[Month],E$7,Headcount[Cost Center],$B12)/SUMIFS(Headcount[FTE],Headcount[Month],E$7)</f>
        <v>0.14000000000000001</v>
      </c>
      <c r="F12" s="44">
        <f>SUMIFS(Headcount[FTE],Headcount[Month],F$7,Headcount[Cost Center],$B12)/SUMIFS(Headcount[FTE],Headcount[Month],F$7)</f>
        <v>0.14000000000000001</v>
      </c>
      <c r="G12" s="44">
        <f>SUMIFS(Headcount[FTE],Headcount[Month],G$7,Headcount[Cost Center],$B12)/SUMIFS(Headcount[FTE],Headcount[Month],G$7)</f>
        <v>0.1</v>
      </c>
      <c r="H12" s="44">
        <f>SUMIFS(Headcount[FTE],Headcount[Month],H$7,Headcount[Cost Center],$B12)/SUMIFS(Headcount[FTE],Headcount[Month],H$7)</f>
        <v>0.13461538461538461</v>
      </c>
      <c r="I12" s="44">
        <f>SUMIFS(Headcount[FTE],Headcount[Month],I$7,Headcount[Cost Center],$B12)/SUMIFS(Headcount[FTE],Headcount[Month],I$7)</f>
        <v>0.13461538461538461</v>
      </c>
      <c r="J12" s="44">
        <f>SUMIFS(Headcount[FTE],Headcount[Month],J$7,Headcount[Cost Center],$B12)/SUMIFS(Headcount[FTE],Headcount[Month],J$7)</f>
        <v>0.14000000000000001</v>
      </c>
      <c r="K12" s="44">
        <f>SUMIFS(Headcount[FTE],Headcount[Month],K$7,Headcount[Cost Center],$B12)/SUMIFS(Headcount[FTE],Headcount[Month],K$7)</f>
        <v>0.13461538461538461</v>
      </c>
      <c r="L12" s="44">
        <f>SUMIFS(Headcount[FTE],Headcount[Month],L$7,Headcount[Cost Center],$B12)/SUMIFS(Headcount[FTE],Headcount[Month],L$7)</f>
        <v>0.13461538461538461</v>
      </c>
      <c r="M12" s="44">
        <f>SUMIFS(Headcount[FTE],Headcount[Month],M$7,Headcount[Cost Center],$B12)/SUMIFS(Headcount[FTE],Headcount[Month],M$7)</f>
        <v>0.13461538461538461</v>
      </c>
      <c r="N12" s="44">
        <f>SUMIFS(Headcount[FTE],Headcount[Month],N$7,Headcount[Cost Center],$B12)/SUMIFS(Headcount[FTE],Headcount[Month],N$7)</f>
        <v>0.13461538461538461</v>
      </c>
      <c r="O12" s="44">
        <f>SUMIFS(Headcount[FTE],Headcount[Month],O$7,Headcount[Cost Center],$B12)/SUMIFS(Headcount[FTE],Headcount[Month],O$7)</f>
        <v>0.13461538461538461</v>
      </c>
    </row>
    <row r="13" spans="2:15" ht="15" customHeight="1">
      <c r="B13" s="19" t="s">
        <v>14</v>
      </c>
      <c r="C13" s="14" t="s">
        <v>15</v>
      </c>
      <c r="D13" s="44">
        <f>SUMIFS(Headcount[FTE],Headcount[Month],D$7,Headcount[Cost Center],$B13)/SUMIFS(Headcount[FTE],Headcount[Month],D$7)</f>
        <v>0.12</v>
      </c>
      <c r="E13" s="44">
        <f>SUMIFS(Headcount[FTE],Headcount[Month],E$7,Headcount[Cost Center],$B13)/SUMIFS(Headcount[FTE],Headcount[Month],E$7)</f>
        <v>0.12</v>
      </c>
      <c r="F13" s="44">
        <f>SUMIFS(Headcount[FTE],Headcount[Month],F$7,Headcount[Cost Center],$B13)/SUMIFS(Headcount[FTE],Headcount[Month],F$7)</f>
        <v>0.12</v>
      </c>
      <c r="G13" s="44">
        <f>SUMIFS(Headcount[FTE],Headcount[Month],G$7,Headcount[Cost Center],$B13)/SUMIFS(Headcount[FTE],Headcount[Month],G$7)</f>
        <v>0.16</v>
      </c>
      <c r="H13" s="44">
        <f>SUMIFS(Headcount[FTE],Headcount[Month],H$7,Headcount[Cost Center],$B13)/SUMIFS(Headcount[FTE],Headcount[Month],H$7)</f>
        <v>0.15384615384615385</v>
      </c>
      <c r="I13" s="44">
        <f>SUMIFS(Headcount[FTE],Headcount[Month],I$7,Headcount[Cost Center],$B13)/SUMIFS(Headcount[FTE],Headcount[Month],I$7)</f>
        <v>0.15384615384615385</v>
      </c>
      <c r="J13" s="44">
        <f>SUMIFS(Headcount[FTE],Headcount[Month],J$7,Headcount[Cost Center],$B13)/SUMIFS(Headcount[FTE],Headcount[Month],J$7)</f>
        <v>0.16</v>
      </c>
      <c r="K13" s="44">
        <f>SUMIFS(Headcount[FTE],Headcount[Month],K$7,Headcount[Cost Center],$B13)/SUMIFS(Headcount[FTE],Headcount[Month],K$7)</f>
        <v>0.15384615384615385</v>
      </c>
      <c r="L13" s="44">
        <f>SUMIFS(Headcount[FTE],Headcount[Month],L$7,Headcount[Cost Center],$B13)/SUMIFS(Headcount[FTE],Headcount[Month],L$7)</f>
        <v>0.15384615384615385</v>
      </c>
      <c r="M13" s="44">
        <f>SUMIFS(Headcount[FTE],Headcount[Month],M$7,Headcount[Cost Center],$B13)/SUMIFS(Headcount[FTE],Headcount[Month],M$7)</f>
        <v>0.15384615384615385</v>
      </c>
      <c r="N13" s="44">
        <f>SUMIFS(Headcount[FTE],Headcount[Month],N$7,Headcount[Cost Center],$B13)/SUMIFS(Headcount[FTE],Headcount[Month],N$7)</f>
        <v>0.15384615384615385</v>
      </c>
      <c r="O13" s="44">
        <f>SUMIFS(Headcount[FTE],Headcount[Month],O$7,Headcount[Cost Center],$B13)/SUMIFS(Headcount[FTE],Headcount[Month],O$7)</f>
        <v>0.15384615384615385</v>
      </c>
    </row>
    <row r="14" spans="2:15" ht="15" customHeight="1">
      <c r="B14" s="19" t="s">
        <v>16</v>
      </c>
      <c r="C14" s="14" t="s">
        <v>17</v>
      </c>
      <c r="D14" s="44">
        <f>SUMIFS(Headcount[FTE],Headcount[Month],D$7,Headcount[Cost Center],$B14)/SUMIFS(Headcount[FTE],Headcount[Month],D$7)</f>
        <v>0.12</v>
      </c>
      <c r="E14" s="44">
        <f>SUMIFS(Headcount[FTE],Headcount[Month],E$7,Headcount[Cost Center],$B14)/SUMIFS(Headcount[FTE],Headcount[Month],E$7)</f>
        <v>0.12</v>
      </c>
      <c r="F14" s="44">
        <f>SUMIFS(Headcount[FTE],Headcount[Month],F$7,Headcount[Cost Center],$B14)/SUMIFS(Headcount[FTE],Headcount[Month],F$7)</f>
        <v>0.12</v>
      </c>
      <c r="G14" s="44">
        <f>SUMIFS(Headcount[FTE],Headcount[Month],G$7,Headcount[Cost Center],$B14)/SUMIFS(Headcount[FTE],Headcount[Month],G$7)</f>
        <v>0.12</v>
      </c>
      <c r="H14" s="44">
        <f>SUMIFS(Headcount[FTE],Headcount[Month],H$7,Headcount[Cost Center],$B14)/SUMIFS(Headcount[FTE],Headcount[Month],H$7)</f>
        <v>0.11538461538461539</v>
      </c>
      <c r="I14" s="44">
        <f>SUMIFS(Headcount[FTE],Headcount[Month],I$7,Headcount[Cost Center],$B14)/SUMIFS(Headcount[FTE],Headcount[Month],I$7)</f>
        <v>0.11538461538461539</v>
      </c>
      <c r="J14" s="44">
        <f>SUMIFS(Headcount[FTE],Headcount[Month],J$7,Headcount[Cost Center],$B14)/SUMIFS(Headcount[FTE],Headcount[Month],J$7)</f>
        <v>0.12</v>
      </c>
      <c r="K14" s="44">
        <f>SUMIFS(Headcount[FTE],Headcount[Month],K$7,Headcount[Cost Center],$B14)/SUMIFS(Headcount[FTE],Headcount[Month],K$7)</f>
        <v>0.11538461538461539</v>
      </c>
      <c r="L14" s="44">
        <f>SUMIFS(Headcount[FTE],Headcount[Month],L$7,Headcount[Cost Center],$B14)/SUMIFS(Headcount[FTE],Headcount[Month],L$7)</f>
        <v>0.11538461538461539</v>
      </c>
      <c r="M14" s="44">
        <f>SUMIFS(Headcount[FTE],Headcount[Month],M$7,Headcount[Cost Center],$B14)/SUMIFS(Headcount[FTE],Headcount[Month],M$7)</f>
        <v>0.11538461538461539</v>
      </c>
      <c r="N14" s="44">
        <f>SUMIFS(Headcount[FTE],Headcount[Month],N$7,Headcount[Cost Center],$B14)/SUMIFS(Headcount[FTE],Headcount[Month],N$7)</f>
        <v>7.6923076923076927E-2</v>
      </c>
      <c r="O14" s="44">
        <f>SUMIFS(Headcount[FTE],Headcount[Month],O$7,Headcount[Cost Center],$B14)/SUMIFS(Headcount[FTE],Headcount[Month],O$7)</f>
        <v>7.6923076923076927E-2</v>
      </c>
    </row>
    <row r="15" spans="2:15" ht="15" customHeight="1">
      <c r="B15" s="19" t="s">
        <v>18</v>
      </c>
      <c r="C15" s="14" t="s">
        <v>19</v>
      </c>
      <c r="D15" s="44">
        <f>SUMIFS(Headcount[FTE],Headcount[Month],D$7,Headcount[Cost Center],$B15)/SUMIFS(Headcount[FTE],Headcount[Month],D$7)</f>
        <v>0.16</v>
      </c>
      <c r="E15" s="44">
        <f>SUMIFS(Headcount[FTE],Headcount[Month],E$7,Headcount[Cost Center],$B15)/SUMIFS(Headcount[FTE],Headcount[Month],E$7)</f>
        <v>0.16</v>
      </c>
      <c r="F15" s="44">
        <f>SUMIFS(Headcount[FTE],Headcount[Month],F$7,Headcount[Cost Center],$B15)/SUMIFS(Headcount[FTE],Headcount[Month],F$7)</f>
        <v>0.16</v>
      </c>
      <c r="G15" s="44">
        <f>SUMIFS(Headcount[FTE],Headcount[Month],G$7,Headcount[Cost Center],$B15)/SUMIFS(Headcount[FTE],Headcount[Month],G$7)</f>
        <v>0.16</v>
      </c>
      <c r="H15" s="44">
        <f>SUMIFS(Headcount[FTE],Headcount[Month],H$7,Headcount[Cost Center],$B15)/SUMIFS(Headcount[FTE],Headcount[Month],H$7)</f>
        <v>0.15384615384615385</v>
      </c>
      <c r="I15" s="44">
        <f>SUMIFS(Headcount[FTE],Headcount[Month],I$7,Headcount[Cost Center],$B15)/SUMIFS(Headcount[FTE],Headcount[Month],I$7)</f>
        <v>0.15384615384615385</v>
      </c>
      <c r="J15" s="44">
        <f>SUMIFS(Headcount[FTE],Headcount[Month],J$7,Headcount[Cost Center],$B15)/SUMIFS(Headcount[FTE],Headcount[Month],J$7)</f>
        <v>0.12</v>
      </c>
      <c r="K15" s="44">
        <f>SUMIFS(Headcount[FTE],Headcount[Month],K$7,Headcount[Cost Center],$B15)/SUMIFS(Headcount[FTE],Headcount[Month],K$7)</f>
        <v>0.15384615384615385</v>
      </c>
      <c r="L15" s="44">
        <f>SUMIFS(Headcount[FTE],Headcount[Month],L$7,Headcount[Cost Center],$B15)/SUMIFS(Headcount[FTE],Headcount[Month],L$7)</f>
        <v>0.15384615384615385</v>
      </c>
      <c r="M15" s="44">
        <f>SUMIFS(Headcount[FTE],Headcount[Month],M$7,Headcount[Cost Center],$B15)/SUMIFS(Headcount[FTE],Headcount[Month],M$7)</f>
        <v>0.15384615384615385</v>
      </c>
      <c r="N15" s="44">
        <f>SUMIFS(Headcount[FTE],Headcount[Month],N$7,Headcount[Cost Center],$B15)/SUMIFS(Headcount[FTE],Headcount[Month],N$7)</f>
        <v>0.15384615384615385</v>
      </c>
      <c r="O15" s="44">
        <f>SUMIFS(Headcount[FTE],Headcount[Month],O$7,Headcount[Cost Center],$B15)/SUMIFS(Headcount[FTE],Headcount[Month],O$7)</f>
        <v>0.15384615384615385</v>
      </c>
    </row>
    <row r="16" spans="2:15" ht="15" customHeight="1">
      <c r="B16" s="19" t="s">
        <v>20</v>
      </c>
      <c r="C16" s="14" t="s">
        <v>21</v>
      </c>
      <c r="D16" s="44">
        <f>SUMIFS(Headcount[FTE],Headcount[Month],D$7,Headcount[Cost Center],$B16)/SUMIFS(Headcount[FTE],Headcount[Month],D$7)</f>
        <v>0.16</v>
      </c>
      <c r="E16" s="44">
        <f>SUMIFS(Headcount[FTE],Headcount[Month],E$7,Headcount[Cost Center],$B16)/SUMIFS(Headcount[FTE],Headcount[Month],E$7)</f>
        <v>0.16</v>
      </c>
      <c r="F16" s="44">
        <f>SUMIFS(Headcount[FTE],Headcount[Month],F$7,Headcount[Cost Center],$B16)/SUMIFS(Headcount[FTE],Headcount[Month],F$7)</f>
        <v>0.16</v>
      </c>
      <c r="G16" s="44">
        <f>SUMIFS(Headcount[FTE],Headcount[Month],G$7,Headcount[Cost Center],$B16)/SUMIFS(Headcount[FTE],Headcount[Month],G$7)</f>
        <v>0.16</v>
      </c>
      <c r="H16" s="44">
        <f>SUMIFS(Headcount[FTE],Headcount[Month],H$7,Headcount[Cost Center],$B16)/SUMIFS(Headcount[FTE],Headcount[Month],H$7)</f>
        <v>0.15384615384615385</v>
      </c>
      <c r="I16" s="44">
        <f>SUMIFS(Headcount[FTE],Headcount[Month],I$7,Headcount[Cost Center],$B16)/SUMIFS(Headcount[FTE],Headcount[Month],I$7)</f>
        <v>0.15384615384615385</v>
      </c>
      <c r="J16" s="44">
        <f>SUMIFS(Headcount[FTE],Headcount[Month],J$7,Headcount[Cost Center],$B16)/SUMIFS(Headcount[FTE],Headcount[Month],J$7)</f>
        <v>0.16</v>
      </c>
      <c r="K16" s="44">
        <f>SUMIFS(Headcount[FTE],Headcount[Month],K$7,Headcount[Cost Center],$B16)/SUMIFS(Headcount[FTE],Headcount[Month],K$7)</f>
        <v>0.15384615384615385</v>
      </c>
      <c r="L16" s="44">
        <f>SUMIFS(Headcount[FTE],Headcount[Month],L$7,Headcount[Cost Center],$B16)/SUMIFS(Headcount[FTE],Headcount[Month],L$7)</f>
        <v>0.19230769230769232</v>
      </c>
      <c r="M16" s="44">
        <f>SUMIFS(Headcount[FTE],Headcount[Month],M$7,Headcount[Cost Center],$B16)/SUMIFS(Headcount[FTE],Headcount[Month],M$7)</f>
        <v>0.19230769230769232</v>
      </c>
      <c r="N16" s="44">
        <f>SUMIFS(Headcount[FTE],Headcount[Month],N$7,Headcount[Cost Center],$B16)/SUMIFS(Headcount[FTE],Headcount[Month],N$7)</f>
        <v>0.19230769230769232</v>
      </c>
      <c r="O16" s="44">
        <f>SUMIFS(Headcount[FTE],Headcount[Month],O$7,Headcount[Cost Center],$B16)/SUMIFS(Headcount[FTE],Headcount[Month],O$7)</f>
        <v>0.19230769230769232</v>
      </c>
    </row>
    <row r="17" spans="2:16" ht="15" customHeight="1">
      <c r="B17" s="46"/>
      <c r="C17" s="47" t="s">
        <v>22</v>
      </c>
      <c r="D17" s="48">
        <f t="shared" ref="D17:O17" si="0">SUM(D8:D16)</f>
        <v>1</v>
      </c>
      <c r="E17" s="48">
        <f t="shared" si="0"/>
        <v>1</v>
      </c>
      <c r="F17" s="48">
        <f t="shared" si="0"/>
        <v>1</v>
      </c>
      <c r="G17" s="48">
        <f t="shared" si="0"/>
        <v>1</v>
      </c>
      <c r="H17" s="48">
        <f t="shared" si="0"/>
        <v>1</v>
      </c>
      <c r="I17" s="48">
        <f t="shared" si="0"/>
        <v>1</v>
      </c>
      <c r="J17" s="48">
        <f t="shared" si="0"/>
        <v>1</v>
      </c>
      <c r="K17" s="48">
        <f t="shared" si="0"/>
        <v>1</v>
      </c>
      <c r="L17" s="48">
        <f t="shared" si="0"/>
        <v>1</v>
      </c>
      <c r="M17" s="48">
        <f t="shared" si="0"/>
        <v>1</v>
      </c>
      <c r="N17" s="48">
        <f t="shared" si="0"/>
        <v>0.99999999999999989</v>
      </c>
      <c r="O17" s="48">
        <f t="shared" si="0"/>
        <v>0.99999999999999989</v>
      </c>
    </row>
    <row r="19" spans="2:16" ht="15" customHeight="1">
      <c r="B19" s="42" t="s">
        <v>23</v>
      </c>
    </row>
    <row r="22" spans="2:16" ht="15" customHeight="1">
      <c r="B22" s="49" t="s">
        <v>24</v>
      </c>
      <c r="D22" s="49" t="s">
        <v>25</v>
      </c>
    </row>
    <row r="23" spans="2:16" ht="15" customHeight="1">
      <c r="B23" s="49" t="s">
        <v>26</v>
      </c>
      <c r="C23" s="49" t="s">
        <v>27</v>
      </c>
      <c r="D23" s="138">
        <v>45839</v>
      </c>
      <c r="E23" s="138">
        <v>45870</v>
      </c>
      <c r="F23" s="138">
        <v>45901</v>
      </c>
      <c r="G23" s="138">
        <v>45931</v>
      </c>
      <c r="H23" s="138">
        <v>45962</v>
      </c>
      <c r="I23" s="138">
        <v>45992</v>
      </c>
      <c r="J23" s="138">
        <v>46023</v>
      </c>
      <c r="K23" s="138">
        <v>46054</v>
      </c>
      <c r="L23" s="138">
        <v>46082</v>
      </c>
      <c r="M23" s="138">
        <v>46113</v>
      </c>
      <c r="N23" s="138">
        <v>46143</v>
      </c>
      <c r="O23" s="138">
        <v>46174</v>
      </c>
    </row>
    <row r="24" spans="2:16" ht="15" customHeight="1">
      <c r="B24" s="12" t="s">
        <v>28</v>
      </c>
      <c r="C24" s="12" t="s">
        <v>96</v>
      </c>
      <c r="D24" s="50">
        <v>122644.38000000002</v>
      </c>
      <c r="E24" s="50">
        <v>124657.04000000001</v>
      </c>
      <c r="F24" s="50">
        <v>128036.33</v>
      </c>
      <c r="G24" s="50">
        <v>129101.80000000002</v>
      </c>
      <c r="H24" s="50">
        <v>124722.61000000018</v>
      </c>
      <c r="I24" s="50">
        <v>126875.50999999989</v>
      </c>
      <c r="J24" s="50">
        <v>125556.76000000001</v>
      </c>
      <c r="K24" s="50">
        <v>128749.39000000022</v>
      </c>
      <c r="L24" s="50">
        <v>126150.07000000012</v>
      </c>
      <c r="M24" s="50">
        <v>127182.12</v>
      </c>
      <c r="N24" s="50">
        <v>118864.15000000001</v>
      </c>
      <c r="O24" s="50">
        <v>124378.35000000011</v>
      </c>
    </row>
    <row r="25" spans="2:16" ht="15" customHeight="1">
      <c r="B25" s="12" t="s">
        <v>29</v>
      </c>
      <c r="C25" s="12" t="s">
        <v>98</v>
      </c>
      <c r="D25" s="50">
        <v>9382.2899999999991</v>
      </c>
      <c r="E25" s="50">
        <v>9536.26</v>
      </c>
      <c r="F25" s="50">
        <v>9794.7799999999988</v>
      </c>
      <c r="G25" s="50">
        <v>9876.2899999999991</v>
      </c>
      <c r="H25" s="50">
        <v>9541.2799999999988</v>
      </c>
      <c r="I25" s="50">
        <v>9705.9699999999993</v>
      </c>
      <c r="J25" s="50">
        <v>9605.1</v>
      </c>
      <c r="K25" s="50">
        <v>9849.3300000000054</v>
      </c>
      <c r="L25" s="50">
        <v>9650.48</v>
      </c>
      <c r="M25" s="50">
        <v>9729.4399999999878</v>
      </c>
      <c r="N25" s="50">
        <v>9093.1</v>
      </c>
      <c r="O25" s="50">
        <v>9514.9399999999878</v>
      </c>
    </row>
    <row r="26" spans="2:16" ht="15" customHeight="1">
      <c r="B26" s="12" t="s">
        <v>30</v>
      </c>
      <c r="C26" s="12" t="s">
        <v>99</v>
      </c>
      <c r="D26" s="50">
        <v>20567.460000000003</v>
      </c>
      <c r="E26" s="50">
        <v>20904.989999999998</v>
      </c>
      <c r="F26" s="50">
        <v>21471.700000000004</v>
      </c>
      <c r="G26" s="50">
        <v>21650.370000000003</v>
      </c>
      <c r="H26" s="50">
        <v>20915.980000000018</v>
      </c>
      <c r="I26" s="50">
        <v>21277.010000000028</v>
      </c>
      <c r="J26" s="50">
        <v>21055.86</v>
      </c>
      <c r="K26" s="50">
        <v>21591.280000000002</v>
      </c>
      <c r="L26" s="50">
        <v>21155.360000000015</v>
      </c>
      <c r="M26" s="50">
        <v>21328.450000000015</v>
      </c>
      <c r="N26" s="50">
        <v>19933.510000000009</v>
      </c>
      <c r="O26" s="50">
        <v>20858.250000000018</v>
      </c>
    </row>
    <row r="27" spans="2:16" ht="15" customHeight="1">
      <c r="B27" s="12" t="s">
        <v>31</v>
      </c>
      <c r="C27" s="12" t="s">
        <v>100</v>
      </c>
      <c r="D27" s="50">
        <v>3679.3299999999995</v>
      </c>
      <c r="E27" s="50">
        <v>3739.7100000000005</v>
      </c>
      <c r="F27" s="50">
        <v>3841.0899999999992</v>
      </c>
      <c r="G27" s="50">
        <v>3873.0499999999997</v>
      </c>
      <c r="H27" s="50">
        <v>3741.6700000000005</v>
      </c>
      <c r="I27" s="50">
        <v>3806.260000000002</v>
      </c>
      <c r="J27" s="50">
        <v>3766.7000000000003</v>
      </c>
      <c r="K27" s="50">
        <v>3862.4799999999987</v>
      </c>
      <c r="L27" s="50">
        <v>3784.5000000000009</v>
      </c>
      <c r="M27" s="50">
        <v>3815.4599999999996</v>
      </c>
      <c r="N27" s="50">
        <v>3565.930000000003</v>
      </c>
      <c r="O27" s="50">
        <v>3731.35</v>
      </c>
    </row>
    <row r="28" spans="2:16" ht="15" customHeight="1">
      <c r="B28" s="12" t="s">
        <v>685</v>
      </c>
      <c r="D28" s="50">
        <v>156273.46</v>
      </c>
      <c r="E28" s="50">
        <v>158838</v>
      </c>
      <c r="F28" s="50">
        <v>163143.9</v>
      </c>
      <c r="G28" s="50">
        <v>164501.51</v>
      </c>
      <c r="H28" s="50">
        <v>158921.54000000021</v>
      </c>
      <c r="I28" s="50">
        <v>161664.74999999994</v>
      </c>
      <c r="J28" s="50">
        <v>159984.42000000004</v>
      </c>
      <c r="K28" s="50">
        <v>164052.48000000024</v>
      </c>
      <c r="L28" s="50">
        <v>160740.41000000015</v>
      </c>
      <c r="M28" s="50">
        <v>162055.47</v>
      </c>
      <c r="N28" s="50">
        <v>151456.69</v>
      </c>
      <c r="O28" s="50">
        <v>158482.89000000013</v>
      </c>
    </row>
    <row r="29" spans="2:16" ht="15" customHeight="1">
      <c r="D29" s="34"/>
      <c r="E29" s="34"/>
      <c r="F29" s="34"/>
      <c r="G29" s="34"/>
      <c r="H29" s="34"/>
      <c r="I29" s="34"/>
      <c r="J29" s="34"/>
      <c r="K29" s="34"/>
      <c r="L29" s="34"/>
      <c r="M29" s="34"/>
      <c r="N29" s="34"/>
      <c r="O29" s="34"/>
      <c r="P29" s="34"/>
    </row>
    <row r="30" spans="2:16" ht="15" customHeight="1">
      <c r="D30" s="34"/>
      <c r="E30" s="34"/>
      <c r="F30" s="34"/>
      <c r="G30" s="34"/>
      <c r="H30" s="34"/>
      <c r="I30" s="34"/>
      <c r="J30" s="34"/>
      <c r="K30" s="34"/>
      <c r="L30" s="34"/>
      <c r="M30" s="34"/>
      <c r="N30" s="34"/>
      <c r="O30" s="34"/>
      <c r="P30" s="34"/>
    </row>
    <row r="31" spans="2:16" ht="15" customHeight="1">
      <c r="D31" s="34"/>
      <c r="E31" s="34"/>
      <c r="F31" s="34"/>
      <c r="G31" s="34"/>
      <c r="H31" s="34"/>
      <c r="I31" s="34"/>
      <c r="J31" s="34"/>
      <c r="K31" s="34"/>
      <c r="L31" s="34"/>
      <c r="M31" s="34"/>
      <c r="N31" s="34"/>
      <c r="O31" s="34"/>
      <c r="P31" s="34"/>
    </row>
    <row r="32" spans="2:16" ht="15" customHeight="1">
      <c r="D32" s="34"/>
      <c r="E32" s="34"/>
      <c r="F32" s="34"/>
      <c r="G32" s="34"/>
      <c r="H32" s="34"/>
      <c r="I32" s="34"/>
      <c r="J32" s="34"/>
      <c r="K32" s="34"/>
      <c r="L32" s="34"/>
      <c r="M32" s="34"/>
      <c r="N32" s="34"/>
      <c r="O32" s="34"/>
      <c r="P32" s="34"/>
    </row>
    <row r="33" spans="2:15" ht="15" customHeight="1">
      <c r="B33" s="49" t="s">
        <v>24</v>
      </c>
      <c r="D33" s="49" t="s">
        <v>25</v>
      </c>
    </row>
    <row r="34" spans="2:15" ht="15" customHeight="1">
      <c r="B34" s="49" t="s">
        <v>26</v>
      </c>
      <c r="C34" s="49" t="s">
        <v>27</v>
      </c>
      <c r="D34" s="138">
        <v>45839</v>
      </c>
      <c r="E34" s="138">
        <v>45870</v>
      </c>
      <c r="F34" s="138">
        <v>45901</v>
      </c>
      <c r="G34" s="138">
        <v>45931</v>
      </c>
      <c r="H34" s="138">
        <v>45962</v>
      </c>
      <c r="I34" s="138">
        <v>45992</v>
      </c>
      <c r="J34" s="138">
        <v>46023</v>
      </c>
      <c r="K34" s="138">
        <v>46054</v>
      </c>
      <c r="L34" s="138">
        <v>46082</v>
      </c>
      <c r="M34" s="138">
        <v>46113</v>
      </c>
      <c r="N34" s="138">
        <v>46143</v>
      </c>
      <c r="O34" s="138">
        <v>46174</v>
      </c>
    </row>
    <row r="35" spans="2:15" ht="15" customHeight="1">
      <c r="B35" s="12" t="s">
        <v>32</v>
      </c>
      <c r="C35" s="12" t="s">
        <v>103</v>
      </c>
      <c r="D35" s="50">
        <v>9800</v>
      </c>
      <c r="E35" s="50">
        <v>9800</v>
      </c>
      <c r="F35" s="50">
        <v>9800</v>
      </c>
      <c r="G35" s="50">
        <v>9800</v>
      </c>
      <c r="H35" s="50">
        <v>9800.0000000000073</v>
      </c>
      <c r="I35" s="50">
        <v>9800.0000000000073</v>
      </c>
      <c r="J35" s="50">
        <v>9800</v>
      </c>
      <c r="K35" s="50">
        <v>9800.0000000000073</v>
      </c>
      <c r="L35" s="50">
        <v>9800.0000000000091</v>
      </c>
      <c r="M35" s="50">
        <v>9800.0000000000091</v>
      </c>
      <c r="N35" s="50">
        <v>9800.0000000000091</v>
      </c>
      <c r="O35" s="50">
        <v>9800.0000000000091</v>
      </c>
    </row>
    <row r="36" spans="2:15" ht="15" customHeight="1">
      <c r="B36" s="12" t="s">
        <v>33</v>
      </c>
      <c r="C36" s="12" t="s">
        <v>104</v>
      </c>
      <c r="D36" s="50">
        <v>1423.7600000000002</v>
      </c>
      <c r="E36" s="50">
        <v>1470.97</v>
      </c>
      <c r="F36" s="50">
        <v>1091.6200000000001</v>
      </c>
      <c r="G36" s="50">
        <v>1006.4800000000002</v>
      </c>
      <c r="H36" s="50">
        <v>1124.3200000000008</v>
      </c>
      <c r="I36" s="50">
        <v>1350.3400000000006</v>
      </c>
      <c r="J36" s="50">
        <v>1354.45</v>
      </c>
      <c r="K36" s="50">
        <v>1324.3800000000006</v>
      </c>
      <c r="L36" s="50">
        <v>1018.5400000000011</v>
      </c>
      <c r="M36" s="50">
        <v>836.04999999999984</v>
      </c>
      <c r="N36" s="50">
        <v>919.33999999999992</v>
      </c>
      <c r="O36" s="50">
        <v>918.79000000000099</v>
      </c>
    </row>
    <row r="37" spans="2:15" ht="15" customHeight="1">
      <c r="B37" s="12" t="s">
        <v>685</v>
      </c>
      <c r="D37" s="50">
        <v>11223.76</v>
      </c>
      <c r="E37" s="50">
        <v>11270.97</v>
      </c>
      <c r="F37" s="50">
        <v>10891.62</v>
      </c>
      <c r="G37" s="50">
        <v>10806.48</v>
      </c>
      <c r="H37" s="50">
        <v>10924.320000000009</v>
      </c>
      <c r="I37" s="50">
        <v>11150.340000000007</v>
      </c>
      <c r="J37" s="50">
        <v>11154.45</v>
      </c>
      <c r="K37" s="50">
        <v>11124.380000000008</v>
      </c>
      <c r="L37" s="50">
        <v>10818.54000000001</v>
      </c>
      <c r="M37" s="50">
        <v>10636.050000000008</v>
      </c>
      <c r="N37" s="50">
        <v>10719.340000000009</v>
      </c>
      <c r="O37" s="50">
        <v>10718.79000000001</v>
      </c>
    </row>
    <row r="38" spans="2:15" ht="15" customHeight="1"/>
  </sheetData>
  <pageMargins left="0.75" right="0.75" top="1" bottom="1" header="0.511811023622047" footer="0.511811023622047"/>
  <pageSetup paperSize="9" orientation="portrait" horizontalDpi="300" verticalDpi="300"/>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22"/>
  <sheetViews>
    <sheetView showGridLines="0" zoomScaleNormal="100" workbookViewId="0">
      <pane ySplit="1" topLeftCell="A2" activePane="bottomLeft" state="frozen"/>
      <selection pane="bottomLeft" activeCell="I14" sqref="I14"/>
    </sheetView>
  </sheetViews>
  <sheetFormatPr baseColWidth="10" defaultColWidth="8.6640625" defaultRowHeight="15"/>
  <cols>
    <col min="1" max="1" width="10" style="12" customWidth="1"/>
    <col min="2" max="2" width="12" style="12" customWidth="1"/>
    <col min="3" max="3" width="24" style="12" customWidth="1"/>
    <col min="4" max="4" width="12" style="12" customWidth="1"/>
    <col min="5" max="6" width="22" style="12" customWidth="1"/>
    <col min="7" max="7" width="8" style="12" customWidth="1"/>
    <col min="8" max="16384" width="8.6640625" style="12"/>
  </cols>
  <sheetData>
    <row r="1" spans="1:7" ht="15" customHeight="1">
      <c r="A1" s="43" t="s">
        <v>134</v>
      </c>
      <c r="B1" s="43" t="s">
        <v>135</v>
      </c>
      <c r="C1" s="43" t="s">
        <v>136</v>
      </c>
      <c r="D1" s="43" t="s">
        <v>2</v>
      </c>
      <c r="E1" s="43" t="s">
        <v>3</v>
      </c>
      <c r="F1" s="43" t="s">
        <v>130</v>
      </c>
      <c r="G1" s="43" t="s">
        <v>137</v>
      </c>
    </row>
    <row r="2" spans="1:7" ht="15" customHeight="1">
      <c r="A2" s="13">
        <v>45839</v>
      </c>
      <c r="B2" s="19" t="s">
        <v>138</v>
      </c>
      <c r="C2" s="14" t="s">
        <v>139</v>
      </c>
      <c r="D2" s="19" t="s">
        <v>4</v>
      </c>
      <c r="E2" s="14" t="s">
        <v>5</v>
      </c>
      <c r="F2" s="14" t="str">
        <f>_xlfn.XLOOKUP(Headcount[[#This Row],[Cost Center]],'Cost Centers'!A:A,'Cost Centers'!C:C,"")</f>
        <v>Admin</v>
      </c>
      <c r="G2" s="51">
        <v>1</v>
      </c>
    </row>
    <row r="3" spans="1:7" ht="15" customHeight="1">
      <c r="A3" s="13">
        <v>45839</v>
      </c>
      <c r="B3" s="19" t="s">
        <v>140</v>
      </c>
      <c r="C3" s="14" t="s">
        <v>141</v>
      </c>
      <c r="D3" s="19" t="s">
        <v>6</v>
      </c>
      <c r="E3" s="14" t="s">
        <v>7</v>
      </c>
      <c r="F3" s="14" t="str">
        <f>_xlfn.XLOOKUP(Headcount[[#This Row],[Cost Center]],'Cost Centers'!A:A,'Cost Centers'!C:C,"")</f>
        <v>Admin</v>
      </c>
      <c r="G3" s="51">
        <v>1</v>
      </c>
    </row>
    <row r="4" spans="1:7" ht="15" customHeight="1">
      <c r="A4" s="13">
        <v>45839</v>
      </c>
      <c r="B4" s="19" t="s">
        <v>142</v>
      </c>
      <c r="C4" s="14" t="s">
        <v>143</v>
      </c>
      <c r="D4" s="19" t="s">
        <v>6</v>
      </c>
      <c r="E4" s="14" t="s">
        <v>7</v>
      </c>
      <c r="F4" s="14" t="str">
        <f>_xlfn.XLOOKUP(Headcount[[#This Row],[Cost Center]],'Cost Centers'!A:A,'Cost Centers'!C:C,"")</f>
        <v>Admin</v>
      </c>
      <c r="G4" s="51">
        <v>1</v>
      </c>
    </row>
    <row r="5" spans="1:7" ht="15" customHeight="1">
      <c r="A5" s="13">
        <v>45839</v>
      </c>
      <c r="B5" s="19" t="s">
        <v>144</v>
      </c>
      <c r="C5" s="14" t="s">
        <v>145</v>
      </c>
      <c r="D5" s="19" t="s">
        <v>8</v>
      </c>
      <c r="E5" s="14" t="s">
        <v>9</v>
      </c>
      <c r="F5" s="14" t="str">
        <f>_xlfn.XLOOKUP(Headcount[[#This Row],[Cost Center]],'Cost Centers'!A:A,'Cost Centers'!C:C,"")</f>
        <v>Admin</v>
      </c>
      <c r="G5" s="51">
        <v>1</v>
      </c>
    </row>
    <row r="6" spans="1:7" ht="15" customHeight="1">
      <c r="A6" s="13">
        <v>45839</v>
      </c>
      <c r="B6" s="19" t="s">
        <v>146</v>
      </c>
      <c r="C6" s="14" t="s">
        <v>147</v>
      </c>
      <c r="D6" s="19" t="s">
        <v>8</v>
      </c>
      <c r="E6" s="14" t="s">
        <v>9</v>
      </c>
      <c r="F6" s="14" t="str">
        <f>_xlfn.XLOOKUP(Headcount[[#This Row],[Cost Center]],'Cost Centers'!A:A,'Cost Centers'!C:C,"")</f>
        <v>Admin</v>
      </c>
      <c r="G6" s="51">
        <v>1</v>
      </c>
    </row>
    <row r="7" spans="1:7" ht="15" customHeight="1">
      <c r="A7" s="13">
        <v>45839</v>
      </c>
      <c r="B7" s="19" t="s">
        <v>148</v>
      </c>
      <c r="C7" s="14" t="s">
        <v>149</v>
      </c>
      <c r="D7" s="19" t="s">
        <v>10</v>
      </c>
      <c r="E7" s="14" t="s">
        <v>11</v>
      </c>
      <c r="F7" s="14" t="str">
        <f>_xlfn.XLOOKUP(Headcount[[#This Row],[Cost Center]],'Cost Centers'!A:A,'Cost Centers'!C:C,"")</f>
        <v>Admin</v>
      </c>
      <c r="G7" s="51">
        <v>1</v>
      </c>
    </row>
    <row r="8" spans="1:7" ht="15" customHeight="1">
      <c r="A8" s="13">
        <v>45839</v>
      </c>
      <c r="B8" s="19" t="s">
        <v>150</v>
      </c>
      <c r="C8" s="14" t="s">
        <v>151</v>
      </c>
      <c r="D8" s="19" t="s">
        <v>10</v>
      </c>
      <c r="E8" s="14" t="s">
        <v>11</v>
      </c>
      <c r="F8" s="14" t="str">
        <f>_xlfn.XLOOKUP(Headcount[[#This Row],[Cost Center]],'Cost Centers'!A:A,'Cost Centers'!C:C,"")</f>
        <v>Admin</v>
      </c>
      <c r="G8" s="51">
        <v>1</v>
      </c>
    </row>
    <row r="9" spans="1:7" ht="15" customHeight="1">
      <c r="A9" s="13">
        <v>45839</v>
      </c>
      <c r="B9" s="19" t="s">
        <v>152</v>
      </c>
      <c r="C9" s="14" t="s">
        <v>153</v>
      </c>
      <c r="D9" s="19" t="s">
        <v>12</v>
      </c>
      <c r="E9" s="14" t="s">
        <v>13</v>
      </c>
      <c r="F9" s="14" t="str">
        <f>_xlfn.XLOOKUP(Headcount[[#This Row],[Cost Center]],'Cost Centers'!A:A,'Cost Centers'!C:C,"")</f>
        <v>Programs</v>
      </c>
      <c r="G9" s="51">
        <v>1</v>
      </c>
    </row>
    <row r="10" spans="1:7" ht="15" customHeight="1">
      <c r="A10" s="13">
        <v>45839</v>
      </c>
      <c r="B10" s="19" t="s">
        <v>154</v>
      </c>
      <c r="C10" s="14" t="s">
        <v>155</v>
      </c>
      <c r="D10" s="19" t="s">
        <v>12</v>
      </c>
      <c r="E10" s="14" t="s">
        <v>13</v>
      </c>
      <c r="F10" s="14" t="str">
        <f>_xlfn.XLOOKUP(Headcount[[#This Row],[Cost Center]],'Cost Centers'!A:A,'Cost Centers'!C:C,"")</f>
        <v>Programs</v>
      </c>
      <c r="G10" s="51">
        <v>0.5</v>
      </c>
    </row>
    <row r="11" spans="1:7" ht="15" customHeight="1">
      <c r="A11" s="13">
        <v>45839</v>
      </c>
      <c r="B11" s="19" t="s">
        <v>156</v>
      </c>
      <c r="C11" s="14" t="s">
        <v>157</v>
      </c>
      <c r="D11" s="19" t="s">
        <v>12</v>
      </c>
      <c r="E11" s="14" t="s">
        <v>13</v>
      </c>
      <c r="F11" s="14" t="str">
        <f>_xlfn.XLOOKUP(Headcount[[#This Row],[Cost Center]],'Cost Centers'!A:A,'Cost Centers'!C:C,"")</f>
        <v>Programs</v>
      </c>
      <c r="G11" s="51">
        <v>1</v>
      </c>
    </row>
    <row r="12" spans="1:7" ht="15" customHeight="1">
      <c r="A12" s="13">
        <v>45839</v>
      </c>
      <c r="B12" s="19" t="s">
        <v>158</v>
      </c>
      <c r="C12" s="14" t="s">
        <v>159</v>
      </c>
      <c r="D12" s="19" t="s">
        <v>12</v>
      </c>
      <c r="E12" s="14" t="s">
        <v>13</v>
      </c>
      <c r="F12" s="14" t="str">
        <f>_xlfn.XLOOKUP(Headcount[[#This Row],[Cost Center]],'Cost Centers'!A:A,'Cost Centers'!C:C,"")</f>
        <v>Programs</v>
      </c>
      <c r="G12" s="51">
        <v>1</v>
      </c>
    </row>
    <row r="13" spans="1:7" ht="15" customHeight="1">
      <c r="A13" s="13">
        <v>45839</v>
      </c>
      <c r="B13" s="19" t="s">
        <v>160</v>
      </c>
      <c r="C13" s="14" t="s">
        <v>161</v>
      </c>
      <c r="D13" s="19" t="s">
        <v>14</v>
      </c>
      <c r="E13" s="14" t="s">
        <v>15</v>
      </c>
      <c r="F13" s="14" t="str">
        <f>_xlfn.XLOOKUP(Headcount[[#This Row],[Cost Center]],'Cost Centers'!A:A,'Cost Centers'!C:C,"")</f>
        <v>Programs</v>
      </c>
      <c r="G13" s="51">
        <v>1</v>
      </c>
    </row>
    <row r="14" spans="1:7" ht="15" customHeight="1">
      <c r="A14" s="13">
        <v>45839</v>
      </c>
      <c r="B14" s="19" t="s">
        <v>162</v>
      </c>
      <c r="C14" s="14" t="s">
        <v>163</v>
      </c>
      <c r="D14" s="19" t="s">
        <v>14</v>
      </c>
      <c r="E14" s="14" t="s">
        <v>15</v>
      </c>
      <c r="F14" s="14" t="str">
        <f>_xlfn.XLOOKUP(Headcount[[#This Row],[Cost Center]],'Cost Centers'!A:A,'Cost Centers'!C:C,"")</f>
        <v>Programs</v>
      </c>
      <c r="G14" s="51">
        <v>1</v>
      </c>
    </row>
    <row r="15" spans="1:7" ht="15" customHeight="1">
      <c r="A15" s="13">
        <v>45839</v>
      </c>
      <c r="B15" s="19" t="s">
        <v>164</v>
      </c>
      <c r="C15" s="14" t="s">
        <v>165</v>
      </c>
      <c r="D15" s="19" t="s">
        <v>14</v>
      </c>
      <c r="E15" s="14" t="s">
        <v>15</v>
      </c>
      <c r="F15" s="14" t="str">
        <f>_xlfn.XLOOKUP(Headcount[[#This Row],[Cost Center]],'Cost Centers'!A:A,'Cost Centers'!C:C,"")</f>
        <v>Programs</v>
      </c>
      <c r="G15" s="51">
        <v>1</v>
      </c>
    </row>
    <row r="16" spans="1:7" ht="15" customHeight="1">
      <c r="A16" s="13">
        <v>45839</v>
      </c>
      <c r="B16" s="19" t="s">
        <v>166</v>
      </c>
      <c r="C16" s="14" t="s">
        <v>167</v>
      </c>
      <c r="D16" s="19" t="s">
        <v>16</v>
      </c>
      <c r="E16" s="14" t="s">
        <v>17</v>
      </c>
      <c r="F16" s="14" t="str">
        <f>_xlfn.XLOOKUP(Headcount[[#This Row],[Cost Center]],'Cost Centers'!A:A,'Cost Centers'!C:C,"")</f>
        <v>Programs</v>
      </c>
      <c r="G16" s="51">
        <v>1</v>
      </c>
    </row>
    <row r="17" spans="1:7" ht="15" customHeight="1">
      <c r="A17" s="13">
        <v>45839</v>
      </c>
      <c r="B17" s="19" t="s">
        <v>168</v>
      </c>
      <c r="C17" s="14" t="s">
        <v>169</v>
      </c>
      <c r="D17" s="19" t="s">
        <v>16</v>
      </c>
      <c r="E17" s="14" t="s">
        <v>17</v>
      </c>
      <c r="F17" s="14" t="str">
        <f>_xlfn.XLOOKUP(Headcount[[#This Row],[Cost Center]],'Cost Centers'!A:A,'Cost Centers'!C:C,"")</f>
        <v>Programs</v>
      </c>
      <c r="G17" s="51">
        <v>1</v>
      </c>
    </row>
    <row r="18" spans="1:7" ht="15" customHeight="1">
      <c r="A18" s="13">
        <v>45839</v>
      </c>
      <c r="B18" s="19" t="s">
        <v>170</v>
      </c>
      <c r="C18" s="14" t="s">
        <v>171</v>
      </c>
      <c r="D18" s="19" t="s">
        <v>16</v>
      </c>
      <c r="E18" s="14" t="s">
        <v>17</v>
      </c>
      <c r="F18" s="14" t="str">
        <f>_xlfn.XLOOKUP(Headcount[[#This Row],[Cost Center]],'Cost Centers'!A:A,'Cost Centers'!C:C,"")</f>
        <v>Programs</v>
      </c>
      <c r="G18" s="51">
        <v>1</v>
      </c>
    </row>
    <row r="19" spans="1:7" ht="15" customHeight="1">
      <c r="A19" s="13">
        <v>45839</v>
      </c>
      <c r="B19" s="19" t="s">
        <v>172</v>
      </c>
      <c r="C19" s="14" t="s">
        <v>173</v>
      </c>
      <c r="D19" s="19" t="s">
        <v>18</v>
      </c>
      <c r="E19" s="14" t="s">
        <v>19</v>
      </c>
      <c r="F19" s="14" t="str">
        <f>_xlfn.XLOOKUP(Headcount[[#This Row],[Cost Center]],'Cost Centers'!A:A,'Cost Centers'!C:C,"")</f>
        <v>Programs</v>
      </c>
      <c r="G19" s="51">
        <v>1</v>
      </c>
    </row>
    <row r="20" spans="1:7" ht="15" customHeight="1">
      <c r="A20" s="13">
        <v>45839</v>
      </c>
      <c r="B20" s="19" t="s">
        <v>174</v>
      </c>
      <c r="C20" s="14" t="s">
        <v>175</v>
      </c>
      <c r="D20" s="19" t="s">
        <v>18</v>
      </c>
      <c r="E20" s="14" t="s">
        <v>19</v>
      </c>
      <c r="F20" s="14" t="str">
        <f>_xlfn.XLOOKUP(Headcount[[#This Row],[Cost Center]],'Cost Centers'!A:A,'Cost Centers'!C:C,"")</f>
        <v>Programs</v>
      </c>
      <c r="G20" s="51">
        <v>1</v>
      </c>
    </row>
    <row r="21" spans="1:7" ht="15" customHeight="1">
      <c r="A21" s="13">
        <v>45839</v>
      </c>
      <c r="B21" s="19" t="s">
        <v>176</v>
      </c>
      <c r="C21" s="14" t="s">
        <v>177</v>
      </c>
      <c r="D21" s="19" t="s">
        <v>18</v>
      </c>
      <c r="E21" s="14" t="s">
        <v>19</v>
      </c>
      <c r="F21" s="14" t="str">
        <f>_xlfn.XLOOKUP(Headcount[[#This Row],[Cost Center]],'Cost Centers'!A:A,'Cost Centers'!C:C,"")</f>
        <v>Programs</v>
      </c>
      <c r="G21" s="51">
        <v>1</v>
      </c>
    </row>
    <row r="22" spans="1:7" ht="15" customHeight="1">
      <c r="A22" s="13">
        <v>45839</v>
      </c>
      <c r="B22" s="19" t="s">
        <v>178</v>
      </c>
      <c r="C22" s="14" t="s">
        <v>179</v>
      </c>
      <c r="D22" s="19" t="s">
        <v>18</v>
      </c>
      <c r="E22" s="14" t="s">
        <v>19</v>
      </c>
      <c r="F22" s="14" t="str">
        <f>_xlfn.XLOOKUP(Headcount[[#This Row],[Cost Center]],'Cost Centers'!A:A,'Cost Centers'!C:C,"")</f>
        <v>Programs</v>
      </c>
      <c r="G22" s="51">
        <v>1</v>
      </c>
    </row>
    <row r="23" spans="1:7" ht="15" customHeight="1">
      <c r="A23" s="13">
        <v>45839</v>
      </c>
      <c r="B23" s="19" t="s">
        <v>180</v>
      </c>
      <c r="C23" s="14" t="s">
        <v>181</v>
      </c>
      <c r="D23" s="19" t="s">
        <v>20</v>
      </c>
      <c r="E23" s="14" t="s">
        <v>21</v>
      </c>
      <c r="F23" s="14" t="str">
        <f>_xlfn.XLOOKUP(Headcount[[#This Row],[Cost Center]],'Cost Centers'!A:A,'Cost Centers'!C:C,"")</f>
        <v>Programs</v>
      </c>
      <c r="G23" s="51">
        <v>1</v>
      </c>
    </row>
    <row r="24" spans="1:7" ht="15" customHeight="1">
      <c r="A24" s="13">
        <v>45839</v>
      </c>
      <c r="B24" s="19" t="s">
        <v>182</v>
      </c>
      <c r="C24" s="14" t="s">
        <v>183</v>
      </c>
      <c r="D24" s="19" t="s">
        <v>20</v>
      </c>
      <c r="E24" s="14" t="s">
        <v>21</v>
      </c>
      <c r="F24" s="14" t="str">
        <f>_xlfn.XLOOKUP(Headcount[[#This Row],[Cost Center]],'Cost Centers'!A:A,'Cost Centers'!C:C,"")</f>
        <v>Programs</v>
      </c>
      <c r="G24" s="51">
        <v>1</v>
      </c>
    </row>
    <row r="25" spans="1:7" ht="15" customHeight="1">
      <c r="A25" s="13">
        <v>45839</v>
      </c>
      <c r="B25" s="19" t="s">
        <v>184</v>
      </c>
      <c r="C25" s="14" t="s">
        <v>185</v>
      </c>
      <c r="D25" s="19" t="s">
        <v>20</v>
      </c>
      <c r="E25" s="14" t="s">
        <v>21</v>
      </c>
      <c r="F25" s="14" t="str">
        <f>_xlfn.XLOOKUP(Headcount[[#This Row],[Cost Center]],'Cost Centers'!A:A,'Cost Centers'!C:C,"")</f>
        <v>Programs</v>
      </c>
      <c r="G25" s="51">
        <v>1</v>
      </c>
    </row>
    <row r="26" spans="1:7" ht="15" customHeight="1">
      <c r="A26" s="13">
        <v>45839</v>
      </c>
      <c r="B26" s="19" t="s">
        <v>186</v>
      </c>
      <c r="C26" s="14" t="s">
        <v>187</v>
      </c>
      <c r="D26" s="19" t="s">
        <v>20</v>
      </c>
      <c r="E26" s="14" t="s">
        <v>21</v>
      </c>
      <c r="F26" s="14" t="str">
        <f>_xlfn.XLOOKUP(Headcount[[#This Row],[Cost Center]],'Cost Centers'!A:A,'Cost Centers'!C:C,"")</f>
        <v>Programs</v>
      </c>
      <c r="G26" s="51">
        <v>1</v>
      </c>
    </row>
    <row r="27" spans="1:7" ht="15" customHeight="1">
      <c r="A27" s="13">
        <v>45839</v>
      </c>
      <c r="B27" s="19" t="s">
        <v>154</v>
      </c>
      <c r="C27" s="14" t="s">
        <v>155</v>
      </c>
      <c r="D27" s="19" t="s">
        <v>4</v>
      </c>
      <c r="E27" s="14" t="s">
        <v>5</v>
      </c>
      <c r="F27" s="14" t="str">
        <f>_xlfn.XLOOKUP(Headcount[[#This Row],[Cost Center]],'Cost Centers'!A:A,'Cost Centers'!C:C,"")</f>
        <v>Admin</v>
      </c>
      <c r="G27" s="51">
        <v>0.5</v>
      </c>
    </row>
    <row r="28" spans="1:7" ht="15" customHeight="1">
      <c r="A28" s="13">
        <v>45870</v>
      </c>
      <c r="B28" s="19" t="s">
        <v>138</v>
      </c>
      <c r="C28" s="14" t="s">
        <v>139</v>
      </c>
      <c r="D28" s="19" t="s">
        <v>4</v>
      </c>
      <c r="E28" s="14" t="s">
        <v>5</v>
      </c>
      <c r="F28" s="14" t="str">
        <f>_xlfn.XLOOKUP(Headcount[[#This Row],[Cost Center]],'Cost Centers'!A:A,'Cost Centers'!C:C,"")</f>
        <v>Admin</v>
      </c>
      <c r="G28" s="51">
        <v>1</v>
      </c>
    </row>
    <row r="29" spans="1:7" ht="15" customHeight="1">
      <c r="A29" s="13">
        <v>45870</v>
      </c>
      <c r="B29" s="19" t="s">
        <v>140</v>
      </c>
      <c r="C29" s="14" t="s">
        <v>141</v>
      </c>
      <c r="D29" s="19" t="s">
        <v>6</v>
      </c>
      <c r="E29" s="14" t="s">
        <v>7</v>
      </c>
      <c r="F29" s="14" t="str">
        <f>_xlfn.XLOOKUP(Headcount[[#This Row],[Cost Center]],'Cost Centers'!A:A,'Cost Centers'!C:C,"")</f>
        <v>Admin</v>
      </c>
      <c r="G29" s="51">
        <v>1</v>
      </c>
    </row>
    <row r="30" spans="1:7" ht="15" customHeight="1">
      <c r="A30" s="13">
        <v>45870</v>
      </c>
      <c r="B30" s="19" t="s">
        <v>142</v>
      </c>
      <c r="C30" s="14" t="s">
        <v>143</v>
      </c>
      <c r="D30" s="19" t="s">
        <v>6</v>
      </c>
      <c r="E30" s="14" t="s">
        <v>7</v>
      </c>
      <c r="F30" s="14" t="str">
        <f>_xlfn.XLOOKUP(Headcount[[#This Row],[Cost Center]],'Cost Centers'!A:A,'Cost Centers'!C:C,"")</f>
        <v>Admin</v>
      </c>
      <c r="G30" s="51">
        <v>1</v>
      </c>
    </row>
    <row r="31" spans="1:7" ht="15" customHeight="1">
      <c r="A31" s="13">
        <v>45870</v>
      </c>
      <c r="B31" s="19" t="s">
        <v>144</v>
      </c>
      <c r="C31" s="14" t="s">
        <v>145</v>
      </c>
      <c r="D31" s="19" t="s">
        <v>8</v>
      </c>
      <c r="E31" s="14" t="s">
        <v>9</v>
      </c>
      <c r="F31" s="14" t="str">
        <f>_xlfn.XLOOKUP(Headcount[[#This Row],[Cost Center]],'Cost Centers'!A:A,'Cost Centers'!C:C,"")</f>
        <v>Admin</v>
      </c>
      <c r="G31" s="51">
        <v>1</v>
      </c>
    </row>
    <row r="32" spans="1:7" ht="15" customHeight="1">
      <c r="A32" s="13">
        <v>45870</v>
      </c>
      <c r="B32" s="19" t="s">
        <v>146</v>
      </c>
      <c r="C32" s="14" t="s">
        <v>147</v>
      </c>
      <c r="D32" s="19" t="s">
        <v>8</v>
      </c>
      <c r="E32" s="14" t="s">
        <v>9</v>
      </c>
      <c r="F32" s="14" t="str">
        <f>_xlfn.XLOOKUP(Headcount[[#This Row],[Cost Center]],'Cost Centers'!A:A,'Cost Centers'!C:C,"")</f>
        <v>Admin</v>
      </c>
      <c r="G32" s="51">
        <v>1</v>
      </c>
    </row>
    <row r="33" spans="1:7" ht="15" customHeight="1">
      <c r="A33" s="13">
        <v>45870</v>
      </c>
      <c r="B33" s="19" t="s">
        <v>148</v>
      </c>
      <c r="C33" s="14" t="s">
        <v>149</v>
      </c>
      <c r="D33" s="19" t="s">
        <v>10</v>
      </c>
      <c r="E33" s="14" t="s">
        <v>11</v>
      </c>
      <c r="F33" s="14" t="str">
        <f>_xlfn.XLOOKUP(Headcount[[#This Row],[Cost Center]],'Cost Centers'!A:A,'Cost Centers'!C:C,"")</f>
        <v>Admin</v>
      </c>
      <c r="G33" s="51">
        <v>1</v>
      </c>
    </row>
    <row r="34" spans="1:7" ht="15" customHeight="1">
      <c r="A34" s="13">
        <v>45870</v>
      </c>
      <c r="B34" s="19" t="s">
        <v>150</v>
      </c>
      <c r="C34" s="14" t="s">
        <v>151</v>
      </c>
      <c r="D34" s="19" t="s">
        <v>10</v>
      </c>
      <c r="E34" s="14" t="s">
        <v>11</v>
      </c>
      <c r="F34" s="14" t="str">
        <f>_xlfn.XLOOKUP(Headcount[[#This Row],[Cost Center]],'Cost Centers'!A:A,'Cost Centers'!C:C,"")</f>
        <v>Admin</v>
      </c>
      <c r="G34" s="51">
        <v>1</v>
      </c>
    </row>
    <row r="35" spans="1:7" ht="15" customHeight="1">
      <c r="A35" s="13">
        <v>45870</v>
      </c>
      <c r="B35" s="19" t="s">
        <v>152</v>
      </c>
      <c r="C35" s="14" t="s">
        <v>153</v>
      </c>
      <c r="D35" s="19" t="s">
        <v>12</v>
      </c>
      <c r="E35" s="14" t="s">
        <v>13</v>
      </c>
      <c r="F35" s="14" t="str">
        <f>_xlfn.XLOOKUP(Headcount[[#This Row],[Cost Center]],'Cost Centers'!A:A,'Cost Centers'!C:C,"")</f>
        <v>Programs</v>
      </c>
      <c r="G35" s="51">
        <v>1</v>
      </c>
    </row>
    <row r="36" spans="1:7" ht="15" customHeight="1">
      <c r="A36" s="13">
        <v>45870</v>
      </c>
      <c r="B36" s="19" t="s">
        <v>154</v>
      </c>
      <c r="C36" s="14" t="s">
        <v>155</v>
      </c>
      <c r="D36" s="19" t="s">
        <v>4</v>
      </c>
      <c r="E36" s="14" t="s">
        <v>5</v>
      </c>
      <c r="F36" s="14" t="str">
        <f>_xlfn.XLOOKUP(Headcount[[#This Row],[Cost Center]],'Cost Centers'!A:A,'Cost Centers'!C:C,"")</f>
        <v>Admin</v>
      </c>
      <c r="G36" s="51">
        <v>0.5</v>
      </c>
    </row>
    <row r="37" spans="1:7" ht="15" customHeight="1">
      <c r="A37" s="13">
        <v>45870</v>
      </c>
      <c r="B37" s="19" t="s">
        <v>154</v>
      </c>
      <c r="C37" s="14" t="s">
        <v>155</v>
      </c>
      <c r="D37" s="19" t="s">
        <v>12</v>
      </c>
      <c r="E37" s="14" t="s">
        <v>13</v>
      </c>
      <c r="F37" s="14" t="str">
        <f>_xlfn.XLOOKUP(Headcount[[#This Row],[Cost Center]],'Cost Centers'!A:A,'Cost Centers'!C:C,"")</f>
        <v>Programs</v>
      </c>
      <c r="G37" s="51">
        <v>0.5</v>
      </c>
    </row>
    <row r="38" spans="1:7" ht="15" customHeight="1">
      <c r="A38" s="13">
        <v>45870</v>
      </c>
      <c r="B38" s="19" t="s">
        <v>156</v>
      </c>
      <c r="C38" s="14" t="s">
        <v>157</v>
      </c>
      <c r="D38" s="19" t="s">
        <v>12</v>
      </c>
      <c r="E38" s="14" t="s">
        <v>13</v>
      </c>
      <c r="F38" s="14" t="str">
        <f>_xlfn.XLOOKUP(Headcount[[#This Row],[Cost Center]],'Cost Centers'!A:A,'Cost Centers'!C:C,"")</f>
        <v>Programs</v>
      </c>
      <c r="G38" s="51">
        <v>1</v>
      </c>
    </row>
    <row r="39" spans="1:7" ht="15" customHeight="1">
      <c r="A39" s="13">
        <v>45870</v>
      </c>
      <c r="B39" s="19" t="s">
        <v>158</v>
      </c>
      <c r="C39" s="14" t="s">
        <v>159</v>
      </c>
      <c r="D39" s="19" t="s">
        <v>12</v>
      </c>
      <c r="E39" s="14" t="s">
        <v>13</v>
      </c>
      <c r="F39" s="14" t="str">
        <f>_xlfn.XLOOKUP(Headcount[[#This Row],[Cost Center]],'Cost Centers'!A:A,'Cost Centers'!C:C,"")</f>
        <v>Programs</v>
      </c>
      <c r="G39" s="51">
        <v>1</v>
      </c>
    </row>
    <row r="40" spans="1:7" ht="15" customHeight="1">
      <c r="A40" s="13">
        <v>45870</v>
      </c>
      <c r="B40" s="19" t="s">
        <v>160</v>
      </c>
      <c r="C40" s="14" t="s">
        <v>161</v>
      </c>
      <c r="D40" s="19" t="s">
        <v>14</v>
      </c>
      <c r="E40" s="14" t="s">
        <v>15</v>
      </c>
      <c r="F40" s="14" t="str">
        <f>_xlfn.XLOOKUP(Headcount[[#This Row],[Cost Center]],'Cost Centers'!A:A,'Cost Centers'!C:C,"")</f>
        <v>Programs</v>
      </c>
      <c r="G40" s="51">
        <v>1</v>
      </c>
    </row>
    <row r="41" spans="1:7" ht="15" customHeight="1">
      <c r="A41" s="13">
        <v>45870</v>
      </c>
      <c r="B41" s="19" t="s">
        <v>162</v>
      </c>
      <c r="C41" s="14" t="s">
        <v>163</v>
      </c>
      <c r="D41" s="19" t="s">
        <v>14</v>
      </c>
      <c r="E41" s="14" t="s">
        <v>15</v>
      </c>
      <c r="F41" s="14" t="str">
        <f>_xlfn.XLOOKUP(Headcount[[#This Row],[Cost Center]],'Cost Centers'!A:A,'Cost Centers'!C:C,"")</f>
        <v>Programs</v>
      </c>
      <c r="G41" s="51">
        <v>1</v>
      </c>
    </row>
    <row r="42" spans="1:7" ht="15" customHeight="1">
      <c r="A42" s="13">
        <v>45870</v>
      </c>
      <c r="B42" s="19" t="s">
        <v>164</v>
      </c>
      <c r="C42" s="14" t="s">
        <v>165</v>
      </c>
      <c r="D42" s="19" t="s">
        <v>14</v>
      </c>
      <c r="E42" s="14" t="s">
        <v>15</v>
      </c>
      <c r="F42" s="14" t="str">
        <f>_xlfn.XLOOKUP(Headcount[[#This Row],[Cost Center]],'Cost Centers'!A:A,'Cost Centers'!C:C,"")</f>
        <v>Programs</v>
      </c>
      <c r="G42" s="51">
        <v>1</v>
      </c>
    </row>
    <row r="43" spans="1:7" ht="15" customHeight="1">
      <c r="A43" s="13">
        <v>45870</v>
      </c>
      <c r="B43" s="19" t="s">
        <v>166</v>
      </c>
      <c r="C43" s="14" t="s">
        <v>167</v>
      </c>
      <c r="D43" s="19" t="s">
        <v>16</v>
      </c>
      <c r="E43" s="14" t="s">
        <v>17</v>
      </c>
      <c r="F43" s="14" t="str">
        <f>_xlfn.XLOOKUP(Headcount[[#This Row],[Cost Center]],'Cost Centers'!A:A,'Cost Centers'!C:C,"")</f>
        <v>Programs</v>
      </c>
      <c r="G43" s="51">
        <v>1</v>
      </c>
    </row>
    <row r="44" spans="1:7" ht="15" customHeight="1">
      <c r="A44" s="13">
        <v>45870</v>
      </c>
      <c r="B44" s="19" t="s">
        <v>168</v>
      </c>
      <c r="C44" s="14" t="s">
        <v>169</v>
      </c>
      <c r="D44" s="19" t="s">
        <v>16</v>
      </c>
      <c r="E44" s="14" t="s">
        <v>17</v>
      </c>
      <c r="F44" s="14" t="str">
        <f>_xlfn.XLOOKUP(Headcount[[#This Row],[Cost Center]],'Cost Centers'!A:A,'Cost Centers'!C:C,"")</f>
        <v>Programs</v>
      </c>
      <c r="G44" s="51">
        <v>1</v>
      </c>
    </row>
    <row r="45" spans="1:7" ht="15" customHeight="1">
      <c r="A45" s="13">
        <v>45870</v>
      </c>
      <c r="B45" s="19" t="s">
        <v>170</v>
      </c>
      <c r="C45" s="14" t="s">
        <v>171</v>
      </c>
      <c r="D45" s="19" t="s">
        <v>16</v>
      </c>
      <c r="E45" s="14" t="s">
        <v>17</v>
      </c>
      <c r="F45" s="14" t="str">
        <f>_xlfn.XLOOKUP(Headcount[[#This Row],[Cost Center]],'Cost Centers'!A:A,'Cost Centers'!C:C,"")</f>
        <v>Programs</v>
      </c>
      <c r="G45" s="51">
        <v>1</v>
      </c>
    </row>
    <row r="46" spans="1:7" ht="15" customHeight="1">
      <c r="A46" s="13">
        <v>45870</v>
      </c>
      <c r="B46" s="19" t="s">
        <v>172</v>
      </c>
      <c r="C46" s="14" t="s">
        <v>173</v>
      </c>
      <c r="D46" s="19" t="s">
        <v>18</v>
      </c>
      <c r="E46" s="14" t="s">
        <v>19</v>
      </c>
      <c r="F46" s="14" t="str">
        <f>_xlfn.XLOOKUP(Headcount[[#This Row],[Cost Center]],'Cost Centers'!A:A,'Cost Centers'!C:C,"")</f>
        <v>Programs</v>
      </c>
      <c r="G46" s="51">
        <v>1</v>
      </c>
    </row>
    <row r="47" spans="1:7" ht="15" customHeight="1">
      <c r="A47" s="13">
        <v>45870</v>
      </c>
      <c r="B47" s="19" t="s">
        <v>174</v>
      </c>
      <c r="C47" s="14" t="s">
        <v>175</v>
      </c>
      <c r="D47" s="19" t="s">
        <v>18</v>
      </c>
      <c r="E47" s="14" t="s">
        <v>19</v>
      </c>
      <c r="F47" s="14" t="str">
        <f>_xlfn.XLOOKUP(Headcount[[#This Row],[Cost Center]],'Cost Centers'!A:A,'Cost Centers'!C:C,"")</f>
        <v>Programs</v>
      </c>
      <c r="G47" s="51">
        <v>1</v>
      </c>
    </row>
    <row r="48" spans="1:7" ht="15" customHeight="1">
      <c r="A48" s="13">
        <v>45870</v>
      </c>
      <c r="B48" s="19" t="s">
        <v>176</v>
      </c>
      <c r="C48" s="14" t="s">
        <v>177</v>
      </c>
      <c r="D48" s="19" t="s">
        <v>18</v>
      </c>
      <c r="E48" s="14" t="s">
        <v>19</v>
      </c>
      <c r="F48" s="14" t="str">
        <f>_xlfn.XLOOKUP(Headcount[[#This Row],[Cost Center]],'Cost Centers'!A:A,'Cost Centers'!C:C,"")</f>
        <v>Programs</v>
      </c>
      <c r="G48" s="51">
        <v>1</v>
      </c>
    </row>
    <row r="49" spans="1:7" ht="15" customHeight="1">
      <c r="A49" s="13">
        <v>45870</v>
      </c>
      <c r="B49" s="19" t="s">
        <v>178</v>
      </c>
      <c r="C49" s="14" t="s">
        <v>179</v>
      </c>
      <c r="D49" s="19" t="s">
        <v>18</v>
      </c>
      <c r="E49" s="14" t="s">
        <v>19</v>
      </c>
      <c r="F49" s="14" t="str">
        <f>_xlfn.XLOOKUP(Headcount[[#This Row],[Cost Center]],'Cost Centers'!A:A,'Cost Centers'!C:C,"")</f>
        <v>Programs</v>
      </c>
      <c r="G49" s="51">
        <v>1</v>
      </c>
    </row>
    <row r="50" spans="1:7" ht="15" customHeight="1">
      <c r="A50" s="13">
        <v>45870</v>
      </c>
      <c r="B50" s="19" t="s">
        <v>180</v>
      </c>
      <c r="C50" s="14" t="s">
        <v>181</v>
      </c>
      <c r="D50" s="19" t="s">
        <v>20</v>
      </c>
      <c r="E50" s="14" t="s">
        <v>21</v>
      </c>
      <c r="F50" s="14" t="str">
        <f>_xlfn.XLOOKUP(Headcount[[#This Row],[Cost Center]],'Cost Centers'!A:A,'Cost Centers'!C:C,"")</f>
        <v>Programs</v>
      </c>
      <c r="G50" s="51">
        <v>1</v>
      </c>
    </row>
    <row r="51" spans="1:7" ht="15" customHeight="1">
      <c r="A51" s="13">
        <v>45870</v>
      </c>
      <c r="B51" s="19" t="s">
        <v>182</v>
      </c>
      <c r="C51" s="14" t="s">
        <v>183</v>
      </c>
      <c r="D51" s="19" t="s">
        <v>20</v>
      </c>
      <c r="E51" s="14" t="s">
        <v>21</v>
      </c>
      <c r="F51" s="14" t="str">
        <f>_xlfn.XLOOKUP(Headcount[[#This Row],[Cost Center]],'Cost Centers'!A:A,'Cost Centers'!C:C,"")</f>
        <v>Programs</v>
      </c>
      <c r="G51" s="51">
        <v>1</v>
      </c>
    </row>
    <row r="52" spans="1:7" ht="15" customHeight="1">
      <c r="A52" s="13">
        <v>45870</v>
      </c>
      <c r="B52" s="19" t="s">
        <v>184</v>
      </c>
      <c r="C52" s="14" t="s">
        <v>185</v>
      </c>
      <c r="D52" s="19" t="s">
        <v>20</v>
      </c>
      <c r="E52" s="14" t="s">
        <v>21</v>
      </c>
      <c r="F52" s="14" t="str">
        <f>_xlfn.XLOOKUP(Headcount[[#This Row],[Cost Center]],'Cost Centers'!A:A,'Cost Centers'!C:C,"")</f>
        <v>Programs</v>
      </c>
      <c r="G52" s="51">
        <v>1</v>
      </c>
    </row>
    <row r="53" spans="1:7" ht="15" customHeight="1">
      <c r="A53" s="13">
        <v>45870</v>
      </c>
      <c r="B53" s="19" t="s">
        <v>186</v>
      </c>
      <c r="C53" s="14" t="s">
        <v>187</v>
      </c>
      <c r="D53" s="19" t="s">
        <v>20</v>
      </c>
      <c r="E53" s="14" t="s">
        <v>21</v>
      </c>
      <c r="F53" s="14" t="str">
        <f>_xlfn.XLOOKUP(Headcount[[#This Row],[Cost Center]],'Cost Centers'!A:A,'Cost Centers'!C:C,"")</f>
        <v>Programs</v>
      </c>
      <c r="G53" s="51">
        <v>1</v>
      </c>
    </row>
    <row r="54" spans="1:7" ht="15" customHeight="1">
      <c r="A54" s="13">
        <v>45901</v>
      </c>
      <c r="B54" s="19" t="s">
        <v>154</v>
      </c>
      <c r="C54" s="14" t="s">
        <v>155</v>
      </c>
      <c r="D54" s="19" t="s">
        <v>4</v>
      </c>
      <c r="E54" s="14" t="s">
        <v>5</v>
      </c>
      <c r="F54" s="14" t="str">
        <f>_xlfn.XLOOKUP(Headcount[[#This Row],[Cost Center]],'Cost Centers'!A:A,'Cost Centers'!C:C,"")</f>
        <v>Admin</v>
      </c>
      <c r="G54" s="51">
        <v>0.5</v>
      </c>
    </row>
    <row r="55" spans="1:7" ht="15" customHeight="1">
      <c r="A55" s="13">
        <v>45901</v>
      </c>
      <c r="B55" s="19" t="s">
        <v>138</v>
      </c>
      <c r="C55" s="14" t="s">
        <v>139</v>
      </c>
      <c r="D55" s="19" t="s">
        <v>4</v>
      </c>
      <c r="E55" s="14" t="s">
        <v>5</v>
      </c>
      <c r="F55" s="14" t="str">
        <f>_xlfn.XLOOKUP(Headcount[[#This Row],[Cost Center]],'Cost Centers'!A:A,'Cost Centers'!C:C,"")</f>
        <v>Admin</v>
      </c>
      <c r="G55" s="51">
        <v>1</v>
      </c>
    </row>
    <row r="56" spans="1:7" ht="15" customHeight="1">
      <c r="A56" s="13">
        <v>45901</v>
      </c>
      <c r="B56" s="19" t="s">
        <v>140</v>
      </c>
      <c r="C56" s="14" t="s">
        <v>141</v>
      </c>
      <c r="D56" s="19" t="s">
        <v>6</v>
      </c>
      <c r="E56" s="14" t="s">
        <v>7</v>
      </c>
      <c r="F56" s="14" t="str">
        <f>_xlfn.XLOOKUP(Headcount[[#This Row],[Cost Center]],'Cost Centers'!A:A,'Cost Centers'!C:C,"")</f>
        <v>Admin</v>
      </c>
      <c r="G56" s="51">
        <v>1</v>
      </c>
    </row>
    <row r="57" spans="1:7" ht="15" customHeight="1">
      <c r="A57" s="13">
        <v>45901</v>
      </c>
      <c r="B57" s="19" t="s">
        <v>142</v>
      </c>
      <c r="C57" s="14" t="s">
        <v>143</v>
      </c>
      <c r="D57" s="19" t="s">
        <v>6</v>
      </c>
      <c r="E57" s="14" t="s">
        <v>7</v>
      </c>
      <c r="F57" s="14" t="str">
        <f>_xlfn.XLOOKUP(Headcount[[#This Row],[Cost Center]],'Cost Centers'!A:A,'Cost Centers'!C:C,"")</f>
        <v>Admin</v>
      </c>
      <c r="G57" s="51">
        <v>1</v>
      </c>
    </row>
    <row r="58" spans="1:7" ht="15" customHeight="1">
      <c r="A58" s="13">
        <v>45901</v>
      </c>
      <c r="B58" s="19" t="s">
        <v>144</v>
      </c>
      <c r="C58" s="14" t="s">
        <v>145</v>
      </c>
      <c r="D58" s="19" t="s">
        <v>8</v>
      </c>
      <c r="E58" s="14" t="s">
        <v>9</v>
      </c>
      <c r="F58" s="14" t="str">
        <f>_xlfn.XLOOKUP(Headcount[[#This Row],[Cost Center]],'Cost Centers'!A:A,'Cost Centers'!C:C,"")</f>
        <v>Admin</v>
      </c>
      <c r="G58" s="51">
        <v>1</v>
      </c>
    </row>
    <row r="59" spans="1:7" ht="15" customHeight="1">
      <c r="A59" s="13">
        <v>45901</v>
      </c>
      <c r="B59" s="19" t="s">
        <v>146</v>
      </c>
      <c r="C59" s="14" t="s">
        <v>147</v>
      </c>
      <c r="D59" s="19" t="s">
        <v>8</v>
      </c>
      <c r="E59" s="14" t="s">
        <v>9</v>
      </c>
      <c r="F59" s="14" t="str">
        <f>_xlfn.XLOOKUP(Headcount[[#This Row],[Cost Center]],'Cost Centers'!A:A,'Cost Centers'!C:C,"")</f>
        <v>Admin</v>
      </c>
      <c r="G59" s="51">
        <v>1</v>
      </c>
    </row>
    <row r="60" spans="1:7" ht="15" customHeight="1">
      <c r="A60" s="13">
        <v>45901</v>
      </c>
      <c r="B60" s="19" t="s">
        <v>148</v>
      </c>
      <c r="C60" s="14" t="s">
        <v>149</v>
      </c>
      <c r="D60" s="19" t="s">
        <v>10</v>
      </c>
      <c r="E60" s="14" t="s">
        <v>11</v>
      </c>
      <c r="F60" s="14" t="str">
        <f>_xlfn.XLOOKUP(Headcount[[#This Row],[Cost Center]],'Cost Centers'!A:A,'Cost Centers'!C:C,"")</f>
        <v>Admin</v>
      </c>
      <c r="G60" s="51">
        <v>1</v>
      </c>
    </row>
    <row r="61" spans="1:7" ht="15" customHeight="1">
      <c r="A61" s="13">
        <v>45901</v>
      </c>
      <c r="B61" s="19" t="s">
        <v>150</v>
      </c>
      <c r="C61" s="14" t="s">
        <v>151</v>
      </c>
      <c r="D61" s="19" t="s">
        <v>10</v>
      </c>
      <c r="E61" s="14" t="s">
        <v>11</v>
      </c>
      <c r="F61" s="14" t="str">
        <f>_xlfn.XLOOKUP(Headcount[[#This Row],[Cost Center]],'Cost Centers'!A:A,'Cost Centers'!C:C,"")</f>
        <v>Admin</v>
      </c>
      <c r="G61" s="51">
        <v>1</v>
      </c>
    </row>
    <row r="62" spans="1:7" ht="15" customHeight="1">
      <c r="A62" s="13">
        <v>45901</v>
      </c>
      <c r="B62" s="19" t="s">
        <v>152</v>
      </c>
      <c r="C62" s="14" t="s">
        <v>153</v>
      </c>
      <c r="D62" s="19" t="s">
        <v>12</v>
      </c>
      <c r="E62" s="14" t="s">
        <v>13</v>
      </c>
      <c r="F62" s="14" t="str">
        <f>_xlfn.XLOOKUP(Headcount[[#This Row],[Cost Center]],'Cost Centers'!A:A,'Cost Centers'!C:C,"")</f>
        <v>Programs</v>
      </c>
      <c r="G62" s="51">
        <v>1</v>
      </c>
    </row>
    <row r="63" spans="1:7" ht="15" customHeight="1">
      <c r="A63" s="13">
        <v>45901</v>
      </c>
      <c r="B63" s="19" t="s">
        <v>154</v>
      </c>
      <c r="C63" s="14" t="s">
        <v>155</v>
      </c>
      <c r="D63" s="19" t="s">
        <v>12</v>
      </c>
      <c r="E63" s="14" t="s">
        <v>13</v>
      </c>
      <c r="F63" s="14" t="str">
        <f>_xlfn.XLOOKUP(Headcount[[#This Row],[Cost Center]],'Cost Centers'!A:A,'Cost Centers'!C:C,"")</f>
        <v>Programs</v>
      </c>
      <c r="G63" s="51">
        <v>0.5</v>
      </c>
    </row>
    <row r="64" spans="1:7" ht="15" customHeight="1">
      <c r="A64" s="13">
        <v>45901</v>
      </c>
      <c r="B64" s="19" t="s">
        <v>156</v>
      </c>
      <c r="C64" s="14" t="s">
        <v>157</v>
      </c>
      <c r="D64" s="19" t="s">
        <v>12</v>
      </c>
      <c r="E64" s="14" t="s">
        <v>13</v>
      </c>
      <c r="F64" s="14" t="str">
        <f>_xlfn.XLOOKUP(Headcount[[#This Row],[Cost Center]],'Cost Centers'!A:A,'Cost Centers'!C:C,"")</f>
        <v>Programs</v>
      </c>
      <c r="G64" s="51">
        <v>1</v>
      </c>
    </row>
    <row r="65" spans="1:7" ht="15" customHeight="1">
      <c r="A65" s="13">
        <v>45901</v>
      </c>
      <c r="B65" s="19" t="s">
        <v>158</v>
      </c>
      <c r="C65" s="14" t="s">
        <v>159</v>
      </c>
      <c r="D65" s="19" t="s">
        <v>12</v>
      </c>
      <c r="E65" s="14" t="s">
        <v>13</v>
      </c>
      <c r="F65" s="14" t="str">
        <f>_xlfn.XLOOKUP(Headcount[[#This Row],[Cost Center]],'Cost Centers'!A:A,'Cost Centers'!C:C,"")</f>
        <v>Programs</v>
      </c>
      <c r="G65" s="51">
        <v>1</v>
      </c>
    </row>
    <row r="66" spans="1:7" ht="15" customHeight="1">
      <c r="A66" s="13">
        <v>45901</v>
      </c>
      <c r="B66" s="19" t="s">
        <v>160</v>
      </c>
      <c r="C66" s="14" t="s">
        <v>161</v>
      </c>
      <c r="D66" s="19" t="s">
        <v>14</v>
      </c>
      <c r="E66" s="14" t="s">
        <v>15</v>
      </c>
      <c r="F66" s="14" t="str">
        <f>_xlfn.XLOOKUP(Headcount[[#This Row],[Cost Center]],'Cost Centers'!A:A,'Cost Centers'!C:C,"")</f>
        <v>Programs</v>
      </c>
      <c r="G66" s="51">
        <v>1</v>
      </c>
    </row>
    <row r="67" spans="1:7" ht="15" customHeight="1">
      <c r="A67" s="13">
        <v>45901</v>
      </c>
      <c r="B67" s="19" t="s">
        <v>162</v>
      </c>
      <c r="C67" s="14" t="s">
        <v>163</v>
      </c>
      <c r="D67" s="19" t="s">
        <v>14</v>
      </c>
      <c r="E67" s="14" t="s">
        <v>15</v>
      </c>
      <c r="F67" s="14" t="str">
        <f>_xlfn.XLOOKUP(Headcount[[#This Row],[Cost Center]],'Cost Centers'!A:A,'Cost Centers'!C:C,"")</f>
        <v>Programs</v>
      </c>
      <c r="G67" s="51">
        <v>1</v>
      </c>
    </row>
    <row r="68" spans="1:7" ht="15" customHeight="1">
      <c r="A68" s="13">
        <v>45901</v>
      </c>
      <c r="B68" s="19" t="s">
        <v>164</v>
      </c>
      <c r="C68" s="14" t="s">
        <v>165</v>
      </c>
      <c r="D68" s="19" t="s">
        <v>14</v>
      </c>
      <c r="E68" s="14" t="s">
        <v>15</v>
      </c>
      <c r="F68" s="14" t="str">
        <f>_xlfn.XLOOKUP(Headcount[[#This Row],[Cost Center]],'Cost Centers'!A:A,'Cost Centers'!C:C,"")</f>
        <v>Programs</v>
      </c>
      <c r="G68" s="51">
        <v>1</v>
      </c>
    </row>
    <row r="69" spans="1:7" ht="15" customHeight="1">
      <c r="A69" s="13">
        <v>45901</v>
      </c>
      <c r="B69" s="19" t="s">
        <v>166</v>
      </c>
      <c r="C69" s="14" t="s">
        <v>167</v>
      </c>
      <c r="D69" s="19" t="s">
        <v>16</v>
      </c>
      <c r="E69" s="14" t="s">
        <v>17</v>
      </c>
      <c r="F69" s="14" t="str">
        <f>_xlfn.XLOOKUP(Headcount[[#This Row],[Cost Center]],'Cost Centers'!A:A,'Cost Centers'!C:C,"")</f>
        <v>Programs</v>
      </c>
      <c r="G69" s="51">
        <v>1</v>
      </c>
    </row>
    <row r="70" spans="1:7" ht="15" customHeight="1">
      <c r="A70" s="13">
        <v>45901</v>
      </c>
      <c r="B70" s="19" t="s">
        <v>168</v>
      </c>
      <c r="C70" s="14" t="s">
        <v>169</v>
      </c>
      <c r="D70" s="19" t="s">
        <v>16</v>
      </c>
      <c r="E70" s="14" t="s">
        <v>17</v>
      </c>
      <c r="F70" s="14" t="str">
        <f>_xlfn.XLOOKUP(Headcount[[#This Row],[Cost Center]],'Cost Centers'!A:A,'Cost Centers'!C:C,"")</f>
        <v>Programs</v>
      </c>
      <c r="G70" s="51">
        <v>1</v>
      </c>
    </row>
    <row r="71" spans="1:7" ht="15" customHeight="1">
      <c r="A71" s="13">
        <v>45901</v>
      </c>
      <c r="B71" s="19" t="s">
        <v>170</v>
      </c>
      <c r="C71" s="14" t="s">
        <v>171</v>
      </c>
      <c r="D71" s="19" t="s">
        <v>16</v>
      </c>
      <c r="E71" s="14" t="s">
        <v>17</v>
      </c>
      <c r="F71" s="14" t="str">
        <f>_xlfn.XLOOKUP(Headcount[[#This Row],[Cost Center]],'Cost Centers'!A:A,'Cost Centers'!C:C,"")</f>
        <v>Programs</v>
      </c>
      <c r="G71" s="51">
        <v>1</v>
      </c>
    </row>
    <row r="72" spans="1:7" ht="15" customHeight="1">
      <c r="A72" s="13">
        <v>45901</v>
      </c>
      <c r="B72" s="19" t="s">
        <v>172</v>
      </c>
      <c r="C72" s="14" t="s">
        <v>173</v>
      </c>
      <c r="D72" s="19" t="s">
        <v>18</v>
      </c>
      <c r="E72" s="14" t="s">
        <v>19</v>
      </c>
      <c r="F72" s="14" t="str">
        <f>_xlfn.XLOOKUP(Headcount[[#This Row],[Cost Center]],'Cost Centers'!A:A,'Cost Centers'!C:C,"")</f>
        <v>Programs</v>
      </c>
      <c r="G72" s="51">
        <v>1</v>
      </c>
    </row>
    <row r="73" spans="1:7" ht="15" customHeight="1">
      <c r="A73" s="13">
        <v>45901</v>
      </c>
      <c r="B73" s="19" t="s">
        <v>174</v>
      </c>
      <c r="C73" s="14" t="s">
        <v>175</v>
      </c>
      <c r="D73" s="19" t="s">
        <v>18</v>
      </c>
      <c r="E73" s="14" t="s">
        <v>19</v>
      </c>
      <c r="F73" s="14" t="str">
        <f>_xlfn.XLOOKUP(Headcount[[#This Row],[Cost Center]],'Cost Centers'!A:A,'Cost Centers'!C:C,"")</f>
        <v>Programs</v>
      </c>
      <c r="G73" s="51">
        <v>1</v>
      </c>
    </row>
    <row r="74" spans="1:7" ht="15" customHeight="1">
      <c r="A74" s="13">
        <v>45901</v>
      </c>
      <c r="B74" s="19" t="s">
        <v>176</v>
      </c>
      <c r="C74" s="14" t="s">
        <v>177</v>
      </c>
      <c r="D74" s="19" t="s">
        <v>18</v>
      </c>
      <c r="E74" s="14" t="s">
        <v>19</v>
      </c>
      <c r="F74" s="14" t="str">
        <f>_xlfn.XLOOKUP(Headcount[[#This Row],[Cost Center]],'Cost Centers'!A:A,'Cost Centers'!C:C,"")</f>
        <v>Programs</v>
      </c>
      <c r="G74" s="51">
        <v>1</v>
      </c>
    </row>
    <row r="75" spans="1:7" ht="15" customHeight="1">
      <c r="A75" s="13">
        <v>45901</v>
      </c>
      <c r="B75" s="19" t="s">
        <v>178</v>
      </c>
      <c r="C75" s="14" t="s">
        <v>179</v>
      </c>
      <c r="D75" s="19" t="s">
        <v>18</v>
      </c>
      <c r="E75" s="14" t="s">
        <v>19</v>
      </c>
      <c r="F75" s="14" t="str">
        <f>_xlfn.XLOOKUP(Headcount[[#This Row],[Cost Center]],'Cost Centers'!A:A,'Cost Centers'!C:C,"")</f>
        <v>Programs</v>
      </c>
      <c r="G75" s="51">
        <v>1</v>
      </c>
    </row>
    <row r="76" spans="1:7" ht="15" customHeight="1">
      <c r="A76" s="13">
        <v>45901</v>
      </c>
      <c r="B76" s="19" t="s">
        <v>180</v>
      </c>
      <c r="C76" s="14" t="s">
        <v>181</v>
      </c>
      <c r="D76" s="19" t="s">
        <v>20</v>
      </c>
      <c r="E76" s="14" t="s">
        <v>21</v>
      </c>
      <c r="F76" s="14" t="str">
        <f>_xlfn.XLOOKUP(Headcount[[#This Row],[Cost Center]],'Cost Centers'!A:A,'Cost Centers'!C:C,"")</f>
        <v>Programs</v>
      </c>
      <c r="G76" s="51">
        <v>1</v>
      </c>
    </row>
    <row r="77" spans="1:7" ht="15" customHeight="1">
      <c r="A77" s="13">
        <v>45901</v>
      </c>
      <c r="B77" s="19" t="s">
        <v>182</v>
      </c>
      <c r="C77" s="14" t="s">
        <v>183</v>
      </c>
      <c r="D77" s="19" t="s">
        <v>20</v>
      </c>
      <c r="E77" s="14" t="s">
        <v>21</v>
      </c>
      <c r="F77" s="14" t="str">
        <f>_xlfn.XLOOKUP(Headcount[[#This Row],[Cost Center]],'Cost Centers'!A:A,'Cost Centers'!C:C,"")</f>
        <v>Programs</v>
      </c>
      <c r="G77" s="51">
        <v>1</v>
      </c>
    </row>
    <row r="78" spans="1:7" ht="15" customHeight="1">
      <c r="A78" s="13">
        <v>45901</v>
      </c>
      <c r="B78" s="19" t="s">
        <v>184</v>
      </c>
      <c r="C78" s="14" t="s">
        <v>185</v>
      </c>
      <c r="D78" s="19" t="s">
        <v>20</v>
      </c>
      <c r="E78" s="14" t="s">
        <v>21</v>
      </c>
      <c r="F78" s="14" t="str">
        <f>_xlfn.XLOOKUP(Headcount[[#This Row],[Cost Center]],'Cost Centers'!A:A,'Cost Centers'!C:C,"")</f>
        <v>Programs</v>
      </c>
      <c r="G78" s="51">
        <v>1</v>
      </c>
    </row>
    <row r="79" spans="1:7" ht="15" customHeight="1">
      <c r="A79" s="13">
        <v>45901</v>
      </c>
      <c r="B79" s="19" t="s">
        <v>186</v>
      </c>
      <c r="C79" s="14" t="s">
        <v>187</v>
      </c>
      <c r="D79" s="19" t="s">
        <v>20</v>
      </c>
      <c r="E79" s="14" t="s">
        <v>21</v>
      </c>
      <c r="F79" s="14" t="str">
        <f>_xlfn.XLOOKUP(Headcount[[#This Row],[Cost Center]],'Cost Centers'!A:A,'Cost Centers'!C:C,"")</f>
        <v>Programs</v>
      </c>
      <c r="G79" s="51">
        <v>1</v>
      </c>
    </row>
    <row r="80" spans="1:7" ht="15" customHeight="1">
      <c r="A80" s="13">
        <v>45931</v>
      </c>
      <c r="B80" s="19" t="s">
        <v>154</v>
      </c>
      <c r="C80" s="14" t="s">
        <v>155</v>
      </c>
      <c r="D80" s="19" t="s">
        <v>4</v>
      </c>
      <c r="E80" s="14" t="s">
        <v>5</v>
      </c>
      <c r="F80" s="14" t="str">
        <f>_xlfn.XLOOKUP(Headcount[[#This Row],[Cost Center]],'Cost Centers'!A:A,'Cost Centers'!C:C,"")</f>
        <v>Admin</v>
      </c>
      <c r="G80" s="51">
        <v>0.5</v>
      </c>
    </row>
    <row r="81" spans="1:7" ht="15" customHeight="1">
      <c r="A81" s="13">
        <v>45931</v>
      </c>
      <c r="B81" s="19" t="s">
        <v>138</v>
      </c>
      <c r="C81" s="14" t="s">
        <v>139</v>
      </c>
      <c r="D81" s="19" t="s">
        <v>4</v>
      </c>
      <c r="E81" s="14" t="s">
        <v>5</v>
      </c>
      <c r="F81" s="14" t="str">
        <f>_xlfn.XLOOKUP(Headcount[[#This Row],[Cost Center]],'Cost Centers'!A:A,'Cost Centers'!C:C,"")</f>
        <v>Admin</v>
      </c>
      <c r="G81" s="51">
        <v>1</v>
      </c>
    </row>
    <row r="82" spans="1:7" ht="15" customHeight="1">
      <c r="A82" s="13">
        <v>45931</v>
      </c>
      <c r="B82" s="19" t="s">
        <v>140</v>
      </c>
      <c r="C82" s="14" t="s">
        <v>141</v>
      </c>
      <c r="D82" s="19" t="s">
        <v>6</v>
      </c>
      <c r="E82" s="14" t="s">
        <v>7</v>
      </c>
      <c r="F82" s="14" t="str">
        <f>_xlfn.XLOOKUP(Headcount[[#This Row],[Cost Center]],'Cost Centers'!A:A,'Cost Centers'!C:C,"")</f>
        <v>Admin</v>
      </c>
      <c r="G82" s="51">
        <v>1</v>
      </c>
    </row>
    <row r="83" spans="1:7" ht="15" customHeight="1">
      <c r="A83" s="13">
        <v>45931</v>
      </c>
      <c r="B83" s="19" t="s">
        <v>142</v>
      </c>
      <c r="C83" s="14" t="s">
        <v>143</v>
      </c>
      <c r="D83" s="19" t="s">
        <v>6</v>
      </c>
      <c r="E83" s="14" t="s">
        <v>7</v>
      </c>
      <c r="F83" s="14" t="str">
        <f>_xlfn.XLOOKUP(Headcount[[#This Row],[Cost Center]],'Cost Centers'!A:A,'Cost Centers'!C:C,"")</f>
        <v>Admin</v>
      </c>
      <c r="G83" s="51">
        <v>1</v>
      </c>
    </row>
    <row r="84" spans="1:7" ht="15" customHeight="1">
      <c r="A84" s="13">
        <v>45931</v>
      </c>
      <c r="B84" s="19" t="s">
        <v>144</v>
      </c>
      <c r="C84" s="14" t="s">
        <v>145</v>
      </c>
      <c r="D84" s="19" t="s">
        <v>8</v>
      </c>
      <c r="E84" s="14" t="s">
        <v>9</v>
      </c>
      <c r="F84" s="14" t="str">
        <f>_xlfn.XLOOKUP(Headcount[[#This Row],[Cost Center]],'Cost Centers'!A:A,'Cost Centers'!C:C,"")</f>
        <v>Admin</v>
      </c>
      <c r="G84" s="51">
        <v>1</v>
      </c>
    </row>
    <row r="85" spans="1:7" ht="15" customHeight="1">
      <c r="A85" s="13">
        <v>45931</v>
      </c>
      <c r="B85" s="19" t="s">
        <v>146</v>
      </c>
      <c r="C85" s="14" t="s">
        <v>147</v>
      </c>
      <c r="D85" s="19" t="s">
        <v>8</v>
      </c>
      <c r="E85" s="14" t="s">
        <v>9</v>
      </c>
      <c r="F85" s="14" t="str">
        <f>_xlfn.XLOOKUP(Headcount[[#This Row],[Cost Center]],'Cost Centers'!A:A,'Cost Centers'!C:C,"")</f>
        <v>Admin</v>
      </c>
      <c r="G85" s="51">
        <v>1</v>
      </c>
    </row>
    <row r="86" spans="1:7" ht="15" customHeight="1">
      <c r="A86" s="13">
        <v>45931</v>
      </c>
      <c r="B86" s="19" t="s">
        <v>148</v>
      </c>
      <c r="C86" s="14" t="s">
        <v>149</v>
      </c>
      <c r="D86" s="19" t="s">
        <v>10</v>
      </c>
      <c r="E86" s="14" t="s">
        <v>11</v>
      </c>
      <c r="F86" s="14" t="str">
        <f>_xlfn.XLOOKUP(Headcount[[#This Row],[Cost Center]],'Cost Centers'!A:A,'Cost Centers'!C:C,"")</f>
        <v>Admin</v>
      </c>
      <c r="G86" s="51">
        <v>1</v>
      </c>
    </row>
    <row r="87" spans="1:7" ht="15" customHeight="1">
      <c r="A87" s="13">
        <v>45931</v>
      </c>
      <c r="B87" s="19" t="s">
        <v>150</v>
      </c>
      <c r="C87" s="14" t="s">
        <v>151</v>
      </c>
      <c r="D87" s="19" t="s">
        <v>10</v>
      </c>
      <c r="E87" s="14" t="s">
        <v>11</v>
      </c>
      <c r="F87" s="14" t="str">
        <f>_xlfn.XLOOKUP(Headcount[[#This Row],[Cost Center]],'Cost Centers'!A:A,'Cost Centers'!C:C,"")</f>
        <v>Admin</v>
      </c>
      <c r="G87" s="51">
        <v>1</v>
      </c>
    </row>
    <row r="88" spans="1:7" ht="15" customHeight="1">
      <c r="A88" s="13">
        <v>45931</v>
      </c>
      <c r="B88" s="19" t="s">
        <v>152</v>
      </c>
      <c r="C88" s="14" t="s">
        <v>153</v>
      </c>
      <c r="D88" s="19" t="s">
        <v>12</v>
      </c>
      <c r="E88" s="14" t="s">
        <v>13</v>
      </c>
      <c r="F88" s="14" t="str">
        <f>_xlfn.XLOOKUP(Headcount[[#This Row],[Cost Center]],'Cost Centers'!A:A,'Cost Centers'!C:C,"")</f>
        <v>Programs</v>
      </c>
      <c r="G88" s="51">
        <v>1</v>
      </c>
    </row>
    <row r="89" spans="1:7" ht="15" customHeight="1">
      <c r="A89" s="13">
        <v>45931</v>
      </c>
      <c r="B89" s="19" t="s">
        <v>154</v>
      </c>
      <c r="C89" s="14" t="s">
        <v>155</v>
      </c>
      <c r="D89" s="19" t="s">
        <v>12</v>
      </c>
      <c r="E89" s="14" t="s">
        <v>13</v>
      </c>
      <c r="F89" s="14" t="str">
        <f>_xlfn.XLOOKUP(Headcount[[#This Row],[Cost Center]],'Cost Centers'!A:A,'Cost Centers'!C:C,"")</f>
        <v>Programs</v>
      </c>
      <c r="G89" s="51">
        <v>0.5</v>
      </c>
    </row>
    <row r="90" spans="1:7" ht="15" customHeight="1">
      <c r="A90" s="13">
        <v>45931</v>
      </c>
      <c r="B90" s="19" t="s">
        <v>158</v>
      </c>
      <c r="C90" s="14" t="s">
        <v>159</v>
      </c>
      <c r="D90" s="19" t="s">
        <v>12</v>
      </c>
      <c r="E90" s="14" t="s">
        <v>13</v>
      </c>
      <c r="F90" s="14" t="str">
        <f>_xlfn.XLOOKUP(Headcount[[#This Row],[Cost Center]],'Cost Centers'!A:A,'Cost Centers'!C:C,"")</f>
        <v>Programs</v>
      </c>
      <c r="G90" s="51">
        <v>1</v>
      </c>
    </row>
    <row r="91" spans="1:7" ht="15" customHeight="1">
      <c r="A91" s="13">
        <v>45931</v>
      </c>
      <c r="B91" s="19" t="s">
        <v>160</v>
      </c>
      <c r="C91" s="14" t="s">
        <v>161</v>
      </c>
      <c r="D91" s="19" t="s">
        <v>14</v>
      </c>
      <c r="E91" s="14" t="s">
        <v>15</v>
      </c>
      <c r="F91" s="14" t="str">
        <f>_xlfn.XLOOKUP(Headcount[[#This Row],[Cost Center]],'Cost Centers'!A:A,'Cost Centers'!C:C,"")</f>
        <v>Programs</v>
      </c>
      <c r="G91" s="51">
        <v>1</v>
      </c>
    </row>
    <row r="92" spans="1:7" ht="15" customHeight="1">
      <c r="A92" s="13">
        <v>45931</v>
      </c>
      <c r="B92" s="19" t="s">
        <v>162</v>
      </c>
      <c r="C92" s="14" t="s">
        <v>163</v>
      </c>
      <c r="D92" s="19" t="s">
        <v>14</v>
      </c>
      <c r="E92" s="14" t="s">
        <v>15</v>
      </c>
      <c r="F92" s="14" t="str">
        <f>_xlfn.XLOOKUP(Headcount[[#This Row],[Cost Center]],'Cost Centers'!A:A,'Cost Centers'!C:C,"")</f>
        <v>Programs</v>
      </c>
      <c r="G92" s="51">
        <v>1</v>
      </c>
    </row>
    <row r="93" spans="1:7" ht="15" customHeight="1">
      <c r="A93" s="13">
        <v>45931</v>
      </c>
      <c r="B93" s="19" t="s">
        <v>164</v>
      </c>
      <c r="C93" s="14" t="s">
        <v>165</v>
      </c>
      <c r="D93" s="19" t="s">
        <v>14</v>
      </c>
      <c r="E93" s="14" t="s">
        <v>15</v>
      </c>
      <c r="F93" s="14" t="str">
        <f>_xlfn.XLOOKUP(Headcount[[#This Row],[Cost Center]],'Cost Centers'!A:A,'Cost Centers'!C:C,"")</f>
        <v>Programs</v>
      </c>
      <c r="G93" s="51">
        <v>1</v>
      </c>
    </row>
    <row r="94" spans="1:7" ht="15" customHeight="1">
      <c r="A94" s="13">
        <v>45931</v>
      </c>
      <c r="B94" s="19" t="s">
        <v>188</v>
      </c>
      <c r="C94" s="14" t="s">
        <v>189</v>
      </c>
      <c r="D94" s="19" t="s">
        <v>14</v>
      </c>
      <c r="E94" s="14" t="s">
        <v>15</v>
      </c>
      <c r="F94" s="14" t="str">
        <f>_xlfn.XLOOKUP(Headcount[[#This Row],[Cost Center]],'Cost Centers'!A:A,'Cost Centers'!C:C,"")</f>
        <v>Programs</v>
      </c>
      <c r="G94" s="51">
        <v>1</v>
      </c>
    </row>
    <row r="95" spans="1:7" ht="15" customHeight="1">
      <c r="A95" s="13">
        <v>45931</v>
      </c>
      <c r="B95" s="19" t="s">
        <v>166</v>
      </c>
      <c r="C95" s="14" t="s">
        <v>167</v>
      </c>
      <c r="D95" s="19" t="s">
        <v>16</v>
      </c>
      <c r="E95" s="14" t="s">
        <v>17</v>
      </c>
      <c r="F95" s="14" t="str">
        <f>_xlfn.XLOOKUP(Headcount[[#This Row],[Cost Center]],'Cost Centers'!A:A,'Cost Centers'!C:C,"")</f>
        <v>Programs</v>
      </c>
      <c r="G95" s="51">
        <v>1</v>
      </c>
    </row>
    <row r="96" spans="1:7" ht="15" customHeight="1">
      <c r="A96" s="13">
        <v>45931</v>
      </c>
      <c r="B96" s="19" t="s">
        <v>168</v>
      </c>
      <c r="C96" s="14" t="s">
        <v>169</v>
      </c>
      <c r="D96" s="19" t="s">
        <v>16</v>
      </c>
      <c r="E96" s="14" t="s">
        <v>17</v>
      </c>
      <c r="F96" s="14" t="str">
        <f>_xlfn.XLOOKUP(Headcount[[#This Row],[Cost Center]],'Cost Centers'!A:A,'Cost Centers'!C:C,"")</f>
        <v>Programs</v>
      </c>
      <c r="G96" s="51">
        <v>1</v>
      </c>
    </row>
    <row r="97" spans="1:7" ht="15" customHeight="1">
      <c r="A97" s="13">
        <v>45931</v>
      </c>
      <c r="B97" s="19" t="s">
        <v>170</v>
      </c>
      <c r="C97" s="14" t="s">
        <v>171</v>
      </c>
      <c r="D97" s="19" t="s">
        <v>16</v>
      </c>
      <c r="E97" s="14" t="s">
        <v>17</v>
      </c>
      <c r="F97" s="14" t="str">
        <f>_xlfn.XLOOKUP(Headcount[[#This Row],[Cost Center]],'Cost Centers'!A:A,'Cost Centers'!C:C,"")</f>
        <v>Programs</v>
      </c>
      <c r="G97" s="51">
        <v>1</v>
      </c>
    </row>
    <row r="98" spans="1:7" ht="15" customHeight="1">
      <c r="A98" s="13">
        <v>45931</v>
      </c>
      <c r="B98" s="19" t="s">
        <v>172</v>
      </c>
      <c r="C98" s="14" t="s">
        <v>173</v>
      </c>
      <c r="D98" s="19" t="s">
        <v>18</v>
      </c>
      <c r="E98" s="14" t="s">
        <v>19</v>
      </c>
      <c r="F98" s="14" t="str">
        <f>_xlfn.XLOOKUP(Headcount[[#This Row],[Cost Center]],'Cost Centers'!A:A,'Cost Centers'!C:C,"")</f>
        <v>Programs</v>
      </c>
      <c r="G98" s="51">
        <v>1</v>
      </c>
    </row>
    <row r="99" spans="1:7" ht="15" customHeight="1">
      <c r="A99" s="13">
        <v>45931</v>
      </c>
      <c r="B99" s="19" t="s">
        <v>174</v>
      </c>
      <c r="C99" s="14" t="s">
        <v>175</v>
      </c>
      <c r="D99" s="19" t="s">
        <v>18</v>
      </c>
      <c r="E99" s="14" t="s">
        <v>19</v>
      </c>
      <c r="F99" s="14" t="str">
        <f>_xlfn.XLOOKUP(Headcount[[#This Row],[Cost Center]],'Cost Centers'!A:A,'Cost Centers'!C:C,"")</f>
        <v>Programs</v>
      </c>
      <c r="G99" s="51">
        <v>1</v>
      </c>
    </row>
    <row r="100" spans="1:7" ht="15" customHeight="1">
      <c r="A100" s="13">
        <v>45931</v>
      </c>
      <c r="B100" s="19" t="s">
        <v>176</v>
      </c>
      <c r="C100" s="14" t="s">
        <v>177</v>
      </c>
      <c r="D100" s="19" t="s">
        <v>18</v>
      </c>
      <c r="E100" s="14" t="s">
        <v>19</v>
      </c>
      <c r="F100" s="14" t="str">
        <f>_xlfn.XLOOKUP(Headcount[[#This Row],[Cost Center]],'Cost Centers'!A:A,'Cost Centers'!C:C,"")</f>
        <v>Programs</v>
      </c>
      <c r="G100" s="51">
        <v>1</v>
      </c>
    </row>
    <row r="101" spans="1:7" ht="15" customHeight="1">
      <c r="A101" s="13">
        <v>45931</v>
      </c>
      <c r="B101" s="19" t="s">
        <v>178</v>
      </c>
      <c r="C101" s="14" t="s">
        <v>179</v>
      </c>
      <c r="D101" s="19" t="s">
        <v>18</v>
      </c>
      <c r="E101" s="14" t="s">
        <v>19</v>
      </c>
      <c r="F101" s="14" t="str">
        <f>_xlfn.XLOOKUP(Headcount[[#This Row],[Cost Center]],'Cost Centers'!A:A,'Cost Centers'!C:C,"")</f>
        <v>Programs</v>
      </c>
      <c r="G101" s="51">
        <v>1</v>
      </c>
    </row>
    <row r="102" spans="1:7" ht="15" customHeight="1">
      <c r="A102" s="13">
        <v>45931</v>
      </c>
      <c r="B102" s="19" t="s">
        <v>180</v>
      </c>
      <c r="C102" s="14" t="s">
        <v>181</v>
      </c>
      <c r="D102" s="19" t="s">
        <v>20</v>
      </c>
      <c r="E102" s="14" t="s">
        <v>21</v>
      </c>
      <c r="F102" s="14" t="str">
        <f>_xlfn.XLOOKUP(Headcount[[#This Row],[Cost Center]],'Cost Centers'!A:A,'Cost Centers'!C:C,"")</f>
        <v>Programs</v>
      </c>
      <c r="G102" s="51">
        <v>1</v>
      </c>
    </row>
    <row r="103" spans="1:7" ht="15" customHeight="1">
      <c r="A103" s="13">
        <v>45931</v>
      </c>
      <c r="B103" s="19" t="s">
        <v>182</v>
      </c>
      <c r="C103" s="14" t="s">
        <v>183</v>
      </c>
      <c r="D103" s="19" t="s">
        <v>20</v>
      </c>
      <c r="E103" s="14" t="s">
        <v>21</v>
      </c>
      <c r="F103" s="14" t="str">
        <f>_xlfn.XLOOKUP(Headcount[[#This Row],[Cost Center]],'Cost Centers'!A:A,'Cost Centers'!C:C,"")</f>
        <v>Programs</v>
      </c>
      <c r="G103" s="51">
        <v>1</v>
      </c>
    </row>
    <row r="104" spans="1:7" ht="15" customHeight="1">
      <c r="A104" s="13">
        <v>45931</v>
      </c>
      <c r="B104" s="19" t="s">
        <v>184</v>
      </c>
      <c r="C104" s="14" t="s">
        <v>185</v>
      </c>
      <c r="D104" s="19" t="s">
        <v>20</v>
      </c>
      <c r="E104" s="14" t="s">
        <v>21</v>
      </c>
      <c r="F104" s="14" t="str">
        <f>_xlfn.XLOOKUP(Headcount[[#This Row],[Cost Center]],'Cost Centers'!A:A,'Cost Centers'!C:C,"")</f>
        <v>Programs</v>
      </c>
      <c r="G104" s="51">
        <v>1</v>
      </c>
    </row>
    <row r="105" spans="1:7" ht="15" customHeight="1">
      <c r="A105" s="13">
        <v>45931</v>
      </c>
      <c r="B105" s="19" t="s">
        <v>186</v>
      </c>
      <c r="C105" s="14" t="s">
        <v>187</v>
      </c>
      <c r="D105" s="19" t="s">
        <v>20</v>
      </c>
      <c r="E105" s="14" t="s">
        <v>21</v>
      </c>
      <c r="F105" s="14" t="str">
        <f>_xlfn.XLOOKUP(Headcount[[#This Row],[Cost Center]],'Cost Centers'!A:A,'Cost Centers'!C:C,"")</f>
        <v>Programs</v>
      </c>
      <c r="G105" s="51">
        <v>1</v>
      </c>
    </row>
    <row r="106" spans="1:7" ht="15" customHeight="1">
      <c r="A106" s="13">
        <v>45962</v>
      </c>
      <c r="B106" s="19" t="s">
        <v>154</v>
      </c>
      <c r="C106" s="14" t="s">
        <v>155</v>
      </c>
      <c r="D106" s="19" t="s">
        <v>4</v>
      </c>
      <c r="E106" s="14" t="s">
        <v>5</v>
      </c>
      <c r="F106" s="14" t="str">
        <f>_xlfn.XLOOKUP(Headcount[[#This Row],[Cost Center]],'Cost Centers'!A:A,'Cost Centers'!C:C,"")</f>
        <v>Admin</v>
      </c>
      <c r="G106" s="51">
        <v>0.5</v>
      </c>
    </row>
    <row r="107" spans="1:7" ht="15" customHeight="1">
      <c r="A107" s="13">
        <v>45962</v>
      </c>
      <c r="B107" s="19" t="s">
        <v>138</v>
      </c>
      <c r="C107" s="14" t="s">
        <v>139</v>
      </c>
      <c r="D107" s="19" t="s">
        <v>4</v>
      </c>
      <c r="E107" s="14" t="s">
        <v>5</v>
      </c>
      <c r="F107" s="14" t="str">
        <f>_xlfn.XLOOKUP(Headcount[[#This Row],[Cost Center]],'Cost Centers'!A:A,'Cost Centers'!C:C,"")</f>
        <v>Admin</v>
      </c>
      <c r="G107" s="51">
        <v>1</v>
      </c>
    </row>
    <row r="108" spans="1:7" ht="15" customHeight="1">
      <c r="A108" s="13">
        <v>45962</v>
      </c>
      <c r="B108" s="19" t="s">
        <v>140</v>
      </c>
      <c r="C108" s="14" t="s">
        <v>141</v>
      </c>
      <c r="D108" s="19" t="s">
        <v>6</v>
      </c>
      <c r="E108" s="14" t="s">
        <v>7</v>
      </c>
      <c r="F108" s="14" t="str">
        <f>_xlfn.XLOOKUP(Headcount[[#This Row],[Cost Center]],'Cost Centers'!A:A,'Cost Centers'!C:C,"")</f>
        <v>Admin</v>
      </c>
      <c r="G108" s="51">
        <v>1</v>
      </c>
    </row>
    <row r="109" spans="1:7" ht="15" customHeight="1">
      <c r="A109" s="13">
        <v>45962</v>
      </c>
      <c r="B109" s="19" t="s">
        <v>142</v>
      </c>
      <c r="C109" s="14" t="s">
        <v>143</v>
      </c>
      <c r="D109" s="19" t="s">
        <v>6</v>
      </c>
      <c r="E109" s="14" t="s">
        <v>7</v>
      </c>
      <c r="F109" s="14" t="str">
        <f>_xlfn.XLOOKUP(Headcount[[#This Row],[Cost Center]],'Cost Centers'!A:A,'Cost Centers'!C:C,"")</f>
        <v>Admin</v>
      </c>
      <c r="G109" s="51">
        <v>1</v>
      </c>
    </row>
    <row r="110" spans="1:7" ht="15" customHeight="1">
      <c r="A110" s="13">
        <v>45962</v>
      </c>
      <c r="B110" s="19" t="s">
        <v>144</v>
      </c>
      <c r="C110" s="14" t="s">
        <v>145</v>
      </c>
      <c r="D110" s="19" t="s">
        <v>8</v>
      </c>
      <c r="E110" s="14" t="s">
        <v>9</v>
      </c>
      <c r="F110" s="14" t="str">
        <f>_xlfn.XLOOKUP(Headcount[[#This Row],[Cost Center]],'Cost Centers'!A:A,'Cost Centers'!C:C,"")</f>
        <v>Admin</v>
      </c>
      <c r="G110" s="51">
        <v>1</v>
      </c>
    </row>
    <row r="111" spans="1:7" ht="15" customHeight="1">
      <c r="A111" s="13">
        <v>45962</v>
      </c>
      <c r="B111" s="19" t="s">
        <v>146</v>
      </c>
      <c r="C111" s="14" t="s">
        <v>147</v>
      </c>
      <c r="D111" s="19" t="s">
        <v>8</v>
      </c>
      <c r="E111" s="14" t="s">
        <v>9</v>
      </c>
      <c r="F111" s="14" t="str">
        <f>_xlfn.XLOOKUP(Headcount[[#This Row],[Cost Center]],'Cost Centers'!A:A,'Cost Centers'!C:C,"")</f>
        <v>Admin</v>
      </c>
      <c r="G111" s="51">
        <v>1</v>
      </c>
    </row>
    <row r="112" spans="1:7" ht="15" customHeight="1">
      <c r="A112" s="13">
        <v>45962</v>
      </c>
      <c r="B112" s="19" t="s">
        <v>148</v>
      </c>
      <c r="C112" s="14" t="s">
        <v>149</v>
      </c>
      <c r="D112" s="19" t="s">
        <v>10</v>
      </c>
      <c r="E112" s="14" t="s">
        <v>11</v>
      </c>
      <c r="F112" s="14" t="str">
        <f>_xlfn.XLOOKUP(Headcount[[#This Row],[Cost Center]],'Cost Centers'!A:A,'Cost Centers'!C:C,"")</f>
        <v>Admin</v>
      </c>
      <c r="G112" s="51">
        <v>1</v>
      </c>
    </row>
    <row r="113" spans="1:7" ht="15" customHeight="1">
      <c r="A113" s="13">
        <v>45962</v>
      </c>
      <c r="B113" s="19" t="s">
        <v>150</v>
      </c>
      <c r="C113" s="14" t="s">
        <v>151</v>
      </c>
      <c r="D113" s="19" t="s">
        <v>10</v>
      </c>
      <c r="E113" s="14" t="s">
        <v>11</v>
      </c>
      <c r="F113" s="14" t="str">
        <f>_xlfn.XLOOKUP(Headcount[[#This Row],[Cost Center]],'Cost Centers'!A:A,'Cost Centers'!C:C,"")</f>
        <v>Admin</v>
      </c>
      <c r="G113" s="51">
        <v>1</v>
      </c>
    </row>
    <row r="114" spans="1:7" ht="15" customHeight="1">
      <c r="A114" s="13">
        <v>45962</v>
      </c>
      <c r="B114" s="19" t="s">
        <v>152</v>
      </c>
      <c r="C114" s="14" t="s">
        <v>153</v>
      </c>
      <c r="D114" s="19" t="s">
        <v>12</v>
      </c>
      <c r="E114" s="14" t="s">
        <v>13</v>
      </c>
      <c r="F114" s="14" t="str">
        <f>_xlfn.XLOOKUP(Headcount[[#This Row],[Cost Center]],'Cost Centers'!A:A,'Cost Centers'!C:C,"")</f>
        <v>Programs</v>
      </c>
      <c r="G114" s="51">
        <v>1</v>
      </c>
    </row>
    <row r="115" spans="1:7" ht="15" customHeight="1">
      <c r="A115" s="13">
        <v>45962</v>
      </c>
      <c r="B115" s="19" t="s">
        <v>154</v>
      </c>
      <c r="C115" s="14" t="s">
        <v>155</v>
      </c>
      <c r="D115" s="19" t="s">
        <v>12</v>
      </c>
      <c r="E115" s="14" t="s">
        <v>13</v>
      </c>
      <c r="F115" s="14" t="str">
        <f>_xlfn.XLOOKUP(Headcount[[#This Row],[Cost Center]],'Cost Centers'!A:A,'Cost Centers'!C:C,"")</f>
        <v>Programs</v>
      </c>
      <c r="G115" s="51">
        <v>0.5</v>
      </c>
    </row>
    <row r="116" spans="1:7" ht="15" customHeight="1">
      <c r="A116" s="13">
        <v>45962</v>
      </c>
      <c r="B116" s="19" t="s">
        <v>158</v>
      </c>
      <c r="C116" s="14" t="s">
        <v>159</v>
      </c>
      <c r="D116" s="19" t="s">
        <v>12</v>
      </c>
      <c r="E116" s="14" t="s">
        <v>13</v>
      </c>
      <c r="F116" s="14" t="str">
        <f>_xlfn.XLOOKUP(Headcount[[#This Row],[Cost Center]],'Cost Centers'!A:A,'Cost Centers'!C:C,"")</f>
        <v>Programs</v>
      </c>
      <c r="G116" s="51">
        <v>1</v>
      </c>
    </row>
    <row r="117" spans="1:7" ht="15" customHeight="1">
      <c r="A117" s="13">
        <v>45962</v>
      </c>
      <c r="B117" s="19" t="s">
        <v>190</v>
      </c>
      <c r="C117" s="14" t="s">
        <v>191</v>
      </c>
      <c r="D117" s="19" t="s">
        <v>12</v>
      </c>
      <c r="E117" s="14" t="s">
        <v>13</v>
      </c>
      <c r="F117" s="14" t="str">
        <f>_xlfn.XLOOKUP(Headcount[[#This Row],[Cost Center]],'Cost Centers'!A:A,'Cost Centers'!C:C,"")</f>
        <v>Programs</v>
      </c>
      <c r="G117" s="51">
        <v>1</v>
      </c>
    </row>
    <row r="118" spans="1:7" ht="15" customHeight="1">
      <c r="A118" s="13">
        <v>45962</v>
      </c>
      <c r="B118" s="19" t="s">
        <v>160</v>
      </c>
      <c r="C118" s="14" t="s">
        <v>161</v>
      </c>
      <c r="D118" s="19" t="s">
        <v>14</v>
      </c>
      <c r="E118" s="14" t="s">
        <v>15</v>
      </c>
      <c r="F118" s="14" t="str">
        <f>_xlfn.XLOOKUP(Headcount[[#This Row],[Cost Center]],'Cost Centers'!A:A,'Cost Centers'!C:C,"")</f>
        <v>Programs</v>
      </c>
      <c r="G118" s="51">
        <v>1</v>
      </c>
    </row>
    <row r="119" spans="1:7" ht="15" customHeight="1">
      <c r="A119" s="13">
        <v>45962</v>
      </c>
      <c r="B119" s="19" t="s">
        <v>162</v>
      </c>
      <c r="C119" s="14" t="s">
        <v>163</v>
      </c>
      <c r="D119" s="19" t="s">
        <v>14</v>
      </c>
      <c r="E119" s="14" t="s">
        <v>15</v>
      </c>
      <c r="F119" s="14" t="str">
        <f>_xlfn.XLOOKUP(Headcount[[#This Row],[Cost Center]],'Cost Centers'!A:A,'Cost Centers'!C:C,"")</f>
        <v>Programs</v>
      </c>
      <c r="G119" s="51">
        <v>1</v>
      </c>
    </row>
    <row r="120" spans="1:7" ht="15" customHeight="1">
      <c r="A120" s="13">
        <v>45962</v>
      </c>
      <c r="B120" s="19" t="s">
        <v>164</v>
      </c>
      <c r="C120" s="14" t="s">
        <v>165</v>
      </c>
      <c r="D120" s="19" t="s">
        <v>14</v>
      </c>
      <c r="E120" s="14" t="s">
        <v>15</v>
      </c>
      <c r="F120" s="14" t="str">
        <f>_xlfn.XLOOKUP(Headcount[[#This Row],[Cost Center]],'Cost Centers'!A:A,'Cost Centers'!C:C,"")</f>
        <v>Programs</v>
      </c>
      <c r="G120" s="51">
        <v>1</v>
      </c>
    </row>
    <row r="121" spans="1:7" ht="15" customHeight="1">
      <c r="A121" s="13">
        <v>45962</v>
      </c>
      <c r="B121" s="19" t="s">
        <v>188</v>
      </c>
      <c r="C121" s="14" t="s">
        <v>189</v>
      </c>
      <c r="D121" s="19" t="s">
        <v>14</v>
      </c>
      <c r="E121" s="14" t="s">
        <v>15</v>
      </c>
      <c r="F121" s="14" t="str">
        <f>_xlfn.XLOOKUP(Headcount[[#This Row],[Cost Center]],'Cost Centers'!A:A,'Cost Centers'!C:C,"")</f>
        <v>Programs</v>
      </c>
      <c r="G121" s="51">
        <v>1</v>
      </c>
    </row>
    <row r="122" spans="1:7" ht="15" customHeight="1">
      <c r="A122" s="13">
        <v>45962</v>
      </c>
      <c r="B122" s="19" t="s">
        <v>166</v>
      </c>
      <c r="C122" s="14" t="s">
        <v>167</v>
      </c>
      <c r="D122" s="19" t="s">
        <v>16</v>
      </c>
      <c r="E122" s="14" t="s">
        <v>17</v>
      </c>
      <c r="F122" s="14" t="str">
        <f>_xlfn.XLOOKUP(Headcount[[#This Row],[Cost Center]],'Cost Centers'!A:A,'Cost Centers'!C:C,"")</f>
        <v>Programs</v>
      </c>
      <c r="G122" s="51">
        <v>1</v>
      </c>
    </row>
    <row r="123" spans="1:7" ht="15" customHeight="1">
      <c r="A123" s="13">
        <v>45962</v>
      </c>
      <c r="B123" s="19" t="s">
        <v>168</v>
      </c>
      <c r="C123" s="14" t="s">
        <v>169</v>
      </c>
      <c r="D123" s="19" t="s">
        <v>16</v>
      </c>
      <c r="E123" s="14" t="s">
        <v>17</v>
      </c>
      <c r="F123" s="14" t="str">
        <f>_xlfn.XLOOKUP(Headcount[[#This Row],[Cost Center]],'Cost Centers'!A:A,'Cost Centers'!C:C,"")</f>
        <v>Programs</v>
      </c>
      <c r="G123" s="51">
        <v>1</v>
      </c>
    </row>
    <row r="124" spans="1:7" ht="15" customHeight="1">
      <c r="A124" s="13">
        <v>45962</v>
      </c>
      <c r="B124" s="19" t="s">
        <v>170</v>
      </c>
      <c r="C124" s="14" t="s">
        <v>171</v>
      </c>
      <c r="D124" s="19" t="s">
        <v>16</v>
      </c>
      <c r="E124" s="14" t="s">
        <v>17</v>
      </c>
      <c r="F124" s="14" t="str">
        <f>_xlfn.XLOOKUP(Headcount[[#This Row],[Cost Center]],'Cost Centers'!A:A,'Cost Centers'!C:C,"")</f>
        <v>Programs</v>
      </c>
      <c r="G124" s="51">
        <v>1</v>
      </c>
    </row>
    <row r="125" spans="1:7" ht="15" customHeight="1">
      <c r="A125" s="13">
        <v>45962</v>
      </c>
      <c r="B125" s="19" t="s">
        <v>172</v>
      </c>
      <c r="C125" s="14" t="s">
        <v>173</v>
      </c>
      <c r="D125" s="19" t="s">
        <v>18</v>
      </c>
      <c r="E125" s="14" t="s">
        <v>19</v>
      </c>
      <c r="F125" s="14" t="str">
        <f>_xlfn.XLOOKUP(Headcount[[#This Row],[Cost Center]],'Cost Centers'!A:A,'Cost Centers'!C:C,"")</f>
        <v>Programs</v>
      </c>
      <c r="G125" s="51">
        <v>1</v>
      </c>
    </row>
    <row r="126" spans="1:7" ht="15" customHeight="1">
      <c r="A126" s="13">
        <v>45962</v>
      </c>
      <c r="B126" s="19" t="s">
        <v>174</v>
      </c>
      <c r="C126" s="14" t="s">
        <v>175</v>
      </c>
      <c r="D126" s="19" t="s">
        <v>18</v>
      </c>
      <c r="E126" s="14" t="s">
        <v>19</v>
      </c>
      <c r="F126" s="14" t="str">
        <f>_xlfn.XLOOKUP(Headcount[[#This Row],[Cost Center]],'Cost Centers'!A:A,'Cost Centers'!C:C,"")</f>
        <v>Programs</v>
      </c>
      <c r="G126" s="51">
        <v>1</v>
      </c>
    </row>
    <row r="127" spans="1:7" ht="15" customHeight="1">
      <c r="A127" s="13">
        <v>45962</v>
      </c>
      <c r="B127" s="19" t="s">
        <v>176</v>
      </c>
      <c r="C127" s="14" t="s">
        <v>177</v>
      </c>
      <c r="D127" s="19" t="s">
        <v>18</v>
      </c>
      <c r="E127" s="14" t="s">
        <v>19</v>
      </c>
      <c r="F127" s="14" t="str">
        <f>_xlfn.XLOOKUP(Headcount[[#This Row],[Cost Center]],'Cost Centers'!A:A,'Cost Centers'!C:C,"")</f>
        <v>Programs</v>
      </c>
      <c r="G127" s="51">
        <v>1</v>
      </c>
    </row>
    <row r="128" spans="1:7" ht="15" customHeight="1">
      <c r="A128" s="13">
        <v>45962</v>
      </c>
      <c r="B128" s="19" t="s">
        <v>178</v>
      </c>
      <c r="C128" s="14" t="s">
        <v>179</v>
      </c>
      <c r="D128" s="19" t="s">
        <v>18</v>
      </c>
      <c r="E128" s="14" t="s">
        <v>19</v>
      </c>
      <c r="F128" s="14" t="str">
        <f>_xlfn.XLOOKUP(Headcount[[#This Row],[Cost Center]],'Cost Centers'!A:A,'Cost Centers'!C:C,"")</f>
        <v>Programs</v>
      </c>
      <c r="G128" s="51">
        <v>1</v>
      </c>
    </row>
    <row r="129" spans="1:7" ht="15" customHeight="1">
      <c r="A129" s="13">
        <v>45962</v>
      </c>
      <c r="B129" s="19" t="s">
        <v>180</v>
      </c>
      <c r="C129" s="14" t="s">
        <v>181</v>
      </c>
      <c r="D129" s="19" t="s">
        <v>20</v>
      </c>
      <c r="E129" s="14" t="s">
        <v>21</v>
      </c>
      <c r="F129" s="14" t="str">
        <f>_xlfn.XLOOKUP(Headcount[[#This Row],[Cost Center]],'Cost Centers'!A:A,'Cost Centers'!C:C,"")</f>
        <v>Programs</v>
      </c>
      <c r="G129" s="51">
        <v>1</v>
      </c>
    </row>
    <row r="130" spans="1:7" ht="15" customHeight="1">
      <c r="A130" s="13">
        <v>45962</v>
      </c>
      <c r="B130" s="19" t="s">
        <v>182</v>
      </c>
      <c r="C130" s="14" t="s">
        <v>183</v>
      </c>
      <c r="D130" s="19" t="s">
        <v>20</v>
      </c>
      <c r="E130" s="14" t="s">
        <v>21</v>
      </c>
      <c r="F130" s="14" t="str">
        <f>_xlfn.XLOOKUP(Headcount[[#This Row],[Cost Center]],'Cost Centers'!A:A,'Cost Centers'!C:C,"")</f>
        <v>Programs</v>
      </c>
      <c r="G130" s="51">
        <v>1</v>
      </c>
    </row>
    <row r="131" spans="1:7" ht="15" customHeight="1">
      <c r="A131" s="13">
        <v>45962</v>
      </c>
      <c r="B131" s="19" t="s">
        <v>184</v>
      </c>
      <c r="C131" s="14" t="s">
        <v>185</v>
      </c>
      <c r="D131" s="19" t="s">
        <v>20</v>
      </c>
      <c r="E131" s="14" t="s">
        <v>21</v>
      </c>
      <c r="F131" s="14" t="str">
        <f>_xlfn.XLOOKUP(Headcount[[#This Row],[Cost Center]],'Cost Centers'!A:A,'Cost Centers'!C:C,"")</f>
        <v>Programs</v>
      </c>
      <c r="G131" s="51">
        <v>1</v>
      </c>
    </row>
    <row r="132" spans="1:7" ht="15" customHeight="1">
      <c r="A132" s="13">
        <v>45962</v>
      </c>
      <c r="B132" s="19" t="s">
        <v>186</v>
      </c>
      <c r="C132" s="14" t="s">
        <v>187</v>
      </c>
      <c r="D132" s="19" t="s">
        <v>20</v>
      </c>
      <c r="E132" s="14" t="s">
        <v>21</v>
      </c>
      <c r="F132" s="14" t="str">
        <f>_xlfn.XLOOKUP(Headcount[[#This Row],[Cost Center]],'Cost Centers'!A:A,'Cost Centers'!C:C,"")</f>
        <v>Programs</v>
      </c>
      <c r="G132" s="51">
        <v>1</v>
      </c>
    </row>
    <row r="133" spans="1:7" ht="15" customHeight="1">
      <c r="A133" s="13">
        <v>45992</v>
      </c>
      <c r="B133" s="19" t="s">
        <v>154</v>
      </c>
      <c r="C133" s="14" t="s">
        <v>155</v>
      </c>
      <c r="D133" s="19" t="s">
        <v>4</v>
      </c>
      <c r="E133" s="14" t="s">
        <v>5</v>
      </c>
      <c r="F133" s="14" t="str">
        <f>_xlfn.XLOOKUP(Headcount[[#This Row],[Cost Center]],'Cost Centers'!A:A,'Cost Centers'!C:C,"")</f>
        <v>Admin</v>
      </c>
      <c r="G133" s="51">
        <v>0.5</v>
      </c>
    </row>
    <row r="134" spans="1:7" ht="15" customHeight="1">
      <c r="A134" s="13">
        <v>45992</v>
      </c>
      <c r="B134" s="19" t="s">
        <v>138</v>
      </c>
      <c r="C134" s="14" t="s">
        <v>139</v>
      </c>
      <c r="D134" s="19" t="s">
        <v>4</v>
      </c>
      <c r="E134" s="14" t="s">
        <v>5</v>
      </c>
      <c r="F134" s="14" t="str">
        <f>_xlfn.XLOOKUP(Headcount[[#This Row],[Cost Center]],'Cost Centers'!A:A,'Cost Centers'!C:C,"")</f>
        <v>Admin</v>
      </c>
      <c r="G134" s="51">
        <v>1</v>
      </c>
    </row>
    <row r="135" spans="1:7" ht="15" customHeight="1">
      <c r="A135" s="13">
        <v>45992</v>
      </c>
      <c r="B135" s="19" t="s">
        <v>140</v>
      </c>
      <c r="C135" s="14" t="s">
        <v>141</v>
      </c>
      <c r="D135" s="19" t="s">
        <v>6</v>
      </c>
      <c r="E135" s="14" t="s">
        <v>7</v>
      </c>
      <c r="F135" s="14" t="str">
        <f>_xlfn.XLOOKUP(Headcount[[#This Row],[Cost Center]],'Cost Centers'!A:A,'Cost Centers'!C:C,"")</f>
        <v>Admin</v>
      </c>
      <c r="G135" s="51">
        <v>1</v>
      </c>
    </row>
    <row r="136" spans="1:7" ht="15" customHeight="1">
      <c r="A136" s="13">
        <v>45992</v>
      </c>
      <c r="B136" s="19" t="s">
        <v>142</v>
      </c>
      <c r="C136" s="14" t="s">
        <v>143</v>
      </c>
      <c r="D136" s="19" t="s">
        <v>6</v>
      </c>
      <c r="E136" s="14" t="s">
        <v>7</v>
      </c>
      <c r="F136" s="14" t="str">
        <f>_xlfn.XLOOKUP(Headcount[[#This Row],[Cost Center]],'Cost Centers'!A:A,'Cost Centers'!C:C,"")</f>
        <v>Admin</v>
      </c>
      <c r="G136" s="51">
        <v>1</v>
      </c>
    </row>
    <row r="137" spans="1:7" ht="15" customHeight="1">
      <c r="A137" s="13">
        <v>45992</v>
      </c>
      <c r="B137" s="19" t="s">
        <v>144</v>
      </c>
      <c r="C137" s="14" t="s">
        <v>145</v>
      </c>
      <c r="D137" s="19" t="s">
        <v>8</v>
      </c>
      <c r="E137" s="14" t="s">
        <v>9</v>
      </c>
      <c r="F137" s="14" t="str">
        <f>_xlfn.XLOOKUP(Headcount[[#This Row],[Cost Center]],'Cost Centers'!A:A,'Cost Centers'!C:C,"")</f>
        <v>Admin</v>
      </c>
      <c r="G137" s="51">
        <v>1</v>
      </c>
    </row>
    <row r="138" spans="1:7" ht="15" customHeight="1">
      <c r="A138" s="13">
        <v>45992</v>
      </c>
      <c r="B138" s="19" t="s">
        <v>146</v>
      </c>
      <c r="C138" s="14" t="s">
        <v>147</v>
      </c>
      <c r="D138" s="19" t="s">
        <v>8</v>
      </c>
      <c r="E138" s="14" t="s">
        <v>9</v>
      </c>
      <c r="F138" s="14" t="str">
        <f>_xlfn.XLOOKUP(Headcount[[#This Row],[Cost Center]],'Cost Centers'!A:A,'Cost Centers'!C:C,"")</f>
        <v>Admin</v>
      </c>
      <c r="G138" s="51">
        <v>1</v>
      </c>
    </row>
    <row r="139" spans="1:7" ht="15" customHeight="1">
      <c r="A139" s="13">
        <v>45992</v>
      </c>
      <c r="B139" s="19" t="s">
        <v>148</v>
      </c>
      <c r="C139" s="14" t="s">
        <v>149</v>
      </c>
      <c r="D139" s="19" t="s">
        <v>10</v>
      </c>
      <c r="E139" s="14" t="s">
        <v>11</v>
      </c>
      <c r="F139" s="14" t="str">
        <f>_xlfn.XLOOKUP(Headcount[[#This Row],[Cost Center]],'Cost Centers'!A:A,'Cost Centers'!C:C,"")</f>
        <v>Admin</v>
      </c>
      <c r="G139" s="51">
        <v>1</v>
      </c>
    </row>
    <row r="140" spans="1:7" ht="15" customHeight="1">
      <c r="A140" s="13">
        <v>45992</v>
      </c>
      <c r="B140" s="19" t="s">
        <v>150</v>
      </c>
      <c r="C140" s="14" t="s">
        <v>151</v>
      </c>
      <c r="D140" s="19" t="s">
        <v>10</v>
      </c>
      <c r="E140" s="14" t="s">
        <v>11</v>
      </c>
      <c r="F140" s="14" t="str">
        <f>_xlfn.XLOOKUP(Headcount[[#This Row],[Cost Center]],'Cost Centers'!A:A,'Cost Centers'!C:C,"")</f>
        <v>Admin</v>
      </c>
      <c r="G140" s="51">
        <v>1</v>
      </c>
    </row>
    <row r="141" spans="1:7" ht="15" customHeight="1">
      <c r="A141" s="13">
        <v>45992</v>
      </c>
      <c r="B141" s="19" t="s">
        <v>152</v>
      </c>
      <c r="C141" s="14" t="s">
        <v>153</v>
      </c>
      <c r="D141" s="19" t="s">
        <v>12</v>
      </c>
      <c r="E141" s="14" t="s">
        <v>13</v>
      </c>
      <c r="F141" s="14" t="str">
        <f>_xlfn.XLOOKUP(Headcount[[#This Row],[Cost Center]],'Cost Centers'!A:A,'Cost Centers'!C:C,"")</f>
        <v>Programs</v>
      </c>
      <c r="G141" s="51">
        <v>1</v>
      </c>
    </row>
    <row r="142" spans="1:7" ht="15" customHeight="1">
      <c r="A142" s="13">
        <v>45992</v>
      </c>
      <c r="B142" s="19" t="s">
        <v>154</v>
      </c>
      <c r="C142" s="14" t="s">
        <v>155</v>
      </c>
      <c r="D142" s="19" t="s">
        <v>12</v>
      </c>
      <c r="E142" s="14" t="s">
        <v>13</v>
      </c>
      <c r="F142" s="14" t="str">
        <f>_xlfn.XLOOKUP(Headcount[[#This Row],[Cost Center]],'Cost Centers'!A:A,'Cost Centers'!C:C,"")</f>
        <v>Programs</v>
      </c>
      <c r="G142" s="51">
        <v>0.5</v>
      </c>
    </row>
    <row r="143" spans="1:7" ht="15" customHeight="1">
      <c r="A143" s="13">
        <v>45992</v>
      </c>
      <c r="B143" s="19" t="s">
        <v>158</v>
      </c>
      <c r="C143" s="14" t="s">
        <v>159</v>
      </c>
      <c r="D143" s="19" t="s">
        <v>12</v>
      </c>
      <c r="E143" s="14" t="s">
        <v>13</v>
      </c>
      <c r="F143" s="14" t="str">
        <f>_xlfn.XLOOKUP(Headcount[[#This Row],[Cost Center]],'Cost Centers'!A:A,'Cost Centers'!C:C,"")</f>
        <v>Programs</v>
      </c>
      <c r="G143" s="51">
        <v>1</v>
      </c>
    </row>
    <row r="144" spans="1:7" ht="15" customHeight="1">
      <c r="A144" s="13">
        <v>45992</v>
      </c>
      <c r="B144" s="19" t="s">
        <v>190</v>
      </c>
      <c r="C144" s="14" t="s">
        <v>191</v>
      </c>
      <c r="D144" s="19" t="s">
        <v>12</v>
      </c>
      <c r="E144" s="14" t="s">
        <v>13</v>
      </c>
      <c r="F144" s="14" t="str">
        <f>_xlfn.XLOOKUP(Headcount[[#This Row],[Cost Center]],'Cost Centers'!A:A,'Cost Centers'!C:C,"")</f>
        <v>Programs</v>
      </c>
      <c r="G144" s="51">
        <v>1</v>
      </c>
    </row>
    <row r="145" spans="1:7" ht="15" customHeight="1">
      <c r="A145" s="13">
        <v>45992</v>
      </c>
      <c r="B145" s="19" t="s">
        <v>160</v>
      </c>
      <c r="C145" s="14" t="s">
        <v>161</v>
      </c>
      <c r="D145" s="19" t="s">
        <v>14</v>
      </c>
      <c r="E145" s="14" t="s">
        <v>15</v>
      </c>
      <c r="F145" s="14" t="str">
        <f>_xlfn.XLOOKUP(Headcount[[#This Row],[Cost Center]],'Cost Centers'!A:A,'Cost Centers'!C:C,"")</f>
        <v>Programs</v>
      </c>
      <c r="G145" s="51">
        <v>1</v>
      </c>
    </row>
    <row r="146" spans="1:7" ht="15" customHeight="1">
      <c r="A146" s="13">
        <v>45992</v>
      </c>
      <c r="B146" s="19" t="s">
        <v>162</v>
      </c>
      <c r="C146" s="14" t="s">
        <v>163</v>
      </c>
      <c r="D146" s="19" t="s">
        <v>14</v>
      </c>
      <c r="E146" s="14" t="s">
        <v>15</v>
      </c>
      <c r="F146" s="14" t="str">
        <f>_xlfn.XLOOKUP(Headcount[[#This Row],[Cost Center]],'Cost Centers'!A:A,'Cost Centers'!C:C,"")</f>
        <v>Programs</v>
      </c>
      <c r="G146" s="51">
        <v>1</v>
      </c>
    </row>
    <row r="147" spans="1:7" ht="15" customHeight="1">
      <c r="A147" s="13">
        <v>45992</v>
      </c>
      <c r="B147" s="19" t="s">
        <v>164</v>
      </c>
      <c r="C147" s="14" t="s">
        <v>165</v>
      </c>
      <c r="D147" s="19" t="s">
        <v>14</v>
      </c>
      <c r="E147" s="14" t="s">
        <v>15</v>
      </c>
      <c r="F147" s="14" t="str">
        <f>_xlfn.XLOOKUP(Headcount[[#This Row],[Cost Center]],'Cost Centers'!A:A,'Cost Centers'!C:C,"")</f>
        <v>Programs</v>
      </c>
      <c r="G147" s="51">
        <v>1</v>
      </c>
    </row>
    <row r="148" spans="1:7" ht="15" customHeight="1">
      <c r="A148" s="13">
        <v>45992</v>
      </c>
      <c r="B148" s="19" t="s">
        <v>188</v>
      </c>
      <c r="C148" s="14" t="s">
        <v>189</v>
      </c>
      <c r="D148" s="19" t="s">
        <v>14</v>
      </c>
      <c r="E148" s="14" t="s">
        <v>15</v>
      </c>
      <c r="F148" s="14" t="str">
        <f>_xlfn.XLOOKUP(Headcount[[#This Row],[Cost Center]],'Cost Centers'!A:A,'Cost Centers'!C:C,"")</f>
        <v>Programs</v>
      </c>
      <c r="G148" s="51">
        <v>1</v>
      </c>
    </row>
    <row r="149" spans="1:7" ht="15" customHeight="1">
      <c r="A149" s="13">
        <v>45992</v>
      </c>
      <c r="B149" s="19" t="s">
        <v>166</v>
      </c>
      <c r="C149" s="14" t="s">
        <v>167</v>
      </c>
      <c r="D149" s="19" t="s">
        <v>16</v>
      </c>
      <c r="E149" s="14" t="s">
        <v>17</v>
      </c>
      <c r="F149" s="14" t="str">
        <f>_xlfn.XLOOKUP(Headcount[[#This Row],[Cost Center]],'Cost Centers'!A:A,'Cost Centers'!C:C,"")</f>
        <v>Programs</v>
      </c>
      <c r="G149" s="51">
        <v>1</v>
      </c>
    </row>
    <row r="150" spans="1:7" ht="15" customHeight="1">
      <c r="A150" s="13">
        <v>45992</v>
      </c>
      <c r="B150" s="19" t="s">
        <v>168</v>
      </c>
      <c r="C150" s="14" t="s">
        <v>169</v>
      </c>
      <c r="D150" s="19" t="s">
        <v>16</v>
      </c>
      <c r="E150" s="14" t="s">
        <v>17</v>
      </c>
      <c r="F150" s="14" t="str">
        <f>_xlfn.XLOOKUP(Headcount[[#This Row],[Cost Center]],'Cost Centers'!A:A,'Cost Centers'!C:C,"")</f>
        <v>Programs</v>
      </c>
      <c r="G150" s="51">
        <v>1</v>
      </c>
    </row>
    <row r="151" spans="1:7" ht="15" customHeight="1">
      <c r="A151" s="13">
        <v>45992</v>
      </c>
      <c r="B151" s="19" t="s">
        <v>170</v>
      </c>
      <c r="C151" s="14" t="s">
        <v>171</v>
      </c>
      <c r="D151" s="19" t="s">
        <v>16</v>
      </c>
      <c r="E151" s="14" t="s">
        <v>17</v>
      </c>
      <c r="F151" s="14" t="str">
        <f>_xlfn.XLOOKUP(Headcount[[#This Row],[Cost Center]],'Cost Centers'!A:A,'Cost Centers'!C:C,"")</f>
        <v>Programs</v>
      </c>
      <c r="G151" s="51">
        <v>1</v>
      </c>
    </row>
    <row r="152" spans="1:7" ht="15" customHeight="1">
      <c r="A152" s="13">
        <v>45992</v>
      </c>
      <c r="B152" s="19" t="s">
        <v>172</v>
      </c>
      <c r="C152" s="14" t="s">
        <v>173</v>
      </c>
      <c r="D152" s="19" t="s">
        <v>18</v>
      </c>
      <c r="E152" s="14" t="s">
        <v>19</v>
      </c>
      <c r="F152" s="14" t="str">
        <f>_xlfn.XLOOKUP(Headcount[[#This Row],[Cost Center]],'Cost Centers'!A:A,'Cost Centers'!C:C,"")</f>
        <v>Programs</v>
      </c>
      <c r="G152" s="51">
        <v>1</v>
      </c>
    </row>
    <row r="153" spans="1:7" ht="15" customHeight="1">
      <c r="A153" s="13">
        <v>45992</v>
      </c>
      <c r="B153" s="19" t="s">
        <v>174</v>
      </c>
      <c r="C153" s="14" t="s">
        <v>175</v>
      </c>
      <c r="D153" s="19" t="s">
        <v>18</v>
      </c>
      <c r="E153" s="14" t="s">
        <v>19</v>
      </c>
      <c r="F153" s="14" t="str">
        <f>_xlfn.XLOOKUP(Headcount[[#This Row],[Cost Center]],'Cost Centers'!A:A,'Cost Centers'!C:C,"")</f>
        <v>Programs</v>
      </c>
      <c r="G153" s="51">
        <v>1</v>
      </c>
    </row>
    <row r="154" spans="1:7" ht="15" customHeight="1">
      <c r="A154" s="13">
        <v>45992</v>
      </c>
      <c r="B154" s="19" t="s">
        <v>176</v>
      </c>
      <c r="C154" s="14" t="s">
        <v>177</v>
      </c>
      <c r="D154" s="19" t="s">
        <v>18</v>
      </c>
      <c r="E154" s="14" t="s">
        <v>19</v>
      </c>
      <c r="F154" s="14" t="str">
        <f>_xlfn.XLOOKUP(Headcount[[#This Row],[Cost Center]],'Cost Centers'!A:A,'Cost Centers'!C:C,"")</f>
        <v>Programs</v>
      </c>
      <c r="G154" s="51">
        <v>1</v>
      </c>
    </row>
    <row r="155" spans="1:7" ht="15" customHeight="1">
      <c r="A155" s="13">
        <v>45992</v>
      </c>
      <c r="B155" s="19" t="s">
        <v>178</v>
      </c>
      <c r="C155" s="14" t="s">
        <v>179</v>
      </c>
      <c r="D155" s="19" t="s">
        <v>18</v>
      </c>
      <c r="E155" s="14" t="s">
        <v>19</v>
      </c>
      <c r="F155" s="14" t="str">
        <f>_xlfn.XLOOKUP(Headcount[[#This Row],[Cost Center]],'Cost Centers'!A:A,'Cost Centers'!C:C,"")</f>
        <v>Programs</v>
      </c>
      <c r="G155" s="51">
        <v>1</v>
      </c>
    </row>
    <row r="156" spans="1:7" ht="15" customHeight="1">
      <c r="A156" s="13">
        <v>45992</v>
      </c>
      <c r="B156" s="19" t="s">
        <v>180</v>
      </c>
      <c r="C156" s="14" t="s">
        <v>181</v>
      </c>
      <c r="D156" s="19" t="s">
        <v>20</v>
      </c>
      <c r="E156" s="14" t="s">
        <v>21</v>
      </c>
      <c r="F156" s="14" t="str">
        <f>_xlfn.XLOOKUP(Headcount[[#This Row],[Cost Center]],'Cost Centers'!A:A,'Cost Centers'!C:C,"")</f>
        <v>Programs</v>
      </c>
      <c r="G156" s="51">
        <v>1</v>
      </c>
    </row>
    <row r="157" spans="1:7" ht="15" customHeight="1">
      <c r="A157" s="13">
        <v>45992</v>
      </c>
      <c r="B157" s="19" t="s">
        <v>182</v>
      </c>
      <c r="C157" s="14" t="s">
        <v>183</v>
      </c>
      <c r="D157" s="19" t="s">
        <v>20</v>
      </c>
      <c r="E157" s="14" t="s">
        <v>21</v>
      </c>
      <c r="F157" s="14" t="str">
        <f>_xlfn.XLOOKUP(Headcount[[#This Row],[Cost Center]],'Cost Centers'!A:A,'Cost Centers'!C:C,"")</f>
        <v>Programs</v>
      </c>
      <c r="G157" s="51">
        <v>1</v>
      </c>
    </row>
    <row r="158" spans="1:7" ht="15" customHeight="1">
      <c r="A158" s="13">
        <v>45992</v>
      </c>
      <c r="B158" s="19" t="s">
        <v>184</v>
      </c>
      <c r="C158" s="14" t="s">
        <v>185</v>
      </c>
      <c r="D158" s="19" t="s">
        <v>20</v>
      </c>
      <c r="E158" s="14" t="s">
        <v>21</v>
      </c>
      <c r="F158" s="14" t="str">
        <f>_xlfn.XLOOKUP(Headcount[[#This Row],[Cost Center]],'Cost Centers'!A:A,'Cost Centers'!C:C,"")</f>
        <v>Programs</v>
      </c>
      <c r="G158" s="51">
        <v>1</v>
      </c>
    </row>
    <row r="159" spans="1:7" ht="15" customHeight="1">
      <c r="A159" s="13">
        <v>45992</v>
      </c>
      <c r="B159" s="19" t="s">
        <v>186</v>
      </c>
      <c r="C159" s="14" t="s">
        <v>187</v>
      </c>
      <c r="D159" s="19" t="s">
        <v>20</v>
      </c>
      <c r="E159" s="14" t="s">
        <v>21</v>
      </c>
      <c r="F159" s="14" t="str">
        <f>_xlfn.XLOOKUP(Headcount[[#This Row],[Cost Center]],'Cost Centers'!A:A,'Cost Centers'!C:C,"")</f>
        <v>Programs</v>
      </c>
      <c r="G159" s="51">
        <v>1</v>
      </c>
    </row>
    <row r="160" spans="1:7" ht="15" customHeight="1">
      <c r="A160" s="13">
        <v>46023</v>
      </c>
      <c r="B160" s="19" t="s">
        <v>154</v>
      </c>
      <c r="C160" s="14" t="s">
        <v>155</v>
      </c>
      <c r="D160" s="19" t="s">
        <v>4</v>
      </c>
      <c r="E160" s="14" t="s">
        <v>5</v>
      </c>
      <c r="F160" s="14" t="str">
        <f>_xlfn.XLOOKUP(Headcount[[#This Row],[Cost Center]],'Cost Centers'!A:A,'Cost Centers'!C:C,"")</f>
        <v>Admin</v>
      </c>
      <c r="G160" s="51">
        <v>0.5</v>
      </c>
    </row>
    <row r="161" spans="1:7" ht="15" customHeight="1">
      <c r="A161" s="13">
        <v>46023</v>
      </c>
      <c r="B161" s="19" t="s">
        <v>138</v>
      </c>
      <c r="C161" s="14" t="s">
        <v>139</v>
      </c>
      <c r="D161" s="19" t="s">
        <v>4</v>
      </c>
      <c r="E161" s="14" t="s">
        <v>5</v>
      </c>
      <c r="F161" s="14" t="str">
        <f>_xlfn.XLOOKUP(Headcount[[#This Row],[Cost Center]],'Cost Centers'!A:A,'Cost Centers'!C:C,"")</f>
        <v>Admin</v>
      </c>
      <c r="G161" s="51">
        <v>1</v>
      </c>
    </row>
    <row r="162" spans="1:7" ht="15" customHeight="1">
      <c r="A162" s="13">
        <v>46023</v>
      </c>
      <c r="B162" s="19" t="s">
        <v>140</v>
      </c>
      <c r="C162" s="14" t="s">
        <v>141</v>
      </c>
      <c r="D162" s="19" t="s">
        <v>6</v>
      </c>
      <c r="E162" s="14" t="s">
        <v>7</v>
      </c>
      <c r="F162" s="14" t="str">
        <f>_xlfn.XLOOKUP(Headcount[[#This Row],[Cost Center]],'Cost Centers'!A:A,'Cost Centers'!C:C,"")</f>
        <v>Admin</v>
      </c>
      <c r="G162" s="51">
        <v>1</v>
      </c>
    </row>
    <row r="163" spans="1:7" ht="15" customHeight="1">
      <c r="A163" s="13">
        <v>46023</v>
      </c>
      <c r="B163" s="19" t="s">
        <v>142</v>
      </c>
      <c r="C163" s="14" t="s">
        <v>143</v>
      </c>
      <c r="D163" s="19" t="s">
        <v>6</v>
      </c>
      <c r="E163" s="14" t="s">
        <v>7</v>
      </c>
      <c r="F163" s="14" t="str">
        <f>_xlfn.XLOOKUP(Headcount[[#This Row],[Cost Center]],'Cost Centers'!A:A,'Cost Centers'!C:C,"")</f>
        <v>Admin</v>
      </c>
      <c r="G163" s="51">
        <v>1</v>
      </c>
    </row>
    <row r="164" spans="1:7" ht="15" customHeight="1">
      <c r="A164" s="13">
        <v>46023</v>
      </c>
      <c r="B164" s="19" t="s">
        <v>144</v>
      </c>
      <c r="C164" s="14" t="s">
        <v>145</v>
      </c>
      <c r="D164" s="19" t="s">
        <v>8</v>
      </c>
      <c r="E164" s="14" t="s">
        <v>9</v>
      </c>
      <c r="F164" s="14" t="str">
        <f>_xlfn.XLOOKUP(Headcount[[#This Row],[Cost Center]],'Cost Centers'!A:A,'Cost Centers'!C:C,"")</f>
        <v>Admin</v>
      </c>
      <c r="G164" s="51">
        <v>1</v>
      </c>
    </row>
    <row r="165" spans="1:7" ht="15" customHeight="1">
      <c r="A165" s="13">
        <v>46023</v>
      </c>
      <c r="B165" s="19" t="s">
        <v>146</v>
      </c>
      <c r="C165" s="14" t="s">
        <v>147</v>
      </c>
      <c r="D165" s="19" t="s">
        <v>8</v>
      </c>
      <c r="E165" s="14" t="s">
        <v>9</v>
      </c>
      <c r="F165" s="14" t="str">
        <f>_xlfn.XLOOKUP(Headcount[[#This Row],[Cost Center]],'Cost Centers'!A:A,'Cost Centers'!C:C,"")</f>
        <v>Admin</v>
      </c>
      <c r="G165" s="51">
        <v>1</v>
      </c>
    </row>
    <row r="166" spans="1:7" ht="15" customHeight="1">
      <c r="A166" s="13">
        <v>46023</v>
      </c>
      <c r="B166" s="19" t="s">
        <v>148</v>
      </c>
      <c r="C166" s="14" t="s">
        <v>149</v>
      </c>
      <c r="D166" s="19" t="s">
        <v>10</v>
      </c>
      <c r="E166" s="14" t="s">
        <v>11</v>
      </c>
      <c r="F166" s="14" t="str">
        <f>_xlfn.XLOOKUP(Headcount[[#This Row],[Cost Center]],'Cost Centers'!A:A,'Cost Centers'!C:C,"")</f>
        <v>Admin</v>
      </c>
      <c r="G166" s="51">
        <v>1</v>
      </c>
    </row>
    <row r="167" spans="1:7" ht="15" customHeight="1">
      <c r="A167" s="13">
        <v>46023</v>
      </c>
      <c r="B167" s="19" t="s">
        <v>150</v>
      </c>
      <c r="C167" s="14" t="s">
        <v>151</v>
      </c>
      <c r="D167" s="19" t="s">
        <v>10</v>
      </c>
      <c r="E167" s="14" t="s">
        <v>11</v>
      </c>
      <c r="F167" s="14" t="str">
        <f>_xlfn.XLOOKUP(Headcount[[#This Row],[Cost Center]],'Cost Centers'!A:A,'Cost Centers'!C:C,"")</f>
        <v>Admin</v>
      </c>
      <c r="G167" s="51">
        <v>1</v>
      </c>
    </row>
    <row r="168" spans="1:7" ht="15" customHeight="1">
      <c r="A168" s="13">
        <v>46023</v>
      </c>
      <c r="B168" s="19" t="s">
        <v>152</v>
      </c>
      <c r="C168" s="14" t="s">
        <v>153</v>
      </c>
      <c r="D168" s="19" t="s">
        <v>12</v>
      </c>
      <c r="E168" s="14" t="s">
        <v>13</v>
      </c>
      <c r="F168" s="14" t="str">
        <f>_xlfn.XLOOKUP(Headcount[[#This Row],[Cost Center]],'Cost Centers'!A:A,'Cost Centers'!C:C,"")</f>
        <v>Programs</v>
      </c>
      <c r="G168" s="51">
        <v>1</v>
      </c>
    </row>
    <row r="169" spans="1:7" ht="15" customHeight="1">
      <c r="A169" s="13">
        <v>46023</v>
      </c>
      <c r="B169" s="19" t="s">
        <v>154</v>
      </c>
      <c r="C169" s="14" t="s">
        <v>155</v>
      </c>
      <c r="D169" s="19" t="s">
        <v>12</v>
      </c>
      <c r="E169" s="14" t="s">
        <v>13</v>
      </c>
      <c r="F169" s="14" t="str">
        <f>_xlfn.XLOOKUP(Headcount[[#This Row],[Cost Center]],'Cost Centers'!A:A,'Cost Centers'!C:C,"")</f>
        <v>Programs</v>
      </c>
      <c r="G169" s="51">
        <v>0.5</v>
      </c>
    </row>
    <row r="170" spans="1:7" ht="15" customHeight="1">
      <c r="A170" s="13">
        <v>46023</v>
      </c>
      <c r="B170" s="19" t="s">
        <v>158</v>
      </c>
      <c r="C170" s="14" t="s">
        <v>159</v>
      </c>
      <c r="D170" s="19" t="s">
        <v>12</v>
      </c>
      <c r="E170" s="14" t="s">
        <v>13</v>
      </c>
      <c r="F170" s="14" t="str">
        <f>_xlfn.XLOOKUP(Headcount[[#This Row],[Cost Center]],'Cost Centers'!A:A,'Cost Centers'!C:C,"")</f>
        <v>Programs</v>
      </c>
      <c r="G170" s="51">
        <v>1</v>
      </c>
    </row>
    <row r="171" spans="1:7" ht="15" customHeight="1">
      <c r="A171" s="13">
        <v>46023</v>
      </c>
      <c r="B171" s="19" t="s">
        <v>190</v>
      </c>
      <c r="C171" s="14" t="s">
        <v>191</v>
      </c>
      <c r="D171" s="19" t="s">
        <v>12</v>
      </c>
      <c r="E171" s="14" t="s">
        <v>13</v>
      </c>
      <c r="F171" s="14" t="str">
        <f>_xlfn.XLOOKUP(Headcount[[#This Row],[Cost Center]],'Cost Centers'!A:A,'Cost Centers'!C:C,"")</f>
        <v>Programs</v>
      </c>
      <c r="G171" s="51">
        <v>1</v>
      </c>
    </row>
    <row r="172" spans="1:7" ht="15" customHeight="1">
      <c r="A172" s="13">
        <v>46023</v>
      </c>
      <c r="B172" s="19" t="s">
        <v>160</v>
      </c>
      <c r="C172" s="14" t="s">
        <v>161</v>
      </c>
      <c r="D172" s="19" t="s">
        <v>14</v>
      </c>
      <c r="E172" s="14" t="s">
        <v>15</v>
      </c>
      <c r="F172" s="14" t="str">
        <f>_xlfn.XLOOKUP(Headcount[[#This Row],[Cost Center]],'Cost Centers'!A:A,'Cost Centers'!C:C,"")</f>
        <v>Programs</v>
      </c>
      <c r="G172" s="51">
        <v>1</v>
      </c>
    </row>
    <row r="173" spans="1:7" ht="15" customHeight="1">
      <c r="A173" s="13">
        <v>46023</v>
      </c>
      <c r="B173" s="19" t="s">
        <v>162</v>
      </c>
      <c r="C173" s="14" t="s">
        <v>163</v>
      </c>
      <c r="D173" s="19" t="s">
        <v>14</v>
      </c>
      <c r="E173" s="14" t="s">
        <v>15</v>
      </c>
      <c r="F173" s="14" t="str">
        <f>_xlfn.XLOOKUP(Headcount[[#This Row],[Cost Center]],'Cost Centers'!A:A,'Cost Centers'!C:C,"")</f>
        <v>Programs</v>
      </c>
      <c r="G173" s="51">
        <v>1</v>
      </c>
    </row>
    <row r="174" spans="1:7" ht="15" customHeight="1">
      <c r="A174" s="13">
        <v>46023</v>
      </c>
      <c r="B174" s="19" t="s">
        <v>164</v>
      </c>
      <c r="C174" s="14" t="s">
        <v>165</v>
      </c>
      <c r="D174" s="19" t="s">
        <v>14</v>
      </c>
      <c r="E174" s="14" t="s">
        <v>15</v>
      </c>
      <c r="F174" s="14" t="str">
        <f>_xlfn.XLOOKUP(Headcount[[#This Row],[Cost Center]],'Cost Centers'!A:A,'Cost Centers'!C:C,"")</f>
        <v>Programs</v>
      </c>
      <c r="G174" s="51">
        <v>1</v>
      </c>
    </row>
    <row r="175" spans="1:7" ht="15" customHeight="1">
      <c r="A175" s="13">
        <v>46023</v>
      </c>
      <c r="B175" s="19" t="s">
        <v>188</v>
      </c>
      <c r="C175" s="14" t="s">
        <v>189</v>
      </c>
      <c r="D175" s="19" t="s">
        <v>14</v>
      </c>
      <c r="E175" s="14" t="s">
        <v>15</v>
      </c>
      <c r="F175" s="14" t="str">
        <f>_xlfn.XLOOKUP(Headcount[[#This Row],[Cost Center]],'Cost Centers'!A:A,'Cost Centers'!C:C,"")</f>
        <v>Programs</v>
      </c>
      <c r="G175" s="51">
        <v>1</v>
      </c>
    </row>
    <row r="176" spans="1:7" ht="15" customHeight="1">
      <c r="A176" s="13">
        <v>46023</v>
      </c>
      <c r="B176" s="19" t="s">
        <v>166</v>
      </c>
      <c r="C176" s="14" t="s">
        <v>167</v>
      </c>
      <c r="D176" s="19" t="s">
        <v>16</v>
      </c>
      <c r="E176" s="14" t="s">
        <v>17</v>
      </c>
      <c r="F176" s="14" t="str">
        <f>_xlfn.XLOOKUP(Headcount[[#This Row],[Cost Center]],'Cost Centers'!A:A,'Cost Centers'!C:C,"")</f>
        <v>Programs</v>
      </c>
      <c r="G176" s="51">
        <v>1</v>
      </c>
    </row>
    <row r="177" spans="1:7" ht="15" customHeight="1">
      <c r="A177" s="13">
        <v>46023</v>
      </c>
      <c r="B177" s="19" t="s">
        <v>168</v>
      </c>
      <c r="C177" s="14" t="s">
        <v>169</v>
      </c>
      <c r="D177" s="19" t="s">
        <v>16</v>
      </c>
      <c r="E177" s="14" t="s">
        <v>17</v>
      </c>
      <c r="F177" s="14" t="str">
        <f>_xlfn.XLOOKUP(Headcount[[#This Row],[Cost Center]],'Cost Centers'!A:A,'Cost Centers'!C:C,"")</f>
        <v>Programs</v>
      </c>
      <c r="G177" s="51">
        <v>1</v>
      </c>
    </row>
    <row r="178" spans="1:7" ht="15" customHeight="1">
      <c r="A178" s="13">
        <v>46023</v>
      </c>
      <c r="B178" s="19" t="s">
        <v>170</v>
      </c>
      <c r="C178" s="14" t="s">
        <v>171</v>
      </c>
      <c r="D178" s="19" t="s">
        <v>16</v>
      </c>
      <c r="E178" s="14" t="s">
        <v>17</v>
      </c>
      <c r="F178" s="14" t="str">
        <f>_xlfn.XLOOKUP(Headcount[[#This Row],[Cost Center]],'Cost Centers'!A:A,'Cost Centers'!C:C,"")</f>
        <v>Programs</v>
      </c>
      <c r="G178" s="51">
        <v>1</v>
      </c>
    </row>
    <row r="179" spans="1:7" ht="15" customHeight="1">
      <c r="A179" s="13">
        <v>46023</v>
      </c>
      <c r="B179" s="19" t="s">
        <v>174</v>
      </c>
      <c r="C179" s="14" t="s">
        <v>175</v>
      </c>
      <c r="D179" s="19" t="s">
        <v>18</v>
      </c>
      <c r="E179" s="14" t="s">
        <v>19</v>
      </c>
      <c r="F179" s="14" t="str">
        <f>_xlfn.XLOOKUP(Headcount[[#This Row],[Cost Center]],'Cost Centers'!A:A,'Cost Centers'!C:C,"")</f>
        <v>Programs</v>
      </c>
      <c r="G179" s="51">
        <v>1</v>
      </c>
    </row>
    <row r="180" spans="1:7" ht="15" customHeight="1">
      <c r="A180" s="13">
        <v>46023</v>
      </c>
      <c r="B180" s="19" t="s">
        <v>176</v>
      </c>
      <c r="C180" s="14" t="s">
        <v>177</v>
      </c>
      <c r="D180" s="19" t="s">
        <v>18</v>
      </c>
      <c r="E180" s="14" t="s">
        <v>19</v>
      </c>
      <c r="F180" s="14" t="str">
        <f>_xlfn.XLOOKUP(Headcount[[#This Row],[Cost Center]],'Cost Centers'!A:A,'Cost Centers'!C:C,"")</f>
        <v>Programs</v>
      </c>
      <c r="G180" s="51">
        <v>1</v>
      </c>
    </row>
    <row r="181" spans="1:7" ht="15" customHeight="1">
      <c r="A181" s="13">
        <v>46023</v>
      </c>
      <c r="B181" s="19" t="s">
        <v>178</v>
      </c>
      <c r="C181" s="14" t="s">
        <v>179</v>
      </c>
      <c r="D181" s="19" t="s">
        <v>18</v>
      </c>
      <c r="E181" s="14" t="s">
        <v>19</v>
      </c>
      <c r="F181" s="14" t="str">
        <f>_xlfn.XLOOKUP(Headcount[[#This Row],[Cost Center]],'Cost Centers'!A:A,'Cost Centers'!C:C,"")</f>
        <v>Programs</v>
      </c>
      <c r="G181" s="51">
        <v>1</v>
      </c>
    </row>
    <row r="182" spans="1:7" ht="15" customHeight="1">
      <c r="A182" s="13">
        <v>46023</v>
      </c>
      <c r="B182" s="19" t="s">
        <v>180</v>
      </c>
      <c r="C182" s="14" t="s">
        <v>181</v>
      </c>
      <c r="D182" s="19" t="s">
        <v>20</v>
      </c>
      <c r="E182" s="14" t="s">
        <v>21</v>
      </c>
      <c r="F182" s="14" t="str">
        <f>_xlfn.XLOOKUP(Headcount[[#This Row],[Cost Center]],'Cost Centers'!A:A,'Cost Centers'!C:C,"")</f>
        <v>Programs</v>
      </c>
      <c r="G182" s="51">
        <v>1</v>
      </c>
    </row>
    <row r="183" spans="1:7" ht="15" customHeight="1">
      <c r="A183" s="13">
        <v>46023</v>
      </c>
      <c r="B183" s="19" t="s">
        <v>182</v>
      </c>
      <c r="C183" s="14" t="s">
        <v>183</v>
      </c>
      <c r="D183" s="19" t="s">
        <v>20</v>
      </c>
      <c r="E183" s="14" t="s">
        <v>21</v>
      </c>
      <c r="F183" s="14" t="str">
        <f>_xlfn.XLOOKUP(Headcount[[#This Row],[Cost Center]],'Cost Centers'!A:A,'Cost Centers'!C:C,"")</f>
        <v>Programs</v>
      </c>
      <c r="G183" s="51">
        <v>1</v>
      </c>
    </row>
    <row r="184" spans="1:7" ht="15" customHeight="1">
      <c r="A184" s="13">
        <v>46023</v>
      </c>
      <c r="B184" s="19" t="s">
        <v>184</v>
      </c>
      <c r="C184" s="14" t="s">
        <v>185</v>
      </c>
      <c r="D184" s="19" t="s">
        <v>20</v>
      </c>
      <c r="E184" s="14" t="s">
        <v>21</v>
      </c>
      <c r="F184" s="14" t="str">
        <f>_xlfn.XLOOKUP(Headcount[[#This Row],[Cost Center]],'Cost Centers'!A:A,'Cost Centers'!C:C,"")</f>
        <v>Programs</v>
      </c>
      <c r="G184" s="51">
        <v>1</v>
      </c>
    </row>
    <row r="185" spans="1:7" ht="15" customHeight="1">
      <c r="A185" s="13">
        <v>46023</v>
      </c>
      <c r="B185" s="19" t="s">
        <v>186</v>
      </c>
      <c r="C185" s="14" t="s">
        <v>187</v>
      </c>
      <c r="D185" s="19" t="s">
        <v>20</v>
      </c>
      <c r="E185" s="14" t="s">
        <v>21</v>
      </c>
      <c r="F185" s="14" t="str">
        <f>_xlfn.XLOOKUP(Headcount[[#This Row],[Cost Center]],'Cost Centers'!A:A,'Cost Centers'!C:C,"")</f>
        <v>Programs</v>
      </c>
      <c r="G185" s="51">
        <v>1</v>
      </c>
    </row>
    <row r="186" spans="1:7" ht="15" customHeight="1">
      <c r="A186" s="13">
        <v>46054</v>
      </c>
      <c r="B186" s="19" t="s">
        <v>154</v>
      </c>
      <c r="C186" s="14" t="s">
        <v>155</v>
      </c>
      <c r="D186" s="19" t="s">
        <v>4</v>
      </c>
      <c r="E186" s="14" t="s">
        <v>5</v>
      </c>
      <c r="F186" s="14" t="str">
        <f>_xlfn.XLOOKUP(Headcount[[#This Row],[Cost Center]],'Cost Centers'!A:A,'Cost Centers'!C:C,"")</f>
        <v>Admin</v>
      </c>
      <c r="G186" s="51">
        <v>0.5</v>
      </c>
    </row>
    <row r="187" spans="1:7" ht="15" customHeight="1">
      <c r="A187" s="13">
        <v>46054</v>
      </c>
      <c r="B187" s="19" t="s">
        <v>138</v>
      </c>
      <c r="C187" s="14" t="s">
        <v>139</v>
      </c>
      <c r="D187" s="19" t="s">
        <v>4</v>
      </c>
      <c r="E187" s="14" t="s">
        <v>5</v>
      </c>
      <c r="F187" s="14" t="str">
        <f>_xlfn.XLOOKUP(Headcount[[#This Row],[Cost Center]],'Cost Centers'!A:A,'Cost Centers'!C:C,"")</f>
        <v>Admin</v>
      </c>
      <c r="G187" s="51">
        <v>1</v>
      </c>
    </row>
    <row r="188" spans="1:7" ht="15" customHeight="1">
      <c r="A188" s="13">
        <v>46054</v>
      </c>
      <c r="B188" s="19" t="s">
        <v>140</v>
      </c>
      <c r="C188" s="14" t="s">
        <v>141</v>
      </c>
      <c r="D188" s="19" t="s">
        <v>6</v>
      </c>
      <c r="E188" s="14" t="s">
        <v>7</v>
      </c>
      <c r="F188" s="14" t="str">
        <f>_xlfn.XLOOKUP(Headcount[[#This Row],[Cost Center]],'Cost Centers'!A:A,'Cost Centers'!C:C,"")</f>
        <v>Admin</v>
      </c>
      <c r="G188" s="51">
        <v>1</v>
      </c>
    </row>
    <row r="189" spans="1:7" ht="15" customHeight="1">
      <c r="A189" s="13">
        <v>46054</v>
      </c>
      <c r="B189" s="19" t="s">
        <v>142</v>
      </c>
      <c r="C189" s="14" t="s">
        <v>143</v>
      </c>
      <c r="D189" s="19" t="s">
        <v>6</v>
      </c>
      <c r="E189" s="14" t="s">
        <v>7</v>
      </c>
      <c r="F189" s="14" t="str">
        <f>_xlfn.XLOOKUP(Headcount[[#This Row],[Cost Center]],'Cost Centers'!A:A,'Cost Centers'!C:C,"")</f>
        <v>Admin</v>
      </c>
      <c r="G189" s="51">
        <v>1</v>
      </c>
    </row>
    <row r="190" spans="1:7" ht="15" customHeight="1">
      <c r="A190" s="13">
        <v>46054</v>
      </c>
      <c r="B190" s="19" t="s">
        <v>144</v>
      </c>
      <c r="C190" s="14" t="s">
        <v>145</v>
      </c>
      <c r="D190" s="19" t="s">
        <v>8</v>
      </c>
      <c r="E190" s="14" t="s">
        <v>9</v>
      </c>
      <c r="F190" s="14" t="str">
        <f>_xlfn.XLOOKUP(Headcount[[#This Row],[Cost Center]],'Cost Centers'!A:A,'Cost Centers'!C:C,"")</f>
        <v>Admin</v>
      </c>
      <c r="G190" s="51">
        <v>1</v>
      </c>
    </row>
    <row r="191" spans="1:7" ht="15" customHeight="1">
      <c r="A191" s="13">
        <v>46054</v>
      </c>
      <c r="B191" s="19" t="s">
        <v>146</v>
      </c>
      <c r="C191" s="14" t="s">
        <v>147</v>
      </c>
      <c r="D191" s="19" t="s">
        <v>8</v>
      </c>
      <c r="E191" s="14" t="s">
        <v>9</v>
      </c>
      <c r="F191" s="14" t="str">
        <f>_xlfn.XLOOKUP(Headcount[[#This Row],[Cost Center]],'Cost Centers'!A:A,'Cost Centers'!C:C,"")</f>
        <v>Admin</v>
      </c>
      <c r="G191" s="51">
        <v>1</v>
      </c>
    </row>
    <row r="192" spans="1:7" ht="15" customHeight="1">
      <c r="A192" s="13">
        <v>46054</v>
      </c>
      <c r="B192" s="19" t="s">
        <v>148</v>
      </c>
      <c r="C192" s="14" t="s">
        <v>149</v>
      </c>
      <c r="D192" s="19" t="s">
        <v>10</v>
      </c>
      <c r="E192" s="14" t="s">
        <v>11</v>
      </c>
      <c r="F192" s="14" t="str">
        <f>_xlfn.XLOOKUP(Headcount[[#This Row],[Cost Center]],'Cost Centers'!A:A,'Cost Centers'!C:C,"")</f>
        <v>Admin</v>
      </c>
      <c r="G192" s="51">
        <v>1</v>
      </c>
    </row>
    <row r="193" spans="1:7" ht="15" customHeight="1">
      <c r="A193" s="13">
        <v>46054</v>
      </c>
      <c r="B193" s="19" t="s">
        <v>150</v>
      </c>
      <c r="C193" s="14" t="s">
        <v>151</v>
      </c>
      <c r="D193" s="19" t="s">
        <v>10</v>
      </c>
      <c r="E193" s="14" t="s">
        <v>11</v>
      </c>
      <c r="F193" s="14" t="str">
        <f>_xlfn.XLOOKUP(Headcount[[#This Row],[Cost Center]],'Cost Centers'!A:A,'Cost Centers'!C:C,"")</f>
        <v>Admin</v>
      </c>
      <c r="G193" s="51">
        <v>1</v>
      </c>
    </row>
    <row r="194" spans="1:7" ht="15" customHeight="1">
      <c r="A194" s="13">
        <v>46054</v>
      </c>
      <c r="B194" s="19" t="s">
        <v>152</v>
      </c>
      <c r="C194" s="14" t="s">
        <v>153</v>
      </c>
      <c r="D194" s="19" t="s">
        <v>12</v>
      </c>
      <c r="E194" s="14" t="s">
        <v>13</v>
      </c>
      <c r="F194" s="14" t="str">
        <f>_xlfn.XLOOKUP(Headcount[[#This Row],[Cost Center]],'Cost Centers'!A:A,'Cost Centers'!C:C,"")</f>
        <v>Programs</v>
      </c>
      <c r="G194" s="51">
        <v>1</v>
      </c>
    </row>
    <row r="195" spans="1:7" ht="15" customHeight="1">
      <c r="A195" s="13">
        <v>46054</v>
      </c>
      <c r="B195" s="19" t="s">
        <v>154</v>
      </c>
      <c r="C195" s="14" t="s">
        <v>155</v>
      </c>
      <c r="D195" s="19" t="s">
        <v>12</v>
      </c>
      <c r="E195" s="14" t="s">
        <v>13</v>
      </c>
      <c r="F195" s="14" t="str">
        <f>_xlfn.XLOOKUP(Headcount[[#This Row],[Cost Center]],'Cost Centers'!A:A,'Cost Centers'!C:C,"")</f>
        <v>Programs</v>
      </c>
      <c r="G195" s="51">
        <v>0.5</v>
      </c>
    </row>
    <row r="196" spans="1:7" ht="15" customHeight="1">
      <c r="A196" s="13">
        <v>46054</v>
      </c>
      <c r="B196" s="19" t="s">
        <v>158</v>
      </c>
      <c r="C196" s="14" t="s">
        <v>159</v>
      </c>
      <c r="D196" s="19" t="s">
        <v>12</v>
      </c>
      <c r="E196" s="14" t="s">
        <v>13</v>
      </c>
      <c r="F196" s="14" t="str">
        <f>_xlfn.XLOOKUP(Headcount[[#This Row],[Cost Center]],'Cost Centers'!A:A,'Cost Centers'!C:C,"")</f>
        <v>Programs</v>
      </c>
      <c r="G196" s="51">
        <v>1</v>
      </c>
    </row>
    <row r="197" spans="1:7" ht="15" customHeight="1">
      <c r="A197" s="13">
        <v>46054</v>
      </c>
      <c r="B197" s="19" t="s">
        <v>190</v>
      </c>
      <c r="C197" s="14" t="s">
        <v>191</v>
      </c>
      <c r="D197" s="19" t="s">
        <v>12</v>
      </c>
      <c r="E197" s="14" t="s">
        <v>13</v>
      </c>
      <c r="F197" s="14" t="str">
        <f>_xlfn.XLOOKUP(Headcount[[#This Row],[Cost Center]],'Cost Centers'!A:A,'Cost Centers'!C:C,"")</f>
        <v>Programs</v>
      </c>
      <c r="G197" s="51">
        <v>1</v>
      </c>
    </row>
    <row r="198" spans="1:7" ht="15" customHeight="1">
      <c r="A198" s="13">
        <v>46054</v>
      </c>
      <c r="B198" s="19" t="s">
        <v>160</v>
      </c>
      <c r="C198" s="14" t="s">
        <v>161</v>
      </c>
      <c r="D198" s="19" t="s">
        <v>14</v>
      </c>
      <c r="E198" s="14" t="s">
        <v>15</v>
      </c>
      <c r="F198" s="14" t="str">
        <f>_xlfn.XLOOKUP(Headcount[[#This Row],[Cost Center]],'Cost Centers'!A:A,'Cost Centers'!C:C,"")</f>
        <v>Programs</v>
      </c>
      <c r="G198" s="51">
        <v>1</v>
      </c>
    </row>
    <row r="199" spans="1:7" ht="15" customHeight="1">
      <c r="A199" s="13">
        <v>46054</v>
      </c>
      <c r="B199" s="19" t="s">
        <v>162</v>
      </c>
      <c r="C199" s="14" t="s">
        <v>163</v>
      </c>
      <c r="D199" s="19" t="s">
        <v>14</v>
      </c>
      <c r="E199" s="14" t="s">
        <v>15</v>
      </c>
      <c r="F199" s="14" t="str">
        <f>_xlfn.XLOOKUP(Headcount[[#This Row],[Cost Center]],'Cost Centers'!A:A,'Cost Centers'!C:C,"")</f>
        <v>Programs</v>
      </c>
      <c r="G199" s="51">
        <v>1</v>
      </c>
    </row>
    <row r="200" spans="1:7" ht="15" customHeight="1">
      <c r="A200" s="13">
        <v>46054</v>
      </c>
      <c r="B200" s="19" t="s">
        <v>164</v>
      </c>
      <c r="C200" s="14" t="s">
        <v>165</v>
      </c>
      <c r="D200" s="19" t="s">
        <v>14</v>
      </c>
      <c r="E200" s="14" t="s">
        <v>15</v>
      </c>
      <c r="F200" s="14" t="str">
        <f>_xlfn.XLOOKUP(Headcount[[#This Row],[Cost Center]],'Cost Centers'!A:A,'Cost Centers'!C:C,"")</f>
        <v>Programs</v>
      </c>
      <c r="G200" s="51">
        <v>1</v>
      </c>
    </row>
    <row r="201" spans="1:7" ht="15" customHeight="1">
      <c r="A201" s="13">
        <v>46054</v>
      </c>
      <c r="B201" s="19" t="s">
        <v>188</v>
      </c>
      <c r="C201" s="14" t="s">
        <v>189</v>
      </c>
      <c r="D201" s="19" t="s">
        <v>14</v>
      </c>
      <c r="E201" s="14" t="s">
        <v>15</v>
      </c>
      <c r="F201" s="14" t="str">
        <f>_xlfn.XLOOKUP(Headcount[[#This Row],[Cost Center]],'Cost Centers'!A:A,'Cost Centers'!C:C,"")</f>
        <v>Programs</v>
      </c>
      <c r="G201" s="51">
        <v>1</v>
      </c>
    </row>
    <row r="202" spans="1:7" ht="15" customHeight="1">
      <c r="A202" s="13">
        <v>46054</v>
      </c>
      <c r="B202" s="19" t="s">
        <v>166</v>
      </c>
      <c r="C202" s="14" t="s">
        <v>167</v>
      </c>
      <c r="D202" s="19" t="s">
        <v>16</v>
      </c>
      <c r="E202" s="14" t="s">
        <v>17</v>
      </c>
      <c r="F202" s="14" t="str">
        <f>_xlfn.XLOOKUP(Headcount[[#This Row],[Cost Center]],'Cost Centers'!A:A,'Cost Centers'!C:C,"")</f>
        <v>Programs</v>
      </c>
      <c r="G202" s="51">
        <v>1</v>
      </c>
    </row>
    <row r="203" spans="1:7" ht="15" customHeight="1">
      <c r="A203" s="13">
        <v>46054</v>
      </c>
      <c r="B203" s="19" t="s">
        <v>168</v>
      </c>
      <c r="C203" s="14" t="s">
        <v>169</v>
      </c>
      <c r="D203" s="19" t="s">
        <v>16</v>
      </c>
      <c r="E203" s="14" t="s">
        <v>17</v>
      </c>
      <c r="F203" s="14" t="str">
        <f>_xlfn.XLOOKUP(Headcount[[#This Row],[Cost Center]],'Cost Centers'!A:A,'Cost Centers'!C:C,"")</f>
        <v>Programs</v>
      </c>
      <c r="G203" s="51">
        <v>1</v>
      </c>
    </row>
    <row r="204" spans="1:7" ht="15" customHeight="1">
      <c r="A204" s="13">
        <v>46054</v>
      </c>
      <c r="B204" s="19" t="s">
        <v>170</v>
      </c>
      <c r="C204" s="14" t="s">
        <v>171</v>
      </c>
      <c r="D204" s="19" t="s">
        <v>16</v>
      </c>
      <c r="E204" s="14" t="s">
        <v>17</v>
      </c>
      <c r="F204" s="14" t="str">
        <f>_xlfn.XLOOKUP(Headcount[[#This Row],[Cost Center]],'Cost Centers'!A:A,'Cost Centers'!C:C,"")</f>
        <v>Programs</v>
      </c>
      <c r="G204" s="51">
        <v>1</v>
      </c>
    </row>
    <row r="205" spans="1:7" ht="15" customHeight="1">
      <c r="A205" s="13">
        <v>46054</v>
      </c>
      <c r="B205" s="19" t="s">
        <v>174</v>
      </c>
      <c r="C205" s="14" t="s">
        <v>175</v>
      </c>
      <c r="D205" s="19" t="s">
        <v>18</v>
      </c>
      <c r="E205" s="14" t="s">
        <v>19</v>
      </c>
      <c r="F205" s="14" t="str">
        <f>_xlfn.XLOOKUP(Headcount[[#This Row],[Cost Center]],'Cost Centers'!A:A,'Cost Centers'!C:C,"")</f>
        <v>Programs</v>
      </c>
      <c r="G205" s="51">
        <v>1</v>
      </c>
    </row>
    <row r="206" spans="1:7" ht="15" customHeight="1">
      <c r="A206" s="13">
        <v>46054</v>
      </c>
      <c r="B206" s="19" t="s">
        <v>176</v>
      </c>
      <c r="C206" s="14" t="s">
        <v>177</v>
      </c>
      <c r="D206" s="19" t="s">
        <v>18</v>
      </c>
      <c r="E206" s="14" t="s">
        <v>19</v>
      </c>
      <c r="F206" s="14" t="str">
        <f>_xlfn.XLOOKUP(Headcount[[#This Row],[Cost Center]],'Cost Centers'!A:A,'Cost Centers'!C:C,"")</f>
        <v>Programs</v>
      </c>
      <c r="G206" s="51">
        <v>1</v>
      </c>
    </row>
    <row r="207" spans="1:7" ht="15" customHeight="1">
      <c r="A207" s="13">
        <v>46054</v>
      </c>
      <c r="B207" s="19" t="s">
        <v>178</v>
      </c>
      <c r="C207" s="14" t="s">
        <v>179</v>
      </c>
      <c r="D207" s="19" t="s">
        <v>18</v>
      </c>
      <c r="E207" s="14" t="s">
        <v>19</v>
      </c>
      <c r="F207" s="14" t="str">
        <f>_xlfn.XLOOKUP(Headcount[[#This Row],[Cost Center]],'Cost Centers'!A:A,'Cost Centers'!C:C,"")</f>
        <v>Programs</v>
      </c>
      <c r="G207" s="51">
        <v>1</v>
      </c>
    </row>
    <row r="208" spans="1:7" ht="15" customHeight="1">
      <c r="A208" s="13">
        <v>46054</v>
      </c>
      <c r="B208" s="19" t="s">
        <v>192</v>
      </c>
      <c r="C208" s="14" t="s">
        <v>193</v>
      </c>
      <c r="D208" s="19" t="s">
        <v>18</v>
      </c>
      <c r="E208" s="14" t="s">
        <v>19</v>
      </c>
      <c r="F208" s="14" t="str">
        <f>_xlfn.XLOOKUP(Headcount[[#This Row],[Cost Center]],'Cost Centers'!A:A,'Cost Centers'!C:C,"")</f>
        <v>Programs</v>
      </c>
      <c r="G208" s="51">
        <v>1</v>
      </c>
    </row>
    <row r="209" spans="1:7" ht="15" customHeight="1">
      <c r="A209" s="13">
        <v>46054</v>
      </c>
      <c r="B209" s="19" t="s">
        <v>180</v>
      </c>
      <c r="C209" s="14" t="s">
        <v>181</v>
      </c>
      <c r="D209" s="19" t="s">
        <v>20</v>
      </c>
      <c r="E209" s="14" t="s">
        <v>21</v>
      </c>
      <c r="F209" s="14" t="str">
        <f>_xlfn.XLOOKUP(Headcount[[#This Row],[Cost Center]],'Cost Centers'!A:A,'Cost Centers'!C:C,"")</f>
        <v>Programs</v>
      </c>
      <c r="G209" s="51">
        <v>1</v>
      </c>
    </row>
    <row r="210" spans="1:7" ht="15" customHeight="1">
      <c r="A210" s="13">
        <v>46054</v>
      </c>
      <c r="B210" s="19" t="s">
        <v>182</v>
      </c>
      <c r="C210" s="14" t="s">
        <v>183</v>
      </c>
      <c r="D210" s="19" t="s">
        <v>20</v>
      </c>
      <c r="E210" s="14" t="s">
        <v>21</v>
      </c>
      <c r="F210" s="14" t="str">
        <f>_xlfn.XLOOKUP(Headcount[[#This Row],[Cost Center]],'Cost Centers'!A:A,'Cost Centers'!C:C,"")</f>
        <v>Programs</v>
      </c>
      <c r="G210" s="51">
        <v>1</v>
      </c>
    </row>
    <row r="211" spans="1:7" ht="15" customHeight="1">
      <c r="A211" s="13">
        <v>46054</v>
      </c>
      <c r="B211" s="19" t="s">
        <v>184</v>
      </c>
      <c r="C211" s="14" t="s">
        <v>185</v>
      </c>
      <c r="D211" s="19" t="s">
        <v>20</v>
      </c>
      <c r="E211" s="14" t="s">
        <v>21</v>
      </c>
      <c r="F211" s="14" t="str">
        <f>_xlfn.XLOOKUP(Headcount[[#This Row],[Cost Center]],'Cost Centers'!A:A,'Cost Centers'!C:C,"")</f>
        <v>Programs</v>
      </c>
      <c r="G211" s="51">
        <v>1</v>
      </c>
    </row>
    <row r="212" spans="1:7" ht="15" customHeight="1">
      <c r="A212" s="13">
        <v>46054</v>
      </c>
      <c r="B212" s="19" t="s">
        <v>186</v>
      </c>
      <c r="C212" s="14" t="s">
        <v>187</v>
      </c>
      <c r="D212" s="19" t="s">
        <v>20</v>
      </c>
      <c r="E212" s="14" t="s">
        <v>21</v>
      </c>
      <c r="F212" s="14" t="str">
        <f>_xlfn.XLOOKUP(Headcount[[#This Row],[Cost Center]],'Cost Centers'!A:A,'Cost Centers'!C:C,"")</f>
        <v>Programs</v>
      </c>
      <c r="G212" s="51">
        <v>1</v>
      </c>
    </row>
    <row r="213" spans="1:7" ht="15" customHeight="1">
      <c r="A213" s="13">
        <v>46082</v>
      </c>
      <c r="B213" s="19" t="s">
        <v>154</v>
      </c>
      <c r="C213" s="14" t="s">
        <v>155</v>
      </c>
      <c r="D213" s="19" t="s">
        <v>4</v>
      </c>
      <c r="E213" s="14" t="s">
        <v>5</v>
      </c>
      <c r="F213" s="14" t="str">
        <f>_xlfn.XLOOKUP(Headcount[[#This Row],[Cost Center]],'Cost Centers'!A:A,'Cost Centers'!C:C,"")</f>
        <v>Admin</v>
      </c>
      <c r="G213" s="51">
        <v>0.5</v>
      </c>
    </row>
    <row r="214" spans="1:7" ht="15" customHeight="1">
      <c r="A214" s="13">
        <v>46082</v>
      </c>
      <c r="B214" s="19" t="s">
        <v>138</v>
      </c>
      <c r="C214" s="14" t="s">
        <v>139</v>
      </c>
      <c r="D214" s="19" t="s">
        <v>4</v>
      </c>
      <c r="E214" s="14" t="s">
        <v>5</v>
      </c>
      <c r="F214" s="14" t="str">
        <f>_xlfn.XLOOKUP(Headcount[[#This Row],[Cost Center]],'Cost Centers'!A:A,'Cost Centers'!C:C,"")</f>
        <v>Admin</v>
      </c>
      <c r="G214" s="51">
        <v>1</v>
      </c>
    </row>
    <row r="215" spans="1:7" ht="15" customHeight="1">
      <c r="A215" s="13">
        <v>46082</v>
      </c>
      <c r="B215" s="19" t="s">
        <v>140</v>
      </c>
      <c r="C215" s="14" t="s">
        <v>141</v>
      </c>
      <c r="D215" s="19" t="s">
        <v>6</v>
      </c>
      <c r="E215" s="14" t="s">
        <v>7</v>
      </c>
      <c r="F215" s="14" t="str">
        <f>_xlfn.XLOOKUP(Headcount[[#This Row],[Cost Center]],'Cost Centers'!A:A,'Cost Centers'!C:C,"")</f>
        <v>Admin</v>
      </c>
      <c r="G215" s="51">
        <v>1</v>
      </c>
    </row>
    <row r="216" spans="1:7" ht="15" customHeight="1">
      <c r="A216" s="13">
        <v>46082</v>
      </c>
      <c r="B216" s="19" t="s">
        <v>142</v>
      </c>
      <c r="C216" s="14" t="s">
        <v>143</v>
      </c>
      <c r="D216" s="19" t="s">
        <v>6</v>
      </c>
      <c r="E216" s="14" t="s">
        <v>7</v>
      </c>
      <c r="F216" s="14" t="str">
        <f>_xlfn.XLOOKUP(Headcount[[#This Row],[Cost Center]],'Cost Centers'!A:A,'Cost Centers'!C:C,"")</f>
        <v>Admin</v>
      </c>
      <c r="G216" s="51">
        <v>1</v>
      </c>
    </row>
    <row r="217" spans="1:7" ht="15" customHeight="1">
      <c r="A217" s="13">
        <v>46082</v>
      </c>
      <c r="B217" s="19" t="s">
        <v>144</v>
      </c>
      <c r="C217" s="14" t="s">
        <v>145</v>
      </c>
      <c r="D217" s="19" t="s">
        <v>8</v>
      </c>
      <c r="E217" s="14" t="s">
        <v>9</v>
      </c>
      <c r="F217" s="14" t="str">
        <f>_xlfn.XLOOKUP(Headcount[[#This Row],[Cost Center]],'Cost Centers'!A:A,'Cost Centers'!C:C,"")</f>
        <v>Admin</v>
      </c>
      <c r="G217" s="51">
        <v>1</v>
      </c>
    </row>
    <row r="218" spans="1:7" ht="15" customHeight="1">
      <c r="A218" s="13">
        <v>46082</v>
      </c>
      <c r="B218" s="19" t="s">
        <v>146</v>
      </c>
      <c r="C218" s="14" t="s">
        <v>147</v>
      </c>
      <c r="D218" s="19" t="s">
        <v>8</v>
      </c>
      <c r="E218" s="14" t="s">
        <v>9</v>
      </c>
      <c r="F218" s="14" t="str">
        <f>_xlfn.XLOOKUP(Headcount[[#This Row],[Cost Center]],'Cost Centers'!A:A,'Cost Centers'!C:C,"")</f>
        <v>Admin</v>
      </c>
      <c r="G218" s="51">
        <v>1</v>
      </c>
    </row>
    <row r="219" spans="1:7" ht="15" customHeight="1">
      <c r="A219" s="13">
        <v>46082</v>
      </c>
      <c r="B219" s="19" t="s">
        <v>150</v>
      </c>
      <c r="C219" s="14" t="s">
        <v>151</v>
      </c>
      <c r="D219" s="19" t="s">
        <v>10</v>
      </c>
      <c r="E219" s="14" t="s">
        <v>11</v>
      </c>
      <c r="F219" s="14" t="str">
        <f>_xlfn.XLOOKUP(Headcount[[#This Row],[Cost Center]],'Cost Centers'!A:A,'Cost Centers'!C:C,"")</f>
        <v>Admin</v>
      </c>
      <c r="G219" s="51">
        <v>1</v>
      </c>
    </row>
    <row r="220" spans="1:7" ht="15" customHeight="1">
      <c r="A220" s="13">
        <v>46082</v>
      </c>
      <c r="B220" s="19" t="s">
        <v>152</v>
      </c>
      <c r="C220" s="14" t="s">
        <v>153</v>
      </c>
      <c r="D220" s="19" t="s">
        <v>12</v>
      </c>
      <c r="E220" s="14" t="s">
        <v>13</v>
      </c>
      <c r="F220" s="14" t="str">
        <f>_xlfn.XLOOKUP(Headcount[[#This Row],[Cost Center]],'Cost Centers'!A:A,'Cost Centers'!C:C,"")</f>
        <v>Programs</v>
      </c>
      <c r="G220" s="51">
        <v>1</v>
      </c>
    </row>
    <row r="221" spans="1:7" ht="15" customHeight="1">
      <c r="A221" s="13">
        <v>46082</v>
      </c>
      <c r="B221" s="19" t="s">
        <v>154</v>
      </c>
      <c r="C221" s="14" t="s">
        <v>155</v>
      </c>
      <c r="D221" s="19" t="s">
        <v>12</v>
      </c>
      <c r="E221" s="14" t="s">
        <v>13</v>
      </c>
      <c r="F221" s="14" t="str">
        <f>_xlfn.XLOOKUP(Headcount[[#This Row],[Cost Center]],'Cost Centers'!A:A,'Cost Centers'!C:C,"")</f>
        <v>Programs</v>
      </c>
      <c r="G221" s="51">
        <v>0.5</v>
      </c>
    </row>
    <row r="222" spans="1:7" ht="15" customHeight="1">
      <c r="A222" s="13">
        <v>46082</v>
      </c>
      <c r="B222" s="19" t="s">
        <v>158</v>
      </c>
      <c r="C222" s="14" t="s">
        <v>159</v>
      </c>
      <c r="D222" s="19" t="s">
        <v>12</v>
      </c>
      <c r="E222" s="14" t="s">
        <v>13</v>
      </c>
      <c r="F222" s="14" t="str">
        <f>_xlfn.XLOOKUP(Headcount[[#This Row],[Cost Center]],'Cost Centers'!A:A,'Cost Centers'!C:C,"")</f>
        <v>Programs</v>
      </c>
      <c r="G222" s="51">
        <v>1</v>
      </c>
    </row>
    <row r="223" spans="1:7" ht="15" customHeight="1">
      <c r="A223" s="13">
        <v>46082</v>
      </c>
      <c r="B223" s="19" t="s">
        <v>190</v>
      </c>
      <c r="C223" s="14" t="s">
        <v>191</v>
      </c>
      <c r="D223" s="19" t="s">
        <v>12</v>
      </c>
      <c r="E223" s="14" t="s">
        <v>13</v>
      </c>
      <c r="F223" s="14" t="str">
        <f>_xlfn.XLOOKUP(Headcount[[#This Row],[Cost Center]],'Cost Centers'!A:A,'Cost Centers'!C:C,"")</f>
        <v>Programs</v>
      </c>
      <c r="G223" s="51">
        <v>1</v>
      </c>
    </row>
    <row r="224" spans="1:7" ht="15" customHeight="1">
      <c r="A224" s="13">
        <v>46082</v>
      </c>
      <c r="B224" s="19" t="s">
        <v>160</v>
      </c>
      <c r="C224" s="14" t="s">
        <v>161</v>
      </c>
      <c r="D224" s="19" t="s">
        <v>14</v>
      </c>
      <c r="E224" s="14" t="s">
        <v>15</v>
      </c>
      <c r="F224" s="14" t="str">
        <f>_xlfn.XLOOKUP(Headcount[[#This Row],[Cost Center]],'Cost Centers'!A:A,'Cost Centers'!C:C,"")</f>
        <v>Programs</v>
      </c>
      <c r="G224" s="51">
        <v>1</v>
      </c>
    </row>
    <row r="225" spans="1:7" ht="15" customHeight="1">
      <c r="A225" s="13">
        <v>46082</v>
      </c>
      <c r="B225" s="19" t="s">
        <v>162</v>
      </c>
      <c r="C225" s="14" t="s">
        <v>163</v>
      </c>
      <c r="D225" s="19" t="s">
        <v>14</v>
      </c>
      <c r="E225" s="14" t="s">
        <v>15</v>
      </c>
      <c r="F225" s="14" t="str">
        <f>_xlfn.XLOOKUP(Headcount[[#This Row],[Cost Center]],'Cost Centers'!A:A,'Cost Centers'!C:C,"")</f>
        <v>Programs</v>
      </c>
      <c r="G225" s="51">
        <v>1</v>
      </c>
    </row>
    <row r="226" spans="1:7" ht="15" customHeight="1">
      <c r="A226" s="13">
        <v>46082</v>
      </c>
      <c r="B226" s="19" t="s">
        <v>164</v>
      </c>
      <c r="C226" s="14" t="s">
        <v>165</v>
      </c>
      <c r="D226" s="19" t="s">
        <v>14</v>
      </c>
      <c r="E226" s="14" t="s">
        <v>15</v>
      </c>
      <c r="F226" s="14" t="str">
        <f>_xlfn.XLOOKUP(Headcount[[#This Row],[Cost Center]],'Cost Centers'!A:A,'Cost Centers'!C:C,"")</f>
        <v>Programs</v>
      </c>
      <c r="G226" s="51">
        <v>1</v>
      </c>
    </row>
    <row r="227" spans="1:7" ht="15" customHeight="1">
      <c r="A227" s="13">
        <v>46082</v>
      </c>
      <c r="B227" s="19" t="s">
        <v>188</v>
      </c>
      <c r="C227" s="14" t="s">
        <v>189</v>
      </c>
      <c r="D227" s="19" t="s">
        <v>14</v>
      </c>
      <c r="E227" s="14" t="s">
        <v>15</v>
      </c>
      <c r="F227" s="14" t="str">
        <f>_xlfn.XLOOKUP(Headcount[[#This Row],[Cost Center]],'Cost Centers'!A:A,'Cost Centers'!C:C,"")</f>
        <v>Programs</v>
      </c>
      <c r="G227" s="51">
        <v>1</v>
      </c>
    </row>
    <row r="228" spans="1:7" ht="15" customHeight="1">
      <c r="A228" s="13">
        <v>46082</v>
      </c>
      <c r="B228" s="19" t="s">
        <v>166</v>
      </c>
      <c r="C228" s="14" t="s">
        <v>167</v>
      </c>
      <c r="D228" s="19" t="s">
        <v>16</v>
      </c>
      <c r="E228" s="14" t="s">
        <v>17</v>
      </c>
      <c r="F228" s="14" t="str">
        <f>_xlfn.XLOOKUP(Headcount[[#This Row],[Cost Center]],'Cost Centers'!A:A,'Cost Centers'!C:C,"")</f>
        <v>Programs</v>
      </c>
      <c r="G228" s="51">
        <v>1</v>
      </c>
    </row>
    <row r="229" spans="1:7" ht="15" customHeight="1">
      <c r="A229" s="13">
        <v>46082</v>
      </c>
      <c r="B229" s="19" t="s">
        <v>168</v>
      </c>
      <c r="C229" s="14" t="s">
        <v>169</v>
      </c>
      <c r="D229" s="19" t="s">
        <v>16</v>
      </c>
      <c r="E229" s="14" t="s">
        <v>17</v>
      </c>
      <c r="F229" s="14" t="str">
        <f>_xlfn.XLOOKUP(Headcount[[#This Row],[Cost Center]],'Cost Centers'!A:A,'Cost Centers'!C:C,"")</f>
        <v>Programs</v>
      </c>
      <c r="G229" s="51">
        <v>1</v>
      </c>
    </row>
    <row r="230" spans="1:7" ht="15" customHeight="1">
      <c r="A230" s="13">
        <v>46082</v>
      </c>
      <c r="B230" s="19" t="s">
        <v>170</v>
      </c>
      <c r="C230" s="14" t="s">
        <v>171</v>
      </c>
      <c r="D230" s="19" t="s">
        <v>16</v>
      </c>
      <c r="E230" s="14" t="s">
        <v>17</v>
      </c>
      <c r="F230" s="14" t="str">
        <f>_xlfn.XLOOKUP(Headcount[[#This Row],[Cost Center]],'Cost Centers'!A:A,'Cost Centers'!C:C,"")</f>
        <v>Programs</v>
      </c>
      <c r="G230" s="51">
        <v>1</v>
      </c>
    </row>
    <row r="231" spans="1:7" ht="15" customHeight="1">
      <c r="A231" s="13">
        <v>46082</v>
      </c>
      <c r="B231" s="19" t="s">
        <v>174</v>
      </c>
      <c r="C231" s="14" t="s">
        <v>175</v>
      </c>
      <c r="D231" s="19" t="s">
        <v>18</v>
      </c>
      <c r="E231" s="14" t="s">
        <v>19</v>
      </c>
      <c r="F231" s="14" t="str">
        <f>_xlfn.XLOOKUP(Headcount[[#This Row],[Cost Center]],'Cost Centers'!A:A,'Cost Centers'!C:C,"")</f>
        <v>Programs</v>
      </c>
      <c r="G231" s="51">
        <v>1</v>
      </c>
    </row>
    <row r="232" spans="1:7" ht="15" customHeight="1">
      <c r="A232" s="13">
        <v>46082</v>
      </c>
      <c r="B232" s="19" t="s">
        <v>176</v>
      </c>
      <c r="C232" s="14" t="s">
        <v>177</v>
      </c>
      <c r="D232" s="19" t="s">
        <v>18</v>
      </c>
      <c r="E232" s="14" t="s">
        <v>19</v>
      </c>
      <c r="F232" s="14" t="str">
        <f>_xlfn.XLOOKUP(Headcount[[#This Row],[Cost Center]],'Cost Centers'!A:A,'Cost Centers'!C:C,"")</f>
        <v>Programs</v>
      </c>
      <c r="G232" s="51">
        <v>1</v>
      </c>
    </row>
    <row r="233" spans="1:7" ht="15" customHeight="1">
      <c r="A233" s="13">
        <v>46082</v>
      </c>
      <c r="B233" s="19" t="s">
        <v>178</v>
      </c>
      <c r="C233" s="14" t="s">
        <v>179</v>
      </c>
      <c r="D233" s="19" t="s">
        <v>18</v>
      </c>
      <c r="E233" s="14" t="s">
        <v>19</v>
      </c>
      <c r="F233" s="14" t="str">
        <f>_xlfn.XLOOKUP(Headcount[[#This Row],[Cost Center]],'Cost Centers'!A:A,'Cost Centers'!C:C,"")</f>
        <v>Programs</v>
      </c>
      <c r="G233" s="51">
        <v>1</v>
      </c>
    </row>
    <row r="234" spans="1:7" ht="15" customHeight="1">
      <c r="A234" s="13">
        <v>46082</v>
      </c>
      <c r="B234" s="19" t="s">
        <v>192</v>
      </c>
      <c r="C234" s="14" t="s">
        <v>193</v>
      </c>
      <c r="D234" s="19" t="s">
        <v>18</v>
      </c>
      <c r="E234" s="14" t="s">
        <v>19</v>
      </c>
      <c r="F234" s="14" t="str">
        <f>_xlfn.XLOOKUP(Headcount[[#This Row],[Cost Center]],'Cost Centers'!A:A,'Cost Centers'!C:C,"")</f>
        <v>Programs</v>
      </c>
      <c r="G234" s="51">
        <v>1</v>
      </c>
    </row>
    <row r="235" spans="1:7" ht="15" customHeight="1">
      <c r="A235" s="13">
        <v>46082</v>
      </c>
      <c r="B235" s="19" t="s">
        <v>180</v>
      </c>
      <c r="C235" s="14" t="s">
        <v>181</v>
      </c>
      <c r="D235" s="19" t="s">
        <v>20</v>
      </c>
      <c r="E235" s="14" t="s">
        <v>21</v>
      </c>
      <c r="F235" s="14" t="str">
        <f>_xlfn.XLOOKUP(Headcount[[#This Row],[Cost Center]],'Cost Centers'!A:A,'Cost Centers'!C:C,"")</f>
        <v>Programs</v>
      </c>
      <c r="G235" s="51">
        <v>1</v>
      </c>
    </row>
    <row r="236" spans="1:7" ht="15" customHeight="1">
      <c r="A236" s="13">
        <v>46082</v>
      </c>
      <c r="B236" s="19" t="s">
        <v>182</v>
      </c>
      <c r="C236" s="14" t="s">
        <v>183</v>
      </c>
      <c r="D236" s="19" t="s">
        <v>20</v>
      </c>
      <c r="E236" s="14" t="s">
        <v>21</v>
      </c>
      <c r="F236" s="14" t="str">
        <f>_xlfn.XLOOKUP(Headcount[[#This Row],[Cost Center]],'Cost Centers'!A:A,'Cost Centers'!C:C,"")</f>
        <v>Programs</v>
      </c>
      <c r="G236" s="51">
        <v>1</v>
      </c>
    </row>
    <row r="237" spans="1:7" ht="15" customHeight="1">
      <c r="A237" s="13">
        <v>46082</v>
      </c>
      <c r="B237" s="19" t="s">
        <v>184</v>
      </c>
      <c r="C237" s="14" t="s">
        <v>185</v>
      </c>
      <c r="D237" s="19" t="s">
        <v>20</v>
      </c>
      <c r="E237" s="14" t="s">
        <v>21</v>
      </c>
      <c r="F237" s="14" t="str">
        <f>_xlfn.XLOOKUP(Headcount[[#This Row],[Cost Center]],'Cost Centers'!A:A,'Cost Centers'!C:C,"")</f>
        <v>Programs</v>
      </c>
      <c r="G237" s="51">
        <v>1</v>
      </c>
    </row>
    <row r="238" spans="1:7" ht="15" customHeight="1">
      <c r="A238" s="13">
        <v>46082</v>
      </c>
      <c r="B238" s="19" t="s">
        <v>186</v>
      </c>
      <c r="C238" s="14" t="s">
        <v>187</v>
      </c>
      <c r="D238" s="19" t="s">
        <v>20</v>
      </c>
      <c r="E238" s="14" t="s">
        <v>21</v>
      </c>
      <c r="F238" s="14" t="str">
        <f>_xlfn.XLOOKUP(Headcount[[#This Row],[Cost Center]],'Cost Centers'!A:A,'Cost Centers'!C:C,"")</f>
        <v>Programs</v>
      </c>
      <c r="G238" s="51">
        <v>1</v>
      </c>
    </row>
    <row r="239" spans="1:7" ht="15" customHeight="1">
      <c r="A239" s="13">
        <v>46082</v>
      </c>
      <c r="B239" s="19" t="s">
        <v>194</v>
      </c>
      <c r="C239" s="14" t="s">
        <v>195</v>
      </c>
      <c r="D239" s="19" t="s">
        <v>20</v>
      </c>
      <c r="E239" s="14" t="s">
        <v>21</v>
      </c>
      <c r="F239" s="14" t="str">
        <f>_xlfn.XLOOKUP(Headcount[[#This Row],[Cost Center]],'Cost Centers'!A:A,'Cost Centers'!C:C,"")</f>
        <v>Programs</v>
      </c>
      <c r="G239" s="51">
        <v>1</v>
      </c>
    </row>
    <row r="240" spans="1:7" ht="15" customHeight="1">
      <c r="A240" s="13">
        <v>46113</v>
      </c>
      <c r="B240" s="19" t="s">
        <v>154</v>
      </c>
      <c r="C240" s="14" t="s">
        <v>155</v>
      </c>
      <c r="D240" s="19" t="s">
        <v>4</v>
      </c>
      <c r="E240" s="14" t="s">
        <v>5</v>
      </c>
      <c r="F240" s="14" t="str">
        <f>_xlfn.XLOOKUP(Headcount[[#This Row],[Cost Center]],'Cost Centers'!A:A,'Cost Centers'!C:C,"")</f>
        <v>Admin</v>
      </c>
      <c r="G240" s="51">
        <v>0.5</v>
      </c>
    </row>
    <row r="241" spans="1:7" ht="15" customHeight="1">
      <c r="A241" s="13">
        <v>46113</v>
      </c>
      <c r="B241" s="19" t="s">
        <v>138</v>
      </c>
      <c r="C241" s="14" t="s">
        <v>139</v>
      </c>
      <c r="D241" s="19" t="s">
        <v>4</v>
      </c>
      <c r="E241" s="14" t="s">
        <v>5</v>
      </c>
      <c r="F241" s="14" t="str">
        <f>_xlfn.XLOOKUP(Headcount[[#This Row],[Cost Center]],'Cost Centers'!A:A,'Cost Centers'!C:C,"")</f>
        <v>Admin</v>
      </c>
      <c r="G241" s="51">
        <v>1</v>
      </c>
    </row>
    <row r="242" spans="1:7" ht="15" customHeight="1">
      <c r="A242" s="13">
        <v>46113</v>
      </c>
      <c r="B242" s="19" t="s">
        <v>140</v>
      </c>
      <c r="C242" s="14" t="s">
        <v>141</v>
      </c>
      <c r="D242" s="19" t="s">
        <v>6</v>
      </c>
      <c r="E242" s="14" t="s">
        <v>7</v>
      </c>
      <c r="F242" s="14" t="str">
        <f>_xlfn.XLOOKUP(Headcount[[#This Row],[Cost Center]],'Cost Centers'!A:A,'Cost Centers'!C:C,"")</f>
        <v>Admin</v>
      </c>
      <c r="G242" s="51">
        <v>1</v>
      </c>
    </row>
    <row r="243" spans="1:7" ht="15" customHeight="1">
      <c r="A243" s="13">
        <v>46113</v>
      </c>
      <c r="B243" s="19" t="s">
        <v>142</v>
      </c>
      <c r="C243" s="14" t="s">
        <v>143</v>
      </c>
      <c r="D243" s="19" t="s">
        <v>6</v>
      </c>
      <c r="E243" s="14" t="s">
        <v>7</v>
      </c>
      <c r="F243" s="14" t="str">
        <f>_xlfn.XLOOKUP(Headcount[[#This Row],[Cost Center]],'Cost Centers'!A:A,'Cost Centers'!C:C,"")</f>
        <v>Admin</v>
      </c>
      <c r="G243" s="51">
        <v>1</v>
      </c>
    </row>
    <row r="244" spans="1:7" ht="15" customHeight="1">
      <c r="A244" s="13">
        <v>46113</v>
      </c>
      <c r="B244" s="19" t="s">
        <v>144</v>
      </c>
      <c r="C244" s="14" t="s">
        <v>145</v>
      </c>
      <c r="D244" s="19" t="s">
        <v>8</v>
      </c>
      <c r="E244" s="14" t="s">
        <v>9</v>
      </c>
      <c r="F244" s="14" t="str">
        <f>_xlfn.XLOOKUP(Headcount[[#This Row],[Cost Center]],'Cost Centers'!A:A,'Cost Centers'!C:C,"")</f>
        <v>Admin</v>
      </c>
      <c r="G244" s="51">
        <v>1</v>
      </c>
    </row>
    <row r="245" spans="1:7" ht="15" customHeight="1">
      <c r="A245" s="13">
        <v>46113</v>
      </c>
      <c r="B245" s="19" t="s">
        <v>146</v>
      </c>
      <c r="C245" s="14" t="s">
        <v>147</v>
      </c>
      <c r="D245" s="19" t="s">
        <v>8</v>
      </c>
      <c r="E245" s="14" t="s">
        <v>9</v>
      </c>
      <c r="F245" s="14" t="str">
        <f>_xlfn.XLOOKUP(Headcount[[#This Row],[Cost Center]],'Cost Centers'!A:A,'Cost Centers'!C:C,"")</f>
        <v>Admin</v>
      </c>
      <c r="G245" s="51">
        <v>1</v>
      </c>
    </row>
    <row r="246" spans="1:7" ht="15" customHeight="1">
      <c r="A246" s="13">
        <v>46113</v>
      </c>
      <c r="B246" s="19" t="s">
        <v>150</v>
      </c>
      <c r="C246" s="14" t="s">
        <v>151</v>
      </c>
      <c r="D246" s="19" t="s">
        <v>10</v>
      </c>
      <c r="E246" s="14" t="s">
        <v>11</v>
      </c>
      <c r="F246" s="14" t="str">
        <f>_xlfn.XLOOKUP(Headcount[[#This Row],[Cost Center]],'Cost Centers'!A:A,'Cost Centers'!C:C,"")</f>
        <v>Admin</v>
      </c>
      <c r="G246" s="51">
        <v>1</v>
      </c>
    </row>
    <row r="247" spans="1:7" ht="15" customHeight="1">
      <c r="A247" s="13">
        <v>46113</v>
      </c>
      <c r="B247" s="19" t="s">
        <v>152</v>
      </c>
      <c r="C247" s="14" t="s">
        <v>153</v>
      </c>
      <c r="D247" s="19" t="s">
        <v>12</v>
      </c>
      <c r="E247" s="14" t="s">
        <v>13</v>
      </c>
      <c r="F247" s="14" t="str">
        <f>_xlfn.XLOOKUP(Headcount[[#This Row],[Cost Center]],'Cost Centers'!A:A,'Cost Centers'!C:C,"")</f>
        <v>Programs</v>
      </c>
      <c r="G247" s="51">
        <v>1</v>
      </c>
    </row>
    <row r="248" spans="1:7" ht="15" customHeight="1">
      <c r="A248" s="13">
        <v>46113</v>
      </c>
      <c r="B248" s="19" t="s">
        <v>154</v>
      </c>
      <c r="C248" s="14" t="s">
        <v>155</v>
      </c>
      <c r="D248" s="19" t="s">
        <v>12</v>
      </c>
      <c r="E248" s="14" t="s">
        <v>13</v>
      </c>
      <c r="F248" s="14" t="str">
        <f>_xlfn.XLOOKUP(Headcount[[#This Row],[Cost Center]],'Cost Centers'!A:A,'Cost Centers'!C:C,"")</f>
        <v>Programs</v>
      </c>
      <c r="G248" s="51">
        <v>0.5</v>
      </c>
    </row>
    <row r="249" spans="1:7" ht="15" customHeight="1">
      <c r="A249" s="13">
        <v>46113</v>
      </c>
      <c r="B249" s="19" t="s">
        <v>158</v>
      </c>
      <c r="C249" s="14" t="s">
        <v>159</v>
      </c>
      <c r="D249" s="19" t="s">
        <v>12</v>
      </c>
      <c r="E249" s="14" t="s">
        <v>13</v>
      </c>
      <c r="F249" s="14" t="str">
        <f>_xlfn.XLOOKUP(Headcount[[#This Row],[Cost Center]],'Cost Centers'!A:A,'Cost Centers'!C:C,"")</f>
        <v>Programs</v>
      </c>
      <c r="G249" s="51">
        <v>1</v>
      </c>
    </row>
    <row r="250" spans="1:7" ht="15" customHeight="1">
      <c r="A250" s="13">
        <v>46113</v>
      </c>
      <c r="B250" s="19" t="s">
        <v>190</v>
      </c>
      <c r="C250" s="14" t="s">
        <v>191</v>
      </c>
      <c r="D250" s="19" t="s">
        <v>12</v>
      </c>
      <c r="E250" s="14" t="s">
        <v>13</v>
      </c>
      <c r="F250" s="14" t="str">
        <f>_xlfn.XLOOKUP(Headcount[[#This Row],[Cost Center]],'Cost Centers'!A:A,'Cost Centers'!C:C,"")</f>
        <v>Programs</v>
      </c>
      <c r="G250" s="51">
        <v>1</v>
      </c>
    </row>
    <row r="251" spans="1:7" ht="15" customHeight="1">
      <c r="A251" s="13">
        <v>46113</v>
      </c>
      <c r="B251" s="19" t="s">
        <v>160</v>
      </c>
      <c r="C251" s="14" t="s">
        <v>161</v>
      </c>
      <c r="D251" s="19" t="s">
        <v>14</v>
      </c>
      <c r="E251" s="14" t="s">
        <v>15</v>
      </c>
      <c r="F251" s="14" t="str">
        <f>_xlfn.XLOOKUP(Headcount[[#This Row],[Cost Center]],'Cost Centers'!A:A,'Cost Centers'!C:C,"")</f>
        <v>Programs</v>
      </c>
      <c r="G251" s="51">
        <v>1</v>
      </c>
    </row>
    <row r="252" spans="1:7" ht="15" customHeight="1">
      <c r="A252" s="13">
        <v>46113</v>
      </c>
      <c r="B252" s="19" t="s">
        <v>162</v>
      </c>
      <c r="C252" s="14" t="s">
        <v>163</v>
      </c>
      <c r="D252" s="19" t="s">
        <v>14</v>
      </c>
      <c r="E252" s="14" t="s">
        <v>15</v>
      </c>
      <c r="F252" s="14" t="str">
        <f>_xlfn.XLOOKUP(Headcount[[#This Row],[Cost Center]],'Cost Centers'!A:A,'Cost Centers'!C:C,"")</f>
        <v>Programs</v>
      </c>
      <c r="G252" s="51">
        <v>1</v>
      </c>
    </row>
    <row r="253" spans="1:7" ht="15" customHeight="1">
      <c r="A253" s="13">
        <v>46113</v>
      </c>
      <c r="B253" s="19" t="s">
        <v>164</v>
      </c>
      <c r="C253" s="14" t="s">
        <v>165</v>
      </c>
      <c r="D253" s="19" t="s">
        <v>14</v>
      </c>
      <c r="E253" s="14" t="s">
        <v>15</v>
      </c>
      <c r="F253" s="14" t="str">
        <f>_xlfn.XLOOKUP(Headcount[[#This Row],[Cost Center]],'Cost Centers'!A:A,'Cost Centers'!C:C,"")</f>
        <v>Programs</v>
      </c>
      <c r="G253" s="51">
        <v>1</v>
      </c>
    </row>
    <row r="254" spans="1:7" ht="15" customHeight="1">
      <c r="A254" s="13">
        <v>46113</v>
      </c>
      <c r="B254" s="19" t="s">
        <v>188</v>
      </c>
      <c r="C254" s="14" t="s">
        <v>189</v>
      </c>
      <c r="D254" s="19" t="s">
        <v>14</v>
      </c>
      <c r="E254" s="14" t="s">
        <v>15</v>
      </c>
      <c r="F254" s="14" t="str">
        <f>_xlfn.XLOOKUP(Headcount[[#This Row],[Cost Center]],'Cost Centers'!A:A,'Cost Centers'!C:C,"")</f>
        <v>Programs</v>
      </c>
      <c r="G254" s="51">
        <v>1</v>
      </c>
    </row>
    <row r="255" spans="1:7" ht="15" customHeight="1">
      <c r="A255" s="13">
        <v>46113</v>
      </c>
      <c r="B255" s="19" t="s">
        <v>166</v>
      </c>
      <c r="C255" s="14" t="s">
        <v>167</v>
      </c>
      <c r="D255" s="19" t="s">
        <v>16</v>
      </c>
      <c r="E255" s="14" t="s">
        <v>17</v>
      </c>
      <c r="F255" s="14" t="str">
        <f>_xlfn.XLOOKUP(Headcount[[#This Row],[Cost Center]],'Cost Centers'!A:A,'Cost Centers'!C:C,"")</f>
        <v>Programs</v>
      </c>
      <c r="G255" s="51">
        <v>1</v>
      </c>
    </row>
    <row r="256" spans="1:7" ht="15" customHeight="1">
      <c r="A256" s="13">
        <v>46113</v>
      </c>
      <c r="B256" s="19" t="s">
        <v>168</v>
      </c>
      <c r="C256" s="14" t="s">
        <v>169</v>
      </c>
      <c r="D256" s="19" t="s">
        <v>16</v>
      </c>
      <c r="E256" s="14" t="s">
        <v>17</v>
      </c>
      <c r="F256" s="14" t="str">
        <f>_xlfn.XLOOKUP(Headcount[[#This Row],[Cost Center]],'Cost Centers'!A:A,'Cost Centers'!C:C,"")</f>
        <v>Programs</v>
      </c>
      <c r="G256" s="51">
        <v>1</v>
      </c>
    </row>
    <row r="257" spans="1:7" ht="15" customHeight="1">
      <c r="A257" s="13">
        <v>46113</v>
      </c>
      <c r="B257" s="19" t="s">
        <v>170</v>
      </c>
      <c r="C257" s="14" t="s">
        <v>171</v>
      </c>
      <c r="D257" s="19" t="s">
        <v>16</v>
      </c>
      <c r="E257" s="14" t="s">
        <v>17</v>
      </c>
      <c r="F257" s="14" t="str">
        <f>_xlfn.XLOOKUP(Headcount[[#This Row],[Cost Center]],'Cost Centers'!A:A,'Cost Centers'!C:C,"")</f>
        <v>Programs</v>
      </c>
      <c r="G257" s="51">
        <v>1</v>
      </c>
    </row>
    <row r="258" spans="1:7" ht="15" customHeight="1">
      <c r="A258" s="13">
        <v>46113</v>
      </c>
      <c r="B258" s="19" t="s">
        <v>174</v>
      </c>
      <c r="C258" s="14" t="s">
        <v>175</v>
      </c>
      <c r="D258" s="19" t="s">
        <v>18</v>
      </c>
      <c r="E258" s="14" t="s">
        <v>19</v>
      </c>
      <c r="F258" s="14" t="str">
        <f>_xlfn.XLOOKUP(Headcount[[#This Row],[Cost Center]],'Cost Centers'!A:A,'Cost Centers'!C:C,"")</f>
        <v>Programs</v>
      </c>
      <c r="G258" s="51">
        <v>1</v>
      </c>
    </row>
    <row r="259" spans="1:7" ht="15" customHeight="1">
      <c r="A259" s="13">
        <v>46113</v>
      </c>
      <c r="B259" s="19" t="s">
        <v>176</v>
      </c>
      <c r="C259" s="14" t="s">
        <v>177</v>
      </c>
      <c r="D259" s="19" t="s">
        <v>18</v>
      </c>
      <c r="E259" s="14" t="s">
        <v>19</v>
      </c>
      <c r="F259" s="14" t="str">
        <f>_xlfn.XLOOKUP(Headcount[[#This Row],[Cost Center]],'Cost Centers'!A:A,'Cost Centers'!C:C,"")</f>
        <v>Programs</v>
      </c>
      <c r="G259" s="51">
        <v>1</v>
      </c>
    </row>
    <row r="260" spans="1:7" ht="15" customHeight="1">
      <c r="A260" s="13">
        <v>46113</v>
      </c>
      <c r="B260" s="19" t="s">
        <v>178</v>
      </c>
      <c r="C260" s="14" t="s">
        <v>179</v>
      </c>
      <c r="D260" s="19" t="s">
        <v>18</v>
      </c>
      <c r="E260" s="14" t="s">
        <v>19</v>
      </c>
      <c r="F260" s="14" t="str">
        <f>_xlfn.XLOOKUP(Headcount[[#This Row],[Cost Center]],'Cost Centers'!A:A,'Cost Centers'!C:C,"")</f>
        <v>Programs</v>
      </c>
      <c r="G260" s="51">
        <v>1</v>
      </c>
    </row>
    <row r="261" spans="1:7" ht="15" customHeight="1">
      <c r="A261" s="13">
        <v>46113</v>
      </c>
      <c r="B261" s="19" t="s">
        <v>192</v>
      </c>
      <c r="C261" s="14" t="s">
        <v>193</v>
      </c>
      <c r="D261" s="19" t="s">
        <v>18</v>
      </c>
      <c r="E261" s="14" t="s">
        <v>19</v>
      </c>
      <c r="F261" s="14" t="str">
        <f>_xlfn.XLOOKUP(Headcount[[#This Row],[Cost Center]],'Cost Centers'!A:A,'Cost Centers'!C:C,"")</f>
        <v>Programs</v>
      </c>
      <c r="G261" s="51">
        <v>1</v>
      </c>
    </row>
    <row r="262" spans="1:7" ht="15" customHeight="1">
      <c r="A262" s="13">
        <v>46113</v>
      </c>
      <c r="B262" s="19" t="s">
        <v>180</v>
      </c>
      <c r="C262" s="14" t="s">
        <v>181</v>
      </c>
      <c r="D262" s="19" t="s">
        <v>20</v>
      </c>
      <c r="E262" s="14" t="s">
        <v>21</v>
      </c>
      <c r="F262" s="14" t="str">
        <f>_xlfn.XLOOKUP(Headcount[[#This Row],[Cost Center]],'Cost Centers'!A:A,'Cost Centers'!C:C,"")</f>
        <v>Programs</v>
      </c>
      <c r="G262" s="51">
        <v>1</v>
      </c>
    </row>
    <row r="263" spans="1:7" ht="15" customHeight="1">
      <c r="A263" s="13">
        <v>46113</v>
      </c>
      <c r="B263" s="19" t="s">
        <v>182</v>
      </c>
      <c r="C263" s="14" t="s">
        <v>183</v>
      </c>
      <c r="D263" s="19" t="s">
        <v>20</v>
      </c>
      <c r="E263" s="14" t="s">
        <v>21</v>
      </c>
      <c r="F263" s="14" t="str">
        <f>_xlfn.XLOOKUP(Headcount[[#This Row],[Cost Center]],'Cost Centers'!A:A,'Cost Centers'!C:C,"")</f>
        <v>Programs</v>
      </c>
      <c r="G263" s="51">
        <v>1</v>
      </c>
    </row>
    <row r="264" spans="1:7" ht="15" customHeight="1">
      <c r="A264" s="13">
        <v>46113</v>
      </c>
      <c r="B264" s="19" t="s">
        <v>184</v>
      </c>
      <c r="C264" s="14" t="s">
        <v>185</v>
      </c>
      <c r="D264" s="19" t="s">
        <v>20</v>
      </c>
      <c r="E264" s="14" t="s">
        <v>21</v>
      </c>
      <c r="F264" s="14" t="str">
        <f>_xlfn.XLOOKUP(Headcount[[#This Row],[Cost Center]],'Cost Centers'!A:A,'Cost Centers'!C:C,"")</f>
        <v>Programs</v>
      </c>
      <c r="G264" s="51">
        <v>1</v>
      </c>
    </row>
    <row r="265" spans="1:7" ht="15" customHeight="1">
      <c r="A265" s="13">
        <v>46113</v>
      </c>
      <c r="B265" s="19" t="s">
        <v>186</v>
      </c>
      <c r="C265" s="14" t="s">
        <v>187</v>
      </c>
      <c r="D265" s="19" t="s">
        <v>20</v>
      </c>
      <c r="E265" s="14" t="s">
        <v>21</v>
      </c>
      <c r="F265" s="14" t="str">
        <f>_xlfn.XLOOKUP(Headcount[[#This Row],[Cost Center]],'Cost Centers'!A:A,'Cost Centers'!C:C,"")</f>
        <v>Programs</v>
      </c>
      <c r="G265" s="51">
        <v>1</v>
      </c>
    </row>
    <row r="266" spans="1:7" ht="15" customHeight="1">
      <c r="A266" s="13">
        <v>46113</v>
      </c>
      <c r="B266" s="19" t="s">
        <v>194</v>
      </c>
      <c r="C266" s="14" t="s">
        <v>195</v>
      </c>
      <c r="D266" s="19" t="s">
        <v>20</v>
      </c>
      <c r="E266" s="14" t="s">
        <v>21</v>
      </c>
      <c r="F266" s="14" t="str">
        <f>_xlfn.XLOOKUP(Headcount[[#This Row],[Cost Center]],'Cost Centers'!A:A,'Cost Centers'!C:C,"")</f>
        <v>Programs</v>
      </c>
      <c r="G266" s="51">
        <v>1</v>
      </c>
    </row>
    <row r="267" spans="1:7" ht="15" customHeight="1">
      <c r="A267" s="13">
        <v>46143</v>
      </c>
      <c r="B267" s="19" t="s">
        <v>154</v>
      </c>
      <c r="C267" s="14" t="s">
        <v>155</v>
      </c>
      <c r="D267" s="19" t="s">
        <v>4</v>
      </c>
      <c r="E267" s="14" t="s">
        <v>5</v>
      </c>
      <c r="F267" s="14" t="str">
        <f>_xlfn.XLOOKUP(Headcount[[#This Row],[Cost Center]],'Cost Centers'!A:A,'Cost Centers'!C:C,"")</f>
        <v>Admin</v>
      </c>
      <c r="G267" s="51">
        <v>0.5</v>
      </c>
    </row>
    <row r="268" spans="1:7" ht="15" customHeight="1">
      <c r="A268" s="13">
        <v>46143</v>
      </c>
      <c r="B268" s="19" t="s">
        <v>138</v>
      </c>
      <c r="C268" s="14" t="s">
        <v>139</v>
      </c>
      <c r="D268" s="19" t="s">
        <v>4</v>
      </c>
      <c r="E268" s="14" t="s">
        <v>5</v>
      </c>
      <c r="F268" s="14" t="str">
        <f>_xlfn.XLOOKUP(Headcount[[#This Row],[Cost Center]],'Cost Centers'!A:A,'Cost Centers'!C:C,"")</f>
        <v>Admin</v>
      </c>
      <c r="G268" s="51">
        <v>1</v>
      </c>
    </row>
    <row r="269" spans="1:7" ht="15" customHeight="1">
      <c r="A269" s="13">
        <v>46143</v>
      </c>
      <c r="B269" s="19" t="s">
        <v>140</v>
      </c>
      <c r="C269" s="14" t="s">
        <v>141</v>
      </c>
      <c r="D269" s="19" t="s">
        <v>6</v>
      </c>
      <c r="E269" s="14" t="s">
        <v>7</v>
      </c>
      <c r="F269" s="14" t="str">
        <f>_xlfn.XLOOKUP(Headcount[[#This Row],[Cost Center]],'Cost Centers'!A:A,'Cost Centers'!C:C,"")</f>
        <v>Admin</v>
      </c>
      <c r="G269" s="51">
        <v>1</v>
      </c>
    </row>
    <row r="270" spans="1:7" ht="15" customHeight="1">
      <c r="A270" s="13">
        <v>46143</v>
      </c>
      <c r="B270" s="19" t="s">
        <v>142</v>
      </c>
      <c r="C270" s="14" t="s">
        <v>143</v>
      </c>
      <c r="D270" s="19" t="s">
        <v>6</v>
      </c>
      <c r="E270" s="14" t="s">
        <v>7</v>
      </c>
      <c r="F270" s="14" t="str">
        <f>_xlfn.XLOOKUP(Headcount[[#This Row],[Cost Center]],'Cost Centers'!A:A,'Cost Centers'!C:C,"")</f>
        <v>Admin</v>
      </c>
      <c r="G270" s="51">
        <v>1</v>
      </c>
    </row>
    <row r="271" spans="1:7" ht="15" customHeight="1">
      <c r="A271" s="13">
        <v>46143</v>
      </c>
      <c r="B271" s="19" t="s">
        <v>144</v>
      </c>
      <c r="C271" s="14" t="s">
        <v>145</v>
      </c>
      <c r="D271" s="19" t="s">
        <v>8</v>
      </c>
      <c r="E271" s="14" t="s">
        <v>9</v>
      </c>
      <c r="F271" s="14" t="str">
        <f>_xlfn.XLOOKUP(Headcount[[#This Row],[Cost Center]],'Cost Centers'!A:A,'Cost Centers'!C:C,"")</f>
        <v>Admin</v>
      </c>
      <c r="G271" s="51">
        <v>1</v>
      </c>
    </row>
    <row r="272" spans="1:7" ht="15" customHeight="1">
      <c r="A272" s="13">
        <v>46143</v>
      </c>
      <c r="B272" s="19" t="s">
        <v>146</v>
      </c>
      <c r="C272" s="14" t="s">
        <v>147</v>
      </c>
      <c r="D272" s="19" t="s">
        <v>8</v>
      </c>
      <c r="E272" s="14" t="s">
        <v>9</v>
      </c>
      <c r="F272" s="14" t="str">
        <f>_xlfn.XLOOKUP(Headcount[[#This Row],[Cost Center]],'Cost Centers'!A:A,'Cost Centers'!C:C,"")</f>
        <v>Admin</v>
      </c>
      <c r="G272" s="51">
        <v>1</v>
      </c>
    </row>
    <row r="273" spans="1:7" ht="15" customHeight="1">
      <c r="A273" s="13">
        <v>46143</v>
      </c>
      <c r="B273" s="19" t="s">
        <v>196</v>
      </c>
      <c r="C273" s="14" t="s">
        <v>197</v>
      </c>
      <c r="D273" s="19" t="s">
        <v>8</v>
      </c>
      <c r="E273" s="14" t="s">
        <v>9</v>
      </c>
      <c r="F273" s="14" t="str">
        <f>_xlfn.XLOOKUP(Headcount[[#This Row],[Cost Center]],'Cost Centers'!A:A,'Cost Centers'!C:C,"")</f>
        <v>Admin</v>
      </c>
      <c r="G273" s="51">
        <v>1</v>
      </c>
    </row>
    <row r="274" spans="1:7" ht="15" customHeight="1">
      <c r="A274" s="13">
        <v>46143</v>
      </c>
      <c r="B274" s="19" t="s">
        <v>150</v>
      </c>
      <c r="C274" s="14" t="s">
        <v>151</v>
      </c>
      <c r="D274" s="19" t="s">
        <v>10</v>
      </c>
      <c r="E274" s="14" t="s">
        <v>11</v>
      </c>
      <c r="F274" s="14" t="str">
        <f>_xlfn.XLOOKUP(Headcount[[#This Row],[Cost Center]],'Cost Centers'!A:A,'Cost Centers'!C:C,"")</f>
        <v>Admin</v>
      </c>
      <c r="G274" s="51">
        <v>1</v>
      </c>
    </row>
    <row r="275" spans="1:7" ht="15" customHeight="1">
      <c r="A275" s="13">
        <v>46143</v>
      </c>
      <c r="B275" s="19" t="s">
        <v>152</v>
      </c>
      <c r="C275" s="14" t="s">
        <v>153</v>
      </c>
      <c r="D275" s="19" t="s">
        <v>12</v>
      </c>
      <c r="E275" s="14" t="s">
        <v>13</v>
      </c>
      <c r="F275" s="14" t="str">
        <f>_xlfn.XLOOKUP(Headcount[[#This Row],[Cost Center]],'Cost Centers'!A:A,'Cost Centers'!C:C,"")</f>
        <v>Programs</v>
      </c>
      <c r="G275" s="51">
        <v>1</v>
      </c>
    </row>
    <row r="276" spans="1:7" ht="15" customHeight="1">
      <c r="A276" s="13">
        <v>46143</v>
      </c>
      <c r="B276" s="19" t="s">
        <v>154</v>
      </c>
      <c r="C276" s="14" t="s">
        <v>155</v>
      </c>
      <c r="D276" s="19" t="s">
        <v>12</v>
      </c>
      <c r="E276" s="14" t="s">
        <v>13</v>
      </c>
      <c r="F276" s="14" t="str">
        <f>_xlfn.XLOOKUP(Headcount[[#This Row],[Cost Center]],'Cost Centers'!A:A,'Cost Centers'!C:C,"")</f>
        <v>Programs</v>
      </c>
      <c r="G276" s="51">
        <v>0.5</v>
      </c>
    </row>
    <row r="277" spans="1:7" ht="15" customHeight="1">
      <c r="A277" s="13">
        <v>46143</v>
      </c>
      <c r="B277" s="19" t="s">
        <v>158</v>
      </c>
      <c r="C277" s="14" t="s">
        <v>159</v>
      </c>
      <c r="D277" s="19" t="s">
        <v>12</v>
      </c>
      <c r="E277" s="14" t="s">
        <v>13</v>
      </c>
      <c r="F277" s="14" t="str">
        <f>_xlfn.XLOOKUP(Headcount[[#This Row],[Cost Center]],'Cost Centers'!A:A,'Cost Centers'!C:C,"")</f>
        <v>Programs</v>
      </c>
      <c r="G277" s="51">
        <v>1</v>
      </c>
    </row>
    <row r="278" spans="1:7" ht="15" customHeight="1">
      <c r="A278" s="13">
        <v>46143</v>
      </c>
      <c r="B278" s="19" t="s">
        <v>190</v>
      </c>
      <c r="C278" s="14" t="s">
        <v>191</v>
      </c>
      <c r="D278" s="19" t="s">
        <v>12</v>
      </c>
      <c r="E278" s="14" t="s">
        <v>13</v>
      </c>
      <c r="F278" s="14" t="str">
        <f>_xlfn.XLOOKUP(Headcount[[#This Row],[Cost Center]],'Cost Centers'!A:A,'Cost Centers'!C:C,"")</f>
        <v>Programs</v>
      </c>
      <c r="G278" s="51">
        <v>1</v>
      </c>
    </row>
    <row r="279" spans="1:7" ht="15" customHeight="1">
      <c r="A279" s="13">
        <v>46143</v>
      </c>
      <c r="B279" s="19" t="s">
        <v>160</v>
      </c>
      <c r="C279" s="14" t="s">
        <v>161</v>
      </c>
      <c r="D279" s="19" t="s">
        <v>14</v>
      </c>
      <c r="E279" s="14" t="s">
        <v>15</v>
      </c>
      <c r="F279" s="14" t="str">
        <f>_xlfn.XLOOKUP(Headcount[[#This Row],[Cost Center]],'Cost Centers'!A:A,'Cost Centers'!C:C,"")</f>
        <v>Programs</v>
      </c>
      <c r="G279" s="51">
        <v>1</v>
      </c>
    </row>
    <row r="280" spans="1:7" ht="15" customHeight="1">
      <c r="A280" s="13">
        <v>46143</v>
      </c>
      <c r="B280" s="19" t="s">
        <v>162</v>
      </c>
      <c r="C280" s="14" t="s">
        <v>163</v>
      </c>
      <c r="D280" s="19" t="s">
        <v>14</v>
      </c>
      <c r="E280" s="14" t="s">
        <v>15</v>
      </c>
      <c r="F280" s="14" t="str">
        <f>_xlfn.XLOOKUP(Headcount[[#This Row],[Cost Center]],'Cost Centers'!A:A,'Cost Centers'!C:C,"")</f>
        <v>Programs</v>
      </c>
      <c r="G280" s="51">
        <v>1</v>
      </c>
    </row>
    <row r="281" spans="1:7" ht="15" customHeight="1">
      <c r="A281" s="13">
        <v>46143</v>
      </c>
      <c r="B281" s="19" t="s">
        <v>164</v>
      </c>
      <c r="C281" s="14" t="s">
        <v>165</v>
      </c>
      <c r="D281" s="19" t="s">
        <v>14</v>
      </c>
      <c r="E281" s="14" t="s">
        <v>15</v>
      </c>
      <c r="F281" s="14" t="str">
        <f>_xlfn.XLOOKUP(Headcount[[#This Row],[Cost Center]],'Cost Centers'!A:A,'Cost Centers'!C:C,"")</f>
        <v>Programs</v>
      </c>
      <c r="G281" s="51">
        <v>1</v>
      </c>
    </row>
    <row r="282" spans="1:7" ht="15" customHeight="1">
      <c r="A282" s="13">
        <v>46143</v>
      </c>
      <c r="B282" s="19" t="s">
        <v>188</v>
      </c>
      <c r="C282" s="14" t="s">
        <v>189</v>
      </c>
      <c r="D282" s="19" t="s">
        <v>14</v>
      </c>
      <c r="E282" s="14" t="s">
        <v>15</v>
      </c>
      <c r="F282" s="14" t="str">
        <f>_xlfn.XLOOKUP(Headcount[[#This Row],[Cost Center]],'Cost Centers'!A:A,'Cost Centers'!C:C,"")</f>
        <v>Programs</v>
      </c>
      <c r="G282" s="51">
        <v>1</v>
      </c>
    </row>
    <row r="283" spans="1:7" ht="15" customHeight="1">
      <c r="A283" s="13">
        <v>46143</v>
      </c>
      <c r="B283" s="19" t="s">
        <v>166</v>
      </c>
      <c r="C283" s="14" t="s">
        <v>167</v>
      </c>
      <c r="D283" s="19" t="s">
        <v>16</v>
      </c>
      <c r="E283" s="14" t="s">
        <v>17</v>
      </c>
      <c r="F283" s="14" t="str">
        <f>_xlfn.XLOOKUP(Headcount[[#This Row],[Cost Center]],'Cost Centers'!A:A,'Cost Centers'!C:C,"")</f>
        <v>Programs</v>
      </c>
      <c r="G283" s="51">
        <v>1</v>
      </c>
    </row>
    <row r="284" spans="1:7" ht="15" customHeight="1">
      <c r="A284" s="13">
        <v>46143</v>
      </c>
      <c r="B284" s="19" t="s">
        <v>168</v>
      </c>
      <c r="C284" s="14" t="s">
        <v>169</v>
      </c>
      <c r="D284" s="19" t="s">
        <v>16</v>
      </c>
      <c r="E284" s="14" t="s">
        <v>17</v>
      </c>
      <c r="F284" s="14" t="str">
        <f>_xlfn.XLOOKUP(Headcount[[#This Row],[Cost Center]],'Cost Centers'!A:A,'Cost Centers'!C:C,"")</f>
        <v>Programs</v>
      </c>
      <c r="G284" s="51">
        <v>1</v>
      </c>
    </row>
    <row r="285" spans="1:7" ht="15" customHeight="1">
      <c r="A285" s="13">
        <v>46143</v>
      </c>
      <c r="B285" s="19" t="s">
        <v>174</v>
      </c>
      <c r="C285" s="14" t="s">
        <v>175</v>
      </c>
      <c r="D285" s="19" t="s">
        <v>18</v>
      </c>
      <c r="E285" s="14" t="s">
        <v>19</v>
      </c>
      <c r="F285" s="14" t="str">
        <f>_xlfn.XLOOKUP(Headcount[[#This Row],[Cost Center]],'Cost Centers'!A:A,'Cost Centers'!C:C,"")</f>
        <v>Programs</v>
      </c>
      <c r="G285" s="51">
        <v>1</v>
      </c>
    </row>
    <row r="286" spans="1:7" ht="15" customHeight="1">
      <c r="A286" s="13">
        <v>46143</v>
      </c>
      <c r="B286" s="19" t="s">
        <v>176</v>
      </c>
      <c r="C286" s="14" t="s">
        <v>177</v>
      </c>
      <c r="D286" s="19" t="s">
        <v>18</v>
      </c>
      <c r="E286" s="14" t="s">
        <v>19</v>
      </c>
      <c r="F286" s="14" t="str">
        <f>_xlfn.XLOOKUP(Headcount[[#This Row],[Cost Center]],'Cost Centers'!A:A,'Cost Centers'!C:C,"")</f>
        <v>Programs</v>
      </c>
      <c r="G286" s="51">
        <v>1</v>
      </c>
    </row>
    <row r="287" spans="1:7" ht="15" customHeight="1">
      <c r="A287" s="13">
        <v>46143</v>
      </c>
      <c r="B287" s="19" t="s">
        <v>178</v>
      </c>
      <c r="C287" s="14" t="s">
        <v>179</v>
      </c>
      <c r="D287" s="19" t="s">
        <v>18</v>
      </c>
      <c r="E287" s="14" t="s">
        <v>19</v>
      </c>
      <c r="F287" s="14" t="str">
        <f>_xlfn.XLOOKUP(Headcount[[#This Row],[Cost Center]],'Cost Centers'!A:A,'Cost Centers'!C:C,"")</f>
        <v>Programs</v>
      </c>
      <c r="G287" s="51">
        <v>1</v>
      </c>
    </row>
    <row r="288" spans="1:7" ht="15" customHeight="1">
      <c r="A288" s="13">
        <v>46143</v>
      </c>
      <c r="B288" s="19" t="s">
        <v>192</v>
      </c>
      <c r="C288" s="14" t="s">
        <v>193</v>
      </c>
      <c r="D288" s="19" t="s">
        <v>18</v>
      </c>
      <c r="E288" s="14" t="s">
        <v>19</v>
      </c>
      <c r="F288" s="14" t="str">
        <f>_xlfn.XLOOKUP(Headcount[[#This Row],[Cost Center]],'Cost Centers'!A:A,'Cost Centers'!C:C,"")</f>
        <v>Programs</v>
      </c>
      <c r="G288" s="51">
        <v>1</v>
      </c>
    </row>
    <row r="289" spans="1:7" ht="15" customHeight="1">
      <c r="A289" s="13">
        <v>46143</v>
      </c>
      <c r="B289" s="19" t="s">
        <v>180</v>
      </c>
      <c r="C289" s="14" t="s">
        <v>181</v>
      </c>
      <c r="D289" s="19" t="s">
        <v>20</v>
      </c>
      <c r="E289" s="14" t="s">
        <v>21</v>
      </c>
      <c r="F289" s="14" t="str">
        <f>_xlfn.XLOOKUP(Headcount[[#This Row],[Cost Center]],'Cost Centers'!A:A,'Cost Centers'!C:C,"")</f>
        <v>Programs</v>
      </c>
      <c r="G289" s="51">
        <v>1</v>
      </c>
    </row>
    <row r="290" spans="1:7" ht="15" customHeight="1">
      <c r="A290" s="13">
        <v>46143</v>
      </c>
      <c r="B290" s="19" t="s">
        <v>182</v>
      </c>
      <c r="C290" s="14" t="s">
        <v>183</v>
      </c>
      <c r="D290" s="19" t="s">
        <v>20</v>
      </c>
      <c r="E290" s="14" t="s">
        <v>21</v>
      </c>
      <c r="F290" s="14" t="str">
        <f>_xlfn.XLOOKUP(Headcount[[#This Row],[Cost Center]],'Cost Centers'!A:A,'Cost Centers'!C:C,"")</f>
        <v>Programs</v>
      </c>
      <c r="G290" s="51">
        <v>1</v>
      </c>
    </row>
    <row r="291" spans="1:7" ht="15" customHeight="1">
      <c r="A291" s="13">
        <v>46143</v>
      </c>
      <c r="B291" s="19" t="s">
        <v>184</v>
      </c>
      <c r="C291" s="14" t="s">
        <v>185</v>
      </c>
      <c r="D291" s="19" t="s">
        <v>20</v>
      </c>
      <c r="E291" s="14" t="s">
        <v>21</v>
      </c>
      <c r="F291" s="14" t="str">
        <f>_xlfn.XLOOKUP(Headcount[[#This Row],[Cost Center]],'Cost Centers'!A:A,'Cost Centers'!C:C,"")</f>
        <v>Programs</v>
      </c>
      <c r="G291" s="51">
        <v>1</v>
      </c>
    </row>
    <row r="292" spans="1:7" ht="15" customHeight="1">
      <c r="A292" s="13">
        <v>46143</v>
      </c>
      <c r="B292" s="19" t="s">
        <v>186</v>
      </c>
      <c r="C292" s="14" t="s">
        <v>187</v>
      </c>
      <c r="D292" s="19" t="s">
        <v>20</v>
      </c>
      <c r="E292" s="14" t="s">
        <v>21</v>
      </c>
      <c r="F292" s="14" t="str">
        <f>_xlfn.XLOOKUP(Headcount[[#This Row],[Cost Center]],'Cost Centers'!A:A,'Cost Centers'!C:C,"")</f>
        <v>Programs</v>
      </c>
      <c r="G292" s="51">
        <v>1</v>
      </c>
    </row>
    <row r="293" spans="1:7" ht="15" customHeight="1">
      <c r="A293" s="13">
        <v>46143</v>
      </c>
      <c r="B293" s="19" t="s">
        <v>194</v>
      </c>
      <c r="C293" s="14" t="s">
        <v>195</v>
      </c>
      <c r="D293" s="19" t="s">
        <v>20</v>
      </c>
      <c r="E293" s="14" t="s">
        <v>21</v>
      </c>
      <c r="F293" s="14" t="str">
        <f>_xlfn.XLOOKUP(Headcount[[#This Row],[Cost Center]],'Cost Centers'!A:A,'Cost Centers'!C:C,"")</f>
        <v>Programs</v>
      </c>
      <c r="G293" s="51">
        <v>1</v>
      </c>
    </row>
    <row r="294" spans="1:7" ht="15" customHeight="1">
      <c r="A294" s="13">
        <v>46174</v>
      </c>
      <c r="B294" s="19" t="s">
        <v>154</v>
      </c>
      <c r="C294" s="14" t="s">
        <v>155</v>
      </c>
      <c r="D294" s="19" t="s">
        <v>4</v>
      </c>
      <c r="E294" s="14" t="s">
        <v>5</v>
      </c>
      <c r="F294" s="14" t="str">
        <f>_xlfn.XLOOKUP(Headcount[[#This Row],[Cost Center]],'Cost Centers'!A:A,'Cost Centers'!C:C,"")</f>
        <v>Admin</v>
      </c>
      <c r="G294" s="51">
        <v>0.5</v>
      </c>
    </row>
    <row r="295" spans="1:7" ht="15" customHeight="1">
      <c r="A295" s="13">
        <v>46174</v>
      </c>
      <c r="B295" s="19" t="s">
        <v>138</v>
      </c>
      <c r="C295" s="14" t="s">
        <v>139</v>
      </c>
      <c r="D295" s="19" t="s">
        <v>4</v>
      </c>
      <c r="E295" s="14" t="s">
        <v>5</v>
      </c>
      <c r="F295" s="14" t="str">
        <f>_xlfn.XLOOKUP(Headcount[[#This Row],[Cost Center]],'Cost Centers'!A:A,'Cost Centers'!C:C,"")</f>
        <v>Admin</v>
      </c>
      <c r="G295" s="51">
        <v>1</v>
      </c>
    </row>
    <row r="296" spans="1:7" ht="15" customHeight="1">
      <c r="A296" s="13">
        <v>46174</v>
      </c>
      <c r="B296" s="19" t="s">
        <v>140</v>
      </c>
      <c r="C296" s="14" t="s">
        <v>141</v>
      </c>
      <c r="D296" s="19" t="s">
        <v>6</v>
      </c>
      <c r="E296" s="14" t="s">
        <v>7</v>
      </c>
      <c r="F296" s="14" t="str">
        <f>_xlfn.XLOOKUP(Headcount[[#This Row],[Cost Center]],'Cost Centers'!A:A,'Cost Centers'!C:C,"")</f>
        <v>Admin</v>
      </c>
      <c r="G296" s="51">
        <v>1</v>
      </c>
    </row>
    <row r="297" spans="1:7" ht="15" customHeight="1">
      <c r="A297" s="13">
        <v>46174</v>
      </c>
      <c r="B297" s="19" t="s">
        <v>142</v>
      </c>
      <c r="C297" s="14" t="s">
        <v>143</v>
      </c>
      <c r="D297" s="19" t="s">
        <v>6</v>
      </c>
      <c r="E297" s="14" t="s">
        <v>7</v>
      </c>
      <c r="F297" s="14" t="str">
        <f>_xlfn.XLOOKUP(Headcount[[#This Row],[Cost Center]],'Cost Centers'!A:A,'Cost Centers'!C:C,"")</f>
        <v>Admin</v>
      </c>
      <c r="G297" s="51">
        <v>1</v>
      </c>
    </row>
    <row r="298" spans="1:7" ht="15" customHeight="1">
      <c r="A298" s="13">
        <v>46174</v>
      </c>
      <c r="B298" s="19" t="s">
        <v>144</v>
      </c>
      <c r="C298" s="14" t="s">
        <v>145</v>
      </c>
      <c r="D298" s="19" t="s">
        <v>8</v>
      </c>
      <c r="E298" s="14" t="s">
        <v>9</v>
      </c>
      <c r="F298" s="14" t="str">
        <f>_xlfn.XLOOKUP(Headcount[[#This Row],[Cost Center]],'Cost Centers'!A:A,'Cost Centers'!C:C,"")</f>
        <v>Admin</v>
      </c>
      <c r="G298" s="51">
        <v>1</v>
      </c>
    </row>
    <row r="299" spans="1:7" ht="15" customHeight="1">
      <c r="A299" s="13">
        <v>46174</v>
      </c>
      <c r="B299" s="19" t="s">
        <v>146</v>
      </c>
      <c r="C299" s="14" t="s">
        <v>147</v>
      </c>
      <c r="D299" s="19" t="s">
        <v>8</v>
      </c>
      <c r="E299" s="14" t="s">
        <v>9</v>
      </c>
      <c r="F299" s="14" t="str">
        <f>_xlfn.XLOOKUP(Headcount[[#This Row],[Cost Center]],'Cost Centers'!A:A,'Cost Centers'!C:C,"")</f>
        <v>Admin</v>
      </c>
      <c r="G299" s="51">
        <v>1</v>
      </c>
    </row>
    <row r="300" spans="1:7" ht="15" customHeight="1">
      <c r="A300" s="13">
        <v>46174</v>
      </c>
      <c r="B300" s="19" t="s">
        <v>196</v>
      </c>
      <c r="C300" s="14" t="s">
        <v>197</v>
      </c>
      <c r="D300" s="19" t="s">
        <v>8</v>
      </c>
      <c r="E300" s="14" t="s">
        <v>9</v>
      </c>
      <c r="F300" s="14" t="str">
        <f>_xlfn.XLOOKUP(Headcount[[#This Row],[Cost Center]],'Cost Centers'!A:A,'Cost Centers'!C:C,"")</f>
        <v>Admin</v>
      </c>
      <c r="G300" s="51">
        <v>1</v>
      </c>
    </row>
    <row r="301" spans="1:7" ht="15" customHeight="1">
      <c r="A301" s="13">
        <v>46174</v>
      </c>
      <c r="B301" s="19" t="s">
        <v>150</v>
      </c>
      <c r="C301" s="14" t="s">
        <v>151</v>
      </c>
      <c r="D301" s="19" t="s">
        <v>10</v>
      </c>
      <c r="E301" s="14" t="s">
        <v>11</v>
      </c>
      <c r="F301" s="14" t="str">
        <f>_xlfn.XLOOKUP(Headcount[[#This Row],[Cost Center]],'Cost Centers'!A:A,'Cost Centers'!C:C,"")</f>
        <v>Admin</v>
      </c>
      <c r="G301" s="51">
        <v>1</v>
      </c>
    </row>
    <row r="302" spans="1:7" ht="15" customHeight="1">
      <c r="A302" s="13">
        <v>46174</v>
      </c>
      <c r="B302" s="19" t="s">
        <v>152</v>
      </c>
      <c r="C302" s="14" t="s">
        <v>153</v>
      </c>
      <c r="D302" s="19" t="s">
        <v>12</v>
      </c>
      <c r="E302" s="14" t="s">
        <v>13</v>
      </c>
      <c r="F302" s="14" t="str">
        <f>_xlfn.XLOOKUP(Headcount[[#This Row],[Cost Center]],'Cost Centers'!A:A,'Cost Centers'!C:C,"")</f>
        <v>Programs</v>
      </c>
      <c r="G302" s="51">
        <v>1</v>
      </c>
    </row>
    <row r="303" spans="1:7" ht="15" customHeight="1">
      <c r="A303" s="13">
        <v>46174</v>
      </c>
      <c r="B303" s="19" t="s">
        <v>154</v>
      </c>
      <c r="C303" s="14" t="s">
        <v>155</v>
      </c>
      <c r="D303" s="19" t="s">
        <v>12</v>
      </c>
      <c r="E303" s="14" t="s">
        <v>13</v>
      </c>
      <c r="F303" s="14" t="str">
        <f>_xlfn.XLOOKUP(Headcount[[#This Row],[Cost Center]],'Cost Centers'!A:A,'Cost Centers'!C:C,"")</f>
        <v>Programs</v>
      </c>
      <c r="G303" s="51">
        <v>0.5</v>
      </c>
    </row>
    <row r="304" spans="1:7" ht="15" customHeight="1">
      <c r="A304" s="13">
        <v>46174</v>
      </c>
      <c r="B304" s="19" t="s">
        <v>158</v>
      </c>
      <c r="C304" s="14" t="s">
        <v>159</v>
      </c>
      <c r="D304" s="19" t="s">
        <v>12</v>
      </c>
      <c r="E304" s="14" t="s">
        <v>13</v>
      </c>
      <c r="F304" s="14" t="str">
        <f>_xlfn.XLOOKUP(Headcount[[#This Row],[Cost Center]],'Cost Centers'!A:A,'Cost Centers'!C:C,"")</f>
        <v>Programs</v>
      </c>
      <c r="G304" s="51">
        <v>1</v>
      </c>
    </row>
    <row r="305" spans="1:7" ht="15" customHeight="1">
      <c r="A305" s="13">
        <v>46174</v>
      </c>
      <c r="B305" s="19" t="s">
        <v>190</v>
      </c>
      <c r="C305" s="14" t="s">
        <v>191</v>
      </c>
      <c r="D305" s="19" t="s">
        <v>12</v>
      </c>
      <c r="E305" s="14" t="s">
        <v>13</v>
      </c>
      <c r="F305" s="14" t="str">
        <f>_xlfn.XLOOKUP(Headcount[[#This Row],[Cost Center]],'Cost Centers'!A:A,'Cost Centers'!C:C,"")</f>
        <v>Programs</v>
      </c>
      <c r="G305" s="51">
        <v>1</v>
      </c>
    </row>
    <row r="306" spans="1:7" ht="15" customHeight="1">
      <c r="A306" s="13">
        <v>46174</v>
      </c>
      <c r="B306" s="19" t="s">
        <v>160</v>
      </c>
      <c r="C306" s="14" t="s">
        <v>161</v>
      </c>
      <c r="D306" s="19" t="s">
        <v>14</v>
      </c>
      <c r="E306" s="14" t="s">
        <v>15</v>
      </c>
      <c r="F306" s="14" t="str">
        <f>_xlfn.XLOOKUP(Headcount[[#This Row],[Cost Center]],'Cost Centers'!A:A,'Cost Centers'!C:C,"")</f>
        <v>Programs</v>
      </c>
      <c r="G306" s="51">
        <v>1</v>
      </c>
    </row>
    <row r="307" spans="1:7" ht="15" customHeight="1">
      <c r="A307" s="13">
        <v>46174</v>
      </c>
      <c r="B307" s="19" t="s">
        <v>162</v>
      </c>
      <c r="C307" s="14" t="s">
        <v>163</v>
      </c>
      <c r="D307" s="19" t="s">
        <v>14</v>
      </c>
      <c r="E307" s="14" t="s">
        <v>15</v>
      </c>
      <c r="F307" s="14" t="str">
        <f>_xlfn.XLOOKUP(Headcount[[#This Row],[Cost Center]],'Cost Centers'!A:A,'Cost Centers'!C:C,"")</f>
        <v>Programs</v>
      </c>
      <c r="G307" s="51">
        <v>1</v>
      </c>
    </row>
    <row r="308" spans="1:7" ht="15" customHeight="1">
      <c r="A308" s="13">
        <v>46174</v>
      </c>
      <c r="B308" s="19" t="s">
        <v>164</v>
      </c>
      <c r="C308" s="14" t="s">
        <v>165</v>
      </c>
      <c r="D308" s="19" t="s">
        <v>14</v>
      </c>
      <c r="E308" s="14" t="s">
        <v>15</v>
      </c>
      <c r="F308" s="14" t="str">
        <f>_xlfn.XLOOKUP(Headcount[[#This Row],[Cost Center]],'Cost Centers'!A:A,'Cost Centers'!C:C,"")</f>
        <v>Programs</v>
      </c>
      <c r="G308" s="51">
        <v>1</v>
      </c>
    </row>
    <row r="309" spans="1:7" ht="15" customHeight="1">
      <c r="A309" s="13">
        <v>46174</v>
      </c>
      <c r="B309" s="19" t="s">
        <v>188</v>
      </c>
      <c r="C309" s="14" t="s">
        <v>189</v>
      </c>
      <c r="D309" s="19" t="s">
        <v>14</v>
      </c>
      <c r="E309" s="14" t="s">
        <v>15</v>
      </c>
      <c r="F309" s="14" t="str">
        <f>_xlfn.XLOOKUP(Headcount[[#This Row],[Cost Center]],'Cost Centers'!A:A,'Cost Centers'!C:C,"")</f>
        <v>Programs</v>
      </c>
      <c r="G309" s="51">
        <v>1</v>
      </c>
    </row>
    <row r="310" spans="1:7" ht="15" customHeight="1">
      <c r="A310" s="13">
        <v>46174</v>
      </c>
      <c r="B310" s="19" t="s">
        <v>166</v>
      </c>
      <c r="C310" s="14" t="s">
        <v>167</v>
      </c>
      <c r="D310" s="19" t="s">
        <v>16</v>
      </c>
      <c r="E310" s="14" t="s">
        <v>17</v>
      </c>
      <c r="F310" s="14" t="str">
        <f>_xlfn.XLOOKUP(Headcount[[#This Row],[Cost Center]],'Cost Centers'!A:A,'Cost Centers'!C:C,"")</f>
        <v>Programs</v>
      </c>
      <c r="G310" s="51">
        <v>1</v>
      </c>
    </row>
    <row r="311" spans="1:7" ht="15" customHeight="1">
      <c r="A311" s="13">
        <v>46174</v>
      </c>
      <c r="B311" s="19" t="s">
        <v>168</v>
      </c>
      <c r="C311" s="14" t="s">
        <v>169</v>
      </c>
      <c r="D311" s="19" t="s">
        <v>16</v>
      </c>
      <c r="E311" s="14" t="s">
        <v>17</v>
      </c>
      <c r="F311" s="14" t="str">
        <f>_xlfn.XLOOKUP(Headcount[[#This Row],[Cost Center]],'Cost Centers'!A:A,'Cost Centers'!C:C,"")</f>
        <v>Programs</v>
      </c>
      <c r="G311" s="51">
        <v>1</v>
      </c>
    </row>
    <row r="312" spans="1:7" ht="15" customHeight="1">
      <c r="A312" s="13">
        <v>46174</v>
      </c>
      <c r="B312" s="19" t="s">
        <v>174</v>
      </c>
      <c r="C312" s="14" t="s">
        <v>175</v>
      </c>
      <c r="D312" s="19" t="s">
        <v>18</v>
      </c>
      <c r="E312" s="14" t="s">
        <v>19</v>
      </c>
      <c r="F312" s="14" t="str">
        <f>_xlfn.XLOOKUP(Headcount[[#This Row],[Cost Center]],'Cost Centers'!A:A,'Cost Centers'!C:C,"")</f>
        <v>Programs</v>
      </c>
      <c r="G312" s="51">
        <v>1</v>
      </c>
    </row>
    <row r="313" spans="1:7" ht="15" customHeight="1">
      <c r="A313" s="13">
        <v>46174</v>
      </c>
      <c r="B313" s="19" t="s">
        <v>176</v>
      </c>
      <c r="C313" s="14" t="s">
        <v>177</v>
      </c>
      <c r="D313" s="19" t="s">
        <v>18</v>
      </c>
      <c r="E313" s="14" t="s">
        <v>19</v>
      </c>
      <c r="F313" s="14" t="str">
        <f>_xlfn.XLOOKUP(Headcount[[#This Row],[Cost Center]],'Cost Centers'!A:A,'Cost Centers'!C:C,"")</f>
        <v>Programs</v>
      </c>
      <c r="G313" s="51">
        <v>1</v>
      </c>
    </row>
    <row r="314" spans="1:7" ht="15" customHeight="1">
      <c r="A314" s="13">
        <v>46174</v>
      </c>
      <c r="B314" s="19" t="s">
        <v>178</v>
      </c>
      <c r="C314" s="14" t="s">
        <v>179</v>
      </c>
      <c r="D314" s="19" t="s">
        <v>18</v>
      </c>
      <c r="E314" s="14" t="s">
        <v>19</v>
      </c>
      <c r="F314" s="14" t="str">
        <f>_xlfn.XLOOKUP(Headcount[[#This Row],[Cost Center]],'Cost Centers'!A:A,'Cost Centers'!C:C,"")</f>
        <v>Programs</v>
      </c>
      <c r="G314" s="51">
        <v>1</v>
      </c>
    </row>
    <row r="315" spans="1:7" ht="15" customHeight="1">
      <c r="A315" s="13">
        <v>46174</v>
      </c>
      <c r="B315" s="19" t="s">
        <v>192</v>
      </c>
      <c r="C315" s="14" t="s">
        <v>193</v>
      </c>
      <c r="D315" s="19" t="s">
        <v>18</v>
      </c>
      <c r="E315" s="14" t="s">
        <v>19</v>
      </c>
      <c r="F315" s="14" t="str">
        <f>_xlfn.XLOOKUP(Headcount[[#This Row],[Cost Center]],'Cost Centers'!A:A,'Cost Centers'!C:C,"")</f>
        <v>Programs</v>
      </c>
      <c r="G315" s="51">
        <v>1</v>
      </c>
    </row>
    <row r="316" spans="1:7" ht="15" customHeight="1">
      <c r="A316" s="13">
        <v>46174</v>
      </c>
      <c r="B316" s="19" t="s">
        <v>180</v>
      </c>
      <c r="C316" s="14" t="s">
        <v>181</v>
      </c>
      <c r="D316" s="19" t="s">
        <v>20</v>
      </c>
      <c r="E316" s="14" t="s">
        <v>21</v>
      </c>
      <c r="F316" s="14" t="str">
        <f>_xlfn.XLOOKUP(Headcount[[#This Row],[Cost Center]],'Cost Centers'!A:A,'Cost Centers'!C:C,"")</f>
        <v>Programs</v>
      </c>
      <c r="G316" s="51">
        <v>1</v>
      </c>
    </row>
    <row r="317" spans="1:7" ht="15" customHeight="1">
      <c r="A317" s="13">
        <v>46174</v>
      </c>
      <c r="B317" s="19" t="s">
        <v>182</v>
      </c>
      <c r="C317" s="14" t="s">
        <v>183</v>
      </c>
      <c r="D317" s="19" t="s">
        <v>20</v>
      </c>
      <c r="E317" s="14" t="s">
        <v>21</v>
      </c>
      <c r="F317" s="14" t="str">
        <f>_xlfn.XLOOKUP(Headcount[[#This Row],[Cost Center]],'Cost Centers'!A:A,'Cost Centers'!C:C,"")</f>
        <v>Programs</v>
      </c>
      <c r="G317" s="51">
        <v>1</v>
      </c>
    </row>
    <row r="318" spans="1:7" ht="15" customHeight="1">
      <c r="A318" s="13">
        <v>46174</v>
      </c>
      <c r="B318" s="19" t="s">
        <v>184</v>
      </c>
      <c r="C318" s="14" t="s">
        <v>185</v>
      </c>
      <c r="D318" s="19" t="s">
        <v>20</v>
      </c>
      <c r="E318" s="14" t="s">
        <v>21</v>
      </c>
      <c r="F318" s="14" t="str">
        <f>_xlfn.XLOOKUP(Headcount[[#This Row],[Cost Center]],'Cost Centers'!A:A,'Cost Centers'!C:C,"")</f>
        <v>Programs</v>
      </c>
      <c r="G318" s="51">
        <v>1</v>
      </c>
    </row>
    <row r="319" spans="1:7" ht="15" customHeight="1">
      <c r="A319" s="13">
        <v>46174</v>
      </c>
      <c r="B319" s="19" t="s">
        <v>186</v>
      </c>
      <c r="C319" s="14" t="s">
        <v>187</v>
      </c>
      <c r="D319" s="19" t="s">
        <v>20</v>
      </c>
      <c r="E319" s="14" t="s">
        <v>21</v>
      </c>
      <c r="F319" s="14" t="str">
        <f>_xlfn.XLOOKUP(Headcount[[#This Row],[Cost Center]],'Cost Centers'!A:A,'Cost Centers'!C:C,"")</f>
        <v>Programs</v>
      </c>
      <c r="G319" s="51">
        <v>1</v>
      </c>
    </row>
    <row r="320" spans="1:7" ht="15" customHeight="1">
      <c r="A320" s="13">
        <v>46174</v>
      </c>
      <c r="B320" s="19" t="s">
        <v>194</v>
      </c>
      <c r="C320" s="14" t="s">
        <v>195</v>
      </c>
      <c r="D320" s="19" t="s">
        <v>20</v>
      </c>
      <c r="E320" s="14" t="s">
        <v>21</v>
      </c>
      <c r="F320" s="14" t="str">
        <f>_xlfn.XLOOKUP(Headcount[[#This Row],[Cost Center]],'Cost Centers'!A:A,'Cost Centers'!C:C,"")</f>
        <v>Programs</v>
      </c>
      <c r="G320" s="51">
        <v>1</v>
      </c>
    </row>
    <row r="322" spans="5:7" ht="15" customHeight="1">
      <c r="E322" s="12" t="s">
        <v>198</v>
      </c>
      <c r="G322" s="12">
        <f>COUNTA(_xlfn.UNIQUE(Headcount[Employee Name]))</f>
        <v>30</v>
      </c>
    </row>
  </sheetData>
  <pageMargins left="0.75" right="0.75" top="1" bottom="1" header="0.511811023622047" footer="0.511811023622047"/>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Q123"/>
  <sheetViews>
    <sheetView showGridLines="0" zoomScaleNormal="100" workbookViewId="0">
      <pane ySplit="9" topLeftCell="A10" activePane="bottomLeft" state="frozen"/>
      <selection pane="bottomLeft"/>
    </sheetView>
  </sheetViews>
  <sheetFormatPr baseColWidth="10" defaultColWidth="8.6640625" defaultRowHeight="15"/>
  <cols>
    <col min="1" max="1" width="4" style="12" customWidth="1"/>
    <col min="2" max="2" width="17" style="12" bestFit="1" customWidth="1"/>
    <col min="3" max="3" width="17.83203125" style="12" bestFit="1" customWidth="1"/>
    <col min="4" max="15" width="14" style="12" bestFit="1" customWidth="1"/>
    <col min="16" max="16" width="10" style="12" bestFit="1" customWidth="1"/>
    <col min="17" max="16384" width="8.6640625" style="12"/>
  </cols>
  <sheetData>
    <row r="2" spans="2:15" ht="18">
      <c r="B2" s="164" t="s">
        <v>786</v>
      </c>
    </row>
    <row r="3" spans="2:15" ht="17.25" customHeight="1">
      <c r="B3" s="53" t="s">
        <v>702</v>
      </c>
    </row>
    <row r="4" spans="2:15" ht="15" customHeight="1">
      <c r="B4" s="53" t="s">
        <v>207</v>
      </c>
    </row>
    <row r="5" spans="2:15" ht="15" customHeight="1">
      <c r="B5" s="69" t="s">
        <v>703</v>
      </c>
      <c r="C5" s="69"/>
      <c r="D5" s="69"/>
      <c r="E5" s="69"/>
      <c r="F5" s="69"/>
      <c r="G5" s="69"/>
    </row>
    <row r="7" spans="2:15">
      <c r="B7" s="49" t="s">
        <v>24</v>
      </c>
      <c r="D7" s="49" t="s">
        <v>25</v>
      </c>
    </row>
    <row r="8" spans="2:15">
      <c r="B8" s="12" t="s">
        <v>26</v>
      </c>
      <c r="C8" s="12" t="s">
        <v>27</v>
      </c>
      <c r="D8" s="139">
        <v>45839</v>
      </c>
      <c r="E8" s="139">
        <v>45870</v>
      </c>
      <c r="F8" s="139">
        <v>45901</v>
      </c>
      <c r="G8" s="139">
        <v>45931</v>
      </c>
      <c r="H8" s="139">
        <v>45962</v>
      </c>
      <c r="I8" s="139">
        <v>45992</v>
      </c>
      <c r="J8" s="139">
        <v>46023</v>
      </c>
      <c r="K8" s="139">
        <v>46054</v>
      </c>
      <c r="L8" s="139">
        <v>46082</v>
      </c>
      <c r="M8" s="139">
        <v>46113</v>
      </c>
      <c r="N8" s="139">
        <v>46143</v>
      </c>
      <c r="O8" s="139">
        <v>46174</v>
      </c>
    </row>
    <row r="9" spans="2:15">
      <c r="B9" s="12" t="s">
        <v>28</v>
      </c>
      <c r="C9" s="12" t="s">
        <v>96</v>
      </c>
      <c r="D9" s="70">
        <v>122644.38000000002</v>
      </c>
      <c r="E9" s="70">
        <v>124657.04000000001</v>
      </c>
      <c r="F9" s="70">
        <v>128036.33</v>
      </c>
      <c r="G9" s="70">
        <v>129101.80000000002</v>
      </c>
      <c r="H9" s="70">
        <v>124722.61000000018</v>
      </c>
      <c r="I9" s="70">
        <v>126875.50999999989</v>
      </c>
      <c r="J9" s="70">
        <v>125556.76000000001</v>
      </c>
      <c r="K9" s="70">
        <v>128749.39000000022</v>
      </c>
      <c r="L9" s="70">
        <v>126150.07000000012</v>
      </c>
      <c r="M9" s="70">
        <v>127182.12</v>
      </c>
      <c r="N9" s="70">
        <v>118864.15000000001</v>
      </c>
      <c r="O9" s="70">
        <v>124378.35000000011</v>
      </c>
    </row>
    <row r="11" spans="2:15" hidden="1"/>
    <row r="12" spans="2:15" hidden="1"/>
    <row r="13" spans="2:15" hidden="1"/>
    <row r="14" spans="2:15" hidden="1"/>
    <row r="15" spans="2:15" hidden="1"/>
    <row r="16" spans="2:15" hidden="1">
      <c r="B16" s="49" t="s">
        <v>686</v>
      </c>
      <c r="D16" s="49" t="s">
        <v>689</v>
      </c>
      <c r="E16" s="49" t="s">
        <v>134</v>
      </c>
    </row>
    <row r="17" spans="2:15" hidden="1">
      <c r="D17" s="12" t="s">
        <v>687</v>
      </c>
      <c r="J17" s="12" t="s">
        <v>688</v>
      </c>
    </row>
    <row r="18" spans="2:15" hidden="1">
      <c r="B18" s="49" t="s">
        <v>135</v>
      </c>
      <c r="C18" s="49" t="s">
        <v>136</v>
      </c>
      <c r="D18" s="22">
        <v>45839</v>
      </c>
      <c r="E18" s="22">
        <v>45870</v>
      </c>
      <c r="F18" s="22">
        <v>45901</v>
      </c>
      <c r="G18" s="22">
        <v>45931</v>
      </c>
      <c r="H18" s="22">
        <v>45962</v>
      </c>
      <c r="I18" s="22">
        <v>45992</v>
      </c>
      <c r="J18" s="22">
        <v>46023</v>
      </c>
      <c r="K18" s="22">
        <v>46054</v>
      </c>
      <c r="L18" s="22">
        <v>46082</v>
      </c>
      <c r="M18" s="22">
        <v>46113</v>
      </c>
      <c r="N18" s="22">
        <v>46143</v>
      </c>
      <c r="O18" s="22">
        <v>46174</v>
      </c>
    </row>
    <row r="19" spans="2:15" hidden="1">
      <c r="B19" s="12" t="s">
        <v>138</v>
      </c>
      <c r="C19" s="12" t="s">
        <v>139</v>
      </c>
      <c r="D19" s="71">
        <v>1</v>
      </c>
      <c r="E19" s="71">
        <v>1</v>
      </c>
      <c r="F19" s="71">
        <v>1</v>
      </c>
      <c r="G19" s="71">
        <v>1</v>
      </c>
      <c r="H19" s="71">
        <v>1</v>
      </c>
      <c r="I19" s="71">
        <v>1</v>
      </c>
      <c r="J19" s="71">
        <v>1</v>
      </c>
      <c r="K19" s="71">
        <v>1</v>
      </c>
      <c r="L19" s="71">
        <v>1</v>
      </c>
      <c r="M19" s="71">
        <v>1</v>
      </c>
      <c r="N19" s="71">
        <v>1</v>
      </c>
      <c r="O19" s="71">
        <v>1</v>
      </c>
    </row>
    <row r="20" spans="2:15" hidden="1">
      <c r="B20" s="12" t="s">
        <v>140</v>
      </c>
      <c r="C20" s="12" t="s">
        <v>141</v>
      </c>
      <c r="D20" s="71">
        <v>1</v>
      </c>
      <c r="E20" s="71">
        <v>1</v>
      </c>
      <c r="F20" s="71">
        <v>1</v>
      </c>
      <c r="G20" s="71">
        <v>1</v>
      </c>
      <c r="H20" s="71">
        <v>1</v>
      </c>
      <c r="I20" s="71">
        <v>1</v>
      </c>
      <c r="J20" s="71">
        <v>1</v>
      </c>
      <c r="K20" s="71">
        <v>1</v>
      </c>
      <c r="L20" s="71">
        <v>1</v>
      </c>
      <c r="M20" s="71">
        <v>1</v>
      </c>
      <c r="N20" s="71">
        <v>1</v>
      </c>
      <c r="O20" s="71">
        <v>1</v>
      </c>
    </row>
    <row r="21" spans="2:15" hidden="1">
      <c r="B21" s="12" t="s">
        <v>142</v>
      </c>
      <c r="C21" s="12" t="s">
        <v>143</v>
      </c>
      <c r="D21" s="71">
        <v>1</v>
      </c>
      <c r="E21" s="71">
        <v>1</v>
      </c>
      <c r="F21" s="71">
        <v>1</v>
      </c>
      <c r="G21" s="71">
        <v>1</v>
      </c>
      <c r="H21" s="71">
        <v>1</v>
      </c>
      <c r="I21" s="71">
        <v>1</v>
      </c>
      <c r="J21" s="71">
        <v>1</v>
      </c>
      <c r="K21" s="71">
        <v>1</v>
      </c>
      <c r="L21" s="71">
        <v>1</v>
      </c>
      <c r="M21" s="71">
        <v>1</v>
      </c>
      <c r="N21" s="71">
        <v>1</v>
      </c>
      <c r="O21" s="71">
        <v>1</v>
      </c>
    </row>
    <row r="22" spans="2:15" hidden="1">
      <c r="B22" s="12" t="s">
        <v>144</v>
      </c>
      <c r="C22" s="12" t="s">
        <v>145</v>
      </c>
      <c r="D22" s="71">
        <v>1</v>
      </c>
      <c r="E22" s="71">
        <v>1</v>
      </c>
      <c r="F22" s="71">
        <v>1</v>
      </c>
      <c r="G22" s="71">
        <v>1</v>
      </c>
      <c r="H22" s="71">
        <v>1</v>
      </c>
      <c r="I22" s="71">
        <v>1</v>
      </c>
      <c r="J22" s="71">
        <v>1</v>
      </c>
      <c r="K22" s="71">
        <v>1</v>
      </c>
      <c r="L22" s="71">
        <v>1</v>
      </c>
      <c r="M22" s="71">
        <v>1</v>
      </c>
      <c r="N22" s="71">
        <v>1</v>
      </c>
      <c r="O22" s="71">
        <v>1</v>
      </c>
    </row>
    <row r="23" spans="2:15" hidden="1">
      <c r="B23" s="12" t="s">
        <v>146</v>
      </c>
      <c r="C23" s="12" t="s">
        <v>147</v>
      </c>
      <c r="D23" s="71">
        <v>1</v>
      </c>
      <c r="E23" s="71">
        <v>1</v>
      </c>
      <c r="F23" s="71">
        <v>1</v>
      </c>
      <c r="G23" s="71">
        <v>1</v>
      </c>
      <c r="H23" s="71">
        <v>1</v>
      </c>
      <c r="I23" s="71">
        <v>1</v>
      </c>
      <c r="J23" s="71">
        <v>1</v>
      </c>
      <c r="K23" s="71">
        <v>1</v>
      </c>
      <c r="L23" s="71">
        <v>1</v>
      </c>
      <c r="M23" s="71">
        <v>1</v>
      </c>
      <c r="N23" s="71">
        <v>1</v>
      </c>
      <c r="O23" s="71">
        <v>1</v>
      </c>
    </row>
    <row r="24" spans="2:15" hidden="1">
      <c r="B24" s="12" t="s">
        <v>148</v>
      </c>
      <c r="C24" s="12" t="s">
        <v>149</v>
      </c>
      <c r="D24" s="71">
        <v>1</v>
      </c>
      <c r="E24" s="71">
        <v>1</v>
      </c>
      <c r="F24" s="71">
        <v>1</v>
      </c>
      <c r="G24" s="71">
        <v>1</v>
      </c>
      <c r="H24" s="71">
        <v>1</v>
      </c>
      <c r="I24" s="71">
        <v>1</v>
      </c>
      <c r="J24" s="71">
        <v>1</v>
      </c>
      <c r="K24" s="71">
        <v>1</v>
      </c>
      <c r="L24" s="71"/>
      <c r="M24" s="71"/>
      <c r="N24" s="71"/>
      <c r="O24" s="71"/>
    </row>
    <row r="25" spans="2:15" hidden="1">
      <c r="B25" s="12" t="s">
        <v>150</v>
      </c>
      <c r="C25" s="12" t="s">
        <v>151</v>
      </c>
      <c r="D25" s="71">
        <v>1</v>
      </c>
      <c r="E25" s="71">
        <v>1</v>
      </c>
      <c r="F25" s="71">
        <v>1</v>
      </c>
      <c r="G25" s="71">
        <v>1</v>
      </c>
      <c r="H25" s="71">
        <v>1</v>
      </c>
      <c r="I25" s="71">
        <v>1</v>
      </c>
      <c r="J25" s="71">
        <v>1</v>
      </c>
      <c r="K25" s="71">
        <v>1</v>
      </c>
      <c r="L25" s="71">
        <v>1</v>
      </c>
      <c r="M25" s="71">
        <v>1</v>
      </c>
      <c r="N25" s="71">
        <v>1</v>
      </c>
      <c r="O25" s="71">
        <v>1</v>
      </c>
    </row>
    <row r="26" spans="2:15" hidden="1">
      <c r="B26" s="12" t="s">
        <v>152</v>
      </c>
      <c r="C26" s="12" t="s">
        <v>153</v>
      </c>
      <c r="D26" s="71">
        <v>1</v>
      </c>
      <c r="E26" s="71">
        <v>1</v>
      </c>
      <c r="F26" s="71">
        <v>1</v>
      </c>
      <c r="G26" s="71">
        <v>1</v>
      </c>
      <c r="H26" s="71">
        <v>1</v>
      </c>
      <c r="I26" s="71">
        <v>1</v>
      </c>
      <c r="J26" s="71">
        <v>1</v>
      </c>
      <c r="K26" s="71">
        <v>1</v>
      </c>
      <c r="L26" s="71">
        <v>1</v>
      </c>
      <c r="M26" s="71">
        <v>1</v>
      </c>
      <c r="N26" s="71">
        <v>1</v>
      </c>
      <c r="O26" s="71">
        <v>1</v>
      </c>
    </row>
    <row r="27" spans="2:15" hidden="1">
      <c r="B27" s="12" t="s">
        <v>154</v>
      </c>
      <c r="C27" s="12" t="s">
        <v>155</v>
      </c>
      <c r="D27" s="71">
        <v>1</v>
      </c>
      <c r="E27" s="71">
        <v>1</v>
      </c>
      <c r="F27" s="71">
        <v>1</v>
      </c>
      <c r="G27" s="71">
        <v>1</v>
      </c>
      <c r="H27" s="71">
        <v>1</v>
      </c>
      <c r="I27" s="71">
        <v>1</v>
      </c>
      <c r="J27" s="71">
        <v>1</v>
      </c>
      <c r="K27" s="71">
        <v>1</v>
      </c>
      <c r="L27" s="71">
        <v>1</v>
      </c>
      <c r="M27" s="71">
        <v>1</v>
      </c>
      <c r="N27" s="71">
        <v>1</v>
      </c>
      <c r="O27" s="71">
        <v>1</v>
      </c>
    </row>
    <row r="28" spans="2:15" hidden="1">
      <c r="B28" s="12" t="s">
        <v>156</v>
      </c>
      <c r="C28" s="12" t="s">
        <v>157</v>
      </c>
      <c r="D28" s="71">
        <v>1</v>
      </c>
      <c r="E28" s="71">
        <v>1</v>
      </c>
      <c r="F28" s="71">
        <v>1</v>
      </c>
      <c r="G28" s="71"/>
      <c r="H28" s="71"/>
      <c r="I28" s="71"/>
      <c r="J28" s="71"/>
      <c r="K28" s="71"/>
      <c r="L28" s="71"/>
      <c r="M28" s="71"/>
      <c r="N28" s="71"/>
      <c r="O28" s="71"/>
    </row>
    <row r="29" spans="2:15" hidden="1">
      <c r="B29" s="12" t="s">
        <v>158</v>
      </c>
      <c r="C29" s="12" t="s">
        <v>159</v>
      </c>
      <c r="D29" s="71">
        <v>1</v>
      </c>
      <c r="E29" s="71">
        <v>1</v>
      </c>
      <c r="F29" s="71">
        <v>1</v>
      </c>
      <c r="G29" s="71">
        <v>1</v>
      </c>
      <c r="H29" s="71">
        <v>1</v>
      </c>
      <c r="I29" s="71">
        <v>1</v>
      </c>
      <c r="J29" s="71">
        <v>1</v>
      </c>
      <c r="K29" s="71">
        <v>1</v>
      </c>
      <c r="L29" s="71">
        <v>1</v>
      </c>
      <c r="M29" s="71">
        <v>1</v>
      </c>
      <c r="N29" s="71">
        <v>1</v>
      </c>
      <c r="O29" s="71">
        <v>1</v>
      </c>
    </row>
    <row r="30" spans="2:15" hidden="1">
      <c r="B30" s="12" t="s">
        <v>160</v>
      </c>
      <c r="C30" s="12" t="s">
        <v>161</v>
      </c>
      <c r="D30" s="71">
        <v>1</v>
      </c>
      <c r="E30" s="71">
        <v>1</v>
      </c>
      <c r="F30" s="71">
        <v>1</v>
      </c>
      <c r="G30" s="71">
        <v>1</v>
      </c>
      <c r="H30" s="71">
        <v>1</v>
      </c>
      <c r="I30" s="71">
        <v>1</v>
      </c>
      <c r="J30" s="71">
        <v>1</v>
      </c>
      <c r="K30" s="71">
        <v>1</v>
      </c>
      <c r="L30" s="71">
        <v>1</v>
      </c>
      <c r="M30" s="71">
        <v>1</v>
      </c>
      <c r="N30" s="71">
        <v>1</v>
      </c>
      <c r="O30" s="71">
        <v>1</v>
      </c>
    </row>
    <row r="31" spans="2:15" hidden="1">
      <c r="B31" s="12" t="s">
        <v>162</v>
      </c>
      <c r="C31" s="12" t="s">
        <v>163</v>
      </c>
      <c r="D31" s="71">
        <v>1</v>
      </c>
      <c r="E31" s="71">
        <v>1</v>
      </c>
      <c r="F31" s="71">
        <v>1</v>
      </c>
      <c r="G31" s="71">
        <v>1</v>
      </c>
      <c r="H31" s="71">
        <v>1</v>
      </c>
      <c r="I31" s="71">
        <v>1</v>
      </c>
      <c r="J31" s="71">
        <v>1</v>
      </c>
      <c r="K31" s="71">
        <v>1</v>
      </c>
      <c r="L31" s="71">
        <v>1</v>
      </c>
      <c r="M31" s="71">
        <v>1</v>
      </c>
      <c r="N31" s="71">
        <v>1</v>
      </c>
      <c r="O31" s="71">
        <v>1</v>
      </c>
    </row>
    <row r="32" spans="2:15" hidden="1">
      <c r="B32" s="12" t="s">
        <v>164</v>
      </c>
      <c r="C32" s="12" t="s">
        <v>165</v>
      </c>
      <c r="D32" s="71">
        <v>1</v>
      </c>
      <c r="E32" s="71">
        <v>1</v>
      </c>
      <c r="F32" s="71">
        <v>1</v>
      </c>
      <c r="G32" s="71">
        <v>1</v>
      </c>
      <c r="H32" s="71">
        <v>1</v>
      </c>
      <c r="I32" s="71">
        <v>1</v>
      </c>
      <c r="J32" s="71">
        <v>1</v>
      </c>
      <c r="K32" s="71">
        <v>1</v>
      </c>
      <c r="L32" s="71">
        <v>1</v>
      </c>
      <c r="M32" s="71">
        <v>1</v>
      </c>
      <c r="N32" s="71">
        <v>1</v>
      </c>
      <c r="O32" s="71">
        <v>1</v>
      </c>
    </row>
    <row r="33" spans="2:15" hidden="1">
      <c r="B33" s="12" t="s">
        <v>166</v>
      </c>
      <c r="C33" s="12" t="s">
        <v>167</v>
      </c>
      <c r="D33" s="71">
        <v>1</v>
      </c>
      <c r="E33" s="71">
        <v>1</v>
      </c>
      <c r="F33" s="71">
        <v>1</v>
      </c>
      <c r="G33" s="71">
        <v>1</v>
      </c>
      <c r="H33" s="71">
        <v>1</v>
      </c>
      <c r="I33" s="71">
        <v>1</v>
      </c>
      <c r="J33" s="71">
        <v>1</v>
      </c>
      <c r="K33" s="71">
        <v>1</v>
      </c>
      <c r="L33" s="71">
        <v>1</v>
      </c>
      <c r="M33" s="71">
        <v>1</v>
      </c>
      <c r="N33" s="71">
        <v>1</v>
      </c>
      <c r="O33" s="71">
        <v>1</v>
      </c>
    </row>
    <row r="34" spans="2:15" hidden="1">
      <c r="B34" s="12" t="s">
        <v>168</v>
      </c>
      <c r="C34" s="12" t="s">
        <v>169</v>
      </c>
      <c r="D34" s="71">
        <v>1</v>
      </c>
      <c r="E34" s="71">
        <v>1</v>
      </c>
      <c r="F34" s="71">
        <v>1</v>
      </c>
      <c r="G34" s="71">
        <v>1</v>
      </c>
      <c r="H34" s="71">
        <v>1</v>
      </c>
      <c r="I34" s="71">
        <v>1</v>
      </c>
      <c r="J34" s="71">
        <v>1</v>
      </c>
      <c r="K34" s="71">
        <v>1</v>
      </c>
      <c r="L34" s="71">
        <v>1</v>
      </c>
      <c r="M34" s="71">
        <v>1</v>
      </c>
      <c r="N34" s="71">
        <v>1</v>
      </c>
      <c r="O34" s="71">
        <v>1</v>
      </c>
    </row>
    <row r="35" spans="2:15" hidden="1">
      <c r="B35" s="12" t="s">
        <v>170</v>
      </c>
      <c r="C35" s="12" t="s">
        <v>171</v>
      </c>
      <c r="D35" s="71">
        <v>1</v>
      </c>
      <c r="E35" s="71">
        <v>1</v>
      </c>
      <c r="F35" s="71">
        <v>1</v>
      </c>
      <c r="G35" s="71">
        <v>1</v>
      </c>
      <c r="H35" s="71">
        <v>1</v>
      </c>
      <c r="I35" s="71">
        <v>1</v>
      </c>
      <c r="J35" s="71">
        <v>1</v>
      </c>
      <c r="K35" s="71">
        <v>1</v>
      </c>
      <c r="L35" s="71">
        <v>1</v>
      </c>
      <c r="M35" s="71">
        <v>1</v>
      </c>
      <c r="N35" s="71"/>
      <c r="O35" s="71"/>
    </row>
    <row r="36" spans="2:15" hidden="1">
      <c r="B36" s="12" t="s">
        <v>172</v>
      </c>
      <c r="C36" s="12" t="s">
        <v>173</v>
      </c>
      <c r="D36" s="71">
        <v>1</v>
      </c>
      <c r="E36" s="71">
        <v>1</v>
      </c>
      <c r="F36" s="71">
        <v>1</v>
      </c>
      <c r="G36" s="71">
        <v>1</v>
      </c>
      <c r="H36" s="71">
        <v>1</v>
      </c>
      <c r="I36" s="71">
        <v>1</v>
      </c>
      <c r="J36" s="71"/>
      <c r="K36" s="71"/>
      <c r="L36" s="71"/>
      <c r="M36" s="71"/>
      <c r="N36" s="71"/>
      <c r="O36" s="71"/>
    </row>
    <row r="37" spans="2:15" hidden="1">
      <c r="B37" s="12" t="s">
        <v>174</v>
      </c>
      <c r="C37" s="12" t="s">
        <v>175</v>
      </c>
      <c r="D37" s="71">
        <v>1</v>
      </c>
      <c r="E37" s="71">
        <v>1</v>
      </c>
      <c r="F37" s="71">
        <v>1</v>
      </c>
      <c r="G37" s="71">
        <v>1</v>
      </c>
      <c r="H37" s="71">
        <v>1</v>
      </c>
      <c r="I37" s="71">
        <v>1</v>
      </c>
      <c r="J37" s="71">
        <v>1</v>
      </c>
      <c r="K37" s="71">
        <v>1</v>
      </c>
      <c r="L37" s="71">
        <v>1</v>
      </c>
      <c r="M37" s="71">
        <v>1</v>
      </c>
      <c r="N37" s="71">
        <v>1</v>
      </c>
      <c r="O37" s="71">
        <v>1</v>
      </c>
    </row>
    <row r="38" spans="2:15" hidden="1">
      <c r="B38" s="12" t="s">
        <v>176</v>
      </c>
      <c r="C38" s="12" t="s">
        <v>177</v>
      </c>
      <c r="D38" s="71">
        <v>1</v>
      </c>
      <c r="E38" s="71">
        <v>1</v>
      </c>
      <c r="F38" s="71">
        <v>1</v>
      </c>
      <c r="G38" s="71">
        <v>1</v>
      </c>
      <c r="H38" s="71">
        <v>1</v>
      </c>
      <c r="I38" s="71">
        <v>1</v>
      </c>
      <c r="J38" s="71">
        <v>1</v>
      </c>
      <c r="K38" s="71">
        <v>1</v>
      </c>
      <c r="L38" s="71">
        <v>1</v>
      </c>
      <c r="M38" s="71">
        <v>1</v>
      </c>
      <c r="N38" s="71">
        <v>1</v>
      </c>
      <c r="O38" s="71">
        <v>1</v>
      </c>
    </row>
    <row r="39" spans="2:15" hidden="1">
      <c r="B39" s="12" t="s">
        <v>178</v>
      </c>
      <c r="C39" s="12" t="s">
        <v>179</v>
      </c>
      <c r="D39" s="71">
        <v>1</v>
      </c>
      <c r="E39" s="71">
        <v>1</v>
      </c>
      <c r="F39" s="71">
        <v>1</v>
      </c>
      <c r="G39" s="71">
        <v>1</v>
      </c>
      <c r="H39" s="71">
        <v>1</v>
      </c>
      <c r="I39" s="71">
        <v>1</v>
      </c>
      <c r="J39" s="71">
        <v>1</v>
      </c>
      <c r="K39" s="71">
        <v>1</v>
      </c>
      <c r="L39" s="71">
        <v>1</v>
      </c>
      <c r="M39" s="71">
        <v>1</v>
      </c>
      <c r="N39" s="71">
        <v>1</v>
      </c>
      <c r="O39" s="71">
        <v>1</v>
      </c>
    </row>
    <row r="40" spans="2:15" hidden="1">
      <c r="B40" s="12" t="s">
        <v>180</v>
      </c>
      <c r="C40" s="12" t="s">
        <v>181</v>
      </c>
      <c r="D40" s="71">
        <v>1</v>
      </c>
      <c r="E40" s="71">
        <v>1</v>
      </c>
      <c r="F40" s="71">
        <v>1</v>
      </c>
      <c r="G40" s="71">
        <v>1</v>
      </c>
      <c r="H40" s="71">
        <v>1</v>
      </c>
      <c r="I40" s="71">
        <v>1</v>
      </c>
      <c r="J40" s="71">
        <v>1</v>
      </c>
      <c r="K40" s="71">
        <v>1</v>
      </c>
      <c r="L40" s="71">
        <v>1</v>
      </c>
      <c r="M40" s="71">
        <v>1</v>
      </c>
      <c r="N40" s="71">
        <v>1</v>
      </c>
      <c r="O40" s="71">
        <v>1</v>
      </c>
    </row>
    <row r="41" spans="2:15" hidden="1">
      <c r="B41" s="12" t="s">
        <v>182</v>
      </c>
      <c r="C41" s="12" t="s">
        <v>183</v>
      </c>
      <c r="D41" s="71">
        <v>1</v>
      </c>
      <c r="E41" s="71">
        <v>1</v>
      </c>
      <c r="F41" s="71">
        <v>1</v>
      </c>
      <c r="G41" s="71">
        <v>1</v>
      </c>
      <c r="H41" s="71">
        <v>1</v>
      </c>
      <c r="I41" s="71">
        <v>1</v>
      </c>
      <c r="J41" s="71">
        <v>1</v>
      </c>
      <c r="K41" s="71">
        <v>1</v>
      </c>
      <c r="L41" s="71">
        <v>1</v>
      </c>
      <c r="M41" s="71">
        <v>1</v>
      </c>
      <c r="N41" s="71">
        <v>1</v>
      </c>
      <c r="O41" s="71">
        <v>1</v>
      </c>
    </row>
    <row r="42" spans="2:15" hidden="1">
      <c r="B42" s="12" t="s">
        <v>184</v>
      </c>
      <c r="C42" s="12" t="s">
        <v>185</v>
      </c>
      <c r="D42" s="71">
        <v>1</v>
      </c>
      <c r="E42" s="71">
        <v>1</v>
      </c>
      <c r="F42" s="71">
        <v>1</v>
      </c>
      <c r="G42" s="71">
        <v>1</v>
      </c>
      <c r="H42" s="71">
        <v>1</v>
      </c>
      <c r="I42" s="71">
        <v>1</v>
      </c>
      <c r="J42" s="71">
        <v>1</v>
      </c>
      <c r="K42" s="71">
        <v>1</v>
      </c>
      <c r="L42" s="71">
        <v>1</v>
      </c>
      <c r="M42" s="71">
        <v>1</v>
      </c>
      <c r="N42" s="71">
        <v>1</v>
      </c>
      <c r="O42" s="71">
        <v>1</v>
      </c>
    </row>
    <row r="43" spans="2:15" hidden="1">
      <c r="B43" s="12" t="s">
        <v>186</v>
      </c>
      <c r="C43" s="12" t="s">
        <v>187</v>
      </c>
      <c r="D43" s="71">
        <v>1</v>
      </c>
      <c r="E43" s="71">
        <v>1</v>
      </c>
      <c r="F43" s="71">
        <v>1</v>
      </c>
      <c r="G43" s="71">
        <v>1</v>
      </c>
      <c r="H43" s="71">
        <v>1</v>
      </c>
      <c r="I43" s="71">
        <v>1</v>
      </c>
      <c r="J43" s="71">
        <v>1</v>
      </c>
      <c r="K43" s="71">
        <v>1</v>
      </c>
      <c r="L43" s="71">
        <v>1</v>
      </c>
      <c r="M43" s="71">
        <v>1</v>
      </c>
      <c r="N43" s="71">
        <v>1</v>
      </c>
      <c r="O43" s="71">
        <v>1</v>
      </c>
    </row>
    <row r="44" spans="2:15" hidden="1">
      <c r="B44" s="12" t="s">
        <v>190</v>
      </c>
      <c r="C44" s="12" t="s">
        <v>191</v>
      </c>
      <c r="D44" s="71"/>
      <c r="E44" s="71"/>
      <c r="F44" s="71"/>
      <c r="G44" s="71"/>
      <c r="H44" s="71">
        <v>1</v>
      </c>
      <c r="I44" s="71">
        <v>1</v>
      </c>
      <c r="J44" s="71">
        <v>1</v>
      </c>
      <c r="K44" s="71">
        <v>1</v>
      </c>
      <c r="L44" s="71">
        <v>1</v>
      </c>
      <c r="M44" s="71">
        <v>1</v>
      </c>
      <c r="N44" s="71">
        <v>1</v>
      </c>
      <c r="O44" s="71">
        <v>1</v>
      </c>
    </row>
    <row r="45" spans="2:15" hidden="1">
      <c r="B45" s="12" t="s">
        <v>192</v>
      </c>
      <c r="C45" s="12" t="s">
        <v>193</v>
      </c>
      <c r="D45" s="71"/>
      <c r="E45" s="71"/>
      <c r="F45" s="71"/>
      <c r="G45" s="71"/>
      <c r="H45" s="71"/>
      <c r="I45" s="71"/>
      <c r="J45" s="71"/>
      <c r="K45" s="71">
        <v>1</v>
      </c>
      <c r="L45" s="71">
        <v>1</v>
      </c>
      <c r="M45" s="71">
        <v>1</v>
      </c>
      <c r="N45" s="71">
        <v>1</v>
      </c>
      <c r="O45" s="71">
        <v>1</v>
      </c>
    </row>
    <row r="46" spans="2:15" hidden="1">
      <c r="B46" s="12" t="s">
        <v>188</v>
      </c>
      <c r="C46" s="12" t="s">
        <v>189</v>
      </c>
      <c r="D46" s="71"/>
      <c r="E46" s="71"/>
      <c r="F46" s="71"/>
      <c r="G46" s="71">
        <v>1</v>
      </c>
      <c r="H46" s="71">
        <v>1</v>
      </c>
      <c r="I46" s="71">
        <v>1</v>
      </c>
      <c r="J46" s="71">
        <v>1</v>
      </c>
      <c r="K46" s="71">
        <v>1</v>
      </c>
      <c r="L46" s="71">
        <v>1</v>
      </c>
      <c r="M46" s="71">
        <v>1</v>
      </c>
      <c r="N46" s="71">
        <v>1</v>
      </c>
      <c r="O46" s="71">
        <v>1</v>
      </c>
    </row>
    <row r="47" spans="2:15" hidden="1">
      <c r="B47" s="12" t="s">
        <v>194</v>
      </c>
      <c r="C47" s="12" t="s">
        <v>195</v>
      </c>
      <c r="D47" s="71"/>
      <c r="E47" s="71"/>
      <c r="F47" s="71"/>
      <c r="G47" s="71"/>
      <c r="H47" s="71"/>
      <c r="I47" s="71"/>
      <c r="J47" s="71"/>
      <c r="K47" s="71"/>
      <c r="L47" s="71">
        <v>1</v>
      </c>
      <c r="M47" s="71">
        <v>1</v>
      </c>
      <c r="N47" s="71">
        <v>1</v>
      </c>
      <c r="O47" s="71">
        <v>1</v>
      </c>
    </row>
    <row r="48" spans="2:15" hidden="1">
      <c r="B48" s="12" t="s">
        <v>196</v>
      </c>
      <c r="C48" s="12" t="s">
        <v>197</v>
      </c>
      <c r="D48" s="71"/>
      <c r="E48" s="71"/>
      <c r="F48" s="71"/>
      <c r="G48" s="71"/>
      <c r="H48" s="71"/>
      <c r="I48" s="71"/>
      <c r="J48" s="71"/>
      <c r="K48" s="71"/>
      <c r="L48" s="71"/>
      <c r="M48" s="71"/>
      <c r="N48" s="71">
        <v>1</v>
      </c>
      <c r="O48" s="71">
        <v>1</v>
      </c>
    </row>
    <row r="49" spans="2:17" hidden="1">
      <c r="B49" s="12" t="s">
        <v>685</v>
      </c>
      <c r="D49" s="71">
        <v>25</v>
      </c>
      <c r="E49" s="71">
        <v>25</v>
      </c>
      <c r="F49" s="71">
        <v>25</v>
      </c>
      <c r="G49" s="71">
        <v>25</v>
      </c>
      <c r="H49" s="71">
        <v>26</v>
      </c>
      <c r="I49" s="71">
        <v>26</v>
      </c>
      <c r="J49" s="71">
        <v>25</v>
      </c>
      <c r="K49" s="71">
        <v>26</v>
      </c>
      <c r="L49" s="71">
        <v>26</v>
      </c>
      <c r="M49" s="71">
        <v>26</v>
      </c>
      <c r="N49" s="71">
        <v>26</v>
      </c>
      <c r="O49" s="71">
        <v>26</v>
      </c>
    </row>
    <row r="50" spans="2:17" hidden="1"/>
    <row r="51" spans="2:17" hidden="1"/>
    <row r="52" spans="2:17" hidden="1"/>
    <row r="53" spans="2:17" hidden="1"/>
    <row r="55" spans="2:17">
      <c r="B55" s="141" t="s">
        <v>704</v>
      </c>
      <c r="C55" s="141"/>
      <c r="D55" s="141"/>
      <c r="E55" s="141"/>
      <c r="F55" s="141"/>
      <c r="G55" s="141"/>
      <c r="H55" s="141"/>
      <c r="I55" s="141"/>
      <c r="J55" s="141"/>
      <c r="K55" s="141"/>
      <c r="L55" s="141"/>
      <c r="M55" s="141"/>
      <c r="N55" s="141"/>
      <c r="O55" s="141"/>
    </row>
    <row r="56" spans="2:17">
      <c r="B56" s="141" t="s">
        <v>135</v>
      </c>
      <c r="C56" s="141" t="s">
        <v>136</v>
      </c>
      <c r="D56" s="139">
        <v>45839</v>
      </c>
      <c r="E56" s="139">
        <v>45870</v>
      </c>
      <c r="F56" s="139">
        <v>45901</v>
      </c>
      <c r="G56" s="139">
        <v>45931</v>
      </c>
      <c r="H56" s="139">
        <v>45962</v>
      </c>
      <c r="I56" s="139">
        <v>45992</v>
      </c>
      <c r="J56" s="139">
        <v>46023</v>
      </c>
      <c r="K56" s="139">
        <v>46054</v>
      </c>
      <c r="L56" s="139">
        <v>46082</v>
      </c>
      <c r="M56" s="139">
        <v>46113</v>
      </c>
      <c r="N56" s="139">
        <v>46143</v>
      </c>
      <c r="O56" s="139">
        <v>46174</v>
      </c>
    </row>
    <row r="57" spans="2:17">
      <c r="B57" s="72" t="s">
        <v>138</v>
      </c>
      <c r="C57" s="12" t="s">
        <v>139</v>
      </c>
      <c r="D57" s="34">
        <f>GETPIVOTDATA("Total",$B$7,"Date",DATE(YEAR(D$56),MONTH(D$56),DAY(D$56)),"Account Number","5000","Account Name","Salaries and Wages")/GETPIVOTDATA("FTE",$B$16,"Month",DATE(YEAR(D$56),MONTH(D$56),DAY(D$56)),"Years (Month)",YEAR(D$56))*1.5</f>
        <v>7358.6628000000019</v>
      </c>
      <c r="E57" s="34">
        <f>GETPIVOTDATA("Total",$B$7,"Date",DATE(YEAR(E$56),MONTH(E$56),DAY(E$56)),"Account Number","5000","Account Name","Salaries and Wages")/GETPIVOTDATA("FTE",$B$16,"Month",DATE(YEAR(E$56),MONTH(E$56),DAY(E$56)),"Years (Month)",YEAR(E$56))*1.5</f>
        <v>7479.4224000000004</v>
      </c>
      <c r="F57" s="34">
        <f>GETPIVOTDATA("Total",$B$7,"Date",DATE(YEAR(F$56),MONTH(F$56),DAY(F$56)),"Account Number","5000","Account Name","Salaries and Wages")/GETPIVOTDATA("FTE",$B$16,"Month",DATE(YEAR(F$56),MONTH(F$56),DAY(F$56)),"Years (Month)",YEAR(F$56))*1.5</f>
        <v>7682.1797999999999</v>
      </c>
      <c r="G57" s="34">
        <f>GETPIVOTDATA("Total",$B$7,"Date",DATE(YEAR(G$56),MONTH(G$56),DAY(G$56)),"Account Number","5000","Account Name","Salaries and Wages")/GETPIVOTDATA("FTE",$B$16,"Month",DATE(YEAR(G$56),MONTH(G$56),DAY(G$56)),"Years (Month)",YEAR(G$56))*1.5</f>
        <v>7746.108000000002</v>
      </c>
      <c r="H57" s="34">
        <f>GETPIVOTDATA("Total",$B$7,"Date",DATE(YEAR(H$56),MONTH(H$56),DAY(H$56)),"Account Number","5000","Account Name","Salaries and Wages")/GETPIVOTDATA("FTE",$B$16,"Month",DATE(YEAR(H$56),MONTH(H$56),DAY(H$56)),"Years (Month)",YEAR(H$56))*1.5</f>
        <v>7195.5351923077014</v>
      </c>
      <c r="I57" s="34">
        <f>GETPIVOTDATA("Total",$B$7,"Date",DATE(YEAR(I$56),MONTH(I$56),DAY(I$56)),"Account Number","5000","Account Name","Salaries and Wages")/GETPIVOTDATA("FTE",$B$16,"Month",DATE(YEAR(I$56),MONTH(I$56),DAY(I$56)),"Years (Month)",YEAR(I$56))*1.5</f>
        <v>7319.7409615384549</v>
      </c>
      <c r="J57" s="34">
        <f>GETPIVOTDATA("Total",$B$7,"Date",DATE(YEAR(J$56),MONTH(J$56),DAY(J$56)),"Account Number","5000","Account Name","Salaries and Wages")/GETPIVOTDATA("FTE",$B$16,"Month",DATE(YEAR(J$56),MONTH(J$56),DAY(J$56)),"Years (Month)",YEAR(J$56))*1.5</f>
        <v>7533.4056</v>
      </c>
      <c r="K57" s="34">
        <f>GETPIVOTDATA("Total",$B$7,"Date",DATE(YEAR(K$56),MONTH(K$56),DAY(K$56)),"Account Number","5000","Account Name","Salaries and Wages")/GETPIVOTDATA("FTE",$B$16,"Month",DATE(YEAR(K$56),MONTH(K$56),DAY(K$56)),"Years (Month)",YEAR(K$56))*1.5</f>
        <v>7427.8494230769356</v>
      </c>
      <c r="L57" s="34">
        <f>GETPIVOTDATA("Total",$B$7,"Date",DATE(YEAR(L$56),MONTH(L$56),DAY(L$56)),"Account Number","5000","Account Name","Salaries and Wages")/GETPIVOTDATA("FTE",$B$16,"Month",DATE(YEAR(L$56),MONTH(L$56),DAY(L$56)),"Years (Month)",YEAR(L$56))*1.5</f>
        <v>7277.8886538461611</v>
      </c>
      <c r="M57" s="34">
        <f>GETPIVOTDATA("Total",$B$7,"Date",DATE(YEAR(M$56),MONTH(M$56),DAY(M$56)),"Account Number","5000","Account Name","Salaries and Wages")/GETPIVOTDATA("FTE",$B$16,"Month",DATE(YEAR(M$56),MONTH(M$56),DAY(M$56)),"Years (Month)",YEAR(M$56))*1.5</f>
        <v>7337.43</v>
      </c>
      <c r="N57" s="34">
        <f>GETPIVOTDATA("Total",$B$7,"Date",DATE(YEAR(N$56),MONTH(N$56),DAY(N$56)),"Account Number","5000","Account Name","Salaries and Wages")/GETPIVOTDATA("FTE",$B$16,"Month",DATE(YEAR(N$56),MONTH(N$56),DAY(N$56)),"Years (Month)",YEAR(N$56))*1.5</f>
        <v>6857.5471153846165</v>
      </c>
      <c r="O57" s="34">
        <f>GETPIVOTDATA("Total",$B$7,"Date",DATE(YEAR(O$56),MONTH(O$56),DAY(O$56)),"Account Number","5000","Account Name","Salaries and Wages")/GETPIVOTDATA("FTE",$B$16,"Month",DATE(YEAR(O$56),MONTH(O$56),DAY(O$56)),"Years (Month)",YEAR(O$56))*1.5</f>
        <v>7175.6740384615441</v>
      </c>
      <c r="P57" s="50"/>
      <c r="Q57" s="73"/>
    </row>
    <row r="58" spans="2:17">
      <c r="B58" s="74" t="s">
        <v>140</v>
      </c>
      <c r="C58" s="12" t="s">
        <v>141</v>
      </c>
      <c r="D58" s="34">
        <f>GETPIVOTDATA("Total",$B$7,"Date",DATE(YEAR(D$56),MONTH(D$56),DAY(D$56)),"Account Number","5000","Account Name","Salaries and Wages")/GETPIVOTDATA("FTE",$B$16,"Month",DATE(YEAR(D$56),MONTH(D$56),DAY(D$56)),"Years (Month)",YEAR(D$56))</f>
        <v>4905.775200000001</v>
      </c>
      <c r="E58" s="34">
        <f>GETPIVOTDATA("Total",$B$7,"Date",DATE(YEAR(E$56),MONTH(E$56),DAY(E$56)),"Account Number","5000","Account Name","Salaries and Wages")/GETPIVOTDATA("FTE",$B$16,"Month",DATE(YEAR(E$56),MONTH(E$56),DAY(E$56)),"Years (Month)",YEAR(E$56))</f>
        <v>4986.2816000000003</v>
      </c>
      <c r="F58" s="34">
        <f>GETPIVOTDATA("Total",$B$7,"Date",DATE(YEAR(F$56),MONTH(F$56),DAY(F$56)),"Account Number","5000","Account Name","Salaries and Wages")/GETPIVOTDATA("FTE",$B$16,"Month",DATE(YEAR(F$56),MONTH(F$56),DAY(F$56)),"Years (Month)",YEAR(F$56))</f>
        <v>5121.4531999999999</v>
      </c>
      <c r="G58" s="34">
        <f>GETPIVOTDATA("Total",$B$7,"Date",DATE(YEAR(G$56),MONTH(G$56),DAY(G$56)),"Account Number","5000","Account Name","Salaries and Wages")/GETPIVOTDATA("FTE",$B$16,"Month",DATE(YEAR(G$56),MONTH(G$56),DAY(G$56)),"Years (Month)",YEAR(G$56))</f>
        <v>5164.072000000001</v>
      </c>
      <c r="H58" s="34">
        <f>GETPIVOTDATA("Total",$B$7,"Date",DATE(YEAR(H$56),MONTH(H$56),DAY(H$56)),"Account Number","5000","Account Name","Salaries and Wages")/GETPIVOTDATA("FTE",$B$16,"Month",DATE(YEAR(H$56),MONTH(H$56),DAY(H$56)),"Years (Month)",YEAR(H$56))</f>
        <v>4797.0234615384679</v>
      </c>
      <c r="I58" s="34">
        <f>GETPIVOTDATA("Total",$B$7,"Date",DATE(YEAR(I$56),MONTH(I$56),DAY(I$56)),"Account Number","5000","Account Name","Salaries and Wages")/GETPIVOTDATA("FTE",$B$16,"Month",DATE(YEAR(I$56),MONTH(I$56),DAY(I$56)),"Years (Month)",YEAR(I$56))</f>
        <v>4879.8273076923033</v>
      </c>
      <c r="J58" s="34">
        <f>GETPIVOTDATA("Total",$B$7,"Date",DATE(YEAR(J$56),MONTH(J$56),DAY(J$56)),"Account Number","5000","Account Name","Salaries and Wages")/GETPIVOTDATA("FTE",$B$16,"Month",DATE(YEAR(J$56),MONTH(J$56),DAY(J$56)),"Years (Month)",YEAR(J$56))</f>
        <v>5022.2704000000003</v>
      </c>
      <c r="K58" s="34">
        <f>GETPIVOTDATA("Total",$B$7,"Date",DATE(YEAR(K$56),MONTH(K$56),DAY(K$56)),"Account Number","5000","Account Name","Salaries and Wages")/GETPIVOTDATA("FTE",$B$16,"Month",DATE(YEAR(K$56),MONTH(K$56),DAY(K$56)),"Years (Month)",YEAR(K$56))</f>
        <v>4951.8996153846238</v>
      </c>
      <c r="L58" s="34">
        <f>GETPIVOTDATA("Total",$B$7,"Date",DATE(YEAR(L$56),MONTH(L$56),DAY(L$56)),"Account Number","5000","Account Name","Salaries and Wages")/GETPIVOTDATA("FTE",$B$16,"Month",DATE(YEAR(L$56),MONTH(L$56),DAY(L$56)),"Years (Month)",YEAR(L$56))</f>
        <v>4851.9257692307738</v>
      </c>
      <c r="M58" s="34">
        <f>GETPIVOTDATA("Total",$B$7,"Date",DATE(YEAR(M$56),MONTH(M$56),DAY(M$56)),"Account Number","5000","Account Name","Salaries and Wages")/GETPIVOTDATA("FTE",$B$16,"Month",DATE(YEAR(M$56),MONTH(M$56),DAY(M$56)),"Years (Month)",YEAR(M$56))</f>
        <v>4891.62</v>
      </c>
      <c r="N58" s="34">
        <f>GETPIVOTDATA("Total",$B$7,"Date",DATE(YEAR(N$56),MONTH(N$56),DAY(N$56)),"Account Number","5000","Account Name","Salaries and Wages")/GETPIVOTDATA("FTE",$B$16,"Month",DATE(YEAR(N$56),MONTH(N$56),DAY(N$56)),"Years (Month)",YEAR(N$56))</f>
        <v>4571.6980769230777</v>
      </c>
      <c r="O58" s="34">
        <f>GETPIVOTDATA("Total",$B$7,"Date",DATE(YEAR(O$56),MONTH(O$56),DAY(O$56)),"Account Number","5000","Account Name","Salaries and Wages")/GETPIVOTDATA("FTE",$B$16,"Month",DATE(YEAR(O$56),MONTH(O$56),DAY(O$56)),"Years (Month)",YEAR(O$56))</f>
        <v>4783.7826923076964</v>
      </c>
      <c r="P58" s="50"/>
      <c r="Q58" s="73"/>
    </row>
    <row r="59" spans="2:17">
      <c r="B59" s="74" t="s">
        <v>142</v>
      </c>
      <c r="C59" s="12" t="s">
        <v>143</v>
      </c>
      <c r="D59" s="34">
        <f>GETPIVOTDATA("Total",$B$7,"Date",DATE(YEAR(D$56),MONTH(D$56),DAY(D$56)),"Account Number","5000","Account Name","Salaries and Wages")/GETPIVOTDATA("FTE",$B$16,"Month",DATE(YEAR(D$56),MONTH(D$56),DAY(D$56)),"Years (Month)",YEAR(D$56))</f>
        <v>4905.775200000001</v>
      </c>
      <c r="E59" s="34">
        <f>GETPIVOTDATA("Total",$B$7,"Date",DATE(YEAR(E$56),MONTH(E$56),DAY(E$56)),"Account Number","5000","Account Name","Salaries and Wages")/GETPIVOTDATA("FTE",$B$16,"Month",DATE(YEAR(E$56),MONTH(E$56),DAY(E$56)),"Years (Month)",YEAR(E$56))</f>
        <v>4986.2816000000003</v>
      </c>
      <c r="F59" s="34">
        <f>GETPIVOTDATA("Total",$B$7,"Date",DATE(YEAR(F$56),MONTH(F$56),DAY(F$56)),"Account Number","5000","Account Name","Salaries and Wages")/GETPIVOTDATA("FTE",$B$16,"Month",DATE(YEAR(F$56),MONTH(F$56),DAY(F$56)),"Years (Month)",YEAR(F$56))</f>
        <v>5121.4531999999999</v>
      </c>
      <c r="G59" s="34">
        <f>GETPIVOTDATA("Total",$B$7,"Date",DATE(YEAR(G$56),MONTH(G$56),DAY(G$56)),"Account Number","5000","Account Name","Salaries and Wages")/GETPIVOTDATA("FTE",$B$16,"Month",DATE(YEAR(G$56),MONTH(G$56),DAY(G$56)),"Years (Month)",YEAR(G$56))</f>
        <v>5164.072000000001</v>
      </c>
      <c r="H59" s="34">
        <f>GETPIVOTDATA("Total",$B$7,"Date",DATE(YEAR(H$56),MONTH(H$56),DAY(H$56)),"Account Number","5000","Account Name","Salaries and Wages")/GETPIVOTDATA("FTE",$B$16,"Month",DATE(YEAR(H$56),MONTH(H$56),DAY(H$56)),"Years (Month)",YEAR(H$56))</f>
        <v>4797.0234615384679</v>
      </c>
      <c r="I59" s="34">
        <f>GETPIVOTDATA("Total",$B$7,"Date",DATE(YEAR(I$56),MONTH(I$56),DAY(I$56)),"Account Number","5000","Account Name","Salaries and Wages")/GETPIVOTDATA("FTE",$B$16,"Month",DATE(YEAR(I$56),MONTH(I$56),DAY(I$56)),"Years (Month)",YEAR(I$56))</f>
        <v>4879.8273076923033</v>
      </c>
      <c r="J59" s="34">
        <f>GETPIVOTDATA("Total",$B$7,"Date",DATE(YEAR(J$56),MONTH(J$56),DAY(J$56)),"Account Number","5000","Account Name","Salaries and Wages")/GETPIVOTDATA("FTE",$B$16,"Month",DATE(YEAR(J$56),MONTH(J$56),DAY(J$56)),"Years (Month)",YEAR(J$56))</f>
        <v>5022.2704000000003</v>
      </c>
      <c r="K59" s="34">
        <f>GETPIVOTDATA("Total",$B$7,"Date",DATE(YEAR(K$56),MONTH(K$56),DAY(K$56)),"Account Number","5000","Account Name","Salaries and Wages")/GETPIVOTDATA("FTE",$B$16,"Month",DATE(YEAR(K$56),MONTH(K$56),DAY(K$56)),"Years (Month)",YEAR(K$56))</f>
        <v>4951.8996153846238</v>
      </c>
      <c r="L59" s="34">
        <f>GETPIVOTDATA("Total",$B$7,"Date",DATE(YEAR(L$56),MONTH(L$56),DAY(L$56)),"Account Number","5000","Account Name","Salaries and Wages")/GETPIVOTDATA("FTE",$B$16,"Month",DATE(YEAR(L$56),MONTH(L$56),DAY(L$56)),"Years (Month)",YEAR(L$56))</f>
        <v>4851.9257692307738</v>
      </c>
      <c r="M59" s="34">
        <f>GETPIVOTDATA("Total",$B$7,"Date",DATE(YEAR(M$56),MONTH(M$56),DAY(M$56)),"Account Number","5000","Account Name","Salaries and Wages")/GETPIVOTDATA("FTE",$B$16,"Month",DATE(YEAR(M$56),MONTH(M$56),DAY(M$56)),"Years (Month)",YEAR(M$56))</f>
        <v>4891.62</v>
      </c>
      <c r="N59" s="34">
        <f>GETPIVOTDATA("Total",$B$7,"Date",DATE(YEAR(N$56),MONTH(N$56),DAY(N$56)),"Account Number","5000","Account Name","Salaries and Wages")/GETPIVOTDATA("FTE",$B$16,"Month",DATE(YEAR(N$56),MONTH(N$56),DAY(N$56)),"Years (Month)",YEAR(N$56))</f>
        <v>4571.6980769230777</v>
      </c>
      <c r="O59" s="34">
        <f>GETPIVOTDATA("Total",$B$7,"Date",DATE(YEAR(O$56),MONTH(O$56),DAY(O$56)),"Account Number","5000","Account Name","Salaries and Wages")/GETPIVOTDATA("FTE",$B$16,"Month",DATE(YEAR(O$56),MONTH(O$56),DAY(O$56)),"Years (Month)",YEAR(O$56))</f>
        <v>4783.7826923076964</v>
      </c>
      <c r="P59" s="50"/>
      <c r="Q59" s="73"/>
    </row>
    <row r="60" spans="2:17">
      <c r="B60" s="74" t="s">
        <v>144</v>
      </c>
      <c r="C60" s="12" t="s">
        <v>145</v>
      </c>
      <c r="D60" s="34">
        <f>GETPIVOTDATA("Total",$B$7,"Date",DATE(YEAR(D$56),MONTH(D$56),DAY(D$56)),"Account Number","5000","Account Name","Salaries and Wages")/GETPIVOTDATA("FTE",$B$16,"Month",DATE(YEAR(D$56),MONTH(D$56),DAY(D$56)),"Years (Month)",YEAR(D$56))</f>
        <v>4905.775200000001</v>
      </c>
      <c r="E60" s="34">
        <f>GETPIVOTDATA("Total",$B$7,"Date",DATE(YEAR(E$56),MONTH(E$56),DAY(E$56)),"Account Number","5000","Account Name","Salaries and Wages")/GETPIVOTDATA("FTE",$B$16,"Month",DATE(YEAR(E$56),MONTH(E$56),DAY(E$56)),"Years (Month)",YEAR(E$56))</f>
        <v>4986.2816000000003</v>
      </c>
      <c r="F60" s="34">
        <f>GETPIVOTDATA("Total",$B$7,"Date",DATE(YEAR(F$56),MONTH(F$56),DAY(F$56)),"Account Number","5000","Account Name","Salaries and Wages")/GETPIVOTDATA("FTE",$B$16,"Month",DATE(YEAR(F$56),MONTH(F$56),DAY(F$56)),"Years (Month)",YEAR(F$56))</f>
        <v>5121.4531999999999</v>
      </c>
      <c r="G60" s="34">
        <f>GETPIVOTDATA("Total",$B$7,"Date",DATE(YEAR(G$56),MONTH(G$56),DAY(G$56)),"Account Number","5000","Account Name","Salaries and Wages")/GETPIVOTDATA("FTE",$B$16,"Month",DATE(YEAR(G$56),MONTH(G$56),DAY(G$56)),"Years (Month)",YEAR(G$56))</f>
        <v>5164.072000000001</v>
      </c>
      <c r="H60" s="34">
        <f>GETPIVOTDATA("Total",$B$7,"Date",DATE(YEAR(H$56),MONTH(H$56),DAY(H$56)),"Account Number","5000","Account Name","Salaries and Wages")/GETPIVOTDATA("FTE",$B$16,"Month",DATE(YEAR(H$56),MONTH(H$56),DAY(H$56)),"Years (Month)",YEAR(H$56))</f>
        <v>4797.0234615384679</v>
      </c>
      <c r="I60" s="34">
        <f>GETPIVOTDATA("Total",$B$7,"Date",DATE(YEAR(I$56),MONTH(I$56),DAY(I$56)),"Account Number","5000","Account Name","Salaries and Wages")/GETPIVOTDATA("FTE",$B$16,"Month",DATE(YEAR(I$56),MONTH(I$56),DAY(I$56)),"Years (Month)",YEAR(I$56))</f>
        <v>4879.8273076923033</v>
      </c>
      <c r="J60" s="34">
        <f>GETPIVOTDATA("Total",$B$7,"Date",DATE(YEAR(J$56),MONTH(J$56),DAY(J$56)),"Account Number","5000","Account Name","Salaries and Wages")/GETPIVOTDATA("FTE",$B$16,"Month",DATE(YEAR(J$56),MONTH(J$56),DAY(J$56)),"Years (Month)",YEAR(J$56))</f>
        <v>5022.2704000000003</v>
      </c>
      <c r="K60" s="34">
        <f>GETPIVOTDATA("Total",$B$7,"Date",DATE(YEAR(K$56),MONTH(K$56),DAY(K$56)),"Account Number","5000","Account Name","Salaries and Wages")/GETPIVOTDATA("FTE",$B$16,"Month",DATE(YEAR(K$56),MONTH(K$56),DAY(K$56)),"Years (Month)",YEAR(K$56))</f>
        <v>4951.8996153846238</v>
      </c>
      <c r="L60" s="34">
        <f>GETPIVOTDATA("Total",$B$7,"Date",DATE(YEAR(L$56),MONTH(L$56),DAY(L$56)),"Account Number","5000","Account Name","Salaries and Wages")/GETPIVOTDATA("FTE",$B$16,"Month",DATE(YEAR(L$56),MONTH(L$56),DAY(L$56)),"Years (Month)",YEAR(L$56))</f>
        <v>4851.9257692307738</v>
      </c>
      <c r="M60" s="34">
        <f>GETPIVOTDATA("Total",$B$7,"Date",DATE(YEAR(M$56),MONTH(M$56),DAY(M$56)),"Account Number","5000","Account Name","Salaries and Wages")/GETPIVOTDATA("FTE",$B$16,"Month",DATE(YEAR(M$56),MONTH(M$56),DAY(M$56)),"Years (Month)",YEAR(M$56))</f>
        <v>4891.62</v>
      </c>
      <c r="N60" s="34">
        <f>GETPIVOTDATA("Total",$B$7,"Date",DATE(YEAR(N$56),MONTH(N$56),DAY(N$56)),"Account Number","5000","Account Name","Salaries and Wages")/GETPIVOTDATA("FTE",$B$16,"Month",DATE(YEAR(N$56),MONTH(N$56),DAY(N$56)),"Years (Month)",YEAR(N$56))</f>
        <v>4571.6980769230777</v>
      </c>
      <c r="O60" s="34">
        <f>GETPIVOTDATA("Total",$B$7,"Date",DATE(YEAR(O$56),MONTH(O$56),DAY(O$56)),"Account Number","5000","Account Name","Salaries and Wages")/GETPIVOTDATA("FTE",$B$16,"Month",DATE(YEAR(O$56),MONTH(O$56),DAY(O$56)),"Years (Month)",YEAR(O$56))</f>
        <v>4783.7826923076964</v>
      </c>
      <c r="P60" s="50"/>
      <c r="Q60" s="73"/>
    </row>
    <row r="61" spans="2:17">
      <c r="B61" s="74" t="s">
        <v>146</v>
      </c>
      <c r="C61" s="12" t="s">
        <v>147</v>
      </c>
      <c r="D61" s="34">
        <f>GETPIVOTDATA("Total",$B$7,"Date",DATE(YEAR(D$56),MONTH(D$56),DAY(D$56)),"Account Number","5000","Account Name","Salaries and Wages")/GETPIVOTDATA("FTE",$B$16,"Month",DATE(YEAR(D$56),MONTH(D$56),DAY(D$56)),"Years (Month)",YEAR(D$56))</f>
        <v>4905.775200000001</v>
      </c>
      <c r="E61" s="34">
        <f>GETPIVOTDATA("Total",$B$7,"Date",DATE(YEAR(E$56),MONTH(E$56),DAY(E$56)),"Account Number","5000","Account Name","Salaries and Wages")/GETPIVOTDATA("FTE",$B$16,"Month",DATE(YEAR(E$56),MONTH(E$56),DAY(E$56)),"Years (Month)",YEAR(E$56))</f>
        <v>4986.2816000000003</v>
      </c>
      <c r="F61" s="34">
        <f>GETPIVOTDATA("Total",$B$7,"Date",DATE(YEAR(F$56),MONTH(F$56),DAY(F$56)),"Account Number","5000","Account Name","Salaries and Wages")/GETPIVOTDATA("FTE",$B$16,"Month",DATE(YEAR(F$56),MONTH(F$56),DAY(F$56)),"Years (Month)",YEAR(F$56))</f>
        <v>5121.4531999999999</v>
      </c>
      <c r="G61" s="34">
        <f>GETPIVOTDATA("Total",$B$7,"Date",DATE(YEAR(G$56),MONTH(G$56),DAY(G$56)),"Account Number","5000","Account Name","Salaries and Wages")/GETPIVOTDATA("FTE",$B$16,"Month",DATE(YEAR(G$56),MONTH(G$56),DAY(G$56)),"Years (Month)",YEAR(G$56))</f>
        <v>5164.072000000001</v>
      </c>
      <c r="H61" s="34">
        <f>GETPIVOTDATA("Total",$B$7,"Date",DATE(YEAR(H$56),MONTH(H$56),DAY(H$56)),"Account Number","5000","Account Name","Salaries and Wages")/GETPIVOTDATA("FTE",$B$16,"Month",DATE(YEAR(H$56),MONTH(H$56),DAY(H$56)),"Years (Month)",YEAR(H$56))</f>
        <v>4797.0234615384679</v>
      </c>
      <c r="I61" s="34">
        <f>GETPIVOTDATA("Total",$B$7,"Date",DATE(YEAR(I$56),MONTH(I$56),DAY(I$56)),"Account Number","5000","Account Name","Salaries and Wages")/GETPIVOTDATA("FTE",$B$16,"Month",DATE(YEAR(I$56),MONTH(I$56),DAY(I$56)),"Years (Month)",YEAR(I$56))</f>
        <v>4879.8273076923033</v>
      </c>
      <c r="J61" s="34">
        <f>GETPIVOTDATA("Total",$B$7,"Date",DATE(YEAR(J$56),MONTH(J$56),DAY(J$56)),"Account Number","5000","Account Name","Salaries and Wages")/GETPIVOTDATA("FTE",$B$16,"Month",DATE(YEAR(J$56),MONTH(J$56),DAY(J$56)),"Years (Month)",YEAR(J$56))</f>
        <v>5022.2704000000003</v>
      </c>
      <c r="K61" s="34">
        <f>GETPIVOTDATA("Total",$B$7,"Date",DATE(YEAR(K$56),MONTH(K$56),DAY(K$56)),"Account Number","5000","Account Name","Salaries and Wages")/GETPIVOTDATA("FTE",$B$16,"Month",DATE(YEAR(K$56),MONTH(K$56),DAY(K$56)),"Years (Month)",YEAR(K$56))</f>
        <v>4951.8996153846238</v>
      </c>
      <c r="L61" s="34">
        <f>GETPIVOTDATA("Total",$B$7,"Date",DATE(YEAR(L$56),MONTH(L$56),DAY(L$56)),"Account Number","5000","Account Name","Salaries and Wages")/GETPIVOTDATA("FTE",$B$16,"Month",DATE(YEAR(L$56),MONTH(L$56),DAY(L$56)),"Years (Month)",YEAR(L$56))</f>
        <v>4851.9257692307738</v>
      </c>
      <c r="M61" s="34">
        <f>GETPIVOTDATA("Total",$B$7,"Date",DATE(YEAR(M$56),MONTH(M$56),DAY(M$56)),"Account Number","5000","Account Name","Salaries and Wages")/GETPIVOTDATA("FTE",$B$16,"Month",DATE(YEAR(M$56),MONTH(M$56),DAY(M$56)),"Years (Month)",YEAR(M$56))</f>
        <v>4891.62</v>
      </c>
      <c r="N61" s="34">
        <f>GETPIVOTDATA("Total",$B$7,"Date",DATE(YEAR(N$56),MONTH(N$56),DAY(N$56)),"Account Number","5000","Account Name","Salaries and Wages")/GETPIVOTDATA("FTE",$B$16,"Month",DATE(YEAR(N$56),MONTH(N$56),DAY(N$56)),"Years (Month)",YEAR(N$56))</f>
        <v>4571.6980769230777</v>
      </c>
      <c r="O61" s="34">
        <f>GETPIVOTDATA("Total",$B$7,"Date",DATE(YEAR(O$56),MONTH(O$56),DAY(O$56)),"Account Number","5000","Account Name","Salaries and Wages")/GETPIVOTDATA("FTE",$B$16,"Month",DATE(YEAR(O$56),MONTH(O$56),DAY(O$56)),"Years (Month)",YEAR(O$56))</f>
        <v>4783.7826923076964</v>
      </c>
      <c r="P61" s="50"/>
      <c r="Q61" s="73"/>
    </row>
    <row r="62" spans="2:17">
      <c r="B62" s="74" t="s">
        <v>148</v>
      </c>
      <c r="C62" s="12" t="s">
        <v>149</v>
      </c>
      <c r="D62" s="34">
        <f>GETPIVOTDATA("Total",$B$7,"Date",DATE(YEAR(D$56),MONTH(D$56),DAY(D$56)),"Account Number","5000","Account Name","Salaries and Wages")/GETPIVOTDATA("FTE",$B$16,"Month",DATE(YEAR(D$56),MONTH(D$56),DAY(D$56)),"Years (Month)",YEAR(D$56))</f>
        <v>4905.775200000001</v>
      </c>
      <c r="E62" s="34">
        <f>GETPIVOTDATA("Total",$B$7,"Date",DATE(YEAR(E$56),MONTH(E$56),DAY(E$56)),"Account Number","5000","Account Name","Salaries and Wages")/GETPIVOTDATA("FTE",$B$16,"Month",DATE(YEAR(E$56),MONTH(E$56),DAY(E$56)),"Years (Month)",YEAR(E$56))</f>
        <v>4986.2816000000003</v>
      </c>
      <c r="F62" s="34">
        <f>GETPIVOTDATA("Total",$B$7,"Date",DATE(YEAR(F$56),MONTH(F$56),DAY(F$56)),"Account Number","5000","Account Name","Salaries and Wages")/GETPIVOTDATA("FTE",$B$16,"Month",DATE(YEAR(F$56),MONTH(F$56),DAY(F$56)),"Years (Month)",YEAR(F$56))</f>
        <v>5121.4531999999999</v>
      </c>
      <c r="G62" s="34">
        <f>GETPIVOTDATA("Total",$B$7,"Date",DATE(YEAR(G$56),MONTH(G$56),DAY(G$56)),"Account Number","5000","Account Name","Salaries and Wages")/GETPIVOTDATA("FTE",$B$16,"Month",DATE(YEAR(G$56),MONTH(G$56),DAY(G$56)),"Years (Month)",YEAR(G$56))</f>
        <v>5164.072000000001</v>
      </c>
      <c r="H62" s="34">
        <f>GETPIVOTDATA("Total",$B$7,"Date",DATE(YEAR(H$56),MONTH(H$56),DAY(H$56)),"Account Number","5000","Account Name","Salaries and Wages")/GETPIVOTDATA("FTE",$B$16,"Month",DATE(YEAR(H$56),MONTH(H$56),DAY(H$56)),"Years (Month)",YEAR(H$56))</f>
        <v>4797.0234615384679</v>
      </c>
      <c r="I62" s="34">
        <f>GETPIVOTDATA("Total",$B$7,"Date",DATE(YEAR(I$56),MONTH(I$56),DAY(I$56)),"Account Number","5000","Account Name","Salaries and Wages")/GETPIVOTDATA("FTE",$B$16,"Month",DATE(YEAR(I$56),MONTH(I$56),DAY(I$56)),"Years (Month)",YEAR(I$56))</f>
        <v>4879.8273076923033</v>
      </c>
      <c r="J62" s="34">
        <f>GETPIVOTDATA("Total",$B$7,"Date",DATE(YEAR(J$56),MONTH(J$56),DAY(J$56)),"Account Number","5000","Account Name","Salaries and Wages")/GETPIVOTDATA("FTE",$B$16,"Month",DATE(YEAR(J$56),MONTH(J$56),DAY(J$56)),"Years (Month)",YEAR(J$56))</f>
        <v>5022.2704000000003</v>
      </c>
      <c r="K62" s="34">
        <f>GETPIVOTDATA("Total",$B$7,"Date",DATE(YEAR(K$56),MONTH(K$56),DAY(K$56)),"Account Number","5000","Account Name","Salaries and Wages")/GETPIVOTDATA("FTE",$B$16,"Month",DATE(YEAR(K$56),MONTH(K$56),DAY(K$56)),"Years (Month)",YEAR(K$56))</f>
        <v>4951.8996153846238</v>
      </c>
      <c r="L62" s="75"/>
      <c r="M62" s="75"/>
      <c r="N62" s="75"/>
      <c r="O62" s="75"/>
      <c r="P62" s="50"/>
      <c r="Q62" s="73"/>
    </row>
    <row r="63" spans="2:17">
      <c r="B63" s="74" t="s">
        <v>150</v>
      </c>
      <c r="C63" s="12" t="s">
        <v>151</v>
      </c>
      <c r="D63" s="34">
        <f>GETPIVOTDATA("Total",$B$7,"Date",DATE(YEAR(D$56),MONTH(D$56),DAY(D$56)),"Account Number","5000","Account Name","Salaries and Wages")/GETPIVOTDATA("FTE",$B$16,"Month",DATE(YEAR(D$56),MONTH(D$56),DAY(D$56)),"Years (Month)",YEAR(D$56))</f>
        <v>4905.775200000001</v>
      </c>
      <c r="E63" s="34">
        <f>GETPIVOTDATA("Total",$B$7,"Date",DATE(YEAR(E$56),MONTH(E$56),DAY(E$56)),"Account Number","5000","Account Name","Salaries and Wages")/GETPIVOTDATA("FTE",$B$16,"Month",DATE(YEAR(E$56),MONTH(E$56),DAY(E$56)),"Years (Month)",YEAR(E$56))</f>
        <v>4986.2816000000003</v>
      </c>
      <c r="F63" s="34">
        <f>GETPIVOTDATA("Total",$B$7,"Date",DATE(YEAR(F$56),MONTH(F$56),DAY(F$56)),"Account Number","5000","Account Name","Salaries and Wages")/GETPIVOTDATA("FTE",$B$16,"Month",DATE(YEAR(F$56),MONTH(F$56),DAY(F$56)),"Years (Month)",YEAR(F$56))</f>
        <v>5121.4531999999999</v>
      </c>
      <c r="G63" s="34">
        <f>GETPIVOTDATA("Total",$B$7,"Date",DATE(YEAR(G$56),MONTH(G$56),DAY(G$56)),"Account Number","5000","Account Name","Salaries and Wages")/GETPIVOTDATA("FTE",$B$16,"Month",DATE(YEAR(G$56),MONTH(G$56),DAY(G$56)),"Years (Month)",YEAR(G$56))</f>
        <v>5164.072000000001</v>
      </c>
      <c r="H63" s="34">
        <f>GETPIVOTDATA("Total",$B$7,"Date",DATE(YEAR(H$56),MONTH(H$56),DAY(H$56)),"Account Number","5000","Account Name","Salaries and Wages")/GETPIVOTDATA("FTE",$B$16,"Month",DATE(YEAR(H$56),MONTH(H$56),DAY(H$56)),"Years (Month)",YEAR(H$56))</f>
        <v>4797.0234615384679</v>
      </c>
      <c r="I63" s="34">
        <f>GETPIVOTDATA("Total",$B$7,"Date",DATE(YEAR(I$56),MONTH(I$56),DAY(I$56)),"Account Number","5000","Account Name","Salaries and Wages")/GETPIVOTDATA("FTE",$B$16,"Month",DATE(YEAR(I$56),MONTH(I$56),DAY(I$56)),"Years (Month)",YEAR(I$56))</f>
        <v>4879.8273076923033</v>
      </c>
      <c r="J63" s="34">
        <f>GETPIVOTDATA("Total",$B$7,"Date",DATE(YEAR(J$56),MONTH(J$56),DAY(J$56)),"Account Number","5000","Account Name","Salaries and Wages")/GETPIVOTDATA("FTE",$B$16,"Month",DATE(YEAR(J$56),MONTH(J$56),DAY(J$56)),"Years (Month)",YEAR(J$56))</f>
        <v>5022.2704000000003</v>
      </c>
      <c r="K63" s="34">
        <f>GETPIVOTDATA("Total",$B$7,"Date",DATE(YEAR(K$56),MONTH(K$56),DAY(K$56)),"Account Number","5000","Account Name","Salaries and Wages")/GETPIVOTDATA("FTE",$B$16,"Month",DATE(YEAR(K$56),MONTH(K$56),DAY(K$56)),"Years (Month)",YEAR(K$56))</f>
        <v>4951.8996153846238</v>
      </c>
      <c r="L63" s="34">
        <f>GETPIVOTDATA("Total",$B$7,"Date",DATE(YEAR(L$56),MONTH(L$56),DAY(L$56)),"Account Number","5000","Account Name","Salaries and Wages")/GETPIVOTDATA("FTE",$B$16,"Month",DATE(YEAR(L$56),MONTH(L$56),DAY(L$56)),"Years (Month)",YEAR(L$56))</f>
        <v>4851.9257692307738</v>
      </c>
      <c r="M63" s="34">
        <f>GETPIVOTDATA("Total",$B$7,"Date",DATE(YEAR(M$56),MONTH(M$56),DAY(M$56)),"Account Number","5000","Account Name","Salaries and Wages")/GETPIVOTDATA("FTE",$B$16,"Month",DATE(YEAR(M$56),MONTH(M$56),DAY(M$56)),"Years (Month)",YEAR(M$56))</f>
        <v>4891.62</v>
      </c>
      <c r="N63" s="34">
        <f>GETPIVOTDATA("Total",$B$7,"Date",DATE(YEAR(N$56),MONTH(N$56),DAY(N$56)),"Account Number","5000","Account Name","Salaries and Wages")/GETPIVOTDATA("FTE",$B$16,"Month",DATE(YEAR(N$56),MONTH(N$56),DAY(N$56)),"Years (Month)",YEAR(N$56))</f>
        <v>4571.6980769230777</v>
      </c>
      <c r="O63" s="34">
        <f>GETPIVOTDATA("Total",$B$7,"Date",DATE(YEAR(O$56),MONTH(O$56),DAY(O$56)),"Account Number","5000","Account Name","Salaries and Wages")/GETPIVOTDATA("FTE",$B$16,"Month",DATE(YEAR(O$56),MONTH(O$56),DAY(O$56)),"Years (Month)",YEAR(O$56))</f>
        <v>4783.7826923076964</v>
      </c>
      <c r="P63" s="50"/>
      <c r="Q63" s="73"/>
    </row>
    <row r="64" spans="2:17">
      <c r="B64" s="74" t="s">
        <v>152</v>
      </c>
      <c r="C64" s="12" t="s">
        <v>153</v>
      </c>
      <c r="D64" s="34">
        <f>GETPIVOTDATA("Total",$B$7,"Date",DATE(YEAR(D$56),MONTH(D$56),DAY(D$56)),"Account Number","5000","Account Name","Salaries and Wages")/GETPIVOTDATA("FTE",$B$16,"Month",DATE(YEAR(D$56),MONTH(D$56),DAY(D$56)),"Years (Month)",YEAR(D$56))</f>
        <v>4905.775200000001</v>
      </c>
      <c r="E64" s="34">
        <f>GETPIVOTDATA("Total",$B$7,"Date",DATE(YEAR(E$56),MONTH(E$56),DAY(E$56)),"Account Number","5000","Account Name","Salaries and Wages")/GETPIVOTDATA("FTE",$B$16,"Month",DATE(YEAR(E$56),MONTH(E$56),DAY(E$56)),"Years (Month)",YEAR(E$56))</f>
        <v>4986.2816000000003</v>
      </c>
      <c r="F64" s="34">
        <f>GETPIVOTDATA("Total",$B$7,"Date",DATE(YEAR(F$56),MONTH(F$56),DAY(F$56)),"Account Number","5000","Account Name","Salaries and Wages")/GETPIVOTDATA("FTE",$B$16,"Month",DATE(YEAR(F$56),MONTH(F$56),DAY(F$56)),"Years (Month)",YEAR(F$56))</f>
        <v>5121.4531999999999</v>
      </c>
      <c r="G64" s="34">
        <f>GETPIVOTDATA("Total",$B$7,"Date",DATE(YEAR(G$56),MONTH(G$56),DAY(G$56)),"Account Number","5000","Account Name","Salaries and Wages")/GETPIVOTDATA("FTE",$B$16,"Month",DATE(YEAR(G$56),MONTH(G$56),DAY(G$56)),"Years (Month)",YEAR(G$56))</f>
        <v>5164.072000000001</v>
      </c>
      <c r="H64" s="34">
        <f>GETPIVOTDATA("Total",$B$7,"Date",DATE(YEAR(H$56),MONTH(H$56),DAY(H$56)),"Account Number","5000","Account Name","Salaries and Wages")/GETPIVOTDATA("FTE",$B$16,"Month",DATE(YEAR(H$56),MONTH(H$56),DAY(H$56)),"Years (Month)",YEAR(H$56))</f>
        <v>4797.0234615384679</v>
      </c>
      <c r="I64" s="34">
        <f>GETPIVOTDATA("Total",$B$7,"Date",DATE(YEAR(I$56),MONTH(I$56),DAY(I$56)),"Account Number","5000","Account Name","Salaries and Wages")/GETPIVOTDATA("FTE",$B$16,"Month",DATE(YEAR(I$56),MONTH(I$56),DAY(I$56)),"Years (Month)",YEAR(I$56))</f>
        <v>4879.8273076923033</v>
      </c>
      <c r="J64" s="34">
        <f>GETPIVOTDATA("Total",$B$7,"Date",DATE(YEAR(J$56),MONTH(J$56),DAY(J$56)),"Account Number","5000","Account Name","Salaries and Wages")/GETPIVOTDATA("FTE",$B$16,"Month",DATE(YEAR(J$56),MONTH(J$56),DAY(J$56)),"Years (Month)",YEAR(J$56))</f>
        <v>5022.2704000000003</v>
      </c>
      <c r="K64" s="34">
        <f>GETPIVOTDATA("Total",$B$7,"Date",DATE(YEAR(K$56),MONTH(K$56),DAY(K$56)),"Account Number","5000","Account Name","Salaries and Wages")/GETPIVOTDATA("FTE",$B$16,"Month",DATE(YEAR(K$56),MONTH(K$56),DAY(K$56)),"Years (Month)",YEAR(K$56))</f>
        <v>4951.8996153846238</v>
      </c>
      <c r="L64" s="34">
        <f>GETPIVOTDATA("Total",$B$7,"Date",DATE(YEAR(L$56),MONTH(L$56),DAY(L$56)),"Account Number","5000","Account Name","Salaries and Wages")/GETPIVOTDATA("FTE",$B$16,"Month",DATE(YEAR(L$56),MONTH(L$56),DAY(L$56)),"Years (Month)",YEAR(L$56))</f>
        <v>4851.9257692307738</v>
      </c>
      <c r="M64" s="34">
        <f>GETPIVOTDATA("Total",$B$7,"Date",DATE(YEAR(M$56),MONTH(M$56),DAY(M$56)),"Account Number","5000","Account Name","Salaries and Wages")/GETPIVOTDATA("FTE",$B$16,"Month",DATE(YEAR(M$56),MONTH(M$56),DAY(M$56)),"Years (Month)",YEAR(M$56))</f>
        <v>4891.62</v>
      </c>
      <c r="N64" s="34">
        <f>GETPIVOTDATA("Total",$B$7,"Date",DATE(YEAR(N$56),MONTH(N$56),DAY(N$56)),"Account Number","5000","Account Name","Salaries and Wages")/GETPIVOTDATA("FTE",$B$16,"Month",DATE(YEAR(N$56),MONTH(N$56),DAY(N$56)),"Years (Month)",YEAR(N$56))</f>
        <v>4571.6980769230777</v>
      </c>
      <c r="O64" s="34">
        <f>GETPIVOTDATA("Total",$B$7,"Date",DATE(YEAR(O$56),MONTH(O$56),DAY(O$56)),"Account Number","5000","Account Name","Salaries and Wages")/GETPIVOTDATA("FTE",$B$16,"Month",DATE(YEAR(O$56),MONTH(O$56),DAY(O$56)),"Years (Month)",YEAR(O$56))</f>
        <v>4783.7826923076964</v>
      </c>
      <c r="P64" s="50"/>
      <c r="Q64" s="73"/>
    </row>
    <row r="65" spans="2:17">
      <c r="B65" s="74" t="s">
        <v>154</v>
      </c>
      <c r="C65" s="12" t="s">
        <v>155</v>
      </c>
      <c r="D65" s="34">
        <f>GETPIVOTDATA("Total",$B$7,"Date",DATE(YEAR(D$56),MONTH(D$56),DAY(D$56)),"Account Number","5000","Account Name","Salaries and Wages")/GETPIVOTDATA("FTE",$B$16,"Month",DATE(YEAR(D$56),MONTH(D$56),DAY(D$56)),"Years (Month)",YEAR(D$56))</f>
        <v>4905.775200000001</v>
      </c>
      <c r="E65" s="34">
        <f>GETPIVOTDATA("Total",$B$7,"Date",DATE(YEAR(E$56),MONTH(E$56),DAY(E$56)),"Account Number","5000","Account Name","Salaries and Wages")/GETPIVOTDATA("FTE",$B$16,"Month",DATE(YEAR(E$56),MONTH(E$56),DAY(E$56)),"Years (Month)",YEAR(E$56))</f>
        <v>4986.2816000000003</v>
      </c>
      <c r="F65" s="34">
        <f>GETPIVOTDATA("Total",$B$7,"Date",DATE(YEAR(F$56),MONTH(F$56),DAY(F$56)),"Account Number","5000","Account Name","Salaries and Wages")/GETPIVOTDATA("FTE",$B$16,"Month",DATE(YEAR(F$56),MONTH(F$56),DAY(F$56)),"Years (Month)",YEAR(F$56))</f>
        <v>5121.4531999999999</v>
      </c>
      <c r="G65" s="34">
        <f>GETPIVOTDATA("Total",$B$7,"Date",DATE(YEAR(G$56),MONTH(G$56),DAY(G$56)),"Account Number","5000","Account Name","Salaries and Wages")/GETPIVOTDATA("FTE",$B$16,"Month",DATE(YEAR(G$56),MONTH(G$56),DAY(G$56)),"Years (Month)",YEAR(G$56))</f>
        <v>5164.072000000001</v>
      </c>
      <c r="H65" s="34">
        <f>GETPIVOTDATA("Total",$B$7,"Date",DATE(YEAR(H$56),MONTH(H$56),DAY(H$56)),"Account Number","5000","Account Name","Salaries and Wages")/GETPIVOTDATA("FTE",$B$16,"Month",DATE(YEAR(H$56),MONTH(H$56),DAY(H$56)),"Years (Month)",YEAR(H$56))</f>
        <v>4797.0234615384679</v>
      </c>
      <c r="I65" s="34">
        <f>GETPIVOTDATA("Total",$B$7,"Date",DATE(YEAR(I$56),MONTH(I$56),DAY(I$56)),"Account Number","5000","Account Name","Salaries and Wages")/GETPIVOTDATA("FTE",$B$16,"Month",DATE(YEAR(I$56),MONTH(I$56),DAY(I$56)),"Years (Month)",YEAR(I$56))</f>
        <v>4879.8273076923033</v>
      </c>
      <c r="J65" s="34">
        <f>GETPIVOTDATA("Total",$B$7,"Date",DATE(YEAR(J$56),MONTH(J$56),DAY(J$56)),"Account Number","5000","Account Name","Salaries and Wages")/GETPIVOTDATA("FTE",$B$16,"Month",DATE(YEAR(J$56),MONTH(J$56),DAY(J$56)),"Years (Month)",YEAR(J$56))</f>
        <v>5022.2704000000003</v>
      </c>
      <c r="K65" s="34">
        <f>GETPIVOTDATA("Total",$B$7,"Date",DATE(YEAR(K$56),MONTH(K$56),DAY(K$56)),"Account Number","5000","Account Name","Salaries and Wages")/GETPIVOTDATA("FTE",$B$16,"Month",DATE(YEAR(K$56),MONTH(K$56),DAY(K$56)),"Years (Month)",YEAR(K$56))</f>
        <v>4951.8996153846238</v>
      </c>
      <c r="L65" s="34">
        <f>GETPIVOTDATA("Total",$B$7,"Date",DATE(YEAR(L$56),MONTH(L$56),DAY(L$56)),"Account Number","5000","Account Name","Salaries and Wages")/GETPIVOTDATA("FTE",$B$16,"Month",DATE(YEAR(L$56),MONTH(L$56),DAY(L$56)),"Years (Month)",YEAR(L$56))</f>
        <v>4851.9257692307738</v>
      </c>
      <c r="M65" s="34">
        <f>GETPIVOTDATA("Total",$B$7,"Date",DATE(YEAR(M$56),MONTH(M$56),DAY(M$56)),"Account Number","5000","Account Name","Salaries and Wages")/GETPIVOTDATA("FTE",$B$16,"Month",DATE(YEAR(M$56),MONTH(M$56),DAY(M$56)),"Years (Month)",YEAR(M$56))</f>
        <v>4891.62</v>
      </c>
      <c r="N65" s="34">
        <f>GETPIVOTDATA("Total",$B$7,"Date",DATE(YEAR(N$56),MONTH(N$56),DAY(N$56)),"Account Number","5000","Account Name","Salaries and Wages")/GETPIVOTDATA("FTE",$B$16,"Month",DATE(YEAR(N$56),MONTH(N$56),DAY(N$56)),"Years (Month)",YEAR(N$56))</f>
        <v>4571.6980769230777</v>
      </c>
      <c r="O65" s="34">
        <f>GETPIVOTDATA("Total",$B$7,"Date",DATE(YEAR(O$56),MONTH(O$56),DAY(O$56)),"Account Number","5000","Account Name","Salaries and Wages")/GETPIVOTDATA("FTE",$B$16,"Month",DATE(YEAR(O$56),MONTH(O$56),DAY(O$56)),"Years (Month)",YEAR(O$56))</f>
        <v>4783.7826923076964</v>
      </c>
      <c r="P65" s="50"/>
      <c r="Q65" s="73"/>
    </row>
    <row r="66" spans="2:17">
      <c r="B66" s="74" t="s">
        <v>156</v>
      </c>
      <c r="C66" s="12" t="s">
        <v>157</v>
      </c>
      <c r="D66" s="34">
        <f>GETPIVOTDATA("Total",$B$7,"Date",DATE(YEAR(D$56),MONTH(D$56),DAY(D$56)),"Account Number","5000","Account Name","Salaries and Wages")/GETPIVOTDATA("FTE",$B$16,"Month",DATE(YEAR(D$56),MONTH(D$56),DAY(D$56)),"Years (Month)",YEAR(D$56))</f>
        <v>4905.775200000001</v>
      </c>
      <c r="E66" s="34">
        <f>GETPIVOTDATA("Total",$B$7,"Date",DATE(YEAR(E$56),MONTH(E$56),DAY(E$56)),"Account Number","5000","Account Name","Salaries and Wages")/GETPIVOTDATA("FTE",$B$16,"Month",DATE(YEAR(E$56),MONTH(E$56),DAY(E$56)),"Years (Month)",YEAR(E$56))</f>
        <v>4986.2816000000003</v>
      </c>
      <c r="F66" s="34">
        <f>GETPIVOTDATA("Total",$B$7,"Date",DATE(YEAR(F$56),MONTH(F$56),DAY(F$56)),"Account Number","5000","Account Name","Salaries and Wages")/GETPIVOTDATA("FTE",$B$16,"Month",DATE(YEAR(F$56),MONTH(F$56),DAY(F$56)),"Years (Month)",YEAR(F$56))</f>
        <v>5121.4531999999999</v>
      </c>
      <c r="G66" s="75"/>
      <c r="H66" s="75"/>
      <c r="I66" s="75"/>
      <c r="J66" s="75"/>
      <c r="K66" s="75"/>
      <c r="L66" s="75"/>
      <c r="M66" s="75"/>
      <c r="N66" s="75"/>
      <c r="O66" s="75"/>
      <c r="P66" s="50"/>
      <c r="Q66" s="73"/>
    </row>
    <row r="67" spans="2:17">
      <c r="B67" s="74" t="s">
        <v>158</v>
      </c>
      <c r="C67" s="12" t="s">
        <v>159</v>
      </c>
      <c r="D67" s="34">
        <f>GETPIVOTDATA("Total",$B$7,"Date",DATE(YEAR(D$56),MONTH(D$56),DAY(D$56)),"Account Number","5000","Account Name","Salaries and Wages")/GETPIVOTDATA("FTE",$B$16,"Month",DATE(YEAR(D$56),MONTH(D$56),DAY(D$56)),"Years (Month)",YEAR(D$56))</f>
        <v>4905.775200000001</v>
      </c>
      <c r="E67" s="34">
        <f>GETPIVOTDATA("Total",$B$7,"Date",DATE(YEAR(E$56),MONTH(E$56),DAY(E$56)),"Account Number","5000","Account Name","Salaries and Wages")/GETPIVOTDATA("FTE",$B$16,"Month",DATE(YEAR(E$56),MONTH(E$56),DAY(E$56)),"Years (Month)",YEAR(E$56))</f>
        <v>4986.2816000000003</v>
      </c>
      <c r="F67" s="34">
        <f>GETPIVOTDATA("Total",$B$7,"Date",DATE(YEAR(F$56),MONTH(F$56),DAY(F$56)),"Account Number","5000","Account Name","Salaries and Wages")/GETPIVOTDATA("FTE",$B$16,"Month",DATE(YEAR(F$56),MONTH(F$56),DAY(F$56)),"Years (Month)",YEAR(F$56))</f>
        <v>5121.4531999999999</v>
      </c>
      <c r="G67" s="34">
        <f>GETPIVOTDATA("Total",$B$7,"Date",DATE(YEAR(G$56),MONTH(G$56),DAY(G$56)),"Account Number","5000","Account Name","Salaries and Wages")/GETPIVOTDATA("FTE",$B$16,"Month",DATE(YEAR(G$56),MONTH(G$56),DAY(G$56)),"Years (Month)",YEAR(G$56))</f>
        <v>5164.072000000001</v>
      </c>
      <c r="H67" s="34">
        <f>GETPIVOTDATA("Total",$B$7,"Date",DATE(YEAR(H$56),MONTH(H$56),DAY(H$56)),"Account Number","5000","Account Name","Salaries and Wages")/GETPIVOTDATA("FTE",$B$16,"Month",DATE(YEAR(H$56),MONTH(H$56),DAY(H$56)),"Years (Month)",YEAR(H$56))</f>
        <v>4797.0234615384679</v>
      </c>
      <c r="I67" s="34">
        <f>GETPIVOTDATA("Total",$B$7,"Date",DATE(YEAR(I$56),MONTH(I$56),DAY(I$56)),"Account Number","5000","Account Name","Salaries and Wages")/GETPIVOTDATA("FTE",$B$16,"Month",DATE(YEAR(I$56),MONTH(I$56),DAY(I$56)),"Years (Month)",YEAR(I$56))</f>
        <v>4879.8273076923033</v>
      </c>
      <c r="J67" s="34">
        <f>GETPIVOTDATA("Total",$B$7,"Date",DATE(YEAR(J$56),MONTH(J$56),DAY(J$56)),"Account Number","5000","Account Name","Salaries and Wages")/GETPIVOTDATA("FTE",$B$16,"Month",DATE(YEAR(J$56),MONTH(J$56),DAY(J$56)),"Years (Month)",YEAR(J$56))</f>
        <v>5022.2704000000003</v>
      </c>
      <c r="K67" s="34">
        <f>GETPIVOTDATA("Total",$B$7,"Date",DATE(YEAR(K$56),MONTH(K$56),DAY(K$56)),"Account Number","5000","Account Name","Salaries and Wages")/GETPIVOTDATA("FTE",$B$16,"Month",DATE(YEAR(K$56),MONTH(K$56),DAY(K$56)),"Years (Month)",YEAR(K$56))</f>
        <v>4951.8996153846238</v>
      </c>
      <c r="L67" s="34">
        <f>GETPIVOTDATA("Total",$B$7,"Date",DATE(YEAR(L$56),MONTH(L$56),DAY(L$56)),"Account Number","5000","Account Name","Salaries and Wages")/GETPIVOTDATA("FTE",$B$16,"Month",DATE(YEAR(L$56),MONTH(L$56),DAY(L$56)),"Years (Month)",YEAR(L$56))</f>
        <v>4851.9257692307738</v>
      </c>
      <c r="M67" s="34">
        <f>GETPIVOTDATA("Total",$B$7,"Date",DATE(YEAR(M$56),MONTH(M$56),DAY(M$56)),"Account Number","5000","Account Name","Salaries and Wages")/GETPIVOTDATA("FTE",$B$16,"Month",DATE(YEAR(M$56),MONTH(M$56),DAY(M$56)),"Years (Month)",YEAR(M$56))</f>
        <v>4891.62</v>
      </c>
      <c r="N67" s="34">
        <f>GETPIVOTDATA("Total",$B$7,"Date",DATE(YEAR(N$56),MONTH(N$56),DAY(N$56)),"Account Number","5000","Account Name","Salaries and Wages")/GETPIVOTDATA("FTE",$B$16,"Month",DATE(YEAR(N$56),MONTH(N$56),DAY(N$56)),"Years (Month)",YEAR(N$56))</f>
        <v>4571.6980769230777</v>
      </c>
      <c r="O67" s="34">
        <f>GETPIVOTDATA("Total",$B$7,"Date",DATE(YEAR(O$56),MONTH(O$56),DAY(O$56)),"Account Number","5000","Account Name","Salaries and Wages")/GETPIVOTDATA("FTE",$B$16,"Month",DATE(YEAR(O$56),MONTH(O$56),DAY(O$56)),"Years (Month)",YEAR(O$56))</f>
        <v>4783.7826923076964</v>
      </c>
      <c r="P67" s="50"/>
      <c r="Q67" s="73"/>
    </row>
    <row r="68" spans="2:17">
      <c r="B68" s="74" t="s">
        <v>160</v>
      </c>
      <c r="C68" s="12" t="s">
        <v>161</v>
      </c>
      <c r="D68" s="34">
        <f>GETPIVOTDATA("Total",$B$7,"Date",DATE(YEAR(D$56),MONTH(D$56),DAY(D$56)),"Account Number","5000","Account Name","Salaries and Wages")/GETPIVOTDATA("FTE",$B$16,"Month",DATE(YEAR(D$56),MONTH(D$56),DAY(D$56)),"Years (Month)",YEAR(D$56))</f>
        <v>4905.775200000001</v>
      </c>
      <c r="E68" s="34">
        <f>GETPIVOTDATA("Total",$B$7,"Date",DATE(YEAR(E$56),MONTH(E$56),DAY(E$56)),"Account Number","5000","Account Name","Salaries and Wages")/GETPIVOTDATA("FTE",$B$16,"Month",DATE(YEAR(E$56),MONTH(E$56),DAY(E$56)),"Years (Month)",YEAR(E$56))</f>
        <v>4986.2816000000003</v>
      </c>
      <c r="F68" s="34">
        <f>GETPIVOTDATA("Total",$B$7,"Date",DATE(YEAR(F$56),MONTH(F$56),DAY(F$56)),"Account Number","5000","Account Name","Salaries and Wages")/GETPIVOTDATA("FTE",$B$16,"Month",DATE(YEAR(F$56),MONTH(F$56),DAY(F$56)),"Years (Month)",YEAR(F$56))</f>
        <v>5121.4531999999999</v>
      </c>
      <c r="G68" s="34">
        <f>GETPIVOTDATA("Total",$B$7,"Date",DATE(YEAR(G$56),MONTH(G$56),DAY(G$56)),"Account Number","5000","Account Name","Salaries and Wages")/GETPIVOTDATA("FTE",$B$16,"Month",DATE(YEAR(G$56),MONTH(G$56),DAY(G$56)),"Years (Month)",YEAR(G$56))</f>
        <v>5164.072000000001</v>
      </c>
      <c r="H68" s="34">
        <f>GETPIVOTDATA("Total",$B$7,"Date",DATE(YEAR(H$56),MONTH(H$56),DAY(H$56)),"Account Number","5000","Account Name","Salaries and Wages")/GETPIVOTDATA("FTE",$B$16,"Month",DATE(YEAR(H$56),MONTH(H$56),DAY(H$56)),"Years (Month)",YEAR(H$56))</f>
        <v>4797.0234615384679</v>
      </c>
      <c r="I68" s="34">
        <f>GETPIVOTDATA("Total",$B$7,"Date",DATE(YEAR(I$56),MONTH(I$56),DAY(I$56)),"Account Number","5000","Account Name","Salaries and Wages")/GETPIVOTDATA("FTE",$B$16,"Month",DATE(YEAR(I$56),MONTH(I$56),DAY(I$56)),"Years (Month)",YEAR(I$56))</f>
        <v>4879.8273076923033</v>
      </c>
      <c r="J68" s="34">
        <f>GETPIVOTDATA("Total",$B$7,"Date",DATE(YEAR(J$56),MONTH(J$56),DAY(J$56)),"Account Number","5000","Account Name","Salaries and Wages")/GETPIVOTDATA("FTE",$B$16,"Month",DATE(YEAR(J$56),MONTH(J$56),DAY(J$56)),"Years (Month)",YEAR(J$56))</f>
        <v>5022.2704000000003</v>
      </c>
      <c r="K68" s="34">
        <f>GETPIVOTDATA("Total",$B$7,"Date",DATE(YEAR(K$56),MONTH(K$56),DAY(K$56)),"Account Number","5000","Account Name","Salaries and Wages")/GETPIVOTDATA("FTE",$B$16,"Month",DATE(YEAR(K$56),MONTH(K$56),DAY(K$56)),"Years (Month)",YEAR(K$56))</f>
        <v>4951.8996153846238</v>
      </c>
      <c r="L68" s="34">
        <f>GETPIVOTDATA("Total",$B$7,"Date",DATE(YEAR(L$56),MONTH(L$56),DAY(L$56)),"Account Number","5000","Account Name","Salaries and Wages")/GETPIVOTDATA("FTE",$B$16,"Month",DATE(YEAR(L$56),MONTH(L$56),DAY(L$56)),"Years (Month)",YEAR(L$56))</f>
        <v>4851.9257692307738</v>
      </c>
      <c r="M68" s="34">
        <f>GETPIVOTDATA("Total",$B$7,"Date",DATE(YEAR(M$56),MONTH(M$56),DAY(M$56)),"Account Number","5000","Account Name","Salaries and Wages")/GETPIVOTDATA("FTE",$B$16,"Month",DATE(YEAR(M$56),MONTH(M$56),DAY(M$56)),"Years (Month)",YEAR(M$56))</f>
        <v>4891.62</v>
      </c>
      <c r="N68" s="34">
        <f>GETPIVOTDATA("Total",$B$7,"Date",DATE(YEAR(N$56),MONTH(N$56),DAY(N$56)),"Account Number","5000","Account Name","Salaries and Wages")/GETPIVOTDATA("FTE",$B$16,"Month",DATE(YEAR(N$56),MONTH(N$56),DAY(N$56)),"Years (Month)",YEAR(N$56))</f>
        <v>4571.6980769230777</v>
      </c>
      <c r="O68" s="34">
        <f>GETPIVOTDATA("Total",$B$7,"Date",DATE(YEAR(O$56),MONTH(O$56),DAY(O$56)),"Account Number","5000","Account Name","Salaries and Wages")/GETPIVOTDATA("FTE",$B$16,"Month",DATE(YEAR(O$56),MONTH(O$56),DAY(O$56)),"Years (Month)",YEAR(O$56))</f>
        <v>4783.7826923076964</v>
      </c>
      <c r="P68" s="50"/>
      <c r="Q68" s="73"/>
    </row>
    <row r="69" spans="2:17">
      <c r="B69" s="74" t="s">
        <v>162</v>
      </c>
      <c r="C69" s="12" t="s">
        <v>163</v>
      </c>
      <c r="D69" s="34">
        <f>GETPIVOTDATA("Total",$B$7,"Date",DATE(YEAR(D$56),MONTH(D$56),DAY(D$56)),"Account Number","5000","Account Name","Salaries and Wages")/GETPIVOTDATA("FTE",$B$16,"Month",DATE(YEAR(D$56),MONTH(D$56),DAY(D$56)),"Years (Month)",YEAR(D$56))</f>
        <v>4905.775200000001</v>
      </c>
      <c r="E69" s="34">
        <f>GETPIVOTDATA("Total",$B$7,"Date",DATE(YEAR(E$56),MONTH(E$56),DAY(E$56)),"Account Number","5000","Account Name","Salaries and Wages")/GETPIVOTDATA("FTE",$B$16,"Month",DATE(YEAR(E$56),MONTH(E$56),DAY(E$56)),"Years (Month)",YEAR(E$56))</f>
        <v>4986.2816000000003</v>
      </c>
      <c r="F69" s="34">
        <f>GETPIVOTDATA("Total",$B$7,"Date",DATE(YEAR(F$56),MONTH(F$56),DAY(F$56)),"Account Number","5000","Account Name","Salaries and Wages")/GETPIVOTDATA("FTE",$B$16,"Month",DATE(YEAR(F$56),MONTH(F$56),DAY(F$56)),"Years (Month)",YEAR(F$56))</f>
        <v>5121.4531999999999</v>
      </c>
      <c r="G69" s="34">
        <f>GETPIVOTDATA("Total",$B$7,"Date",DATE(YEAR(G$56),MONTH(G$56),DAY(G$56)),"Account Number","5000","Account Name","Salaries and Wages")/GETPIVOTDATA("FTE",$B$16,"Month",DATE(YEAR(G$56),MONTH(G$56),DAY(G$56)),"Years (Month)",YEAR(G$56))</f>
        <v>5164.072000000001</v>
      </c>
      <c r="H69" s="34">
        <f>GETPIVOTDATA("Total",$B$7,"Date",DATE(YEAR(H$56),MONTH(H$56),DAY(H$56)),"Account Number","5000","Account Name","Salaries and Wages")/GETPIVOTDATA("FTE",$B$16,"Month",DATE(YEAR(H$56),MONTH(H$56),DAY(H$56)),"Years (Month)",YEAR(H$56))</f>
        <v>4797.0234615384679</v>
      </c>
      <c r="I69" s="34">
        <f>GETPIVOTDATA("Total",$B$7,"Date",DATE(YEAR(I$56),MONTH(I$56),DAY(I$56)),"Account Number","5000","Account Name","Salaries and Wages")/GETPIVOTDATA("FTE",$B$16,"Month",DATE(YEAR(I$56),MONTH(I$56),DAY(I$56)),"Years (Month)",YEAR(I$56))</f>
        <v>4879.8273076923033</v>
      </c>
      <c r="J69" s="34">
        <f>GETPIVOTDATA("Total",$B$7,"Date",DATE(YEAR(J$56),MONTH(J$56),DAY(J$56)),"Account Number","5000","Account Name","Salaries and Wages")/GETPIVOTDATA("FTE",$B$16,"Month",DATE(YEAR(J$56),MONTH(J$56),DAY(J$56)),"Years (Month)",YEAR(J$56))</f>
        <v>5022.2704000000003</v>
      </c>
      <c r="K69" s="34">
        <f>GETPIVOTDATA("Total",$B$7,"Date",DATE(YEAR(K$56),MONTH(K$56),DAY(K$56)),"Account Number","5000","Account Name","Salaries and Wages")/GETPIVOTDATA("FTE",$B$16,"Month",DATE(YEAR(K$56),MONTH(K$56),DAY(K$56)),"Years (Month)",YEAR(K$56))</f>
        <v>4951.8996153846238</v>
      </c>
      <c r="L69" s="34">
        <f>GETPIVOTDATA("Total",$B$7,"Date",DATE(YEAR(L$56),MONTH(L$56),DAY(L$56)),"Account Number","5000","Account Name","Salaries and Wages")/GETPIVOTDATA("FTE",$B$16,"Month",DATE(YEAR(L$56),MONTH(L$56),DAY(L$56)),"Years (Month)",YEAR(L$56))</f>
        <v>4851.9257692307738</v>
      </c>
      <c r="M69" s="34">
        <f>GETPIVOTDATA("Total",$B$7,"Date",DATE(YEAR(M$56),MONTH(M$56),DAY(M$56)),"Account Number","5000","Account Name","Salaries and Wages")/GETPIVOTDATA("FTE",$B$16,"Month",DATE(YEAR(M$56),MONTH(M$56),DAY(M$56)),"Years (Month)",YEAR(M$56))</f>
        <v>4891.62</v>
      </c>
      <c r="N69" s="34">
        <f>GETPIVOTDATA("Total",$B$7,"Date",DATE(YEAR(N$56),MONTH(N$56),DAY(N$56)),"Account Number","5000","Account Name","Salaries and Wages")/GETPIVOTDATA("FTE",$B$16,"Month",DATE(YEAR(N$56),MONTH(N$56),DAY(N$56)),"Years (Month)",YEAR(N$56))</f>
        <v>4571.6980769230777</v>
      </c>
      <c r="O69" s="34">
        <f>GETPIVOTDATA("Total",$B$7,"Date",DATE(YEAR(O$56),MONTH(O$56),DAY(O$56)),"Account Number","5000","Account Name","Salaries and Wages")/GETPIVOTDATA("FTE",$B$16,"Month",DATE(YEAR(O$56),MONTH(O$56),DAY(O$56)),"Years (Month)",YEAR(O$56))</f>
        <v>4783.7826923076964</v>
      </c>
      <c r="P69" s="50"/>
      <c r="Q69" s="73"/>
    </row>
    <row r="70" spans="2:17">
      <c r="B70" s="74" t="s">
        <v>164</v>
      </c>
      <c r="C70" s="12" t="s">
        <v>165</v>
      </c>
      <c r="D70" s="34">
        <f>GETPIVOTDATA("Total",$B$7,"Date",DATE(YEAR(D$56),MONTH(D$56),DAY(D$56)),"Account Number","5000","Account Name","Salaries and Wages")/GETPIVOTDATA("FTE",$B$16,"Month",DATE(YEAR(D$56),MONTH(D$56),DAY(D$56)),"Years (Month)",YEAR(D$56))</f>
        <v>4905.775200000001</v>
      </c>
      <c r="E70" s="34">
        <f>GETPIVOTDATA("Total",$B$7,"Date",DATE(YEAR(E$56),MONTH(E$56),DAY(E$56)),"Account Number","5000","Account Name","Salaries and Wages")/GETPIVOTDATA("FTE",$B$16,"Month",DATE(YEAR(E$56),MONTH(E$56),DAY(E$56)),"Years (Month)",YEAR(E$56))</f>
        <v>4986.2816000000003</v>
      </c>
      <c r="F70" s="34">
        <f>GETPIVOTDATA("Total",$B$7,"Date",DATE(YEAR(F$56),MONTH(F$56),DAY(F$56)),"Account Number","5000","Account Name","Salaries and Wages")/GETPIVOTDATA("FTE",$B$16,"Month",DATE(YEAR(F$56),MONTH(F$56),DAY(F$56)),"Years (Month)",YEAR(F$56))</f>
        <v>5121.4531999999999</v>
      </c>
      <c r="G70" s="34">
        <f>GETPIVOTDATA("Total",$B$7,"Date",DATE(YEAR(G$56),MONTH(G$56),DAY(G$56)),"Account Number","5000","Account Name","Salaries and Wages")/GETPIVOTDATA("FTE",$B$16,"Month",DATE(YEAR(G$56),MONTH(G$56),DAY(G$56)),"Years (Month)",YEAR(G$56))</f>
        <v>5164.072000000001</v>
      </c>
      <c r="H70" s="34">
        <f>GETPIVOTDATA("Total",$B$7,"Date",DATE(YEAR(H$56),MONTH(H$56),DAY(H$56)),"Account Number","5000","Account Name","Salaries and Wages")/GETPIVOTDATA("FTE",$B$16,"Month",DATE(YEAR(H$56),MONTH(H$56),DAY(H$56)),"Years (Month)",YEAR(H$56))</f>
        <v>4797.0234615384679</v>
      </c>
      <c r="I70" s="34">
        <f>GETPIVOTDATA("Total",$B$7,"Date",DATE(YEAR(I$56),MONTH(I$56),DAY(I$56)),"Account Number","5000","Account Name","Salaries and Wages")/GETPIVOTDATA("FTE",$B$16,"Month",DATE(YEAR(I$56),MONTH(I$56),DAY(I$56)),"Years (Month)",YEAR(I$56))</f>
        <v>4879.8273076923033</v>
      </c>
      <c r="J70" s="34">
        <f>GETPIVOTDATA("Total",$B$7,"Date",DATE(YEAR(J$56),MONTH(J$56),DAY(J$56)),"Account Number","5000","Account Name","Salaries and Wages")/GETPIVOTDATA("FTE",$B$16,"Month",DATE(YEAR(J$56),MONTH(J$56),DAY(J$56)),"Years (Month)",YEAR(J$56))</f>
        <v>5022.2704000000003</v>
      </c>
      <c r="K70" s="34">
        <f>GETPIVOTDATA("Total",$B$7,"Date",DATE(YEAR(K$56),MONTH(K$56),DAY(K$56)),"Account Number","5000","Account Name","Salaries and Wages")/GETPIVOTDATA("FTE",$B$16,"Month",DATE(YEAR(K$56),MONTH(K$56),DAY(K$56)),"Years (Month)",YEAR(K$56))</f>
        <v>4951.8996153846238</v>
      </c>
      <c r="L70" s="34">
        <f>GETPIVOTDATA("Total",$B$7,"Date",DATE(YEAR(L$56),MONTH(L$56),DAY(L$56)),"Account Number","5000","Account Name","Salaries and Wages")/GETPIVOTDATA("FTE",$B$16,"Month",DATE(YEAR(L$56),MONTH(L$56),DAY(L$56)),"Years (Month)",YEAR(L$56))</f>
        <v>4851.9257692307738</v>
      </c>
      <c r="M70" s="34">
        <f>GETPIVOTDATA("Total",$B$7,"Date",DATE(YEAR(M$56),MONTH(M$56),DAY(M$56)),"Account Number","5000","Account Name","Salaries and Wages")/GETPIVOTDATA("FTE",$B$16,"Month",DATE(YEAR(M$56),MONTH(M$56),DAY(M$56)),"Years (Month)",YEAR(M$56))</f>
        <v>4891.62</v>
      </c>
      <c r="N70" s="34">
        <f>GETPIVOTDATA("Total",$B$7,"Date",DATE(YEAR(N$56),MONTH(N$56),DAY(N$56)),"Account Number","5000","Account Name","Salaries and Wages")/GETPIVOTDATA("FTE",$B$16,"Month",DATE(YEAR(N$56),MONTH(N$56),DAY(N$56)),"Years (Month)",YEAR(N$56))</f>
        <v>4571.6980769230777</v>
      </c>
      <c r="O70" s="34">
        <f>GETPIVOTDATA("Total",$B$7,"Date",DATE(YEAR(O$56),MONTH(O$56),DAY(O$56)),"Account Number","5000","Account Name","Salaries and Wages")/GETPIVOTDATA("FTE",$B$16,"Month",DATE(YEAR(O$56),MONTH(O$56),DAY(O$56)),"Years (Month)",YEAR(O$56))</f>
        <v>4783.7826923076964</v>
      </c>
      <c r="P70" s="50"/>
      <c r="Q70" s="73"/>
    </row>
    <row r="71" spans="2:17">
      <c r="B71" s="74" t="s">
        <v>166</v>
      </c>
      <c r="C71" s="12" t="s">
        <v>167</v>
      </c>
      <c r="D71" s="34">
        <f>GETPIVOTDATA("Total",$B$7,"Date",DATE(YEAR(D$56),MONTH(D$56),DAY(D$56)),"Account Number","5000","Account Name","Salaries and Wages")/GETPIVOTDATA("FTE",$B$16,"Month",DATE(YEAR(D$56),MONTH(D$56),DAY(D$56)),"Years (Month)",YEAR(D$56))</f>
        <v>4905.775200000001</v>
      </c>
      <c r="E71" s="34">
        <f>GETPIVOTDATA("Total",$B$7,"Date",DATE(YEAR(E$56),MONTH(E$56),DAY(E$56)),"Account Number","5000","Account Name","Salaries and Wages")/GETPIVOTDATA("FTE",$B$16,"Month",DATE(YEAR(E$56),MONTH(E$56),DAY(E$56)),"Years (Month)",YEAR(E$56))</f>
        <v>4986.2816000000003</v>
      </c>
      <c r="F71" s="34">
        <f>GETPIVOTDATA("Total",$B$7,"Date",DATE(YEAR(F$56),MONTH(F$56),DAY(F$56)),"Account Number","5000","Account Name","Salaries and Wages")/GETPIVOTDATA("FTE",$B$16,"Month",DATE(YEAR(F$56),MONTH(F$56),DAY(F$56)),"Years (Month)",YEAR(F$56))</f>
        <v>5121.4531999999999</v>
      </c>
      <c r="G71" s="34">
        <f>GETPIVOTDATA("Total",$B$7,"Date",DATE(YEAR(G$56),MONTH(G$56),DAY(G$56)),"Account Number","5000","Account Name","Salaries and Wages")/GETPIVOTDATA("FTE",$B$16,"Month",DATE(YEAR(G$56),MONTH(G$56),DAY(G$56)),"Years (Month)",YEAR(G$56))</f>
        <v>5164.072000000001</v>
      </c>
      <c r="H71" s="34">
        <f>GETPIVOTDATA("Total",$B$7,"Date",DATE(YEAR(H$56),MONTH(H$56),DAY(H$56)),"Account Number","5000","Account Name","Salaries and Wages")/GETPIVOTDATA("FTE",$B$16,"Month",DATE(YEAR(H$56),MONTH(H$56),DAY(H$56)),"Years (Month)",YEAR(H$56))</f>
        <v>4797.0234615384679</v>
      </c>
      <c r="I71" s="34">
        <f>GETPIVOTDATA("Total",$B$7,"Date",DATE(YEAR(I$56),MONTH(I$56),DAY(I$56)),"Account Number","5000","Account Name","Salaries and Wages")/GETPIVOTDATA("FTE",$B$16,"Month",DATE(YEAR(I$56),MONTH(I$56),DAY(I$56)),"Years (Month)",YEAR(I$56))</f>
        <v>4879.8273076923033</v>
      </c>
      <c r="J71" s="34">
        <f>GETPIVOTDATA("Total",$B$7,"Date",DATE(YEAR(J$56),MONTH(J$56),DAY(J$56)),"Account Number","5000","Account Name","Salaries and Wages")/GETPIVOTDATA("FTE",$B$16,"Month",DATE(YEAR(J$56),MONTH(J$56),DAY(J$56)),"Years (Month)",YEAR(J$56))</f>
        <v>5022.2704000000003</v>
      </c>
      <c r="K71" s="34">
        <f>GETPIVOTDATA("Total",$B$7,"Date",DATE(YEAR(K$56),MONTH(K$56),DAY(K$56)),"Account Number","5000","Account Name","Salaries and Wages")/GETPIVOTDATA("FTE",$B$16,"Month",DATE(YEAR(K$56),MONTH(K$56),DAY(K$56)),"Years (Month)",YEAR(K$56))</f>
        <v>4951.8996153846238</v>
      </c>
      <c r="L71" s="34">
        <f>GETPIVOTDATA("Total",$B$7,"Date",DATE(YEAR(L$56),MONTH(L$56),DAY(L$56)),"Account Number","5000","Account Name","Salaries and Wages")/GETPIVOTDATA("FTE",$B$16,"Month",DATE(YEAR(L$56),MONTH(L$56),DAY(L$56)),"Years (Month)",YEAR(L$56))</f>
        <v>4851.9257692307738</v>
      </c>
      <c r="M71" s="34">
        <f>GETPIVOTDATA("Total",$B$7,"Date",DATE(YEAR(M$56),MONTH(M$56),DAY(M$56)),"Account Number","5000","Account Name","Salaries and Wages")/GETPIVOTDATA("FTE",$B$16,"Month",DATE(YEAR(M$56),MONTH(M$56),DAY(M$56)),"Years (Month)",YEAR(M$56))</f>
        <v>4891.62</v>
      </c>
      <c r="N71" s="34">
        <f>GETPIVOTDATA("Total",$B$7,"Date",DATE(YEAR(N$56),MONTH(N$56),DAY(N$56)),"Account Number","5000","Account Name","Salaries and Wages")/GETPIVOTDATA("FTE",$B$16,"Month",DATE(YEAR(N$56),MONTH(N$56),DAY(N$56)),"Years (Month)",YEAR(N$56))</f>
        <v>4571.6980769230777</v>
      </c>
      <c r="O71" s="34">
        <f>GETPIVOTDATA("Total",$B$7,"Date",DATE(YEAR(O$56),MONTH(O$56),DAY(O$56)),"Account Number","5000","Account Name","Salaries and Wages")/GETPIVOTDATA("FTE",$B$16,"Month",DATE(YEAR(O$56),MONTH(O$56),DAY(O$56)),"Years (Month)",YEAR(O$56))</f>
        <v>4783.7826923076964</v>
      </c>
      <c r="P71" s="50"/>
      <c r="Q71" s="73"/>
    </row>
    <row r="72" spans="2:17">
      <c r="B72" s="74" t="s">
        <v>168</v>
      </c>
      <c r="C72" s="12" t="s">
        <v>169</v>
      </c>
      <c r="D72" s="34">
        <f>GETPIVOTDATA("Total",$B$7,"Date",DATE(YEAR(D$56),MONTH(D$56),DAY(D$56)),"Account Number","5000","Account Name","Salaries and Wages")/GETPIVOTDATA("FTE",$B$16,"Month",DATE(YEAR(D$56),MONTH(D$56),DAY(D$56)),"Years (Month)",YEAR(D$56))</f>
        <v>4905.775200000001</v>
      </c>
      <c r="E72" s="34">
        <f>GETPIVOTDATA("Total",$B$7,"Date",DATE(YEAR(E$56),MONTH(E$56),DAY(E$56)),"Account Number","5000","Account Name","Salaries and Wages")/GETPIVOTDATA("FTE",$B$16,"Month",DATE(YEAR(E$56),MONTH(E$56),DAY(E$56)),"Years (Month)",YEAR(E$56))</f>
        <v>4986.2816000000003</v>
      </c>
      <c r="F72" s="34">
        <f>GETPIVOTDATA("Total",$B$7,"Date",DATE(YEAR(F$56),MONTH(F$56),DAY(F$56)),"Account Number","5000","Account Name","Salaries and Wages")/GETPIVOTDATA("FTE",$B$16,"Month",DATE(YEAR(F$56),MONTH(F$56),DAY(F$56)),"Years (Month)",YEAR(F$56))</f>
        <v>5121.4531999999999</v>
      </c>
      <c r="G72" s="34">
        <f>GETPIVOTDATA("Total",$B$7,"Date",DATE(YEAR(G$56),MONTH(G$56),DAY(G$56)),"Account Number","5000","Account Name","Salaries and Wages")/GETPIVOTDATA("FTE",$B$16,"Month",DATE(YEAR(G$56),MONTH(G$56),DAY(G$56)),"Years (Month)",YEAR(G$56))</f>
        <v>5164.072000000001</v>
      </c>
      <c r="H72" s="34">
        <f>GETPIVOTDATA("Total",$B$7,"Date",DATE(YEAR(H$56),MONTH(H$56),DAY(H$56)),"Account Number","5000","Account Name","Salaries and Wages")/GETPIVOTDATA("FTE",$B$16,"Month",DATE(YEAR(H$56),MONTH(H$56),DAY(H$56)),"Years (Month)",YEAR(H$56))</f>
        <v>4797.0234615384679</v>
      </c>
      <c r="I72" s="34">
        <f>GETPIVOTDATA("Total",$B$7,"Date",DATE(YEAR(I$56),MONTH(I$56),DAY(I$56)),"Account Number","5000","Account Name","Salaries and Wages")/GETPIVOTDATA("FTE",$B$16,"Month",DATE(YEAR(I$56),MONTH(I$56),DAY(I$56)),"Years (Month)",YEAR(I$56))</f>
        <v>4879.8273076923033</v>
      </c>
      <c r="J72" s="34">
        <f>GETPIVOTDATA("Total",$B$7,"Date",DATE(YEAR(J$56),MONTH(J$56),DAY(J$56)),"Account Number","5000","Account Name","Salaries and Wages")/GETPIVOTDATA("FTE",$B$16,"Month",DATE(YEAR(J$56),MONTH(J$56),DAY(J$56)),"Years (Month)",YEAR(J$56))</f>
        <v>5022.2704000000003</v>
      </c>
      <c r="K72" s="34">
        <f>GETPIVOTDATA("Total",$B$7,"Date",DATE(YEAR(K$56),MONTH(K$56),DAY(K$56)),"Account Number","5000","Account Name","Salaries and Wages")/GETPIVOTDATA("FTE",$B$16,"Month",DATE(YEAR(K$56),MONTH(K$56),DAY(K$56)),"Years (Month)",YEAR(K$56))</f>
        <v>4951.8996153846238</v>
      </c>
      <c r="L72" s="34">
        <f>GETPIVOTDATA("Total",$B$7,"Date",DATE(YEAR(L$56),MONTH(L$56),DAY(L$56)),"Account Number","5000","Account Name","Salaries and Wages")/GETPIVOTDATA("FTE",$B$16,"Month",DATE(YEAR(L$56),MONTH(L$56),DAY(L$56)),"Years (Month)",YEAR(L$56))</f>
        <v>4851.9257692307738</v>
      </c>
      <c r="M72" s="34">
        <f>GETPIVOTDATA("Total",$B$7,"Date",DATE(YEAR(M$56),MONTH(M$56),DAY(M$56)),"Account Number","5000","Account Name","Salaries and Wages")/GETPIVOTDATA("FTE",$B$16,"Month",DATE(YEAR(M$56),MONTH(M$56),DAY(M$56)),"Years (Month)",YEAR(M$56))</f>
        <v>4891.62</v>
      </c>
      <c r="N72" s="34">
        <f>GETPIVOTDATA("Total",$B$7,"Date",DATE(YEAR(N$56),MONTH(N$56),DAY(N$56)),"Account Number","5000","Account Name","Salaries and Wages")/GETPIVOTDATA("FTE",$B$16,"Month",DATE(YEAR(N$56),MONTH(N$56),DAY(N$56)),"Years (Month)",YEAR(N$56))</f>
        <v>4571.6980769230777</v>
      </c>
      <c r="O72" s="34">
        <f>GETPIVOTDATA("Total",$B$7,"Date",DATE(YEAR(O$56),MONTH(O$56),DAY(O$56)),"Account Number","5000","Account Name","Salaries and Wages")/GETPIVOTDATA("FTE",$B$16,"Month",DATE(YEAR(O$56),MONTH(O$56),DAY(O$56)),"Years (Month)",YEAR(O$56))</f>
        <v>4783.7826923076964</v>
      </c>
      <c r="P72" s="50"/>
      <c r="Q72" s="73"/>
    </row>
    <row r="73" spans="2:17">
      <c r="B73" s="74" t="s">
        <v>170</v>
      </c>
      <c r="C73" s="12" t="s">
        <v>171</v>
      </c>
      <c r="D73" s="34">
        <f>GETPIVOTDATA("Total",$B$7,"Date",DATE(YEAR(D$56),MONTH(D$56),DAY(D$56)),"Account Number","5000","Account Name","Salaries and Wages")/GETPIVOTDATA("FTE",$B$16,"Month",DATE(YEAR(D$56),MONTH(D$56),DAY(D$56)),"Years (Month)",YEAR(D$56))</f>
        <v>4905.775200000001</v>
      </c>
      <c r="E73" s="34">
        <f>GETPIVOTDATA("Total",$B$7,"Date",DATE(YEAR(E$56),MONTH(E$56),DAY(E$56)),"Account Number","5000","Account Name","Salaries and Wages")/GETPIVOTDATA("FTE",$B$16,"Month",DATE(YEAR(E$56),MONTH(E$56),DAY(E$56)),"Years (Month)",YEAR(E$56))</f>
        <v>4986.2816000000003</v>
      </c>
      <c r="F73" s="34">
        <f>GETPIVOTDATA("Total",$B$7,"Date",DATE(YEAR(F$56),MONTH(F$56),DAY(F$56)),"Account Number","5000","Account Name","Salaries and Wages")/GETPIVOTDATA("FTE",$B$16,"Month",DATE(YEAR(F$56),MONTH(F$56),DAY(F$56)),"Years (Month)",YEAR(F$56))</f>
        <v>5121.4531999999999</v>
      </c>
      <c r="G73" s="34">
        <f>GETPIVOTDATA("Total",$B$7,"Date",DATE(YEAR(G$56),MONTH(G$56),DAY(G$56)),"Account Number","5000","Account Name","Salaries and Wages")/GETPIVOTDATA("FTE",$B$16,"Month",DATE(YEAR(G$56),MONTH(G$56),DAY(G$56)),"Years (Month)",YEAR(G$56))</f>
        <v>5164.072000000001</v>
      </c>
      <c r="H73" s="34">
        <f>GETPIVOTDATA("Total",$B$7,"Date",DATE(YEAR(H$56),MONTH(H$56),DAY(H$56)),"Account Number","5000","Account Name","Salaries and Wages")/GETPIVOTDATA("FTE",$B$16,"Month",DATE(YEAR(H$56),MONTH(H$56),DAY(H$56)),"Years (Month)",YEAR(H$56))</f>
        <v>4797.0234615384679</v>
      </c>
      <c r="I73" s="34">
        <f>GETPIVOTDATA("Total",$B$7,"Date",DATE(YEAR(I$56),MONTH(I$56),DAY(I$56)),"Account Number","5000","Account Name","Salaries and Wages")/GETPIVOTDATA("FTE",$B$16,"Month",DATE(YEAR(I$56),MONTH(I$56),DAY(I$56)),"Years (Month)",YEAR(I$56))</f>
        <v>4879.8273076923033</v>
      </c>
      <c r="J73" s="34">
        <f>GETPIVOTDATA("Total",$B$7,"Date",DATE(YEAR(J$56),MONTH(J$56),DAY(J$56)),"Account Number","5000","Account Name","Salaries and Wages")/GETPIVOTDATA("FTE",$B$16,"Month",DATE(YEAR(J$56),MONTH(J$56),DAY(J$56)),"Years (Month)",YEAR(J$56))</f>
        <v>5022.2704000000003</v>
      </c>
      <c r="K73" s="34">
        <f>GETPIVOTDATA("Total",$B$7,"Date",DATE(YEAR(K$56),MONTH(K$56),DAY(K$56)),"Account Number","5000","Account Name","Salaries and Wages")/GETPIVOTDATA("FTE",$B$16,"Month",DATE(YEAR(K$56),MONTH(K$56),DAY(K$56)),"Years (Month)",YEAR(K$56))</f>
        <v>4951.8996153846238</v>
      </c>
      <c r="L73" s="34">
        <f>GETPIVOTDATA("Total",$B$7,"Date",DATE(YEAR(L$56),MONTH(L$56),DAY(L$56)),"Account Number","5000","Account Name","Salaries and Wages")/GETPIVOTDATA("FTE",$B$16,"Month",DATE(YEAR(L$56),MONTH(L$56),DAY(L$56)),"Years (Month)",YEAR(L$56))</f>
        <v>4851.9257692307738</v>
      </c>
      <c r="M73" s="34">
        <f>GETPIVOTDATA("Total",$B$7,"Date",DATE(YEAR(M$56),MONTH(M$56),DAY(M$56)),"Account Number","5000","Account Name","Salaries and Wages")/GETPIVOTDATA("FTE",$B$16,"Month",DATE(YEAR(M$56),MONTH(M$56),DAY(M$56)),"Years (Month)",YEAR(M$56))</f>
        <v>4891.62</v>
      </c>
      <c r="N73" s="75"/>
      <c r="O73" s="75"/>
      <c r="P73" s="50"/>
      <c r="Q73" s="73"/>
    </row>
    <row r="74" spans="2:17">
      <c r="B74" s="74" t="s">
        <v>172</v>
      </c>
      <c r="C74" s="12" t="s">
        <v>173</v>
      </c>
      <c r="D74" s="34">
        <f>GETPIVOTDATA("Total",$B$7,"Date",DATE(YEAR(D$56),MONTH(D$56),DAY(D$56)),"Account Number","5000","Account Name","Salaries and Wages")/GETPIVOTDATA("FTE",$B$16,"Month",DATE(YEAR(D$56),MONTH(D$56),DAY(D$56)),"Years (Month)",YEAR(D$56))</f>
        <v>4905.775200000001</v>
      </c>
      <c r="E74" s="34">
        <f>GETPIVOTDATA("Total",$B$7,"Date",DATE(YEAR(E$56),MONTH(E$56),DAY(E$56)),"Account Number","5000","Account Name","Salaries and Wages")/GETPIVOTDATA("FTE",$B$16,"Month",DATE(YEAR(E$56),MONTH(E$56),DAY(E$56)),"Years (Month)",YEAR(E$56))</f>
        <v>4986.2816000000003</v>
      </c>
      <c r="F74" s="34">
        <f>GETPIVOTDATA("Total",$B$7,"Date",DATE(YEAR(F$56),MONTH(F$56),DAY(F$56)),"Account Number","5000","Account Name","Salaries and Wages")/GETPIVOTDATA("FTE",$B$16,"Month",DATE(YEAR(F$56),MONTH(F$56),DAY(F$56)),"Years (Month)",YEAR(F$56))</f>
        <v>5121.4531999999999</v>
      </c>
      <c r="G74" s="34">
        <f>GETPIVOTDATA("Total",$B$7,"Date",DATE(YEAR(G$56),MONTH(G$56),DAY(G$56)),"Account Number","5000","Account Name","Salaries and Wages")/GETPIVOTDATA("FTE",$B$16,"Month",DATE(YEAR(G$56),MONTH(G$56),DAY(G$56)),"Years (Month)",YEAR(G$56))</f>
        <v>5164.072000000001</v>
      </c>
      <c r="H74" s="34">
        <f>GETPIVOTDATA("Total",$B$7,"Date",DATE(YEAR(H$56),MONTH(H$56),DAY(H$56)),"Account Number","5000","Account Name","Salaries and Wages")/GETPIVOTDATA("FTE",$B$16,"Month",DATE(YEAR(H$56),MONTH(H$56),DAY(H$56)),"Years (Month)",YEAR(H$56))</f>
        <v>4797.0234615384679</v>
      </c>
      <c r="I74" s="34">
        <f>GETPIVOTDATA("Total",$B$7,"Date",DATE(YEAR(I$56),MONTH(I$56),DAY(I$56)),"Account Number","5000","Account Name","Salaries and Wages")/GETPIVOTDATA("FTE",$B$16,"Month",DATE(YEAR(I$56),MONTH(I$56),DAY(I$56)),"Years (Month)",YEAR(I$56))</f>
        <v>4879.8273076923033</v>
      </c>
      <c r="J74" s="76"/>
      <c r="K74" s="76"/>
      <c r="L74" s="75"/>
      <c r="M74" s="75"/>
      <c r="N74" s="75"/>
      <c r="O74" s="75"/>
      <c r="P74" s="50"/>
      <c r="Q74" s="73"/>
    </row>
    <row r="75" spans="2:17">
      <c r="B75" s="74" t="s">
        <v>174</v>
      </c>
      <c r="C75" s="12" t="s">
        <v>175</v>
      </c>
      <c r="D75" s="34">
        <f>GETPIVOTDATA("Total",$B$7,"Date",DATE(YEAR(D$56),MONTH(D$56),DAY(D$56)),"Account Number","5000","Account Name","Salaries and Wages")/GETPIVOTDATA("FTE",$B$16,"Month",DATE(YEAR(D$56),MONTH(D$56),DAY(D$56)),"Years (Month)",YEAR(D$56))</f>
        <v>4905.775200000001</v>
      </c>
      <c r="E75" s="34">
        <f>GETPIVOTDATA("Total",$B$7,"Date",DATE(YEAR(E$56),MONTH(E$56),DAY(E$56)),"Account Number","5000","Account Name","Salaries and Wages")/GETPIVOTDATA("FTE",$B$16,"Month",DATE(YEAR(E$56),MONTH(E$56),DAY(E$56)),"Years (Month)",YEAR(E$56))</f>
        <v>4986.2816000000003</v>
      </c>
      <c r="F75" s="34">
        <f>GETPIVOTDATA("Total",$B$7,"Date",DATE(YEAR(F$56),MONTH(F$56),DAY(F$56)),"Account Number","5000","Account Name","Salaries and Wages")/GETPIVOTDATA("FTE",$B$16,"Month",DATE(YEAR(F$56),MONTH(F$56),DAY(F$56)),"Years (Month)",YEAR(F$56))</f>
        <v>5121.4531999999999</v>
      </c>
      <c r="G75" s="34">
        <f>GETPIVOTDATA("Total",$B$7,"Date",DATE(YEAR(G$56),MONTH(G$56),DAY(G$56)),"Account Number","5000","Account Name","Salaries and Wages")/GETPIVOTDATA("FTE",$B$16,"Month",DATE(YEAR(G$56),MONTH(G$56),DAY(G$56)),"Years (Month)",YEAR(G$56))</f>
        <v>5164.072000000001</v>
      </c>
      <c r="H75" s="34">
        <f>GETPIVOTDATA("Total",$B$7,"Date",DATE(YEAR(H$56),MONTH(H$56),DAY(H$56)),"Account Number","5000","Account Name","Salaries and Wages")/GETPIVOTDATA("FTE",$B$16,"Month",DATE(YEAR(H$56),MONTH(H$56),DAY(H$56)),"Years (Month)",YEAR(H$56))</f>
        <v>4797.0234615384679</v>
      </c>
      <c r="I75" s="34">
        <f>GETPIVOTDATA("Total",$B$7,"Date",DATE(YEAR(I$56),MONTH(I$56),DAY(I$56)),"Account Number","5000","Account Name","Salaries and Wages")/GETPIVOTDATA("FTE",$B$16,"Month",DATE(YEAR(I$56),MONTH(I$56),DAY(I$56)),"Years (Month)",YEAR(I$56))</f>
        <v>4879.8273076923033</v>
      </c>
      <c r="J75" s="34">
        <f>GETPIVOTDATA("Total",$B$7,"Date",DATE(YEAR(J$56),MONTH(J$56),DAY(J$56)),"Account Number","5000","Account Name","Salaries and Wages")/GETPIVOTDATA("FTE",$B$16,"Month",DATE(YEAR(J$56),MONTH(J$56),DAY(J$56)),"Years (Month)",YEAR(J$56))</f>
        <v>5022.2704000000003</v>
      </c>
      <c r="K75" s="34">
        <f>GETPIVOTDATA("Total",$B$7,"Date",DATE(YEAR(K$56),MONTH(K$56),DAY(K$56)),"Account Number","5000","Account Name","Salaries and Wages")/GETPIVOTDATA("FTE",$B$16,"Month",DATE(YEAR(K$56),MONTH(K$56),DAY(K$56)),"Years (Month)",YEAR(K$56))</f>
        <v>4951.8996153846238</v>
      </c>
      <c r="L75" s="34">
        <f>GETPIVOTDATA("Total",$B$7,"Date",DATE(YEAR(L$56),MONTH(L$56),DAY(L$56)),"Account Number","5000","Account Name","Salaries and Wages")/GETPIVOTDATA("FTE",$B$16,"Month",DATE(YEAR(L$56),MONTH(L$56),DAY(L$56)),"Years (Month)",YEAR(L$56))</f>
        <v>4851.9257692307738</v>
      </c>
      <c r="M75" s="34">
        <f>GETPIVOTDATA("Total",$B$7,"Date",DATE(YEAR(M$56),MONTH(M$56),DAY(M$56)),"Account Number","5000","Account Name","Salaries and Wages")/GETPIVOTDATA("FTE",$B$16,"Month",DATE(YEAR(M$56),MONTH(M$56),DAY(M$56)),"Years (Month)",YEAR(M$56))</f>
        <v>4891.62</v>
      </c>
      <c r="N75" s="34">
        <f>GETPIVOTDATA("Total",$B$7,"Date",DATE(YEAR(N$56),MONTH(N$56),DAY(N$56)),"Account Number","5000","Account Name","Salaries and Wages")/GETPIVOTDATA("FTE",$B$16,"Month",DATE(YEAR(N$56),MONTH(N$56),DAY(N$56)),"Years (Month)",YEAR(N$56))</f>
        <v>4571.6980769230777</v>
      </c>
      <c r="O75" s="34">
        <f>GETPIVOTDATA("Total",$B$7,"Date",DATE(YEAR(O$56),MONTH(O$56),DAY(O$56)),"Account Number","5000","Account Name","Salaries and Wages")/GETPIVOTDATA("FTE",$B$16,"Month",DATE(YEAR(O$56),MONTH(O$56),DAY(O$56)),"Years (Month)",YEAR(O$56))</f>
        <v>4783.7826923076964</v>
      </c>
      <c r="P75" s="50"/>
      <c r="Q75" s="73"/>
    </row>
    <row r="76" spans="2:17">
      <c r="B76" s="74" t="s">
        <v>176</v>
      </c>
      <c r="C76" s="12" t="s">
        <v>177</v>
      </c>
      <c r="D76" s="34">
        <f>GETPIVOTDATA("Total",$B$7,"Date",DATE(YEAR(D$56),MONTH(D$56),DAY(D$56)),"Account Number","5000","Account Name","Salaries and Wages")/GETPIVOTDATA("FTE",$B$16,"Month",DATE(YEAR(D$56),MONTH(D$56),DAY(D$56)),"Years (Month)",YEAR(D$56))</f>
        <v>4905.775200000001</v>
      </c>
      <c r="E76" s="34">
        <f>GETPIVOTDATA("Total",$B$7,"Date",DATE(YEAR(E$56),MONTH(E$56),DAY(E$56)),"Account Number","5000","Account Name","Salaries and Wages")/GETPIVOTDATA("FTE",$B$16,"Month",DATE(YEAR(E$56),MONTH(E$56),DAY(E$56)),"Years (Month)",YEAR(E$56))</f>
        <v>4986.2816000000003</v>
      </c>
      <c r="F76" s="34">
        <f>GETPIVOTDATA("Total",$B$7,"Date",DATE(YEAR(F$56),MONTH(F$56),DAY(F$56)),"Account Number","5000","Account Name","Salaries and Wages")/GETPIVOTDATA("FTE",$B$16,"Month",DATE(YEAR(F$56),MONTH(F$56),DAY(F$56)),"Years (Month)",YEAR(F$56))</f>
        <v>5121.4531999999999</v>
      </c>
      <c r="G76" s="34">
        <f>GETPIVOTDATA("Total",$B$7,"Date",DATE(YEAR(G$56),MONTH(G$56),DAY(G$56)),"Account Number","5000","Account Name","Salaries and Wages")/GETPIVOTDATA("FTE",$B$16,"Month",DATE(YEAR(G$56),MONTH(G$56),DAY(G$56)),"Years (Month)",YEAR(G$56))</f>
        <v>5164.072000000001</v>
      </c>
      <c r="H76" s="34">
        <f>GETPIVOTDATA("Total",$B$7,"Date",DATE(YEAR(H$56),MONTH(H$56),DAY(H$56)),"Account Number","5000","Account Name","Salaries and Wages")/GETPIVOTDATA("FTE",$B$16,"Month",DATE(YEAR(H$56),MONTH(H$56),DAY(H$56)),"Years (Month)",YEAR(H$56))</f>
        <v>4797.0234615384679</v>
      </c>
      <c r="I76" s="34">
        <f>GETPIVOTDATA("Total",$B$7,"Date",DATE(YEAR(I$56),MONTH(I$56),DAY(I$56)),"Account Number","5000","Account Name","Salaries and Wages")/GETPIVOTDATA("FTE",$B$16,"Month",DATE(YEAR(I$56),MONTH(I$56),DAY(I$56)),"Years (Month)",YEAR(I$56))</f>
        <v>4879.8273076923033</v>
      </c>
      <c r="J76" s="34">
        <f>GETPIVOTDATA("Total",$B$7,"Date",DATE(YEAR(J$56),MONTH(J$56),DAY(J$56)),"Account Number","5000","Account Name","Salaries and Wages")/GETPIVOTDATA("FTE",$B$16,"Month",DATE(YEAR(J$56),MONTH(J$56),DAY(J$56)),"Years (Month)",YEAR(J$56))</f>
        <v>5022.2704000000003</v>
      </c>
      <c r="K76" s="34">
        <f>GETPIVOTDATA("Total",$B$7,"Date",DATE(YEAR(K$56),MONTH(K$56),DAY(K$56)),"Account Number","5000","Account Name","Salaries and Wages")/GETPIVOTDATA("FTE",$B$16,"Month",DATE(YEAR(K$56),MONTH(K$56),DAY(K$56)),"Years (Month)",YEAR(K$56))</f>
        <v>4951.8996153846238</v>
      </c>
      <c r="L76" s="34">
        <f>GETPIVOTDATA("Total",$B$7,"Date",DATE(YEAR(L$56),MONTH(L$56),DAY(L$56)),"Account Number","5000","Account Name","Salaries and Wages")/GETPIVOTDATA("FTE",$B$16,"Month",DATE(YEAR(L$56),MONTH(L$56),DAY(L$56)),"Years (Month)",YEAR(L$56))</f>
        <v>4851.9257692307738</v>
      </c>
      <c r="M76" s="34">
        <f>GETPIVOTDATA("Total",$B$7,"Date",DATE(YEAR(M$56),MONTH(M$56),DAY(M$56)),"Account Number","5000","Account Name","Salaries and Wages")/GETPIVOTDATA("FTE",$B$16,"Month",DATE(YEAR(M$56),MONTH(M$56),DAY(M$56)),"Years (Month)",YEAR(M$56))</f>
        <v>4891.62</v>
      </c>
      <c r="N76" s="34">
        <f>GETPIVOTDATA("Total",$B$7,"Date",DATE(YEAR(N$56),MONTH(N$56),DAY(N$56)),"Account Number","5000","Account Name","Salaries and Wages")/GETPIVOTDATA("FTE",$B$16,"Month",DATE(YEAR(N$56),MONTH(N$56),DAY(N$56)),"Years (Month)",YEAR(N$56))</f>
        <v>4571.6980769230777</v>
      </c>
      <c r="O76" s="34">
        <f>GETPIVOTDATA("Total",$B$7,"Date",DATE(YEAR(O$56),MONTH(O$56),DAY(O$56)),"Account Number","5000","Account Name","Salaries and Wages")/GETPIVOTDATA("FTE",$B$16,"Month",DATE(YEAR(O$56),MONTH(O$56),DAY(O$56)),"Years (Month)",YEAR(O$56))</f>
        <v>4783.7826923076964</v>
      </c>
      <c r="P76" s="50"/>
      <c r="Q76" s="73"/>
    </row>
    <row r="77" spans="2:17">
      <c r="B77" s="74" t="s">
        <v>178</v>
      </c>
      <c r="C77" s="12" t="s">
        <v>179</v>
      </c>
      <c r="D77" s="34">
        <f>GETPIVOTDATA("Total",$B$7,"Date",DATE(YEAR(D$56),MONTH(D$56),DAY(D$56)),"Account Number","5000","Account Name","Salaries and Wages")/GETPIVOTDATA("FTE",$B$16,"Month",DATE(YEAR(D$56),MONTH(D$56),DAY(D$56)),"Years (Month)",YEAR(D$56))</f>
        <v>4905.775200000001</v>
      </c>
      <c r="E77" s="34">
        <f>GETPIVOTDATA("Total",$B$7,"Date",DATE(YEAR(E$56),MONTH(E$56),DAY(E$56)),"Account Number","5000","Account Name","Salaries and Wages")/GETPIVOTDATA("FTE",$B$16,"Month",DATE(YEAR(E$56),MONTH(E$56),DAY(E$56)),"Years (Month)",YEAR(E$56))</f>
        <v>4986.2816000000003</v>
      </c>
      <c r="F77" s="34">
        <f>GETPIVOTDATA("Total",$B$7,"Date",DATE(YEAR(F$56),MONTH(F$56),DAY(F$56)),"Account Number","5000","Account Name","Salaries and Wages")/GETPIVOTDATA("FTE",$B$16,"Month",DATE(YEAR(F$56),MONTH(F$56),DAY(F$56)),"Years (Month)",YEAR(F$56))</f>
        <v>5121.4531999999999</v>
      </c>
      <c r="G77" s="34">
        <f>GETPIVOTDATA("Total",$B$7,"Date",DATE(YEAR(G$56),MONTH(G$56),DAY(G$56)),"Account Number","5000","Account Name","Salaries and Wages")/GETPIVOTDATA("FTE",$B$16,"Month",DATE(YEAR(G$56),MONTH(G$56),DAY(G$56)),"Years (Month)",YEAR(G$56))</f>
        <v>5164.072000000001</v>
      </c>
      <c r="H77" s="34">
        <f>GETPIVOTDATA("Total",$B$7,"Date",DATE(YEAR(H$56),MONTH(H$56),DAY(H$56)),"Account Number","5000","Account Name","Salaries and Wages")/GETPIVOTDATA("FTE",$B$16,"Month",DATE(YEAR(H$56),MONTH(H$56),DAY(H$56)),"Years (Month)",YEAR(H$56))</f>
        <v>4797.0234615384679</v>
      </c>
      <c r="I77" s="34">
        <f>GETPIVOTDATA("Total",$B$7,"Date",DATE(YEAR(I$56),MONTH(I$56),DAY(I$56)),"Account Number","5000","Account Name","Salaries and Wages")/GETPIVOTDATA("FTE",$B$16,"Month",DATE(YEAR(I$56),MONTH(I$56),DAY(I$56)),"Years (Month)",YEAR(I$56))</f>
        <v>4879.8273076923033</v>
      </c>
      <c r="J77" s="34">
        <f>GETPIVOTDATA("Total",$B$7,"Date",DATE(YEAR(J$56),MONTH(J$56),DAY(J$56)),"Account Number","5000","Account Name","Salaries and Wages")/GETPIVOTDATA("FTE",$B$16,"Month",DATE(YEAR(J$56),MONTH(J$56),DAY(J$56)),"Years (Month)",YEAR(J$56))</f>
        <v>5022.2704000000003</v>
      </c>
      <c r="K77" s="34">
        <f>GETPIVOTDATA("Total",$B$7,"Date",DATE(YEAR(K$56),MONTH(K$56),DAY(K$56)),"Account Number","5000","Account Name","Salaries and Wages")/GETPIVOTDATA("FTE",$B$16,"Month",DATE(YEAR(K$56),MONTH(K$56),DAY(K$56)),"Years (Month)",YEAR(K$56))</f>
        <v>4951.8996153846238</v>
      </c>
      <c r="L77" s="34">
        <f>GETPIVOTDATA("Total",$B$7,"Date",DATE(YEAR(L$56),MONTH(L$56),DAY(L$56)),"Account Number","5000","Account Name","Salaries and Wages")/GETPIVOTDATA("FTE",$B$16,"Month",DATE(YEAR(L$56),MONTH(L$56),DAY(L$56)),"Years (Month)",YEAR(L$56))</f>
        <v>4851.9257692307738</v>
      </c>
      <c r="M77" s="34">
        <f>GETPIVOTDATA("Total",$B$7,"Date",DATE(YEAR(M$56),MONTH(M$56),DAY(M$56)),"Account Number","5000","Account Name","Salaries and Wages")/GETPIVOTDATA("FTE",$B$16,"Month",DATE(YEAR(M$56),MONTH(M$56),DAY(M$56)),"Years (Month)",YEAR(M$56))</f>
        <v>4891.62</v>
      </c>
      <c r="N77" s="34">
        <f>GETPIVOTDATA("Total",$B$7,"Date",DATE(YEAR(N$56),MONTH(N$56),DAY(N$56)),"Account Number","5000","Account Name","Salaries and Wages")/GETPIVOTDATA("FTE",$B$16,"Month",DATE(YEAR(N$56),MONTH(N$56),DAY(N$56)),"Years (Month)",YEAR(N$56))</f>
        <v>4571.6980769230777</v>
      </c>
      <c r="O77" s="34">
        <f>GETPIVOTDATA("Total",$B$7,"Date",DATE(YEAR(O$56),MONTH(O$56),DAY(O$56)),"Account Number","5000","Account Name","Salaries and Wages")/GETPIVOTDATA("FTE",$B$16,"Month",DATE(YEAR(O$56),MONTH(O$56),DAY(O$56)),"Years (Month)",YEAR(O$56))</f>
        <v>4783.7826923076964</v>
      </c>
      <c r="P77" s="50"/>
      <c r="Q77" s="73"/>
    </row>
    <row r="78" spans="2:17">
      <c r="B78" s="74" t="s">
        <v>180</v>
      </c>
      <c r="C78" s="12" t="s">
        <v>181</v>
      </c>
      <c r="D78" s="34">
        <f>GETPIVOTDATA("Total",$B$7,"Date",DATE(YEAR(D$56),MONTH(D$56),DAY(D$56)),"Account Number","5000","Account Name","Salaries and Wages")/GETPIVOTDATA("FTE",$B$16,"Month",DATE(YEAR(D$56),MONTH(D$56),DAY(D$56)),"Years (Month)",YEAR(D$56))</f>
        <v>4905.775200000001</v>
      </c>
      <c r="E78" s="34">
        <f>GETPIVOTDATA("Total",$B$7,"Date",DATE(YEAR(E$56),MONTH(E$56),DAY(E$56)),"Account Number","5000","Account Name","Salaries and Wages")/GETPIVOTDATA("FTE",$B$16,"Month",DATE(YEAR(E$56),MONTH(E$56),DAY(E$56)),"Years (Month)",YEAR(E$56))</f>
        <v>4986.2816000000003</v>
      </c>
      <c r="F78" s="34">
        <f>GETPIVOTDATA("Total",$B$7,"Date",DATE(YEAR(F$56),MONTH(F$56),DAY(F$56)),"Account Number","5000","Account Name","Salaries and Wages")/GETPIVOTDATA("FTE",$B$16,"Month",DATE(YEAR(F$56),MONTH(F$56),DAY(F$56)),"Years (Month)",YEAR(F$56))</f>
        <v>5121.4531999999999</v>
      </c>
      <c r="G78" s="34">
        <f>GETPIVOTDATA("Total",$B$7,"Date",DATE(YEAR(G$56),MONTH(G$56),DAY(G$56)),"Account Number","5000","Account Name","Salaries and Wages")/GETPIVOTDATA("FTE",$B$16,"Month",DATE(YEAR(G$56),MONTH(G$56),DAY(G$56)),"Years (Month)",YEAR(G$56))</f>
        <v>5164.072000000001</v>
      </c>
      <c r="H78" s="34">
        <f>GETPIVOTDATA("Total",$B$7,"Date",DATE(YEAR(H$56),MONTH(H$56),DAY(H$56)),"Account Number","5000","Account Name","Salaries and Wages")/GETPIVOTDATA("FTE",$B$16,"Month",DATE(YEAR(H$56),MONTH(H$56),DAY(H$56)),"Years (Month)",YEAR(H$56))</f>
        <v>4797.0234615384679</v>
      </c>
      <c r="I78" s="34">
        <f>GETPIVOTDATA("Total",$B$7,"Date",DATE(YEAR(I$56),MONTH(I$56),DAY(I$56)),"Account Number","5000","Account Name","Salaries and Wages")/GETPIVOTDATA("FTE",$B$16,"Month",DATE(YEAR(I$56),MONTH(I$56),DAY(I$56)),"Years (Month)",YEAR(I$56))</f>
        <v>4879.8273076923033</v>
      </c>
      <c r="J78" s="34">
        <f>GETPIVOTDATA("Total",$B$7,"Date",DATE(YEAR(J$56),MONTH(J$56),DAY(J$56)),"Account Number","5000","Account Name","Salaries and Wages")/GETPIVOTDATA("FTE",$B$16,"Month",DATE(YEAR(J$56),MONTH(J$56),DAY(J$56)),"Years (Month)",YEAR(J$56))</f>
        <v>5022.2704000000003</v>
      </c>
      <c r="K78" s="34">
        <f>GETPIVOTDATA("Total",$B$7,"Date",DATE(YEAR(K$56),MONTH(K$56),DAY(K$56)),"Account Number","5000","Account Name","Salaries and Wages")/GETPIVOTDATA("FTE",$B$16,"Month",DATE(YEAR(K$56),MONTH(K$56),DAY(K$56)),"Years (Month)",YEAR(K$56))</f>
        <v>4951.8996153846238</v>
      </c>
      <c r="L78" s="34">
        <f>GETPIVOTDATA("Total",$B$7,"Date",DATE(YEAR(L$56),MONTH(L$56),DAY(L$56)),"Account Number","5000","Account Name","Salaries and Wages")/GETPIVOTDATA("FTE",$B$16,"Month",DATE(YEAR(L$56),MONTH(L$56),DAY(L$56)),"Years (Month)",YEAR(L$56))</f>
        <v>4851.9257692307738</v>
      </c>
      <c r="M78" s="34">
        <f>GETPIVOTDATA("Total",$B$7,"Date",DATE(YEAR(M$56),MONTH(M$56),DAY(M$56)),"Account Number","5000","Account Name","Salaries and Wages")/GETPIVOTDATA("FTE",$B$16,"Month",DATE(YEAR(M$56),MONTH(M$56),DAY(M$56)),"Years (Month)",YEAR(M$56))</f>
        <v>4891.62</v>
      </c>
      <c r="N78" s="34">
        <f>GETPIVOTDATA("Total",$B$7,"Date",DATE(YEAR(N$56),MONTH(N$56),DAY(N$56)),"Account Number","5000","Account Name","Salaries and Wages")/GETPIVOTDATA("FTE",$B$16,"Month",DATE(YEAR(N$56),MONTH(N$56),DAY(N$56)),"Years (Month)",YEAR(N$56))</f>
        <v>4571.6980769230777</v>
      </c>
      <c r="O78" s="34">
        <f>GETPIVOTDATA("Total",$B$7,"Date",DATE(YEAR(O$56),MONTH(O$56),DAY(O$56)),"Account Number","5000","Account Name","Salaries and Wages")/GETPIVOTDATA("FTE",$B$16,"Month",DATE(YEAR(O$56),MONTH(O$56),DAY(O$56)),"Years (Month)",YEAR(O$56))</f>
        <v>4783.7826923076964</v>
      </c>
      <c r="P78" s="50"/>
      <c r="Q78" s="73"/>
    </row>
    <row r="79" spans="2:17">
      <c r="B79" s="74" t="s">
        <v>182</v>
      </c>
      <c r="C79" s="12" t="s">
        <v>183</v>
      </c>
      <c r="D79" s="34">
        <f>GETPIVOTDATA("Total",$B$7,"Date",DATE(YEAR(D$56),MONTH(D$56),DAY(D$56)),"Account Number","5000","Account Name","Salaries and Wages")/GETPIVOTDATA("FTE",$B$16,"Month",DATE(YEAR(D$56),MONTH(D$56),DAY(D$56)),"Years (Month)",YEAR(D$56))</f>
        <v>4905.775200000001</v>
      </c>
      <c r="E79" s="34">
        <f>GETPIVOTDATA("Total",$B$7,"Date",DATE(YEAR(E$56),MONTH(E$56),DAY(E$56)),"Account Number","5000","Account Name","Salaries and Wages")/GETPIVOTDATA("FTE",$B$16,"Month",DATE(YEAR(E$56),MONTH(E$56),DAY(E$56)),"Years (Month)",YEAR(E$56))</f>
        <v>4986.2816000000003</v>
      </c>
      <c r="F79" s="34">
        <f>GETPIVOTDATA("Total",$B$7,"Date",DATE(YEAR(F$56),MONTH(F$56),DAY(F$56)),"Account Number","5000","Account Name","Salaries and Wages")/GETPIVOTDATA("FTE",$B$16,"Month",DATE(YEAR(F$56),MONTH(F$56),DAY(F$56)),"Years (Month)",YEAR(F$56))</f>
        <v>5121.4531999999999</v>
      </c>
      <c r="G79" s="34">
        <f>GETPIVOTDATA("Total",$B$7,"Date",DATE(YEAR(G$56),MONTH(G$56),DAY(G$56)),"Account Number","5000","Account Name","Salaries and Wages")/GETPIVOTDATA("FTE",$B$16,"Month",DATE(YEAR(G$56),MONTH(G$56),DAY(G$56)),"Years (Month)",YEAR(G$56))</f>
        <v>5164.072000000001</v>
      </c>
      <c r="H79" s="34">
        <f>GETPIVOTDATA("Total",$B$7,"Date",DATE(YEAR(H$56),MONTH(H$56),DAY(H$56)),"Account Number","5000","Account Name","Salaries and Wages")/GETPIVOTDATA("FTE",$B$16,"Month",DATE(YEAR(H$56),MONTH(H$56),DAY(H$56)),"Years (Month)",YEAR(H$56))</f>
        <v>4797.0234615384679</v>
      </c>
      <c r="I79" s="34">
        <f>GETPIVOTDATA("Total",$B$7,"Date",DATE(YEAR(I$56),MONTH(I$56),DAY(I$56)),"Account Number","5000","Account Name","Salaries and Wages")/GETPIVOTDATA("FTE",$B$16,"Month",DATE(YEAR(I$56),MONTH(I$56),DAY(I$56)),"Years (Month)",YEAR(I$56))</f>
        <v>4879.8273076923033</v>
      </c>
      <c r="J79" s="34">
        <f>GETPIVOTDATA("Total",$B$7,"Date",DATE(YEAR(J$56),MONTH(J$56),DAY(J$56)),"Account Number","5000","Account Name","Salaries and Wages")/GETPIVOTDATA("FTE",$B$16,"Month",DATE(YEAR(J$56),MONTH(J$56),DAY(J$56)),"Years (Month)",YEAR(J$56))</f>
        <v>5022.2704000000003</v>
      </c>
      <c r="K79" s="34">
        <f>GETPIVOTDATA("Total",$B$7,"Date",DATE(YEAR(K$56),MONTH(K$56),DAY(K$56)),"Account Number","5000","Account Name","Salaries and Wages")/GETPIVOTDATA("FTE",$B$16,"Month",DATE(YEAR(K$56),MONTH(K$56),DAY(K$56)),"Years (Month)",YEAR(K$56))</f>
        <v>4951.8996153846238</v>
      </c>
      <c r="L79" s="34">
        <f>GETPIVOTDATA("Total",$B$7,"Date",DATE(YEAR(L$56),MONTH(L$56),DAY(L$56)),"Account Number","5000","Account Name","Salaries and Wages")/GETPIVOTDATA("FTE",$B$16,"Month",DATE(YEAR(L$56),MONTH(L$56),DAY(L$56)),"Years (Month)",YEAR(L$56))</f>
        <v>4851.9257692307738</v>
      </c>
      <c r="M79" s="34">
        <f>GETPIVOTDATA("Total",$B$7,"Date",DATE(YEAR(M$56),MONTH(M$56),DAY(M$56)),"Account Number","5000","Account Name","Salaries and Wages")/GETPIVOTDATA("FTE",$B$16,"Month",DATE(YEAR(M$56),MONTH(M$56),DAY(M$56)),"Years (Month)",YEAR(M$56))</f>
        <v>4891.62</v>
      </c>
      <c r="N79" s="34">
        <f>GETPIVOTDATA("Total",$B$7,"Date",DATE(YEAR(N$56),MONTH(N$56),DAY(N$56)),"Account Number","5000","Account Name","Salaries and Wages")/GETPIVOTDATA("FTE",$B$16,"Month",DATE(YEAR(N$56),MONTH(N$56),DAY(N$56)),"Years (Month)",YEAR(N$56))</f>
        <v>4571.6980769230777</v>
      </c>
      <c r="O79" s="34">
        <f>GETPIVOTDATA("Total",$B$7,"Date",DATE(YEAR(O$56),MONTH(O$56),DAY(O$56)),"Account Number","5000","Account Name","Salaries and Wages")/GETPIVOTDATA("FTE",$B$16,"Month",DATE(YEAR(O$56),MONTH(O$56),DAY(O$56)),"Years (Month)",YEAR(O$56))</f>
        <v>4783.7826923076964</v>
      </c>
      <c r="P79" s="50"/>
      <c r="Q79" s="73"/>
    </row>
    <row r="80" spans="2:17" ht="16" customHeight="1">
      <c r="B80" s="74" t="s">
        <v>184</v>
      </c>
      <c r="C80" s="12" t="s">
        <v>185</v>
      </c>
      <c r="D80" s="34">
        <f>GETPIVOTDATA("Total",$B$7,"Date",DATE(YEAR(D$56),MONTH(D$56),DAY(D$56)),"Account Number","5000","Account Name","Salaries and Wages")/GETPIVOTDATA("FTE",$B$16,"Month",DATE(YEAR(D$56),MONTH(D$56),DAY(D$56)),"Years (Month)",YEAR(D$56))</f>
        <v>4905.775200000001</v>
      </c>
      <c r="E80" s="34">
        <f>GETPIVOTDATA("Total",$B$7,"Date",DATE(YEAR(E$56),MONTH(E$56),DAY(E$56)),"Account Number","5000","Account Name","Salaries and Wages")/GETPIVOTDATA("FTE",$B$16,"Month",DATE(YEAR(E$56),MONTH(E$56),DAY(E$56)),"Years (Month)",YEAR(E$56))</f>
        <v>4986.2816000000003</v>
      </c>
      <c r="F80" s="34">
        <f>GETPIVOTDATA("Total",$B$7,"Date",DATE(YEAR(F$56),MONTH(F$56),DAY(F$56)),"Account Number","5000","Account Name","Salaries and Wages")/GETPIVOTDATA("FTE",$B$16,"Month",DATE(YEAR(F$56),MONTH(F$56),DAY(F$56)),"Years (Month)",YEAR(F$56))</f>
        <v>5121.4531999999999</v>
      </c>
      <c r="G80" s="34">
        <f>GETPIVOTDATA("Total",$B$7,"Date",DATE(YEAR(G$56),MONTH(G$56),DAY(G$56)),"Account Number","5000","Account Name","Salaries and Wages")/GETPIVOTDATA("FTE",$B$16,"Month",DATE(YEAR(G$56),MONTH(G$56),DAY(G$56)),"Years (Month)",YEAR(G$56))</f>
        <v>5164.072000000001</v>
      </c>
      <c r="H80" s="34">
        <f>GETPIVOTDATA("Total",$B$7,"Date",DATE(YEAR(H$56),MONTH(H$56),DAY(H$56)),"Account Number","5000","Account Name","Salaries and Wages")/GETPIVOTDATA("FTE",$B$16,"Month",DATE(YEAR(H$56),MONTH(H$56),DAY(H$56)),"Years (Month)",YEAR(H$56))</f>
        <v>4797.0234615384679</v>
      </c>
      <c r="I80" s="34">
        <f>GETPIVOTDATA("Total",$B$7,"Date",DATE(YEAR(I$56),MONTH(I$56),DAY(I$56)),"Account Number","5000","Account Name","Salaries and Wages")/GETPIVOTDATA("FTE",$B$16,"Month",DATE(YEAR(I$56),MONTH(I$56),DAY(I$56)),"Years (Month)",YEAR(I$56))</f>
        <v>4879.8273076923033</v>
      </c>
      <c r="J80" s="34">
        <f>GETPIVOTDATA("Total",$B$7,"Date",DATE(YEAR(J$56),MONTH(J$56),DAY(J$56)),"Account Number","5000","Account Name","Salaries and Wages")/GETPIVOTDATA("FTE",$B$16,"Month",DATE(YEAR(J$56),MONTH(J$56),DAY(J$56)),"Years (Month)",YEAR(J$56))</f>
        <v>5022.2704000000003</v>
      </c>
      <c r="K80" s="34">
        <f>GETPIVOTDATA("Total",$B$7,"Date",DATE(YEAR(K$56),MONTH(K$56),DAY(K$56)),"Account Number","5000","Account Name","Salaries and Wages")/GETPIVOTDATA("FTE",$B$16,"Month",DATE(YEAR(K$56),MONTH(K$56),DAY(K$56)),"Years (Month)",YEAR(K$56))</f>
        <v>4951.8996153846238</v>
      </c>
      <c r="L80" s="34">
        <f>GETPIVOTDATA("Total",$B$7,"Date",DATE(YEAR(L$56),MONTH(L$56),DAY(L$56)),"Account Number","5000","Account Name","Salaries and Wages")/GETPIVOTDATA("FTE",$B$16,"Month",DATE(YEAR(L$56),MONTH(L$56),DAY(L$56)),"Years (Month)",YEAR(L$56))</f>
        <v>4851.9257692307738</v>
      </c>
      <c r="M80" s="34">
        <f>GETPIVOTDATA("Total",$B$7,"Date",DATE(YEAR(M$56),MONTH(M$56),DAY(M$56)),"Account Number","5000","Account Name","Salaries and Wages")/GETPIVOTDATA("FTE",$B$16,"Month",DATE(YEAR(M$56),MONTH(M$56),DAY(M$56)),"Years (Month)",YEAR(M$56))</f>
        <v>4891.62</v>
      </c>
      <c r="N80" s="34">
        <f>GETPIVOTDATA("Total",$B$7,"Date",DATE(YEAR(N$56),MONTH(N$56),DAY(N$56)),"Account Number","5000","Account Name","Salaries and Wages")/GETPIVOTDATA("FTE",$B$16,"Month",DATE(YEAR(N$56),MONTH(N$56),DAY(N$56)),"Years (Month)",YEAR(N$56))</f>
        <v>4571.6980769230777</v>
      </c>
      <c r="O80" s="34">
        <f>GETPIVOTDATA("Total",$B$7,"Date",DATE(YEAR(O$56),MONTH(O$56),DAY(O$56)),"Account Number","5000","Account Name","Salaries and Wages")/GETPIVOTDATA("FTE",$B$16,"Month",DATE(YEAR(O$56),MONTH(O$56),DAY(O$56)),"Years (Month)",YEAR(O$56))</f>
        <v>4783.7826923076964</v>
      </c>
      <c r="P80" s="50"/>
      <c r="Q80" s="73"/>
    </row>
    <row r="81" spans="2:17">
      <c r="B81" s="74" t="s">
        <v>186</v>
      </c>
      <c r="C81" s="12" t="s">
        <v>187</v>
      </c>
      <c r="D81" s="34">
        <f>GETPIVOTDATA("Total",$B$7,"Date",DATE(YEAR(D$56),MONTH(D$56),DAY(D$56)),"Account Number","5000","Account Name","Salaries and Wages")/GETPIVOTDATA("FTE",$B$16,"Month",DATE(YEAR(D$56),MONTH(D$56),DAY(D$56)),"Years (Month)",YEAR(D$56))*0.5</f>
        <v>2452.8876000000005</v>
      </c>
      <c r="E81" s="34">
        <f>GETPIVOTDATA("Total",$B$7,"Date",DATE(YEAR(E$56),MONTH(E$56),DAY(E$56)),"Account Number","5000","Account Name","Salaries and Wages")/GETPIVOTDATA("FTE",$B$16,"Month",DATE(YEAR(E$56),MONTH(E$56),DAY(E$56)),"Years (Month)",YEAR(E$56))*0.5</f>
        <v>2493.1408000000001</v>
      </c>
      <c r="F81" s="34">
        <f>GETPIVOTDATA("Total",$B$7,"Date",DATE(YEAR(F$56),MONTH(F$56),DAY(F$56)),"Account Number","5000","Account Name","Salaries and Wages")/GETPIVOTDATA("FTE",$B$16,"Month",DATE(YEAR(F$56),MONTH(F$56),DAY(F$56)),"Years (Month)",YEAR(F$56))*0.5</f>
        <v>2560.7266</v>
      </c>
      <c r="G81" s="34">
        <f>GETPIVOTDATA("Total",$B$7,"Date",DATE(YEAR(G$56),MONTH(G$56),DAY(G$56)),"Account Number","5000","Account Name","Salaries and Wages")/GETPIVOTDATA("FTE",$B$16,"Month",DATE(YEAR(G$56),MONTH(G$56),DAY(G$56)),"Years (Month)",YEAR(G$56))*0.5</f>
        <v>2582.0360000000005</v>
      </c>
      <c r="H81" s="34">
        <f>GETPIVOTDATA("Total",$B$7,"Date",DATE(YEAR(H$56),MONTH(H$56),DAY(H$56)),"Account Number","5000","Account Name","Salaries and Wages")/GETPIVOTDATA("FTE",$B$16,"Month",DATE(YEAR(H$56),MONTH(H$56),DAY(H$56)),"Years (Month)",YEAR(H$56))*0.5</f>
        <v>2398.511730769234</v>
      </c>
      <c r="I81" s="34">
        <f>GETPIVOTDATA("Total",$B$7,"Date",DATE(YEAR(I$56),MONTH(I$56),DAY(I$56)),"Account Number","5000","Account Name","Salaries and Wages")/GETPIVOTDATA("FTE",$B$16,"Month",DATE(YEAR(I$56),MONTH(I$56),DAY(I$56)),"Years (Month)",YEAR(I$56))*0.5</f>
        <v>2439.9136538461516</v>
      </c>
      <c r="J81" s="34">
        <f>GETPIVOTDATA("Total",$B$7,"Date",DATE(YEAR(J$56),MONTH(J$56),DAY(J$56)),"Account Number","5000","Account Name","Salaries and Wages")/GETPIVOTDATA("FTE",$B$16,"Month",DATE(YEAR(J$56),MONTH(J$56),DAY(J$56)),"Years (Month)",YEAR(J$56))*0.5</f>
        <v>2511.1352000000002</v>
      </c>
      <c r="K81" s="34">
        <f>GETPIVOTDATA("Total",$B$7,"Date",DATE(YEAR(K$56),MONTH(K$56),DAY(K$56)),"Account Number","5000","Account Name","Salaries and Wages")/GETPIVOTDATA("FTE",$B$16,"Month",DATE(YEAR(K$56),MONTH(K$56),DAY(K$56)),"Years (Month)",YEAR(K$56))*0.5</f>
        <v>2475.9498076923119</v>
      </c>
      <c r="L81" s="34">
        <f>GETPIVOTDATA("Total",$B$7,"Date",DATE(YEAR(L$56),MONTH(L$56),DAY(L$56)),"Account Number","5000","Account Name","Salaries and Wages")/GETPIVOTDATA("FTE",$B$16,"Month",DATE(YEAR(L$56),MONTH(L$56),DAY(L$56)),"Years (Month)",YEAR(L$56))*0.5</f>
        <v>2425.9628846153869</v>
      </c>
      <c r="M81" s="34">
        <f>GETPIVOTDATA("Total",$B$7,"Date",DATE(YEAR(M$56),MONTH(M$56),DAY(M$56)),"Account Number","5000","Account Name","Salaries and Wages")/GETPIVOTDATA("FTE",$B$16,"Month",DATE(YEAR(M$56),MONTH(M$56),DAY(M$56)),"Years (Month)",YEAR(M$56))*0.5</f>
        <v>2445.81</v>
      </c>
      <c r="N81" s="34">
        <f>GETPIVOTDATA("Total",$B$7,"Date",DATE(YEAR(N$56),MONTH(N$56),DAY(N$56)),"Account Number","5000","Account Name","Salaries and Wages")/GETPIVOTDATA("FTE",$B$16,"Month",DATE(YEAR(N$56),MONTH(N$56),DAY(N$56)),"Years (Month)",YEAR(N$56))*0.5</f>
        <v>2285.8490384615388</v>
      </c>
      <c r="O81" s="34">
        <f>GETPIVOTDATA("Total",$B$7,"Date",DATE(YEAR(O$56),MONTH(O$56),DAY(O$56)),"Account Number","5000","Account Name","Salaries and Wages")/GETPIVOTDATA("FTE",$B$16,"Month",DATE(YEAR(O$56),MONTH(O$56),DAY(O$56)),"Years (Month)",YEAR(O$56))*0.5</f>
        <v>2391.8913461538482</v>
      </c>
      <c r="P81" s="50"/>
      <c r="Q81" s="73"/>
    </row>
    <row r="82" spans="2:17">
      <c r="B82" s="74" t="s">
        <v>190</v>
      </c>
      <c r="C82" s="12" t="s">
        <v>191</v>
      </c>
      <c r="D82" s="75"/>
      <c r="E82" s="75"/>
      <c r="F82" s="75"/>
      <c r="G82" s="75"/>
      <c r="H82" s="34">
        <f>GETPIVOTDATA("Total",$B$7,"Date",DATE(YEAR(H$56),MONTH(H$56),DAY(H$56)),"Account Number","5000","Account Name","Salaries and Wages")/GETPIVOTDATA("FTE",$B$16,"Month",DATE(YEAR(H$56),MONTH(H$56),DAY(H$56)),"Years (Month)",YEAR(H$56))</f>
        <v>4797.0234615384679</v>
      </c>
      <c r="I82" s="34">
        <f>GETPIVOTDATA("Total",$B$7,"Date",DATE(YEAR(I$56),MONTH(I$56),DAY(I$56)),"Account Number","5000","Account Name","Salaries and Wages")/GETPIVOTDATA("FTE",$B$16,"Month",DATE(YEAR(I$56),MONTH(I$56),DAY(I$56)),"Years (Month)",YEAR(I$56))</f>
        <v>4879.8273076923033</v>
      </c>
      <c r="J82" s="34">
        <f>GETPIVOTDATA("Total",$B$7,"Date",DATE(YEAR(J$56),MONTH(J$56),DAY(J$56)),"Account Number","5000","Account Name","Salaries and Wages")/GETPIVOTDATA("FTE",$B$16,"Month",DATE(YEAR(J$56),MONTH(J$56),DAY(J$56)),"Years (Month)",YEAR(J$56))</f>
        <v>5022.2704000000003</v>
      </c>
      <c r="K82" s="34">
        <f>GETPIVOTDATA("Total",$B$7,"Date",DATE(YEAR(K$56),MONTH(K$56),DAY(K$56)),"Account Number","5000","Account Name","Salaries and Wages")/GETPIVOTDATA("FTE",$B$16,"Month",DATE(YEAR(K$56),MONTH(K$56),DAY(K$56)),"Years (Month)",YEAR(K$56))</f>
        <v>4951.8996153846238</v>
      </c>
      <c r="L82" s="34">
        <f>GETPIVOTDATA("Total",$B$7,"Date",DATE(YEAR(L$56),MONTH(L$56),DAY(L$56)),"Account Number","5000","Account Name","Salaries and Wages")/GETPIVOTDATA("FTE",$B$16,"Month",DATE(YEAR(L$56),MONTH(L$56),DAY(L$56)),"Years (Month)",YEAR(L$56))</f>
        <v>4851.9257692307738</v>
      </c>
      <c r="M82" s="34">
        <f>GETPIVOTDATA("Total",$B$7,"Date",DATE(YEAR(M$56),MONTH(M$56),DAY(M$56)),"Account Number","5000","Account Name","Salaries and Wages")/GETPIVOTDATA("FTE",$B$16,"Month",DATE(YEAR(M$56),MONTH(M$56),DAY(M$56)),"Years (Month)",YEAR(M$56))</f>
        <v>4891.62</v>
      </c>
      <c r="N82" s="34">
        <f>GETPIVOTDATA("Total",$B$7,"Date",DATE(YEAR(N$56),MONTH(N$56),DAY(N$56)),"Account Number","5000","Account Name","Salaries and Wages")/GETPIVOTDATA("FTE",$B$16,"Month",DATE(YEAR(N$56),MONTH(N$56),DAY(N$56)),"Years (Month)",YEAR(N$56))</f>
        <v>4571.6980769230777</v>
      </c>
      <c r="O82" s="34">
        <f>GETPIVOTDATA("Total",$B$7,"Date",DATE(YEAR(O$56),MONTH(O$56),DAY(O$56)),"Account Number","5000","Account Name","Salaries and Wages")/GETPIVOTDATA("FTE",$B$16,"Month",DATE(YEAR(O$56),MONTH(O$56),DAY(O$56)),"Years (Month)",YEAR(O$56))</f>
        <v>4783.7826923076964</v>
      </c>
      <c r="P82" s="50"/>
    </row>
    <row r="83" spans="2:17">
      <c r="B83" s="74" t="s">
        <v>192</v>
      </c>
      <c r="C83" s="12" t="s">
        <v>193</v>
      </c>
      <c r="D83" s="75"/>
      <c r="E83" s="75"/>
      <c r="F83" s="75"/>
      <c r="G83" s="75"/>
      <c r="H83" s="75"/>
      <c r="I83" s="75"/>
      <c r="J83" s="75"/>
      <c r="K83" s="34">
        <f>GETPIVOTDATA("Total",$B$7,"Date",DATE(YEAR(K$56),MONTH(K$56),DAY(K$56)),"Account Number","5000","Account Name","Salaries and Wages")/GETPIVOTDATA("FTE",$B$16,"Month",DATE(YEAR(K$56),MONTH(K$56),DAY(K$56)),"Years (Month)",YEAR(K$56))</f>
        <v>4951.8996153846238</v>
      </c>
      <c r="L83" s="34">
        <f>GETPIVOTDATA("Total",$B$7,"Date",DATE(YEAR(L$56),MONTH(L$56),DAY(L$56)),"Account Number","5000","Account Name","Salaries and Wages")/GETPIVOTDATA("FTE",$B$16,"Month",DATE(YEAR(L$56),MONTH(L$56),DAY(L$56)),"Years (Month)",YEAR(L$56))</f>
        <v>4851.9257692307738</v>
      </c>
      <c r="M83" s="34">
        <f>GETPIVOTDATA("Total",$B$7,"Date",DATE(YEAR(M$56),MONTH(M$56),DAY(M$56)),"Account Number","5000","Account Name","Salaries and Wages")/GETPIVOTDATA("FTE",$B$16,"Month",DATE(YEAR(M$56),MONTH(M$56),DAY(M$56)),"Years (Month)",YEAR(M$56))</f>
        <v>4891.62</v>
      </c>
      <c r="N83" s="34">
        <f>GETPIVOTDATA("Total",$B$7,"Date",DATE(YEAR(N$56),MONTH(N$56),DAY(N$56)),"Account Number","5000","Account Name","Salaries and Wages")/GETPIVOTDATA("FTE",$B$16,"Month",DATE(YEAR(N$56),MONTH(N$56),DAY(N$56)),"Years (Month)",YEAR(N$56))</f>
        <v>4571.6980769230777</v>
      </c>
      <c r="O83" s="34">
        <f>GETPIVOTDATA("Total",$B$7,"Date",DATE(YEAR(O$56),MONTH(O$56),DAY(O$56)),"Account Number","5000","Account Name","Salaries and Wages")/GETPIVOTDATA("FTE",$B$16,"Month",DATE(YEAR(O$56),MONTH(O$56),DAY(O$56)),"Years (Month)",YEAR(O$56))</f>
        <v>4783.7826923076964</v>
      </c>
      <c r="P83" s="50"/>
    </row>
    <row r="84" spans="2:17">
      <c r="B84" s="74" t="s">
        <v>188</v>
      </c>
      <c r="C84" s="12" t="s">
        <v>189</v>
      </c>
      <c r="D84" s="75"/>
      <c r="E84" s="75"/>
      <c r="F84" s="75"/>
      <c r="G84" s="34">
        <f>GETPIVOTDATA("Total",$B$7,"Date",DATE(YEAR(G$56),MONTH(G$56),DAY(G$56)),"Account Number","5000","Account Name","Salaries and Wages")/GETPIVOTDATA("FTE",$B$16,"Month",DATE(YEAR(G$56),MONTH(G$56),DAY(G$56)),"Years (Month)",YEAR(G$56))</f>
        <v>5164.072000000001</v>
      </c>
      <c r="H84" s="34">
        <f>GETPIVOTDATA("Total",$B$7,"Date",DATE(YEAR(H$56),MONTH(H$56),DAY(H$56)),"Account Number","5000","Account Name","Salaries and Wages")/GETPIVOTDATA("FTE",$B$16,"Month",DATE(YEAR(H$56),MONTH(H$56),DAY(H$56)),"Years (Month)",YEAR(H$56))</f>
        <v>4797.0234615384679</v>
      </c>
      <c r="I84" s="34">
        <f>GETPIVOTDATA("Total",$B$7,"Date",DATE(YEAR(I$56),MONTH(I$56),DAY(I$56)),"Account Number","5000","Account Name","Salaries and Wages")/GETPIVOTDATA("FTE",$B$16,"Month",DATE(YEAR(I$56),MONTH(I$56),DAY(I$56)),"Years (Month)",YEAR(I$56))</f>
        <v>4879.8273076923033</v>
      </c>
      <c r="J84" s="34">
        <f>GETPIVOTDATA("Total",$B$7,"Date",DATE(YEAR(J$56),MONTH(J$56),DAY(J$56)),"Account Number","5000","Account Name","Salaries and Wages")/GETPIVOTDATA("FTE",$B$16,"Month",DATE(YEAR(J$56),MONTH(J$56),DAY(J$56)),"Years (Month)",YEAR(J$56))</f>
        <v>5022.2704000000003</v>
      </c>
      <c r="K84" s="34">
        <f>GETPIVOTDATA("Total",$B$7,"Date",DATE(YEAR(K$56),MONTH(K$56),DAY(K$56)),"Account Number","5000","Account Name","Salaries and Wages")/GETPIVOTDATA("FTE",$B$16,"Month",DATE(YEAR(K$56),MONTH(K$56),DAY(K$56)),"Years (Month)",YEAR(K$56))</f>
        <v>4951.8996153846238</v>
      </c>
      <c r="L84" s="34">
        <f>GETPIVOTDATA("Total",$B$7,"Date",DATE(YEAR(L$56),MONTH(L$56),DAY(L$56)),"Account Number","5000","Account Name","Salaries and Wages")/GETPIVOTDATA("FTE",$B$16,"Month",DATE(YEAR(L$56),MONTH(L$56),DAY(L$56)),"Years (Month)",YEAR(L$56))</f>
        <v>4851.9257692307738</v>
      </c>
      <c r="M84" s="34">
        <f>GETPIVOTDATA("Total",$B$7,"Date",DATE(YEAR(M$56),MONTH(M$56),DAY(M$56)),"Account Number","5000","Account Name","Salaries and Wages")/GETPIVOTDATA("FTE",$B$16,"Month",DATE(YEAR(M$56),MONTH(M$56),DAY(M$56)),"Years (Month)",YEAR(M$56))</f>
        <v>4891.62</v>
      </c>
      <c r="N84" s="34">
        <f>GETPIVOTDATA("Total",$B$7,"Date",DATE(YEAR(N$56),MONTH(N$56),DAY(N$56)),"Account Number","5000","Account Name","Salaries and Wages")/GETPIVOTDATA("FTE",$B$16,"Month",DATE(YEAR(N$56),MONTH(N$56),DAY(N$56)),"Years (Month)",YEAR(N$56))</f>
        <v>4571.6980769230777</v>
      </c>
      <c r="O84" s="34">
        <f>GETPIVOTDATA("Total",$B$7,"Date",DATE(YEAR(O$56),MONTH(O$56),DAY(O$56)),"Account Number","5000","Account Name","Salaries and Wages")/GETPIVOTDATA("FTE",$B$16,"Month",DATE(YEAR(O$56),MONTH(O$56),DAY(O$56)),"Years (Month)",YEAR(O$56))</f>
        <v>4783.7826923076964</v>
      </c>
      <c r="P84" s="50"/>
      <c r="Q84" s="50"/>
    </row>
    <row r="85" spans="2:17">
      <c r="B85" s="74" t="s">
        <v>194</v>
      </c>
      <c r="C85" s="12" t="s">
        <v>195</v>
      </c>
      <c r="D85" s="75"/>
      <c r="E85" s="75"/>
      <c r="F85" s="75"/>
      <c r="G85" s="75"/>
      <c r="H85" s="75"/>
      <c r="I85" s="75"/>
      <c r="J85" s="75"/>
      <c r="K85" s="75"/>
      <c r="L85" s="34">
        <f>GETPIVOTDATA("Total",$B$7,"Date",DATE(YEAR(L$56),MONTH(L$56),DAY(L$56)),"Account Number","5000","Account Name","Salaries and Wages")/GETPIVOTDATA("FTE",$B$16,"Month",DATE(YEAR(L$56),MONTH(L$56),DAY(L$56)),"Years (Month)",YEAR(L$56))</f>
        <v>4851.9257692307738</v>
      </c>
      <c r="M85" s="34">
        <f>GETPIVOTDATA("Total",$B$7,"Date",DATE(YEAR(M$56),MONTH(M$56),DAY(M$56)),"Account Number","5000","Account Name","Salaries and Wages")/GETPIVOTDATA("FTE",$B$16,"Month",DATE(YEAR(M$56),MONTH(M$56),DAY(M$56)),"Years (Month)",YEAR(M$56))</f>
        <v>4891.62</v>
      </c>
      <c r="N85" s="34">
        <f>GETPIVOTDATA("Total",$B$7,"Date",DATE(YEAR(N$56),MONTH(N$56),DAY(N$56)),"Account Number","5000","Account Name","Salaries and Wages")/GETPIVOTDATA("FTE",$B$16,"Month",DATE(YEAR(N$56),MONTH(N$56),DAY(N$56)),"Years (Month)",YEAR(N$56))</f>
        <v>4571.6980769230777</v>
      </c>
      <c r="O85" s="34">
        <f>GETPIVOTDATA("Total",$B$7,"Date",DATE(YEAR(O$56),MONTH(O$56),DAY(O$56)),"Account Number","5000","Account Name","Salaries and Wages")/GETPIVOTDATA("FTE",$B$16,"Month",DATE(YEAR(O$56),MONTH(O$56),DAY(O$56)),"Years (Month)",YEAR(O$56))</f>
        <v>4783.7826923076964</v>
      </c>
      <c r="P85" s="50"/>
    </row>
    <row r="86" spans="2:17">
      <c r="B86" s="77" t="s">
        <v>196</v>
      </c>
      <c r="C86" s="12" t="s">
        <v>197</v>
      </c>
      <c r="D86" s="75"/>
      <c r="E86" s="75"/>
      <c r="F86" s="75"/>
      <c r="G86" s="75"/>
      <c r="H86" s="75"/>
      <c r="I86" s="75"/>
      <c r="J86" s="75"/>
      <c r="K86" s="75"/>
      <c r="L86" s="75"/>
      <c r="M86" s="75"/>
      <c r="N86" s="34">
        <f>GETPIVOTDATA("Total",$B$7,"Date",DATE(YEAR(N$56),MONTH(N$56),DAY(N$56)),"Account Number","5000","Account Name","Salaries and Wages")/GETPIVOTDATA("FTE",$B$16,"Month",DATE(YEAR(N$56),MONTH(N$56),DAY(N$56)),"Years (Month)",YEAR(N$56))</f>
        <v>4571.6980769230777</v>
      </c>
      <c r="O86" s="34">
        <f>GETPIVOTDATA("Total",$B$7,"Date",DATE(YEAR(O$56),MONTH(O$56),DAY(O$56)),"Account Number","5000","Account Name","Salaries and Wages")/GETPIVOTDATA("FTE",$B$16,"Month",DATE(YEAR(O$56),MONTH(O$56),DAY(O$56)),"Years (Month)",YEAR(O$56))</f>
        <v>4783.7826923076964</v>
      </c>
      <c r="P86" s="50"/>
    </row>
    <row r="87" spans="2:17">
      <c r="B87" s="78" t="s">
        <v>685</v>
      </c>
      <c r="C87" s="78"/>
      <c r="D87" s="79">
        <f>SUM(D57:D86)</f>
        <v>122644.38000000006</v>
      </c>
      <c r="E87" s="79">
        <f>SUM(E57:E86)</f>
        <v>124657.04000000004</v>
      </c>
      <c r="F87" s="79">
        <f>SUM(F57:F86)</f>
        <v>128036.33000000006</v>
      </c>
      <c r="G87" s="79">
        <f>SUM(G57:G86)</f>
        <v>129101.80000000002</v>
      </c>
      <c r="H87" s="79">
        <f>SUM(H57:H86)</f>
        <v>124722.61000000018</v>
      </c>
      <c r="I87" s="79">
        <f>SUM(I57:I86)</f>
        <v>126875.50999999994</v>
      </c>
      <c r="J87" s="79">
        <f>SUM(J57:J86)</f>
        <v>125556.75999999995</v>
      </c>
      <c r="K87" s="79">
        <f>SUM(K57:K86)</f>
        <v>128749.3900000002</v>
      </c>
      <c r="L87" s="79">
        <f>SUM(L57:L86)</f>
        <v>126150.07000000011</v>
      </c>
      <c r="M87" s="79">
        <f>SUM(M57:M86)</f>
        <v>127182.11999999995</v>
      </c>
      <c r="N87" s="79">
        <f>SUM(N57:N86)</f>
        <v>118864.14999999998</v>
      </c>
      <c r="O87" s="79">
        <f>SUM(O57:O86)</f>
        <v>124378.35000000006</v>
      </c>
    </row>
    <row r="90" spans="2:17">
      <c r="B90" s="139" t="s">
        <v>705</v>
      </c>
      <c r="C90" s="139"/>
      <c r="D90" s="139"/>
      <c r="E90" s="139"/>
      <c r="F90" s="139"/>
      <c r="G90" s="139"/>
      <c r="H90" s="139"/>
      <c r="I90" s="139"/>
      <c r="J90" s="139"/>
      <c r="K90" s="139"/>
      <c r="L90" s="139"/>
      <c r="M90" s="139"/>
      <c r="N90" s="139"/>
      <c r="O90" s="139"/>
    </row>
    <row r="91" spans="2:17">
      <c r="B91" s="139" t="s">
        <v>135</v>
      </c>
      <c r="C91" s="139" t="s">
        <v>136</v>
      </c>
      <c r="D91" s="139">
        <v>45839</v>
      </c>
      <c r="E91" s="139">
        <v>45870</v>
      </c>
      <c r="F91" s="139">
        <v>45901</v>
      </c>
      <c r="G91" s="139">
        <v>45931</v>
      </c>
      <c r="H91" s="139">
        <v>45962</v>
      </c>
      <c r="I91" s="139">
        <v>45992</v>
      </c>
      <c r="J91" s="139">
        <v>46023</v>
      </c>
      <c r="K91" s="139">
        <v>46054</v>
      </c>
      <c r="L91" s="139">
        <v>46082</v>
      </c>
      <c r="M91" s="139">
        <v>46113</v>
      </c>
      <c r="N91" s="139">
        <v>46143</v>
      </c>
      <c r="O91" s="139">
        <v>46174</v>
      </c>
    </row>
    <row r="92" spans="2:17">
      <c r="B92" s="139"/>
      <c r="C92" s="139"/>
      <c r="D92" s="139"/>
      <c r="E92" s="139"/>
      <c r="F92" s="139"/>
      <c r="G92" s="139"/>
      <c r="H92" s="139"/>
      <c r="I92" s="139"/>
      <c r="J92" s="139"/>
      <c r="K92" s="139"/>
      <c r="L92" s="139"/>
      <c r="M92" s="139"/>
      <c r="N92" s="139"/>
      <c r="O92" s="139"/>
    </row>
    <row r="93" spans="2:17">
      <c r="B93" s="139" t="s">
        <v>706</v>
      </c>
      <c r="C93" s="139"/>
      <c r="D93" s="140">
        <f>NETWORKDAYS(D56,EOMONTH(D56,0))*8</f>
        <v>184</v>
      </c>
      <c r="E93" s="140">
        <f t="shared" ref="E93:O93" si="0">NETWORKDAYS(E56,EOMONTH(E56,0))*8</f>
        <v>168</v>
      </c>
      <c r="F93" s="140">
        <f t="shared" si="0"/>
        <v>176</v>
      </c>
      <c r="G93" s="140">
        <f t="shared" si="0"/>
        <v>184</v>
      </c>
      <c r="H93" s="140">
        <f t="shared" si="0"/>
        <v>160</v>
      </c>
      <c r="I93" s="140">
        <f t="shared" si="0"/>
        <v>184</v>
      </c>
      <c r="J93" s="140">
        <f t="shared" si="0"/>
        <v>176</v>
      </c>
      <c r="K93" s="140">
        <f t="shared" si="0"/>
        <v>160</v>
      </c>
      <c r="L93" s="140">
        <f t="shared" si="0"/>
        <v>176</v>
      </c>
      <c r="M93" s="140">
        <f>NETWORKDAYS(M56,EOMONTH(M56,0))*8</f>
        <v>176</v>
      </c>
      <c r="N93" s="140">
        <f t="shared" si="0"/>
        <v>168</v>
      </c>
      <c r="O93" s="140">
        <f t="shared" si="0"/>
        <v>176</v>
      </c>
    </row>
    <row r="94" spans="2:17">
      <c r="B94" s="72" t="s">
        <v>138</v>
      </c>
      <c r="C94" s="12" t="s">
        <v>139</v>
      </c>
      <c r="D94" s="34">
        <f>D57/D$93</f>
        <v>39.992732608695661</v>
      </c>
      <c r="E94" s="34">
        <f t="shared" ref="E94:O94" si="1">E57/E$93</f>
        <v>44.52037142857143</v>
      </c>
      <c r="F94" s="34">
        <f t="shared" si="1"/>
        <v>43.648748863636364</v>
      </c>
      <c r="G94" s="34">
        <f t="shared" si="1"/>
        <v>42.098413043478274</v>
      </c>
      <c r="H94" s="34">
        <f t="shared" si="1"/>
        <v>44.972094951923133</v>
      </c>
      <c r="I94" s="34">
        <f t="shared" si="1"/>
        <v>39.781200877926388</v>
      </c>
      <c r="J94" s="34">
        <f t="shared" si="1"/>
        <v>42.803440909090909</v>
      </c>
      <c r="K94" s="34">
        <f t="shared" si="1"/>
        <v>46.424058894230846</v>
      </c>
      <c r="L94" s="34">
        <f t="shared" si="1"/>
        <v>41.351640078671373</v>
      </c>
      <c r="M94" s="34">
        <f t="shared" si="1"/>
        <v>41.689943181818187</v>
      </c>
      <c r="N94" s="34">
        <f t="shared" si="1"/>
        <v>40.818732829670338</v>
      </c>
      <c r="O94" s="34">
        <f t="shared" si="1"/>
        <v>40.770875218531501</v>
      </c>
    </row>
    <row r="95" spans="2:17">
      <c r="B95" s="74" t="s">
        <v>140</v>
      </c>
      <c r="C95" s="12" t="s">
        <v>141</v>
      </c>
      <c r="D95" s="34">
        <f>D58/D$93</f>
        <v>26.661821739130438</v>
      </c>
      <c r="E95" s="34">
        <f>E58/E$93</f>
        <v>29.68024761904762</v>
      </c>
      <c r="F95" s="34">
        <f>F58/F$93</f>
        <v>29.09916590909091</v>
      </c>
      <c r="G95" s="34">
        <f>G58/G$93</f>
        <v>28.06560869565218</v>
      </c>
      <c r="H95" s="34">
        <f>H58/H$93</f>
        <v>29.981396634615425</v>
      </c>
      <c r="I95" s="34">
        <f>I58/I$93</f>
        <v>26.520800585284256</v>
      </c>
      <c r="J95" s="34">
        <f>J58/J$93</f>
        <v>28.535627272727275</v>
      </c>
      <c r="K95" s="34">
        <f>K58/K$93</f>
        <v>30.9493725961539</v>
      </c>
      <c r="L95" s="34">
        <f>L58/L$93</f>
        <v>27.567760052447579</v>
      </c>
      <c r="M95" s="34">
        <f>M58/M$93</f>
        <v>27.793295454545454</v>
      </c>
      <c r="N95" s="34">
        <f>N58/N$93</f>
        <v>27.212488553113559</v>
      </c>
      <c r="O95" s="34">
        <f>O58/O$93</f>
        <v>27.180583479021003</v>
      </c>
    </row>
    <row r="96" spans="2:17">
      <c r="B96" s="74" t="s">
        <v>142</v>
      </c>
      <c r="C96" s="12" t="s">
        <v>143</v>
      </c>
      <c r="D96" s="34">
        <f>D59/D$93</f>
        <v>26.661821739130438</v>
      </c>
      <c r="E96" s="34">
        <f>E59/E$93</f>
        <v>29.68024761904762</v>
      </c>
      <c r="F96" s="34">
        <f>F59/F$93</f>
        <v>29.09916590909091</v>
      </c>
      <c r="G96" s="34">
        <f>G59/G$93</f>
        <v>28.06560869565218</v>
      </c>
      <c r="H96" s="34">
        <f>H59/H$93</f>
        <v>29.981396634615425</v>
      </c>
      <c r="I96" s="34">
        <f>I59/I$93</f>
        <v>26.520800585284256</v>
      </c>
      <c r="J96" s="34">
        <f>J59/J$93</f>
        <v>28.535627272727275</v>
      </c>
      <c r="K96" s="34">
        <f>K59/K$93</f>
        <v>30.9493725961539</v>
      </c>
      <c r="L96" s="34">
        <f>L59/L$93</f>
        <v>27.567760052447579</v>
      </c>
      <c r="M96" s="34">
        <f>M59/M$93</f>
        <v>27.793295454545454</v>
      </c>
      <c r="N96" s="34">
        <f>N59/N$93</f>
        <v>27.212488553113559</v>
      </c>
      <c r="O96" s="34">
        <f>O59/O$93</f>
        <v>27.180583479021003</v>
      </c>
    </row>
    <row r="97" spans="2:15">
      <c r="B97" s="74" t="s">
        <v>144</v>
      </c>
      <c r="C97" s="12" t="s">
        <v>145</v>
      </c>
      <c r="D97" s="34">
        <f>D60/D$93</f>
        <v>26.661821739130438</v>
      </c>
      <c r="E97" s="34">
        <f>E60/E$93</f>
        <v>29.68024761904762</v>
      </c>
      <c r="F97" s="34">
        <f>F60/F$93</f>
        <v>29.09916590909091</v>
      </c>
      <c r="G97" s="34">
        <f>G60/G$93</f>
        <v>28.06560869565218</v>
      </c>
      <c r="H97" s="34">
        <f>H60/H$93</f>
        <v>29.981396634615425</v>
      </c>
      <c r="I97" s="34">
        <f>I60/I$93</f>
        <v>26.520800585284256</v>
      </c>
      <c r="J97" s="34">
        <f>J60/J$93</f>
        <v>28.535627272727275</v>
      </c>
      <c r="K97" s="34">
        <f>K60/K$93</f>
        <v>30.9493725961539</v>
      </c>
      <c r="L97" s="34">
        <f>L60/L$93</f>
        <v>27.567760052447579</v>
      </c>
      <c r="M97" s="34">
        <f>M60/M$93</f>
        <v>27.793295454545454</v>
      </c>
      <c r="N97" s="34">
        <f>N60/N$93</f>
        <v>27.212488553113559</v>
      </c>
      <c r="O97" s="34">
        <f>O60/O$93</f>
        <v>27.180583479021003</v>
      </c>
    </row>
    <row r="98" spans="2:15">
      <c r="B98" s="74" t="s">
        <v>146</v>
      </c>
      <c r="C98" s="12" t="s">
        <v>147</v>
      </c>
      <c r="D98" s="34">
        <f>D61/D$93</f>
        <v>26.661821739130438</v>
      </c>
      <c r="E98" s="34">
        <f>E61/E$93</f>
        <v>29.68024761904762</v>
      </c>
      <c r="F98" s="34">
        <f>F61/F$93</f>
        <v>29.09916590909091</v>
      </c>
      <c r="G98" s="34">
        <f>G61/G$93</f>
        <v>28.06560869565218</v>
      </c>
      <c r="H98" s="34">
        <f>H61/H$93</f>
        <v>29.981396634615425</v>
      </c>
      <c r="I98" s="34">
        <f>I61/I$93</f>
        <v>26.520800585284256</v>
      </c>
      <c r="J98" s="34">
        <f>J61/J$93</f>
        <v>28.535627272727275</v>
      </c>
      <c r="K98" s="34">
        <f>K61/K$93</f>
        <v>30.9493725961539</v>
      </c>
      <c r="L98" s="34">
        <f>L61/L$93</f>
        <v>27.567760052447579</v>
      </c>
      <c r="M98" s="34">
        <f>M61/M$93</f>
        <v>27.793295454545454</v>
      </c>
      <c r="N98" s="34">
        <f>N61/N$93</f>
        <v>27.212488553113559</v>
      </c>
      <c r="O98" s="34">
        <f>O61/O$93</f>
        <v>27.180583479021003</v>
      </c>
    </row>
    <row r="99" spans="2:15">
      <c r="B99" s="74" t="s">
        <v>148</v>
      </c>
      <c r="C99" s="12" t="s">
        <v>149</v>
      </c>
      <c r="D99" s="34">
        <f>D62/D$93</f>
        <v>26.661821739130438</v>
      </c>
      <c r="E99" s="34">
        <f>E62/E$93</f>
        <v>29.68024761904762</v>
      </c>
      <c r="F99" s="34">
        <f>F62/F$93</f>
        <v>29.09916590909091</v>
      </c>
      <c r="G99" s="34">
        <f>G62/G$93</f>
        <v>28.06560869565218</v>
      </c>
      <c r="H99" s="34">
        <f>H62/H$93</f>
        <v>29.981396634615425</v>
      </c>
      <c r="I99" s="34">
        <f>I62/I$93</f>
        <v>26.520800585284256</v>
      </c>
      <c r="J99" s="34">
        <f>J62/J$93</f>
        <v>28.535627272727275</v>
      </c>
      <c r="K99" s="34">
        <f>K62/K$93</f>
        <v>30.9493725961539</v>
      </c>
      <c r="L99" s="75"/>
      <c r="M99" s="75"/>
      <c r="N99" s="75"/>
      <c r="O99" s="75"/>
    </row>
    <row r="100" spans="2:15">
      <c r="B100" s="74" t="s">
        <v>150</v>
      </c>
      <c r="C100" s="12" t="s">
        <v>151</v>
      </c>
      <c r="D100" s="34">
        <f>D63/D$93</f>
        <v>26.661821739130438</v>
      </c>
      <c r="E100" s="34">
        <f>E63/E$93</f>
        <v>29.68024761904762</v>
      </c>
      <c r="F100" s="34">
        <f>F63/F$93</f>
        <v>29.09916590909091</v>
      </c>
      <c r="G100" s="34">
        <f>G63/G$93</f>
        <v>28.06560869565218</v>
      </c>
      <c r="H100" s="34">
        <f>H63/H$93</f>
        <v>29.981396634615425</v>
      </c>
      <c r="I100" s="34">
        <f>I63/I$93</f>
        <v>26.520800585284256</v>
      </c>
      <c r="J100" s="34">
        <f>J63/J$93</f>
        <v>28.535627272727275</v>
      </c>
      <c r="K100" s="34">
        <f>K63/K$93</f>
        <v>30.9493725961539</v>
      </c>
      <c r="L100" s="34">
        <f>L63/L$93</f>
        <v>27.567760052447579</v>
      </c>
      <c r="M100" s="34">
        <f>M63/M$93</f>
        <v>27.793295454545454</v>
      </c>
      <c r="N100" s="34">
        <f>N63/N$93</f>
        <v>27.212488553113559</v>
      </c>
      <c r="O100" s="34">
        <f>O63/O$93</f>
        <v>27.180583479021003</v>
      </c>
    </row>
    <row r="101" spans="2:15">
      <c r="B101" s="74" t="s">
        <v>152</v>
      </c>
      <c r="C101" s="12" t="s">
        <v>153</v>
      </c>
      <c r="D101" s="34">
        <f>D64/D$93</f>
        <v>26.661821739130438</v>
      </c>
      <c r="E101" s="34">
        <f>E64/E$93</f>
        <v>29.68024761904762</v>
      </c>
      <c r="F101" s="34">
        <f>F64/F$93</f>
        <v>29.09916590909091</v>
      </c>
      <c r="G101" s="34">
        <f>G64/G$93</f>
        <v>28.06560869565218</v>
      </c>
      <c r="H101" s="34">
        <f>H64/H$93</f>
        <v>29.981396634615425</v>
      </c>
      <c r="I101" s="34">
        <f>I64/I$93</f>
        <v>26.520800585284256</v>
      </c>
      <c r="J101" s="34">
        <f>J64/J$93</f>
        <v>28.535627272727275</v>
      </c>
      <c r="K101" s="34">
        <f>K64/K$93</f>
        <v>30.9493725961539</v>
      </c>
      <c r="L101" s="34">
        <f>L64/L$93</f>
        <v>27.567760052447579</v>
      </c>
      <c r="M101" s="34">
        <f>M64/M$93</f>
        <v>27.793295454545454</v>
      </c>
      <c r="N101" s="34">
        <f>N64/N$93</f>
        <v>27.212488553113559</v>
      </c>
      <c r="O101" s="34">
        <f>O64/O$93</f>
        <v>27.180583479021003</v>
      </c>
    </row>
    <row r="102" spans="2:15">
      <c r="B102" s="74" t="s">
        <v>154</v>
      </c>
      <c r="C102" s="12" t="s">
        <v>155</v>
      </c>
      <c r="D102" s="34">
        <f>D65/D$93</f>
        <v>26.661821739130438</v>
      </c>
      <c r="E102" s="34">
        <f>E65/E$93</f>
        <v>29.68024761904762</v>
      </c>
      <c r="F102" s="34">
        <f>F65/F$93</f>
        <v>29.09916590909091</v>
      </c>
      <c r="G102" s="34">
        <f>G65/G$93</f>
        <v>28.06560869565218</v>
      </c>
      <c r="H102" s="34">
        <f>H65/H$93</f>
        <v>29.981396634615425</v>
      </c>
      <c r="I102" s="34">
        <f>I65/I$93</f>
        <v>26.520800585284256</v>
      </c>
      <c r="J102" s="34">
        <f>J65/J$93</f>
        <v>28.535627272727275</v>
      </c>
      <c r="K102" s="34">
        <f>K65/K$93</f>
        <v>30.9493725961539</v>
      </c>
      <c r="L102" s="34">
        <f>L65/L$93</f>
        <v>27.567760052447579</v>
      </c>
      <c r="M102" s="34">
        <f>M65/M$93</f>
        <v>27.793295454545454</v>
      </c>
      <c r="N102" s="34">
        <f>N65/N$93</f>
        <v>27.212488553113559</v>
      </c>
      <c r="O102" s="34">
        <f>O65/O$93</f>
        <v>27.180583479021003</v>
      </c>
    </row>
    <row r="103" spans="2:15">
      <c r="B103" s="74" t="s">
        <v>156</v>
      </c>
      <c r="C103" s="12" t="s">
        <v>157</v>
      </c>
      <c r="D103" s="34">
        <f>D66/D$93</f>
        <v>26.661821739130438</v>
      </c>
      <c r="E103" s="34">
        <f>E66/E$93</f>
        <v>29.68024761904762</v>
      </c>
      <c r="F103" s="34">
        <f>F66/F$93</f>
        <v>29.09916590909091</v>
      </c>
      <c r="G103" s="75"/>
      <c r="H103" s="75"/>
      <c r="I103" s="75"/>
      <c r="J103" s="75"/>
      <c r="K103" s="75"/>
      <c r="L103" s="75"/>
      <c r="M103" s="75"/>
      <c r="N103" s="75"/>
      <c r="O103" s="75"/>
    </row>
    <row r="104" spans="2:15">
      <c r="B104" s="74" t="s">
        <v>158</v>
      </c>
      <c r="C104" s="12" t="s">
        <v>159</v>
      </c>
      <c r="D104" s="34">
        <f>D67/D$93</f>
        <v>26.661821739130438</v>
      </c>
      <c r="E104" s="34">
        <f>E67/E$93</f>
        <v>29.68024761904762</v>
      </c>
      <c r="F104" s="34">
        <f>F67/F$93</f>
        <v>29.09916590909091</v>
      </c>
      <c r="G104" s="34">
        <f>G67/G$93</f>
        <v>28.06560869565218</v>
      </c>
      <c r="H104" s="34">
        <f>H67/H$93</f>
        <v>29.981396634615425</v>
      </c>
      <c r="I104" s="34">
        <f>I67/I$93</f>
        <v>26.520800585284256</v>
      </c>
      <c r="J104" s="34">
        <f>J67/J$93</f>
        <v>28.535627272727275</v>
      </c>
      <c r="K104" s="34">
        <f>K67/K$93</f>
        <v>30.9493725961539</v>
      </c>
      <c r="L104" s="34">
        <f>L67/L$93</f>
        <v>27.567760052447579</v>
      </c>
      <c r="M104" s="34">
        <f>M67/M$93</f>
        <v>27.793295454545454</v>
      </c>
      <c r="N104" s="34">
        <f>N67/N$93</f>
        <v>27.212488553113559</v>
      </c>
      <c r="O104" s="34">
        <f>O67/O$93</f>
        <v>27.180583479021003</v>
      </c>
    </row>
    <row r="105" spans="2:15">
      <c r="B105" s="74" t="s">
        <v>160</v>
      </c>
      <c r="C105" s="12" t="s">
        <v>161</v>
      </c>
      <c r="D105" s="34">
        <f>D68/D$93</f>
        <v>26.661821739130438</v>
      </c>
      <c r="E105" s="34">
        <f>E68/E$93</f>
        <v>29.68024761904762</v>
      </c>
      <c r="F105" s="34">
        <f>F68/F$93</f>
        <v>29.09916590909091</v>
      </c>
      <c r="G105" s="34">
        <f>G68/G$93</f>
        <v>28.06560869565218</v>
      </c>
      <c r="H105" s="34">
        <f>H68/H$93</f>
        <v>29.981396634615425</v>
      </c>
      <c r="I105" s="34">
        <f>I68/I$93</f>
        <v>26.520800585284256</v>
      </c>
      <c r="J105" s="34">
        <f>J68/J$93</f>
        <v>28.535627272727275</v>
      </c>
      <c r="K105" s="34">
        <f>K68/K$93</f>
        <v>30.9493725961539</v>
      </c>
      <c r="L105" s="34">
        <f>L68/L$93</f>
        <v>27.567760052447579</v>
      </c>
      <c r="M105" s="34">
        <f>M68/M$93</f>
        <v>27.793295454545454</v>
      </c>
      <c r="N105" s="34">
        <f>N68/N$93</f>
        <v>27.212488553113559</v>
      </c>
      <c r="O105" s="34">
        <f>O68/O$93</f>
        <v>27.180583479021003</v>
      </c>
    </row>
    <row r="106" spans="2:15">
      <c r="B106" s="74" t="s">
        <v>162</v>
      </c>
      <c r="C106" s="12" t="s">
        <v>163</v>
      </c>
      <c r="D106" s="34">
        <f>D69/D$93</f>
        <v>26.661821739130438</v>
      </c>
      <c r="E106" s="34">
        <f>E69/E$93</f>
        <v>29.68024761904762</v>
      </c>
      <c r="F106" s="34">
        <f>F69/F$93</f>
        <v>29.09916590909091</v>
      </c>
      <c r="G106" s="34">
        <f>G69/G$93</f>
        <v>28.06560869565218</v>
      </c>
      <c r="H106" s="34">
        <f>H69/H$93</f>
        <v>29.981396634615425</v>
      </c>
      <c r="I106" s="34">
        <f>I69/I$93</f>
        <v>26.520800585284256</v>
      </c>
      <c r="J106" s="34">
        <f>J69/J$93</f>
        <v>28.535627272727275</v>
      </c>
      <c r="K106" s="34">
        <f>K69/K$93</f>
        <v>30.9493725961539</v>
      </c>
      <c r="L106" s="34">
        <f>L69/L$93</f>
        <v>27.567760052447579</v>
      </c>
      <c r="M106" s="34">
        <f>M69/M$93</f>
        <v>27.793295454545454</v>
      </c>
      <c r="N106" s="34">
        <f>N69/N$93</f>
        <v>27.212488553113559</v>
      </c>
      <c r="O106" s="34">
        <f>O69/O$93</f>
        <v>27.180583479021003</v>
      </c>
    </row>
    <row r="107" spans="2:15">
      <c r="B107" s="74" t="s">
        <v>164</v>
      </c>
      <c r="C107" s="12" t="s">
        <v>165</v>
      </c>
      <c r="D107" s="34">
        <f>D70/D$93</f>
        <v>26.661821739130438</v>
      </c>
      <c r="E107" s="34">
        <f>E70/E$93</f>
        <v>29.68024761904762</v>
      </c>
      <c r="F107" s="34">
        <f>F70/F$93</f>
        <v>29.09916590909091</v>
      </c>
      <c r="G107" s="34">
        <f>G70/G$93</f>
        <v>28.06560869565218</v>
      </c>
      <c r="H107" s="34">
        <f>H70/H$93</f>
        <v>29.981396634615425</v>
      </c>
      <c r="I107" s="34">
        <f>I70/I$93</f>
        <v>26.520800585284256</v>
      </c>
      <c r="J107" s="34">
        <f>J70/J$93</f>
        <v>28.535627272727275</v>
      </c>
      <c r="K107" s="34">
        <f>K70/K$93</f>
        <v>30.9493725961539</v>
      </c>
      <c r="L107" s="34">
        <f>L70/L$93</f>
        <v>27.567760052447579</v>
      </c>
      <c r="M107" s="34">
        <f>M70/M$93</f>
        <v>27.793295454545454</v>
      </c>
      <c r="N107" s="34">
        <f>N70/N$93</f>
        <v>27.212488553113559</v>
      </c>
      <c r="O107" s="34">
        <f>O70/O$93</f>
        <v>27.180583479021003</v>
      </c>
    </row>
    <row r="108" spans="2:15">
      <c r="B108" s="74" t="s">
        <v>166</v>
      </c>
      <c r="C108" s="12" t="s">
        <v>167</v>
      </c>
      <c r="D108" s="34">
        <f>D71/D$93</f>
        <v>26.661821739130438</v>
      </c>
      <c r="E108" s="34">
        <f>E71/E$93</f>
        <v>29.68024761904762</v>
      </c>
      <c r="F108" s="34">
        <f>F71/F$93</f>
        <v>29.09916590909091</v>
      </c>
      <c r="G108" s="34">
        <f>G71/G$93</f>
        <v>28.06560869565218</v>
      </c>
      <c r="H108" s="34">
        <f>H71/H$93</f>
        <v>29.981396634615425</v>
      </c>
      <c r="I108" s="34">
        <f>I71/I$93</f>
        <v>26.520800585284256</v>
      </c>
      <c r="J108" s="34">
        <f>J71/J$93</f>
        <v>28.535627272727275</v>
      </c>
      <c r="K108" s="34">
        <f>K71/K$93</f>
        <v>30.9493725961539</v>
      </c>
      <c r="L108" s="34">
        <f>L71/L$93</f>
        <v>27.567760052447579</v>
      </c>
      <c r="M108" s="34">
        <f>M71/M$93</f>
        <v>27.793295454545454</v>
      </c>
      <c r="N108" s="34">
        <f>N71/N$93</f>
        <v>27.212488553113559</v>
      </c>
      <c r="O108" s="34">
        <f>O71/O$93</f>
        <v>27.180583479021003</v>
      </c>
    </row>
    <row r="109" spans="2:15">
      <c r="B109" s="74" t="s">
        <v>168</v>
      </c>
      <c r="C109" s="12" t="s">
        <v>169</v>
      </c>
      <c r="D109" s="34">
        <f>D72/D$93</f>
        <v>26.661821739130438</v>
      </c>
      <c r="E109" s="34">
        <f>E72/E$93</f>
        <v>29.68024761904762</v>
      </c>
      <c r="F109" s="34">
        <f>F72/F$93</f>
        <v>29.09916590909091</v>
      </c>
      <c r="G109" s="34">
        <f>G72/G$93</f>
        <v>28.06560869565218</v>
      </c>
      <c r="H109" s="34">
        <f>H72/H$93</f>
        <v>29.981396634615425</v>
      </c>
      <c r="I109" s="34">
        <f>I72/I$93</f>
        <v>26.520800585284256</v>
      </c>
      <c r="J109" s="34">
        <f>J72/J$93</f>
        <v>28.535627272727275</v>
      </c>
      <c r="K109" s="34">
        <f>K72/K$93</f>
        <v>30.9493725961539</v>
      </c>
      <c r="L109" s="34">
        <f>L72/L$93</f>
        <v>27.567760052447579</v>
      </c>
      <c r="M109" s="34">
        <f>M72/M$93</f>
        <v>27.793295454545454</v>
      </c>
      <c r="N109" s="34">
        <f>N72/N$93</f>
        <v>27.212488553113559</v>
      </c>
      <c r="O109" s="34">
        <f>O72/O$93</f>
        <v>27.180583479021003</v>
      </c>
    </row>
    <row r="110" spans="2:15">
      <c r="B110" s="74" t="s">
        <v>170</v>
      </c>
      <c r="C110" s="12" t="s">
        <v>171</v>
      </c>
      <c r="D110" s="34">
        <f>D73/D$93</f>
        <v>26.661821739130438</v>
      </c>
      <c r="E110" s="34">
        <f>E73/E$93</f>
        <v>29.68024761904762</v>
      </c>
      <c r="F110" s="34">
        <f>F73/F$93</f>
        <v>29.09916590909091</v>
      </c>
      <c r="G110" s="34">
        <f>G73/G$93</f>
        <v>28.06560869565218</v>
      </c>
      <c r="H110" s="34">
        <f>H73/H$93</f>
        <v>29.981396634615425</v>
      </c>
      <c r="I110" s="34">
        <f>I73/I$93</f>
        <v>26.520800585284256</v>
      </c>
      <c r="J110" s="34">
        <f>J73/J$93</f>
        <v>28.535627272727275</v>
      </c>
      <c r="K110" s="34">
        <f>K73/K$93</f>
        <v>30.9493725961539</v>
      </c>
      <c r="L110" s="34">
        <f>L73/L$93</f>
        <v>27.567760052447579</v>
      </c>
      <c r="M110" s="34">
        <f>M73/M$93</f>
        <v>27.793295454545454</v>
      </c>
      <c r="N110" s="75"/>
      <c r="O110" s="75"/>
    </row>
    <row r="111" spans="2:15">
      <c r="B111" s="74" t="s">
        <v>172</v>
      </c>
      <c r="C111" s="12" t="s">
        <v>173</v>
      </c>
      <c r="D111" s="34">
        <f>D74/D$93</f>
        <v>26.661821739130438</v>
      </c>
      <c r="E111" s="34">
        <f>E74/E$93</f>
        <v>29.68024761904762</v>
      </c>
      <c r="F111" s="34">
        <f>F74/F$93</f>
        <v>29.09916590909091</v>
      </c>
      <c r="G111" s="34">
        <f>G74/G$93</f>
        <v>28.06560869565218</v>
      </c>
      <c r="H111" s="34">
        <f>H74/H$93</f>
        <v>29.981396634615425</v>
      </c>
      <c r="I111" s="34">
        <f>I74/I$93</f>
        <v>26.520800585284256</v>
      </c>
      <c r="J111" s="76"/>
      <c r="K111" s="76"/>
      <c r="L111" s="75"/>
      <c r="M111" s="75"/>
      <c r="N111" s="75"/>
      <c r="O111" s="75"/>
    </row>
    <row r="112" spans="2:15">
      <c r="B112" s="74" t="s">
        <v>174</v>
      </c>
      <c r="C112" s="12" t="s">
        <v>175</v>
      </c>
      <c r="D112" s="34">
        <f>D75/D$93</f>
        <v>26.661821739130438</v>
      </c>
      <c r="E112" s="34">
        <f>E75/E$93</f>
        <v>29.68024761904762</v>
      </c>
      <c r="F112" s="34">
        <f>F75/F$93</f>
        <v>29.09916590909091</v>
      </c>
      <c r="G112" s="34">
        <f>G75/G$93</f>
        <v>28.06560869565218</v>
      </c>
      <c r="H112" s="34">
        <f>H75/H$93</f>
        <v>29.981396634615425</v>
      </c>
      <c r="I112" s="34">
        <f>I75/I$93</f>
        <v>26.520800585284256</v>
      </c>
      <c r="J112" s="34">
        <f>J75/J$93</f>
        <v>28.535627272727275</v>
      </c>
      <c r="K112" s="34">
        <f>K75/K$93</f>
        <v>30.9493725961539</v>
      </c>
      <c r="L112" s="34">
        <f>L75/L$93</f>
        <v>27.567760052447579</v>
      </c>
      <c r="M112" s="34">
        <f>M75/M$93</f>
        <v>27.793295454545454</v>
      </c>
      <c r="N112" s="34">
        <f>N75/N$93</f>
        <v>27.212488553113559</v>
      </c>
      <c r="O112" s="34">
        <f>O75/O$93</f>
        <v>27.180583479021003</v>
      </c>
    </row>
    <row r="113" spans="2:15">
      <c r="B113" s="74" t="s">
        <v>176</v>
      </c>
      <c r="C113" s="12" t="s">
        <v>177</v>
      </c>
      <c r="D113" s="34">
        <f>D76/D$93</f>
        <v>26.661821739130438</v>
      </c>
      <c r="E113" s="34">
        <f>E76/E$93</f>
        <v>29.68024761904762</v>
      </c>
      <c r="F113" s="34">
        <f>F76/F$93</f>
        <v>29.09916590909091</v>
      </c>
      <c r="G113" s="34">
        <f>G76/G$93</f>
        <v>28.06560869565218</v>
      </c>
      <c r="H113" s="34">
        <f>H76/H$93</f>
        <v>29.981396634615425</v>
      </c>
      <c r="I113" s="34">
        <f>I76/I$93</f>
        <v>26.520800585284256</v>
      </c>
      <c r="J113" s="34">
        <f>J76/J$93</f>
        <v>28.535627272727275</v>
      </c>
      <c r="K113" s="34">
        <f>K76/K$93</f>
        <v>30.9493725961539</v>
      </c>
      <c r="L113" s="34">
        <f>L76/L$93</f>
        <v>27.567760052447579</v>
      </c>
      <c r="M113" s="34">
        <f>M76/M$93</f>
        <v>27.793295454545454</v>
      </c>
      <c r="N113" s="34">
        <f>N76/N$93</f>
        <v>27.212488553113559</v>
      </c>
      <c r="O113" s="34">
        <f>O76/O$93</f>
        <v>27.180583479021003</v>
      </c>
    </row>
    <row r="114" spans="2:15">
      <c r="B114" s="74" t="s">
        <v>178</v>
      </c>
      <c r="C114" s="12" t="s">
        <v>179</v>
      </c>
      <c r="D114" s="34">
        <f>D77/D$93</f>
        <v>26.661821739130438</v>
      </c>
      <c r="E114" s="34">
        <f>E77/E$93</f>
        <v>29.68024761904762</v>
      </c>
      <c r="F114" s="34">
        <f>F77/F$93</f>
        <v>29.09916590909091</v>
      </c>
      <c r="G114" s="34">
        <f>G77/G$93</f>
        <v>28.06560869565218</v>
      </c>
      <c r="H114" s="34">
        <f>H77/H$93</f>
        <v>29.981396634615425</v>
      </c>
      <c r="I114" s="34">
        <f>I77/I$93</f>
        <v>26.520800585284256</v>
      </c>
      <c r="J114" s="34">
        <f>J77/J$93</f>
        <v>28.535627272727275</v>
      </c>
      <c r="K114" s="34">
        <f>K77/K$93</f>
        <v>30.9493725961539</v>
      </c>
      <c r="L114" s="34">
        <f>L77/L$93</f>
        <v>27.567760052447579</v>
      </c>
      <c r="M114" s="34">
        <f>M77/M$93</f>
        <v>27.793295454545454</v>
      </c>
      <c r="N114" s="34">
        <f>N77/N$93</f>
        <v>27.212488553113559</v>
      </c>
      <c r="O114" s="34">
        <f>O77/O$93</f>
        <v>27.180583479021003</v>
      </c>
    </row>
    <row r="115" spans="2:15">
      <c r="B115" s="74" t="s">
        <v>180</v>
      </c>
      <c r="C115" s="12" t="s">
        <v>181</v>
      </c>
      <c r="D115" s="34">
        <f>D78/D$93</f>
        <v>26.661821739130438</v>
      </c>
      <c r="E115" s="34">
        <f>E78/E$93</f>
        <v>29.68024761904762</v>
      </c>
      <c r="F115" s="34">
        <f>F78/F$93</f>
        <v>29.09916590909091</v>
      </c>
      <c r="G115" s="34">
        <f>G78/G$93</f>
        <v>28.06560869565218</v>
      </c>
      <c r="H115" s="34">
        <f>H78/H$93</f>
        <v>29.981396634615425</v>
      </c>
      <c r="I115" s="34">
        <f>I78/I$93</f>
        <v>26.520800585284256</v>
      </c>
      <c r="J115" s="34">
        <f>J78/J$93</f>
        <v>28.535627272727275</v>
      </c>
      <c r="K115" s="34">
        <f>K78/K$93</f>
        <v>30.9493725961539</v>
      </c>
      <c r="L115" s="34">
        <f>L78/L$93</f>
        <v>27.567760052447579</v>
      </c>
      <c r="M115" s="34">
        <f>M78/M$93</f>
        <v>27.793295454545454</v>
      </c>
      <c r="N115" s="34">
        <f>N78/N$93</f>
        <v>27.212488553113559</v>
      </c>
      <c r="O115" s="34">
        <f>O78/O$93</f>
        <v>27.180583479021003</v>
      </c>
    </row>
    <row r="116" spans="2:15">
      <c r="B116" s="74" t="s">
        <v>182</v>
      </c>
      <c r="C116" s="12" t="s">
        <v>183</v>
      </c>
      <c r="D116" s="34">
        <f>D79/D$93</f>
        <v>26.661821739130438</v>
      </c>
      <c r="E116" s="34">
        <f>E79/E$93</f>
        <v>29.68024761904762</v>
      </c>
      <c r="F116" s="34">
        <f>F79/F$93</f>
        <v>29.09916590909091</v>
      </c>
      <c r="G116" s="34">
        <f>G79/G$93</f>
        <v>28.06560869565218</v>
      </c>
      <c r="H116" s="34">
        <f>H79/H$93</f>
        <v>29.981396634615425</v>
      </c>
      <c r="I116" s="34">
        <f>I79/I$93</f>
        <v>26.520800585284256</v>
      </c>
      <c r="J116" s="34">
        <f>J79/J$93</f>
        <v>28.535627272727275</v>
      </c>
      <c r="K116" s="34">
        <f>K79/K$93</f>
        <v>30.9493725961539</v>
      </c>
      <c r="L116" s="34">
        <f>L79/L$93</f>
        <v>27.567760052447579</v>
      </c>
      <c r="M116" s="34">
        <f>M79/M$93</f>
        <v>27.793295454545454</v>
      </c>
      <c r="N116" s="34">
        <f>N79/N$93</f>
        <v>27.212488553113559</v>
      </c>
      <c r="O116" s="34">
        <f>O79/O$93</f>
        <v>27.180583479021003</v>
      </c>
    </row>
    <row r="117" spans="2:15">
      <c r="B117" s="74" t="s">
        <v>184</v>
      </c>
      <c r="C117" s="12" t="s">
        <v>185</v>
      </c>
      <c r="D117" s="34">
        <f>D80/D$93</f>
        <v>26.661821739130438</v>
      </c>
      <c r="E117" s="34">
        <f>E80/E$93</f>
        <v>29.68024761904762</v>
      </c>
      <c r="F117" s="34">
        <f>F80/F$93</f>
        <v>29.09916590909091</v>
      </c>
      <c r="G117" s="34">
        <f>G80/G$93</f>
        <v>28.06560869565218</v>
      </c>
      <c r="H117" s="34">
        <f>H80/H$93</f>
        <v>29.981396634615425</v>
      </c>
      <c r="I117" s="34">
        <f>I80/I$93</f>
        <v>26.520800585284256</v>
      </c>
      <c r="J117" s="34">
        <f>J80/J$93</f>
        <v>28.535627272727275</v>
      </c>
      <c r="K117" s="34">
        <f>K80/K$93</f>
        <v>30.9493725961539</v>
      </c>
      <c r="L117" s="34">
        <f>L80/L$93</f>
        <v>27.567760052447579</v>
      </c>
      <c r="M117" s="34">
        <f>M80/M$93</f>
        <v>27.793295454545454</v>
      </c>
      <c r="N117" s="34">
        <f>N80/N$93</f>
        <v>27.212488553113559</v>
      </c>
      <c r="O117" s="34">
        <f>O80/O$93</f>
        <v>27.180583479021003</v>
      </c>
    </row>
    <row r="118" spans="2:15">
      <c r="B118" s="74" t="s">
        <v>186</v>
      </c>
      <c r="C118" s="12" t="s">
        <v>187</v>
      </c>
      <c r="D118" s="34">
        <f>D81/D$93</f>
        <v>13.330910869565219</v>
      </c>
      <c r="E118" s="34">
        <f>E81/E$93</f>
        <v>14.84012380952381</v>
      </c>
      <c r="F118" s="34">
        <f>F81/F$93</f>
        <v>14.549582954545455</v>
      </c>
      <c r="G118" s="34">
        <f>G81/G$93</f>
        <v>14.03280434782609</v>
      </c>
      <c r="H118" s="34">
        <f>H81/H$93</f>
        <v>14.990698317307713</v>
      </c>
      <c r="I118" s="34">
        <f>I81/I$93</f>
        <v>13.260400292642128</v>
      </c>
      <c r="J118" s="34">
        <f>J81/J$93</f>
        <v>14.267813636363638</v>
      </c>
      <c r="K118" s="34">
        <f>K81/K$93</f>
        <v>15.47468629807695</v>
      </c>
      <c r="L118" s="34">
        <f>L81/L$93</f>
        <v>13.783880026223789</v>
      </c>
      <c r="M118" s="34">
        <f>M81/M$93</f>
        <v>13.896647727272727</v>
      </c>
      <c r="N118" s="34">
        <f>N81/N$93</f>
        <v>13.606244276556779</v>
      </c>
      <c r="O118" s="34">
        <f>O81/O$93</f>
        <v>13.590291739510501</v>
      </c>
    </row>
    <row r="119" spans="2:15">
      <c r="B119" s="74" t="s">
        <v>190</v>
      </c>
      <c r="C119" s="12" t="s">
        <v>191</v>
      </c>
      <c r="D119" s="75"/>
      <c r="E119" s="75"/>
      <c r="F119" s="75"/>
      <c r="G119" s="75"/>
      <c r="H119" s="34">
        <f>H82/H$93</f>
        <v>29.981396634615425</v>
      </c>
      <c r="I119" s="34">
        <f>I82/I$93</f>
        <v>26.520800585284256</v>
      </c>
      <c r="J119" s="34">
        <f>J82/J$93</f>
        <v>28.535627272727275</v>
      </c>
      <c r="K119" s="34">
        <f>K82/K$93</f>
        <v>30.9493725961539</v>
      </c>
      <c r="L119" s="34">
        <f>L82/L$93</f>
        <v>27.567760052447579</v>
      </c>
      <c r="M119" s="34">
        <f>M82/M$93</f>
        <v>27.793295454545454</v>
      </c>
      <c r="N119" s="34">
        <f>N82/N$93</f>
        <v>27.212488553113559</v>
      </c>
      <c r="O119" s="34">
        <f>O82/O$93</f>
        <v>27.180583479021003</v>
      </c>
    </row>
    <row r="120" spans="2:15">
      <c r="B120" s="74" t="s">
        <v>192</v>
      </c>
      <c r="C120" s="12" t="s">
        <v>193</v>
      </c>
      <c r="D120" s="75"/>
      <c r="E120" s="75"/>
      <c r="F120" s="75"/>
      <c r="G120" s="75"/>
      <c r="H120" s="75"/>
      <c r="I120" s="75"/>
      <c r="J120" s="75"/>
      <c r="K120" s="34">
        <f>K83/K$93</f>
        <v>30.9493725961539</v>
      </c>
      <c r="L120" s="34">
        <f>L83/L$93</f>
        <v>27.567760052447579</v>
      </c>
      <c r="M120" s="34">
        <f>M83/M$93</f>
        <v>27.793295454545454</v>
      </c>
      <c r="N120" s="34">
        <f>N83/N$93</f>
        <v>27.212488553113559</v>
      </c>
      <c r="O120" s="34">
        <f>O83/O$93</f>
        <v>27.180583479021003</v>
      </c>
    </row>
    <row r="121" spans="2:15">
      <c r="B121" s="74" t="s">
        <v>188</v>
      </c>
      <c r="C121" s="12" t="s">
        <v>189</v>
      </c>
      <c r="D121" s="75"/>
      <c r="E121" s="75"/>
      <c r="F121" s="75"/>
      <c r="G121" s="34">
        <f>G84/G$93</f>
        <v>28.06560869565218</v>
      </c>
      <c r="H121" s="34">
        <f>H84/H$93</f>
        <v>29.981396634615425</v>
      </c>
      <c r="I121" s="34">
        <f>I84/I$93</f>
        <v>26.520800585284256</v>
      </c>
      <c r="J121" s="34">
        <f>J84/J$93</f>
        <v>28.535627272727275</v>
      </c>
      <c r="K121" s="34">
        <f>K84/K$93</f>
        <v>30.9493725961539</v>
      </c>
      <c r="L121" s="34">
        <f>L84/L$93</f>
        <v>27.567760052447579</v>
      </c>
      <c r="M121" s="34">
        <f>M84/M$93</f>
        <v>27.793295454545454</v>
      </c>
      <c r="N121" s="34">
        <f>N84/N$93</f>
        <v>27.212488553113559</v>
      </c>
      <c r="O121" s="34">
        <f>O84/O$93</f>
        <v>27.180583479021003</v>
      </c>
    </row>
    <row r="122" spans="2:15">
      <c r="B122" s="74" t="s">
        <v>194</v>
      </c>
      <c r="C122" s="12" t="s">
        <v>195</v>
      </c>
      <c r="D122" s="75"/>
      <c r="E122" s="75"/>
      <c r="F122" s="75"/>
      <c r="G122" s="75"/>
      <c r="H122" s="75"/>
      <c r="I122" s="75"/>
      <c r="J122" s="75"/>
      <c r="K122" s="75"/>
      <c r="L122" s="34">
        <f>L85/L$93</f>
        <v>27.567760052447579</v>
      </c>
      <c r="M122" s="34">
        <f>M85/M$93</f>
        <v>27.793295454545454</v>
      </c>
      <c r="N122" s="34">
        <f>N85/N$93</f>
        <v>27.212488553113559</v>
      </c>
      <c r="O122" s="34">
        <f>O85/O$93</f>
        <v>27.180583479021003</v>
      </c>
    </row>
    <row r="123" spans="2:15">
      <c r="B123" s="74" t="s">
        <v>196</v>
      </c>
      <c r="C123" s="12" t="s">
        <v>197</v>
      </c>
      <c r="D123" s="75"/>
      <c r="E123" s="75"/>
      <c r="F123" s="75"/>
      <c r="G123" s="75"/>
      <c r="H123" s="75"/>
      <c r="I123" s="75"/>
      <c r="J123" s="75"/>
      <c r="K123" s="75"/>
      <c r="L123" s="75"/>
      <c r="M123" s="75"/>
      <c r="N123" s="34">
        <f>N86/N$93</f>
        <v>27.212488553113559</v>
      </c>
      <c r="O123" s="34">
        <f>O86/O$93</f>
        <v>27.180583479021003</v>
      </c>
    </row>
  </sheetData>
  <mergeCells count="1">
    <mergeCell ref="B5:G5"/>
  </mergeCells>
  <pageMargins left="0.75" right="0.75" top="1" bottom="1" header="0.511811023622047" footer="0.511811023622047"/>
  <pageSetup paperSize="9" orientation="portrait" horizontalDpi="300" verticalDpi="300"/>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C07F2-5C32-824F-A5B2-75A22E9D198D}">
  <dimension ref="B2:Z327"/>
  <sheetViews>
    <sheetView showGridLines="0" workbookViewId="0">
      <pane ySplit="9" topLeftCell="A10" activePane="bottomLeft" state="frozen"/>
      <selection pane="bottomLeft"/>
    </sheetView>
  </sheetViews>
  <sheetFormatPr baseColWidth="10" defaultRowHeight="15"/>
  <cols>
    <col min="1" max="1" width="5.6640625" style="12" customWidth="1"/>
    <col min="2" max="2" width="10.83203125" style="12"/>
    <col min="3" max="3" width="14" style="12" bestFit="1" customWidth="1"/>
    <col min="4" max="12" width="10.83203125" style="12"/>
    <col min="13" max="13" width="13.5" style="12" bestFit="1" customWidth="1"/>
    <col min="14" max="14" width="19" style="12" bestFit="1" customWidth="1"/>
    <col min="15" max="16384" width="10.83203125" style="12"/>
  </cols>
  <sheetData>
    <row r="2" spans="2:26" ht="18">
      <c r="B2" s="164" t="s">
        <v>786</v>
      </c>
    </row>
    <row r="3" spans="2:26">
      <c r="B3" s="53" t="s">
        <v>690</v>
      </c>
    </row>
    <row r="4" spans="2:26">
      <c r="B4" s="53" t="s">
        <v>207</v>
      </c>
    </row>
    <row r="5" spans="2:26" ht="15" customHeight="1">
      <c r="B5" s="54" t="s">
        <v>691</v>
      </c>
      <c r="C5" s="55"/>
      <c r="D5" s="55"/>
      <c r="E5" s="55"/>
      <c r="F5" s="55"/>
      <c r="G5" s="55"/>
    </row>
    <row r="6" spans="2:26">
      <c r="B6" s="42" t="s">
        <v>692</v>
      </c>
    </row>
    <row r="7" spans="2:26" ht="15" customHeight="1">
      <c r="B7" s="54" t="s">
        <v>693</v>
      </c>
      <c r="C7" s="55"/>
      <c r="D7" s="55"/>
      <c r="E7" s="55"/>
      <c r="F7" s="55"/>
      <c r="G7" s="55"/>
    </row>
    <row r="9" spans="2:26" ht="50" customHeight="1">
      <c r="B9" s="142" t="s">
        <v>135</v>
      </c>
      <c r="C9" s="142" t="s">
        <v>136</v>
      </c>
      <c r="D9" s="142" t="s">
        <v>2</v>
      </c>
      <c r="E9" s="142" t="s">
        <v>134</v>
      </c>
      <c r="F9" s="142" t="s">
        <v>694</v>
      </c>
      <c r="G9" s="142" t="s">
        <v>695</v>
      </c>
      <c r="H9" s="142" t="s">
        <v>696</v>
      </c>
      <c r="I9" s="142" t="s">
        <v>697</v>
      </c>
      <c r="J9" s="142" t="s">
        <v>700</v>
      </c>
      <c r="K9" s="142" t="s">
        <v>701</v>
      </c>
      <c r="O9" s="139">
        <v>45839</v>
      </c>
      <c r="P9" s="139">
        <v>45870</v>
      </c>
      <c r="Q9" s="139">
        <v>45901</v>
      </c>
      <c r="R9" s="139">
        <v>45931</v>
      </c>
      <c r="S9" s="139">
        <v>45962</v>
      </c>
      <c r="T9" s="139">
        <v>45992</v>
      </c>
      <c r="U9" s="139">
        <v>46023</v>
      </c>
      <c r="V9" s="139">
        <v>46054</v>
      </c>
      <c r="W9" s="139">
        <v>46082</v>
      </c>
      <c r="X9" s="139">
        <v>46113</v>
      </c>
      <c r="Y9" s="139">
        <v>46143</v>
      </c>
      <c r="Z9" s="139">
        <v>46174</v>
      </c>
    </row>
    <row r="10" spans="2:26">
      <c r="B10" s="19" t="s">
        <v>138</v>
      </c>
      <c r="C10" s="14" t="s">
        <v>139</v>
      </c>
      <c r="D10" s="19" t="s">
        <v>4</v>
      </c>
      <c r="E10" s="57">
        <v>45839</v>
      </c>
      <c r="F10" s="58">
        <v>8.8000000000000007</v>
      </c>
      <c r="G10" s="58">
        <v>10</v>
      </c>
      <c r="H10" s="59">
        <v>0</v>
      </c>
      <c r="I10" s="58">
        <f t="shared" ref="I10:I73" si="0">F10+G10-H10</f>
        <v>18.8</v>
      </c>
      <c r="J10" s="58">
        <f>INDEX('Salary Information'!$B$91:$O$123,MATCH('PTO Accrual'!$B10,'Salary Information'!$B$91:$B$123,0),MATCH('PTO Accrual'!$E10,'Salary Information'!$B$91:$O$91,0))</f>
        <v>39.992732608695661</v>
      </c>
      <c r="K10" s="60">
        <f>I10*J10</f>
        <v>751.86337304347842</v>
      </c>
      <c r="M10" s="39" t="s">
        <v>694</v>
      </c>
      <c r="O10" s="61">
        <f>SUMIFS($F$10:$F$327,$E$10:$E$327,O$9)</f>
        <v>604.84999999999991</v>
      </c>
      <c r="P10" s="61">
        <f>SUMIFS($F$10:$F$327,$E$10:$E$327,P$9)</f>
        <v>678.34999999999991</v>
      </c>
      <c r="Q10" s="61">
        <f>SUMIFS($F$10:$F$327,$E$10:$E$327,Q$9)</f>
        <v>749.84999999999991</v>
      </c>
      <c r="R10" s="61">
        <f>SUMIFS($F$10:$F$327,$E$10:$E$327,R$9)</f>
        <v>770.74999999999989</v>
      </c>
      <c r="S10" s="61">
        <f>SUMIFS($F$10:$F$327,$E$10:$E$327,S$9)</f>
        <v>834.24999999999989</v>
      </c>
      <c r="T10" s="61">
        <f>SUMIFS($F$10:$F$327,$E$10:$E$327,T$9)</f>
        <v>947.74999999999989</v>
      </c>
      <c r="U10" s="61">
        <f>SUMIFS($F$10:$F$327,$E$10:$E$327,U$9)</f>
        <v>1048.9499999999998</v>
      </c>
      <c r="V10" s="61">
        <f>SUMIFS($F$10:$F$327,$E$10:$E$327,V$9)</f>
        <v>1168.4499999999998</v>
      </c>
      <c r="W10" s="61">
        <f>SUMIFS($F$10:$F$327,$E$10:$E$327,W$9)</f>
        <v>1205.6499999999999</v>
      </c>
      <c r="X10" s="61">
        <f>SUMIFS($F$10:$F$327,$E$10:$E$327,X$9)</f>
        <v>1295.1499999999999</v>
      </c>
      <c r="Y10" s="61">
        <f>SUMIFS($F$10:$F$327,$E$10:$E$327,Y$9)</f>
        <v>1319.85</v>
      </c>
      <c r="Z10" s="61">
        <f>SUMIFS($F$10:$F$327,$E$10:$E$327,Z$9)</f>
        <v>1376.75</v>
      </c>
    </row>
    <row r="11" spans="2:26">
      <c r="B11" s="19" t="s">
        <v>138</v>
      </c>
      <c r="C11" s="14" t="s">
        <v>139</v>
      </c>
      <c r="D11" s="19" t="s">
        <v>4</v>
      </c>
      <c r="E11" s="57">
        <v>45870</v>
      </c>
      <c r="F11" s="58">
        <f t="shared" ref="F11:F21" si="1">I10</f>
        <v>18.8</v>
      </c>
      <c r="G11" s="58">
        <v>10</v>
      </c>
      <c r="H11" s="59">
        <v>32</v>
      </c>
      <c r="I11" s="58">
        <f t="shared" si="0"/>
        <v>-3.1999999999999993</v>
      </c>
      <c r="J11" s="58">
        <f>INDEX('Salary Information'!$B$91:$O$123,MATCH('PTO Accrual'!$B11,'Salary Information'!$B$91:$B$123,0),MATCH('PTO Accrual'!$E11,'Salary Information'!$B$91:$O$91,0))</f>
        <v>44.52037142857143</v>
      </c>
      <c r="K11" s="60">
        <f t="shared" ref="K11:K74" si="2">I11*J11</f>
        <v>-142.46518857142854</v>
      </c>
      <c r="M11" s="39" t="s">
        <v>698</v>
      </c>
      <c r="O11" s="61">
        <f>SUMIFS($I$10:$I$327,$E$10:$E$327,O$9)</f>
        <v>678.34999999999991</v>
      </c>
      <c r="P11" s="61">
        <f>SUMIFS($I$10:$I$327,$E$10:$E$327,P$9)</f>
        <v>749.84999999999991</v>
      </c>
      <c r="Q11" s="61">
        <f>SUMIFS($I$10:$I$327,$E$10:$E$327,Q$9)</f>
        <v>770.74999999999989</v>
      </c>
      <c r="R11" s="61">
        <f>SUMIFS($I$10:$I$327,$E$10:$E$327,R$9)</f>
        <v>834.24999999999989</v>
      </c>
      <c r="S11" s="61">
        <f>SUMIFS($I$10:$I$327,$E$10:$E$327,S$9)</f>
        <v>947.74999999999989</v>
      </c>
      <c r="T11" s="61">
        <f>SUMIFS($I$10:$I$327,$E$10:$E$327,T$9)</f>
        <v>1055.25</v>
      </c>
      <c r="U11" s="61">
        <f>SUMIFS($I$10:$I$327,$E$10:$E$327,U$9)</f>
        <v>1168.4499999999998</v>
      </c>
      <c r="V11" s="61">
        <f>SUMIFS($I$10:$I$327,$E$10:$E$327,V$9)</f>
        <v>1205.6499999999999</v>
      </c>
      <c r="W11" s="61">
        <f>SUMIFS($I$10:$I$327,$E$10:$E$327,W$9)</f>
        <v>1295.1499999999999</v>
      </c>
      <c r="X11" s="61">
        <f>SUMIFS($I$10:$I$327,$E$10:$E$327,X$9)</f>
        <v>1319.85</v>
      </c>
      <c r="Y11" s="61">
        <f>SUMIFS($I$10:$I$327,$E$10:$E$327,Y$9)</f>
        <v>1337.35</v>
      </c>
      <c r="Z11" s="61">
        <f>SUMIFS($I$10:$I$327,$E$10:$E$327,Z$9)</f>
        <v>1496.2500000000002</v>
      </c>
    </row>
    <row r="12" spans="2:26" ht="15" customHeight="1">
      <c r="B12" s="19" t="s">
        <v>138</v>
      </c>
      <c r="C12" s="14" t="s">
        <v>139</v>
      </c>
      <c r="D12" s="19" t="s">
        <v>4</v>
      </c>
      <c r="E12" s="57">
        <v>45901</v>
      </c>
      <c r="F12" s="58">
        <f t="shared" si="1"/>
        <v>-3.1999999999999993</v>
      </c>
      <c r="G12" s="58">
        <v>10</v>
      </c>
      <c r="H12" s="59">
        <v>0</v>
      </c>
      <c r="I12" s="58">
        <f t="shared" si="0"/>
        <v>6.8000000000000007</v>
      </c>
      <c r="J12" s="58">
        <f>INDEX('Salary Information'!$B$91:$O$123,MATCH('PTO Accrual'!$B12,'Salary Information'!$B$91:$B$123,0),MATCH('PTO Accrual'!$E12,'Salary Information'!$B$91:$O$91,0))</f>
        <v>43.648748863636364</v>
      </c>
      <c r="K12" s="60">
        <f t="shared" si="2"/>
        <v>296.81149227272732</v>
      </c>
      <c r="M12" s="39"/>
      <c r="O12" s="61"/>
      <c r="P12" s="61"/>
      <c r="Q12" s="61"/>
      <c r="R12" s="61"/>
      <c r="S12" s="61"/>
      <c r="T12" s="61"/>
      <c r="U12" s="61"/>
      <c r="V12" s="61"/>
      <c r="W12" s="61"/>
      <c r="X12" s="61"/>
      <c r="Y12" s="61"/>
      <c r="Z12" s="61"/>
    </row>
    <row r="13" spans="2:26" ht="16" thickBot="1">
      <c r="B13" s="19" t="s">
        <v>138</v>
      </c>
      <c r="C13" s="14" t="s">
        <v>139</v>
      </c>
      <c r="D13" s="19" t="s">
        <v>4</v>
      </c>
      <c r="E13" s="57">
        <v>45931</v>
      </c>
      <c r="F13" s="62">
        <f t="shared" si="1"/>
        <v>6.8000000000000007</v>
      </c>
      <c r="G13" s="62">
        <v>10</v>
      </c>
      <c r="H13" s="63">
        <v>8</v>
      </c>
      <c r="I13" s="62">
        <f t="shared" si="0"/>
        <v>8.8000000000000007</v>
      </c>
      <c r="J13" s="62">
        <f>INDEX('Salary Information'!$B$91:$O$123,MATCH('PTO Accrual'!$B13,'Salary Information'!$B$91:$B$123,0),MATCH('PTO Accrual'!$E13,'Salary Information'!$B$91:$O$91,0))</f>
        <v>42.098413043478274</v>
      </c>
      <c r="K13" s="64">
        <f t="shared" si="2"/>
        <v>370.46603478260886</v>
      </c>
      <c r="M13" s="37" t="s">
        <v>699</v>
      </c>
      <c r="O13" s="65">
        <f>O11-O10</f>
        <v>73.5</v>
      </c>
      <c r="P13" s="65">
        <f t="shared" ref="P13:Z13" si="3">P11-P10</f>
        <v>71.5</v>
      </c>
      <c r="Q13" s="65">
        <f t="shared" si="3"/>
        <v>20.899999999999977</v>
      </c>
      <c r="R13" s="65">
        <f t="shared" si="3"/>
        <v>63.5</v>
      </c>
      <c r="S13" s="65">
        <f t="shared" si="3"/>
        <v>113.5</v>
      </c>
      <c r="T13" s="65">
        <f t="shared" si="3"/>
        <v>107.50000000000011</v>
      </c>
      <c r="U13" s="65">
        <f t="shared" si="3"/>
        <v>119.5</v>
      </c>
      <c r="V13" s="65">
        <f t="shared" si="3"/>
        <v>37.200000000000045</v>
      </c>
      <c r="W13" s="65">
        <f t="shared" si="3"/>
        <v>89.5</v>
      </c>
      <c r="X13" s="65">
        <f t="shared" si="3"/>
        <v>24.700000000000045</v>
      </c>
      <c r="Y13" s="65">
        <f t="shared" si="3"/>
        <v>17.5</v>
      </c>
      <c r="Z13" s="65">
        <f t="shared" si="3"/>
        <v>119.50000000000023</v>
      </c>
    </row>
    <row r="14" spans="2:26" ht="15" customHeight="1" thickTop="1">
      <c r="B14" s="19" t="s">
        <v>138</v>
      </c>
      <c r="C14" s="14" t="s">
        <v>139</v>
      </c>
      <c r="D14" s="19" t="s">
        <v>4</v>
      </c>
      <c r="E14" s="57">
        <v>45962</v>
      </c>
      <c r="F14" s="58">
        <f t="shared" si="1"/>
        <v>8.8000000000000007</v>
      </c>
      <c r="G14" s="58">
        <v>10</v>
      </c>
      <c r="H14" s="59">
        <v>0</v>
      </c>
      <c r="I14" s="58">
        <f t="shared" si="0"/>
        <v>18.8</v>
      </c>
      <c r="J14" s="58">
        <f>INDEX('Salary Information'!$B$91:$O$123,MATCH('PTO Accrual'!$B14,'Salary Information'!$B$91:$B$123,0),MATCH('PTO Accrual'!$E14,'Salary Information'!$B$91:$O$91,0))</f>
        <v>44.972094951923133</v>
      </c>
      <c r="K14" s="60">
        <f t="shared" si="2"/>
        <v>845.47538509615492</v>
      </c>
    </row>
    <row r="15" spans="2:26">
      <c r="B15" s="19" t="s">
        <v>138</v>
      </c>
      <c r="C15" s="14" t="s">
        <v>139</v>
      </c>
      <c r="D15" s="19" t="s">
        <v>4</v>
      </c>
      <c r="E15" s="57">
        <v>45992</v>
      </c>
      <c r="F15" s="62">
        <f t="shared" si="1"/>
        <v>18.8</v>
      </c>
      <c r="G15" s="62">
        <v>10</v>
      </c>
      <c r="H15" s="63">
        <v>0</v>
      </c>
      <c r="I15" s="62">
        <f t="shared" si="0"/>
        <v>28.8</v>
      </c>
      <c r="J15" s="62">
        <f>INDEX('Salary Information'!$B$91:$O$123,MATCH('PTO Accrual'!$B15,'Salary Information'!$B$91:$B$123,0),MATCH('PTO Accrual'!$E15,'Salary Information'!$B$91:$O$91,0))</f>
        <v>39.781200877926388</v>
      </c>
      <c r="K15" s="64">
        <f t="shared" si="2"/>
        <v>1145.6985852842799</v>
      </c>
    </row>
    <row r="16" spans="2:26">
      <c r="B16" s="19" t="s">
        <v>138</v>
      </c>
      <c r="C16" s="14" t="s">
        <v>139</v>
      </c>
      <c r="D16" s="19" t="s">
        <v>4</v>
      </c>
      <c r="E16" s="57">
        <v>46023</v>
      </c>
      <c r="F16" s="58">
        <f t="shared" si="1"/>
        <v>28.8</v>
      </c>
      <c r="G16" s="58">
        <v>10</v>
      </c>
      <c r="H16" s="59">
        <v>0</v>
      </c>
      <c r="I16" s="58">
        <f t="shared" si="0"/>
        <v>38.799999999999997</v>
      </c>
      <c r="J16" s="58">
        <f>INDEX('Salary Information'!$B$91:$O$123,MATCH('PTO Accrual'!$B16,'Salary Information'!$B$91:$B$123,0),MATCH('PTO Accrual'!$E16,'Salary Information'!$B$91:$O$91,0))</f>
        <v>42.803440909090909</v>
      </c>
      <c r="K16" s="60">
        <f t="shared" si="2"/>
        <v>1660.7735072727271</v>
      </c>
    </row>
    <row r="17" spans="2:26">
      <c r="B17" s="19" t="s">
        <v>138</v>
      </c>
      <c r="C17" s="14" t="s">
        <v>139</v>
      </c>
      <c r="D17" s="19" t="s">
        <v>4</v>
      </c>
      <c r="E17" s="57">
        <v>46054</v>
      </c>
      <c r="F17" s="58">
        <f t="shared" si="1"/>
        <v>38.799999999999997</v>
      </c>
      <c r="G17" s="58">
        <v>10</v>
      </c>
      <c r="H17" s="59">
        <v>8</v>
      </c>
      <c r="I17" s="58">
        <f t="shared" si="0"/>
        <v>40.799999999999997</v>
      </c>
      <c r="J17" s="58">
        <f>INDEX('Salary Information'!$B$91:$O$123,MATCH('PTO Accrual'!$B17,'Salary Information'!$B$91:$B$123,0),MATCH('PTO Accrual'!$E17,'Salary Information'!$B$91:$O$91,0))</f>
        <v>46.424058894230846</v>
      </c>
      <c r="K17" s="60">
        <f t="shared" si="2"/>
        <v>1894.1016028846184</v>
      </c>
    </row>
    <row r="18" spans="2:26">
      <c r="B18" s="19" t="s">
        <v>138</v>
      </c>
      <c r="C18" s="14" t="s">
        <v>139</v>
      </c>
      <c r="D18" s="19" t="s">
        <v>4</v>
      </c>
      <c r="E18" s="57">
        <v>46082</v>
      </c>
      <c r="F18" s="58">
        <f t="shared" si="1"/>
        <v>40.799999999999997</v>
      </c>
      <c r="G18" s="58">
        <v>10</v>
      </c>
      <c r="H18" s="59">
        <v>0</v>
      </c>
      <c r="I18" s="58">
        <f t="shared" si="0"/>
        <v>50.8</v>
      </c>
      <c r="J18" s="58">
        <f>INDEX('Salary Information'!$B$91:$O$123,MATCH('PTO Accrual'!$B18,'Salary Information'!$B$91:$B$123,0),MATCH('PTO Accrual'!$E18,'Salary Information'!$B$91:$O$91,0))</f>
        <v>41.351640078671373</v>
      </c>
      <c r="K18" s="60">
        <f t="shared" si="2"/>
        <v>2100.6633159965058</v>
      </c>
      <c r="M18" s="142" t="s">
        <v>2</v>
      </c>
      <c r="N18" s="142" t="s">
        <v>3</v>
      </c>
      <c r="O18" s="139">
        <v>45839</v>
      </c>
      <c r="P18" s="139">
        <v>45870</v>
      </c>
      <c r="Q18" s="139">
        <v>45901</v>
      </c>
      <c r="R18" s="139">
        <v>45931</v>
      </c>
      <c r="S18" s="139">
        <v>45962</v>
      </c>
      <c r="T18" s="139">
        <v>45992</v>
      </c>
      <c r="U18" s="139">
        <v>46023</v>
      </c>
      <c r="V18" s="139">
        <v>46054</v>
      </c>
      <c r="W18" s="139">
        <v>46082</v>
      </c>
      <c r="X18" s="139">
        <v>46113</v>
      </c>
      <c r="Y18" s="139">
        <v>46143</v>
      </c>
      <c r="Z18" s="139">
        <v>46174</v>
      </c>
    </row>
    <row r="19" spans="2:26">
      <c r="B19" s="19" t="s">
        <v>138</v>
      </c>
      <c r="C19" s="14" t="s">
        <v>139</v>
      </c>
      <c r="D19" s="19" t="s">
        <v>4</v>
      </c>
      <c r="E19" s="57">
        <v>46113</v>
      </c>
      <c r="F19" s="58">
        <f t="shared" si="1"/>
        <v>50.8</v>
      </c>
      <c r="G19" s="58">
        <v>10</v>
      </c>
      <c r="H19" s="59">
        <v>0</v>
      </c>
      <c r="I19" s="58">
        <f t="shared" si="0"/>
        <v>60.8</v>
      </c>
      <c r="J19" s="58">
        <f>INDEX('Salary Information'!$B$91:$O$123,MATCH('PTO Accrual'!$B19,'Salary Information'!$B$91:$B$123,0),MATCH('PTO Accrual'!$E19,'Salary Information'!$B$91:$O$91,0))</f>
        <v>41.689943181818187</v>
      </c>
      <c r="K19" s="60">
        <f t="shared" si="2"/>
        <v>2534.7485454545458</v>
      </c>
      <c r="M19" s="19" t="s">
        <v>4</v>
      </c>
      <c r="N19" s="14" t="s">
        <v>5</v>
      </c>
      <c r="O19" s="30">
        <f>SUMIFS($K:$K,$D:$D,$M19,$E:$E,O$18)</f>
        <v>945.16158065217405</v>
      </c>
      <c r="P19" s="30">
        <f>SUMIFS($K:$K,$D:$D,$M19,$E:$E,P$18)</f>
        <v>146.91722571428573</v>
      </c>
      <c r="Q19" s="30">
        <f>SUMIFS($K:$K,$D:$D,$M19,$E:$E,Q$18)</f>
        <v>653.27627465909097</v>
      </c>
      <c r="R19" s="30">
        <f>SUMIFS($K:$K,$D:$D,$M19,$E:$E,R$18)</f>
        <v>784.43376304347851</v>
      </c>
      <c r="S19" s="30">
        <f>SUMIFS($K:$K,$D:$D,$M19,$E:$E,S$18)</f>
        <v>1362.6544770432711</v>
      </c>
      <c r="T19" s="30">
        <f>SUMIFS($K:$K,$D:$D,$M19,$E:$E,T$18)</f>
        <v>1669.4843968436439</v>
      </c>
      <c r="U19" s="30">
        <f>SUMIFS($K:$K,$D:$D,$M19,$E:$E,U$18)</f>
        <v>2295.6912140909089</v>
      </c>
      <c r="V19" s="30">
        <f>SUMIFS($K:$K,$D:$D,$M19,$E:$E,V$18)</f>
        <v>2536.3010842548119</v>
      </c>
      <c r="W19" s="30">
        <f>SUMIFS($K:$K,$D:$D,$M19,$E:$E,W$18)</f>
        <v>2741.6137372159119</v>
      </c>
      <c r="X19" s="30">
        <f>SUMIFS($K:$K,$D:$D,$M19,$E:$E,X$18)</f>
        <v>3250.425903409091</v>
      </c>
      <c r="Y19" s="30">
        <f>SUMIFS($K:$K,$D:$D,$M19,$E:$E,Y$18)</f>
        <v>2787.9194522664839</v>
      </c>
      <c r="Z19" s="30">
        <f>SUMIFS($K:$K,$D:$D,$M19,$E:$E,Z$18)</f>
        <v>2607.976984812065</v>
      </c>
    </row>
    <row r="20" spans="2:26">
      <c r="B20" s="19" t="s">
        <v>138</v>
      </c>
      <c r="C20" s="14" t="s">
        <v>139</v>
      </c>
      <c r="D20" s="19" t="s">
        <v>4</v>
      </c>
      <c r="E20" s="57">
        <v>46143</v>
      </c>
      <c r="F20" s="58">
        <f t="shared" si="1"/>
        <v>60.8</v>
      </c>
      <c r="G20" s="58">
        <v>10</v>
      </c>
      <c r="H20" s="59">
        <v>16</v>
      </c>
      <c r="I20" s="58">
        <f>F20+G20-H20</f>
        <v>54.8</v>
      </c>
      <c r="J20" s="58">
        <f>INDEX('Salary Information'!$B$91:$O$123,MATCH('PTO Accrual'!$B20,'Salary Information'!$B$91:$B$123,0),MATCH('PTO Accrual'!$E20,'Salary Information'!$B$91:$O$91,0))</f>
        <v>40.818732829670338</v>
      </c>
      <c r="K20" s="60">
        <f t="shared" si="2"/>
        <v>2236.8665590659343</v>
      </c>
      <c r="M20" s="19" t="s">
        <v>6</v>
      </c>
      <c r="N20" s="14" t="s">
        <v>7</v>
      </c>
      <c r="O20" s="30">
        <f>SUMIFS($K:$K,$D:$D,$M20,$E:$E,O$18)</f>
        <v>1565.0489360869565</v>
      </c>
      <c r="P20" s="30">
        <f>SUMIFS($K:$K,$D:$D,$M20,$E:$E,P$18)</f>
        <v>2098.3935066666663</v>
      </c>
      <c r="Q20" s="30">
        <f>SUMIFS($K:$K,$D:$D,$M20,$E:$E,Q$18)</f>
        <v>2639.2943479545456</v>
      </c>
      <c r="R20" s="30">
        <f>SUMIFS($K:$K,$D:$D,$M20,$E:$E,R$18)</f>
        <v>2882.3380130434789</v>
      </c>
      <c r="S20" s="30">
        <f>SUMIFS($K:$K,$D:$D,$M20,$E:$E,S$18)</f>
        <v>3678.7173670673128</v>
      </c>
      <c r="T20" s="30">
        <f>SUMIFS($K:$K,$D:$D,$M20,$E:$E,T$18)</f>
        <v>3784.5182435200632</v>
      </c>
      <c r="U20" s="30">
        <f>SUMIFS($K:$K,$D:$D,$M20,$E:$E,U$18)</f>
        <v>4642.7465572727269</v>
      </c>
      <c r="V20" s="30">
        <f>SUMIFS($K:$K,$D:$D,$M20,$E:$E,V$18)</f>
        <v>5654.4503733173178</v>
      </c>
      <c r="W20" s="30">
        <f>SUMIFS($K:$K,$D:$D,$M20,$E:$E,W$18)</f>
        <v>3823.648319274479</v>
      </c>
      <c r="X20" s="30">
        <f>SUMIFS($K:$K,$D:$D,$M20,$E:$E,X$18)</f>
        <v>4410.7959886363642</v>
      </c>
      <c r="Y20" s="30">
        <f>SUMIFS($K:$K,$D:$D,$M20,$E:$E,Y$18)</f>
        <v>3992.0720707417595</v>
      </c>
      <c r="Z20" s="30">
        <f>SUMIFS($K:$K,$D:$D,$M20,$E:$E,Z$18)</f>
        <v>4531.0032659528015</v>
      </c>
    </row>
    <row r="21" spans="2:26">
      <c r="B21" s="19" t="s">
        <v>138</v>
      </c>
      <c r="C21" s="14" t="s">
        <v>139</v>
      </c>
      <c r="D21" s="19" t="s">
        <v>4</v>
      </c>
      <c r="E21" s="57">
        <v>46174</v>
      </c>
      <c r="F21" s="58">
        <f t="shared" si="1"/>
        <v>54.8</v>
      </c>
      <c r="G21" s="58">
        <v>10</v>
      </c>
      <c r="H21" s="59">
        <v>16</v>
      </c>
      <c r="I21" s="58">
        <f t="shared" si="0"/>
        <v>48.8</v>
      </c>
      <c r="J21" s="58">
        <f>INDEX('Salary Information'!$B$91:$O$123,MATCH('PTO Accrual'!$B21,'Salary Information'!$B$91:$B$123,0),MATCH('PTO Accrual'!$E21,'Salary Information'!$B$91:$O$91,0))</f>
        <v>40.770875218531501</v>
      </c>
      <c r="K21" s="60">
        <f t="shared" si="2"/>
        <v>1989.6187106643372</v>
      </c>
      <c r="M21" s="19" t="s">
        <v>8</v>
      </c>
      <c r="N21" s="14" t="s">
        <v>9</v>
      </c>
      <c r="O21" s="30">
        <f>SUMIFS($K:$K,$D:$D,$M21,$E:$E,O$18)</f>
        <v>669.21172565217398</v>
      </c>
      <c r="P21" s="30">
        <f>SUMIFS($K:$K,$D:$D,$M21,$E:$E,P$18)</f>
        <v>863.69520571428575</v>
      </c>
      <c r="Q21" s="30">
        <f>SUMIFS($K:$K,$D:$D,$M21,$E:$E,Q$18)</f>
        <v>1428.7690461363636</v>
      </c>
      <c r="R21" s="30">
        <f>SUMIFS($K:$K,$D:$D,$M21,$E:$E,R$18)</f>
        <v>1714.8086913043483</v>
      </c>
      <c r="S21" s="30">
        <f>SUMIFS($K:$K,$D:$D,$M21,$E:$E,S$18)</f>
        <v>1711.9377478365409</v>
      </c>
      <c r="T21" s="30">
        <f>SUMIFS($K:$K,$D:$D,$M21,$E:$E,T$18)</f>
        <v>1832.5873204431421</v>
      </c>
      <c r="U21" s="30">
        <f>SUMIFS($K:$K,$D:$D,$M21,$E:$E,U$18)</f>
        <v>2085.954353636364</v>
      </c>
      <c r="V21" s="30">
        <f>SUMIFS($K:$K,$D:$D,$M21,$E:$E,V$18)</f>
        <v>2881.3865887019283</v>
      </c>
      <c r="W21" s="30">
        <f>SUMIFS($K:$K,$D:$D,$M21,$E:$E,W$18)</f>
        <v>2897.3715815122405</v>
      </c>
      <c r="X21" s="30">
        <f>SUMIFS($K:$K,$D:$D,$M21,$E:$E,X$18)</f>
        <v>2809.9021704545453</v>
      </c>
      <c r="Y21" s="30">
        <f>SUMIFS($K:$K,$D:$D,$M21,$E:$E,Y$18)</f>
        <v>3295.4323637820521</v>
      </c>
      <c r="Z21" s="30">
        <f>SUMIFS($K:$K,$D:$D,$M21,$E:$E,Z$18)</f>
        <v>2747.956989729023</v>
      </c>
    </row>
    <row r="22" spans="2:26">
      <c r="B22" s="19" t="s">
        <v>140</v>
      </c>
      <c r="C22" s="14" t="s">
        <v>141</v>
      </c>
      <c r="D22" s="19" t="s">
        <v>6</v>
      </c>
      <c r="E22" s="57">
        <v>45839</v>
      </c>
      <c r="F22" s="58">
        <v>36.799999999999997</v>
      </c>
      <c r="G22" s="58">
        <v>10</v>
      </c>
      <c r="H22" s="59">
        <v>24</v>
      </c>
      <c r="I22" s="58">
        <f t="shared" si="0"/>
        <v>22.799999999999997</v>
      </c>
      <c r="J22" s="58">
        <f>INDEX('Salary Information'!$B$91:$O$123,MATCH('PTO Accrual'!$B22,'Salary Information'!$B$91:$B$123,0),MATCH('PTO Accrual'!$E22,'Salary Information'!$B$91:$O$91,0))</f>
        <v>26.661821739130438</v>
      </c>
      <c r="K22" s="60">
        <f t="shared" si="2"/>
        <v>607.88953565217389</v>
      </c>
      <c r="M22" s="19" t="s">
        <v>10</v>
      </c>
      <c r="N22" s="14" t="s">
        <v>11</v>
      </c>
      <c r="O22" s="30">
        <f>SUMIFS($K:$K,$D:$D,$M22,$E:$E,O$18)</f>
        <v>2383.5668634782614</v>
      </c>
      <c r="P22" s="30">
        <f>SUMIFS($K:$K,$D:$D,$M22,$E:$E,P$18)</f>
        <v>1584.9252228571429</v>
      </c>
      <c r="Q22" s="30">
        <f>SUMIFS($K:$K,$D:$D,$M22,$E:$E,Q$18)</f>
        <v>1670.2921231818182</v>
      </c>
      <c r="R22" s="30">
        <f>SUMIFS($K:$K,$D:$D,$M22,$E:$E,R$18)</f>
        <v>1947.7532434782611</v>
      </c>
      <c r="S22" s="30">
        <f>SUMIFS($K:$K,$D:$D,$M22,$E:$E,S$18)</f>
        <v>2440.4856860576956</v>
      </c>
      <c r="T22" s="30">
        <f>SUMIFS($K:$K,$D:$D,$M22,$E:$E,T$18)</f>
        <v>1787.5019594481585</v>
      </c>
      <c r="U22" s="30">
        <f>SUMIFS($K:$K,$D:$D,$M22,$E:$E,U$18)</f>
        <v>2494.0138236363637</v>
      </c>
      <c r="V22" s="30">
        <f>SUMIFS($K:$K,$D:$D,$M22,$E:$E,V$18)</f>
        <v>2571.8928627403889</v>
      </c>
      <c r="W22" s="30">
        <f>SUMIFS($K:$K,$D:$D,$M22,$E:$E,W$18)</f>
        <v>2346.0163804632889</v>
      </c>
      <c r="X22" s="30">
        <f>SUMIFS($K:$K,$D:$D,$M22,$E:$E,X$18)</f>
        <v>2643.1423977272725</v>
      </c>
      <c r="Y22" s="30">
        <f>SUMIFS($K:$K,$D:$D,$M22,$E:$E,Y$18)</f>
        <v>2424.6327300824178</v>
      </c>
      <c r="Z22" s="30">
        <f>SUMIFS($K:$K,$D:$D,$M22,$E:$E,Z$18)</f>
        <v>2693.5958227709812</v>
      </c>
    </row>
    <row r="23" spans="2:26">
      <c r="B23" s="19" t="s">
        <v>140</v>
      </c>
      <c r="C23" s="14" t="s">
        <v>141</v>
      </c>
      <c r="D23" s="19" t="s">
        <v>6</v>
      </c>
      <c r="E23" s="57">
        <v>45870</v>
      </c>
      <c r="F23" s="58">
        <f t="shared" ref="F23:F33" si="4">I22</f>
        <v>22.799999999999997</v>
      </c>
      <c r="G23" s="58">
        <v>10</v>
      </c>
      <c r="H23" s="59">
        <v>0</v>
      </c>
      <c r="I23" s="58">
        <f t="shared" si="0"/>
        <v>32.799999999999997</v>
      </c>
      <c r="J23" s="58">
        <f>INDEX('Salary Information'!$B$91:$O$123,MATCH('PTO Accrual'!$B23,'Salary Information'!$B$91:$B$123,0),MATCH('PTO Accrual'!$E23,'Salary Information'!$B$91:$O$91,0))</f>
        <v>29.68024761904762</v>
      </c>
      <c r="K23" s="60">
        <f t="shared" si="2"/>
        <v>973.5121219047619</v>
      </c>
      <c r="M23" s="19" t="s">
        <v>12</v>
      </c>
      <c r="N23" s="14" t="s">
        <v>13</v>
      </c>
      <c r="O23" s="30">
        <f>SUMIFS($K:$K,$D:$D,$M23,$E:$E,O$18)</f>
        <v>2044.9617273913045</v>
      </c>
      <c r="P23" s="30">
        <f>SUMIFS($K:$K,$D:$D,$M23,$E:$E,P$18)</f>
        <v>3077.841678095238</v>
      </c>
      <c r="Q23" s="30">
        <f>SUMIFS($K:$K,$D:$D,$M23,$E:$E,Q$18)</f>
        <v>3029.2231711363634</v>
      </c>
      <c r="R23" s="30">
        <f>SUMIFS($K:$K,$D:$D,$M23,$E:$E,R$18)</f>
        <v>3230.3515608695657</v>
      </c>
      <c r="S23" s="30">
        <f>SUMIFS($K:$K,$D:$D,$M23,$E:$E,S$18)</f>
        <v>4500.2076348557757</v>
      </c>
      <c r="T23" s="30">
        <f>SUMIFS($K:$K,$D:$D,$M23,$E:$E,T$18)</f>
        <v>4696.8337836538421</v>
      </c>
      <c r="U23" s="30">
        <f>SUMIFS($K:$K,$D:$D,$M23,$E:$E,U$18)</f>
        <v>5139.2664718181823</v>
      </c>
      <c r="V23" s="30">
        <f>SUMIFS($K:$K,$D:$D,$M23,$E:$E,V$18)</f>
        <v>5914.4251031250105</v>
      </c>
      <c r="W23" s="30">
        <f>SUMIFS($K:$K,$D:$D,$M23,$E:$E,W$18)</f>
        <v>5791.9863870192366</v>
      </c>
      <c r="X23" s="30">
        <f>SUMIFS($K:$K,$D:$D,$M23,$E:$E,X$18)</f>
        <v>6589.7903522727265</v>
      </c>
      <c r="Y23" s="30">
        <f>SUMIFS($K:$K,$D:$D,$M23,$E:$E,Y$18)</f>
        <v>6098.3186847527486</v>
      </c>
      <c r="Z23" s="30">
        <f>SUMIFS($K:$K,$D:$D,$M23,$E:$E,Z$18)</f>
        <v>7042.4891794143414</v>
      </c>
    </row>
    <row r="24" spans="2:26">
      <c r="B24" s="19" t="s">
        <v>140</v>
      </c>
      <c r="C24" s="14" t="s">
        <v>141</v>
      </c>
      <c r="D24" s="19" t="s">
        <v>6</v>
      </c>
      <c r="E24" s="57">
        <v>45901</v>
      </c>
      <c r="F24" s="58">
        <f t="shared" si="4"/>
        <v>32.799999999999997</v>
      </c>
      <c r="G24" s="58">
        <v>10</v>
      </c>
      <c r="H24" s="59">
        <v>0</v>
      </c>
      <c r="I24" s="58">
        <f t="shared" si="0"/>
        <v>42.8</v>
      </c>
      <c r="J24" s="58">
        <f>INDEX('Salary Information'!$B$91:$O$123,MATCH('PTO Accrual'!$B24,'Salary Information'!$B$91:$B$123,0),MATCH('PTO Accrual'!$E24,'Salary Information'!$B$91:$O$91,0))</f>
        <v>29.09916590909091</v>
      </c>
      <c r="K24" s="60">
        <f t="shared" si="2"/>
        <v>1245.4443009090908</v>
      </c>
      <c r="M24" s="19" t="s">
        <v>14</v>
      </c>
      <c r="N24" s="14" t="s">
        <v>15</v>
      </c>
      <c r="O24" s="30">
        <f>SUMIFS($K:$K,$D:$D,$M24,$E:$E,O$18)</f>
        <v>1405.0780056521742</v>
      </c>
      <c r="P24" s="30">
        <f>SUMIFS($K:$K,$D:$D,$M24,$E:$E,P$18)</f>
        <v>2217.1144971428571</v>
      </c>
      <c r="Q24" s="30">
        <f>SUMIFS($K:$K,$D:$D,$M24,$E:$E,Q$18)</f>
        <v>1882.7160343181818</v>
      </c>
      <c r="R24" s="30">
        <f>SUMIFS($K:$K,$D:$D,$M24,$E:$E,R$18)</f>
        <v>2433.2882739130441</v>
      </c>
      <c r="S24" s="30">
        <f>SUMIFS($K:$K,$D:$D,$M24,$E:$E,S$18)</f>
        <v>3318.9406074519279</v>
      </c>
      <c r="T24" s="30">
        <f>SUMIFS($K:$K,$D:$D,$M24,$E:$E,T$18)</f>
        <v>3784.5182435200632</v>
      </c>
      <c r="U24" s="30">
        <f>SUMIFS($K:$K,$D:$D,$M24,$E:$E,U$18)</f>
        <v>4985.174084545456</v>
      </c>
      <c r="V24" s="30">
        <f>SUMIFS($K:$K,$D:$D,$M24,$E:$E,V$18)</f>
        <v>6397.235315625011</v>
      </c>
      <c r="W24" s="30">
        <f>SUMIFS($K:$K,$D:$D,$M24,$E:$E,W$18)</f>
        <v>6580.4243245192374</v>
      </c>
      <c r="X24" s="30">
        <f>SUMIFS($K:$K,$D:$D,$M24,$E:$E,X$18)</f>
        <v>7301.2987159090908</v>
      </c>
      <c r="Y24" s="30">
        <f>SUMIFS($K:$K,$D:$D,$M24,$E:$E,Y$18)</f>
        <v>7366.4206513278405</v>
      </c>
      <c r="Z24" s="30">
        <f>SUMIFS($K:$K,$D:$D,$M24,$E:$E,Z$18)</f>
        <v>7357.7839477709858</v>
      </c>
    </row>
    <row r="25" spans="2:26">
      <c r="B25" s="19" t="s">
        <v>140</v>
      </c>
      <c r="C25" s="14" t="s">
        <v>141</v>
      </c>
      <c r="D25" s="19" t="s">
        <v>6</v>
      </c>
      <c r="E25" s="57">
        <v>45931</v>
      </c>
      <c r="F25" s="58">
        <f t="shared" si="4"/>
        <v>42.8</v>
      </c>
      <c r="G25" s="58">
        <v>10</v>
      </c>
      <c r="H25" s="59">
        <v>8</v>
      </c>
      <c r="I25" s="58">
        <f t="shared" si="0"/>
        <v>44.8</v>
      </c>
      <c r="J25" s="58">
        <f>INDEX('Salary Information'!$B$91:$O$123,MATCH('PTO Accrual'!$B25,'Salary Information'!$B$91:$B$123,0),MATCH('PTO Accrual'!$E25,'Salary Information'!$B$91:$O$91,0))</f>
        <v>28.06560869565218</v>
      </c>
      <c r="K25" s="60">
        <f t="shared" si="2"/>
        <v>1257.3392695652176</v>
      </c>
      <c r="M25" s="19" t="s">
        <v>16</v>
      </c>
      <c r="N25" s="14" t="s">
        <v>17</v>
      </c>
      <c r="O25" s="30">
        <f>SUMIFS($K:$K,$D:$D,$M25,$E:$E,O$18)</f>
        <v>2591.5290730434785</v>
      </c>
      <c r="P25" s="30">
        <f>SUMIFS($K:$K,$D:$D,$M25,$E:$E,P$18)</f>
        <v>3063.0015542857145</v>
      </c>
      <c r="Q25" s="30">
        <f>SUMIFS($K:$K,$D:$D,$M25,$E:$E,Q$18)</f>
        <v>3410.4222445454548</v>
      </c>
      <c r="R25" s="30">
        <f>SUMIFS($K:$K,$D:$D,$M25,$E:$E,R$18)</f>
        <v>2335.0586434782617</v>
      </c>
      <c r="S25" s="30">
        <f>SUMIFS($K:$K,$D:$D,$M25,$E:$E,S$18)</f>
        <v>3154.042925961543</v>
      </c>
      <c r="T25" s="30">
        <f>SUMIFS($K:$K,$D:$D,$M25,$E:$E,T$18)</f>
        <v>2524.7802157190613</v>
      </c>
      <c r="U25" s="30">
        <f>SUMIFS($K:$K,$D:$D,$M25,$E:$E,U$18)</f>
        <v>3344.375516363637</v>
      </c>
      <c r="V25" s="30">
        <f>SUMIFS($K:$K,$D:$D,$M25,$E:$E,V$18)</f>
        <v>3317.7727423076985</v>
      </c>
      <c r="W25" s="30">
        <f>SUMIFS($K:$K,$D:$D,$M25,$E:$E,W$18)</f>
        <v>3341.2125183566468</v>
      </c>
      <c r="X25" s="30">
        <f>SUMIFS($K:$K,$D:$D,$M25,$E:$E,X$18)</f>
        <v>1067.2625454545455</v>
      </c>
      <c r="Y25" s="30">
        <f>SUMIFS($K:$K,$D:$D,$M25,$E:$E,Y$18)</f>
        <v>1153.809514652015</v>
      </c>
      <c r="Z25" s="30">
        <f>SUMIFS($K:$K,$D:$D,$M25,$E:$E,Z$18)</f>
        <v>1696.0684090909106</v>
      </c>
    </row>
    <row r="26" spans="2:26">
      <c r="B26" s="19" t="s">
        <v>140</v>
      </c>
      <c r="C26" s="14" t="s">
        <v>141</v>
      </c>
      <c r="D26" s="19" t="s">
        <v>6</v>
      </c>
      <c r="E26" s="57">
        <v>45962</v>
      </c>
      <c r="F26" s="58">
        <f t="shared" si="4"/>
        <v>44.8</v>
      </c>
      <c r="G26" s="58">
        <v>10</v>
      </c>
      <c r="H26" s="59">
        <v>0</v>
      </c>
      <c r="I26" s="58">
        <f t="shared" si="0"/>
        <v>54.8</v>
      </c>
      <c r="J26" s="58">
        <f>INDEX('Salary Information'!$B$91:$O$123,MATCH('PTO Accrual'!$B26,'Salary Information'!$B$91:$B$123,0),MATCH('PTO Accrual'!$E26,'Salary Information'!$B$91:$O$91,0))</f>
        <v>29.981396634615425</v>
      </c>
      <c r="K26" s="60">
        <f t="shared" si="2"/>
        <v>1642.9805355769251</v>
      </c>
      <c r="M26" s="19" t="s">
        <v>18</v>
      </c>
      <c r="N26" s="14" t="s">
        <v>19</v>
      </c>
      <c r="O26" s="30">
        <f>SUMIFS($K:$K,$D:$D,$M26,$E:$E,O$18)</f>
        <v>4201.9031060869575</v>
      </c>
      <c r="P26" s="30">
        <f>SUMIFS($K:$K,$D:$D,$M26,$E:$E,P$18)</f>
        <v>5389.9329676190473</v>
      </c>
      <c r="Q26" s="30">
        <f>SUMIFS($K:$K,$D:$D,$M26,$E:$E,Q$18)</f>
        <v>5284.4085290909097</v>
      </c>
      <c r="R26" s="30">
        <f>SUMIFS($K:$K,$D:$D,$M26,$E:$E,R$18)</f>
        <v>5321.2394086956538</v>
      </c>
      <c r="S26" s="30">
        <f>SUMIFS($K:$K,$D:$D,$M26,$E:$E,S$18)</f>
        <v>5684.4728019230843</v>
      </c>
      <c r="T26" s="30">
        <f>SUMIFS($K:$K,$D:$D,$M26,$E:$E,T$18)</f>
        <v>4922.2605886287583</v>
      </c>
      <c r="U26" s="30">
        <f>SUMIFS($K:$K,$D:$D,$M26,$E:$E,U$18)</f>
        <v>4146.2266427272734</v>
      </c>
      <c r="V26" s="30">
        <f>SUMIFS($K:$K,$D:$D,$M26,$E:$E,V$18)</f>
        <v>3754.1588959134683</v>
      </c>
      <c r="W26" s="30">
        <f>SUMIFS($K:$K,$D:$D,$M26,$E:$E,W$18)</f>
        <v>4722.3572969842699</v>
      </c>
      <c r="X26" s="30">
        <f>SUMIFS($K:$K,$D:$D,$M26,$E:$E,X$18)</f>
        <v>5261.2708295454549</v>
      </c>
      <c r="Y26" s="30">
        <f>SUMIFS($K:$K,$D:$D,$M26,$E:$E,Y$18)</f>
        <v>5205.7490602106236</v>
      </c>
      <c r="Z26" s="30">
        <f>SUMIFS($K:$K,$D:$D,$M26,$E:$E,Z$18)</f>
        <v>6558.6747934877685</v>
      </c>
    </row>
    <row r="27" spans="2:26">
      <c r="B27" s="19" t="s">
        <v>140</v>
      </c>
      <c r="C27" s="14" t="s">
        <v>141</v>
      </c>
      <c r="D27" s="19" t="s">
        <v>6</v>
      </c>
      <c r="E27" s="57">
        <v>45992</v>
      </c>
      <c r="F27" s="58">
        <f t="shared" si="4"/>
        <v>54.8</v>
      </c>
      <c r="G27" s="58">
        <v>10</v>
      </c>
      <c r="H27" s="59">
        <v>0</v>
      </c>
      <c r="I27" s="58">
        <f t="shared" si="0"/>
        <v>64.8</v>
      </c>
      <c r="J27" s="58">
        <f>INDEX('Salary Information'!$B$91:$O$123,MATCH('PTO Accrual'!$B27,'Salary Information'!$B$91:$B$123,0),MATCH('PTO Accrual'!$E27,'Salary Information'!$B$91:$O$91,0))</f>
        <v>26.520800585284256</v>
      </c>
      <c r="K27" s="60">
        <f t="shared" si="2"/>
        <v>1718.5478779264197</v>
      </c>
      <c r="M27" s="19" t="s">
        <v>20</v>
      </c>
      <c r="N27" s="14" t="s">
        <v>21</v>
      </c>
      <c r="O27" s="30">
        <f>SUMIFS($K:$K,$D:$D,$M27,$E:$E,O$18)</f>
        <v>2148.9428321739133</v>
      </c>
      <c r="P27" s="30">
        <f>SUMIFS($K:$K,$D:$D,$M27,$E:$E,P$18)</f>
        <v>3193.5946438095234</v>
      </c>
      <c r="Q27" s="30">
        <f>SUMIFS($K:$K,$D:$D,$M27,$E:$E,Q$18)</f>
        <v>2287.1944404545457</v>
      </c>
      <c r="R27" s="30">
        <f>SUMIFS($K:$K,$D:$D,$M27,$E:$E,R$18)</f>
        <v>2851.4658434782614</v>
      </c>
      <c r="S27" s="30">
        <f>SUMIFS($K:$K,$D:$D,$M27,$E:$E,S$18)</f>
        <v>3255.9796745192348</v>
      </c>
      <c r="T27" s="30">
        <f>SUMIFS($K:$K,$D:$D,$M27,$E:$E,T$18)</f>
        <v>3596.2205593645449</v>
      </c>
      <c r="U27" s="30">
        <f>SUMIFS($K:$K,$D:$D,$M27,$E:$E,U$18)</f>
        <v>4868.1780127272732</v>
      </c>
      <c r="V27" s="30">
        <f>SUMIFS($K:$K,$D:$D,$M27,$E:$E,V$18)</f>
        <v>5496.6085730769319</v>
      </c>
      <c r="W27" s="30">
        <f>SUMIFS($K:$K,$D:$D,$M27,$E:$E,W$18)</f>
        <v>4537.6533046328714</v>
      </c>
      <c r="X27" s="30">
        <f>SUMIFS($K:$K,$D:$D,$M27,$E:$E,X$18)</f>
        <v>4880.5026818181823</v>
      </c>
      <c r="Y27" s="30">
        <f>SUMIFS($K:$K,$D:$D,$M27,$E:$E,Y$18)</f>
        <v>5349.9752495421262</v>
      </c>
      <c r="Z27" s="30">
        <f>SUMIFS($K:$K,$D:$D,$M27,$E:$E,Z$18)</f>
        <v>6096.6048743444107</v>
      </c>
    </row>
    <row r="28" spans="2:26">
      <c r="B28" s="19" t="s">
        <v>140</v>
      </c>
      <c r="C28" s="14" t="s">
        <v>141</v>
      </c>
      <c r="D28" s="19" t="s">
        <v>6</v>
      </c>
      <c r="E28" s="57">
        <v>46023</v>
      </c>
      <c r="F28" s="58">
        <f t="shared" si="4"/>
        <v>64.8</v>
      </c>
      <c r="G28" s="58">
        <v>10</v>
      </c>
      <c r="H28" s="59">
        <v>0</v>
      </c>
      <c r="I28" s="58">
        <f t="shared" si="0"/>
        <v>74.8</v>
      </c>
      <c r="J28" s="58">
        <f>INDEX('Salary Information'!$B$91:$O$123,MATCH('PTO Accrual'!$B28,'Salary Information'!$B$91:$B$123,0),MATCH('PTO Accrual'!$E28,'Salary Information'!$B$91:$O$91,0))</f>
        <v>28.535627272727275</v>
      </c>
      <c r="K28" s="60">
        <f t="shared" si="2"/>
        <v>2134.4649199999999</v>
      </c>
    </row>
    <row r="29" spans="2:26" ht="16" thickBot="1">
      <c r="B29" s="19" t="s">
        <v>140</v>
      </c>
      <c r="C29" s="14" t="s">
        <v>141</v>
      </c>
      <c r="D29" s="19" t="s">
        <v>6</v>
      </c>
      <c r="E29" s="57">
        <v>46054</v>
      </c>
      <c r="F29" s="58">
        <f t="shared" si="4"/>
        <v>74.8</v>
      </c>
      <c r="G29" s="58">
        <v>10</v>
      </c>
      <c r="H29" s="59">
        <v>0</v>
      </c>
      <c r="I29" s="58">
        <f t="shared" si="0"/>
        <v>84.8</v>
      </c>
      <c r="J29" s="58">
        <f>INDEX('Salary Information'!$B$91:$O$123,MATCH('PTO Accrual'!$B29,'Salary Information'!$B$91:$B$123,0),MATCH('PTO Accrual'!$E29,'Salary Information'!$B$91:$O$91,0))</f>
        <v>30.9493725961539</v>
      </c>
      <c r="K29" s="60">
        <f t="shared" si="2"/>
        <v>2624.5067961538507</v>
      </c>
      <c r="M29" s="66"/>
      <c r="N29" s="67" t="s">
        <v>22</v>
      </c>
      <c r="O29" s="68">
        <f>SUM(O19:O27)</f>
        <v>17955.403850217393</v>
      </c>
      <c r="P29" s="68">
        <f>SUM(P19:P27)</f>
        <v>21635.416501904761</v>
      </c>
      <c r="Q29" s="68">
        <f>SUM(Q19:Q27)</f>
        <v>22285.596211477274</v>
      </c>
      <c r="R29" s="68">
        <f>SUM(R19:R27)</f>
        <v>23500.737441304351</v>
      </c>
      <c r="S29" s="68">
        <f>SUM(S19:S27)</f>
        <v>29107.438922716385</v>
      </c>
      <c r="T29" s="68">
        <f>SUM(T19:T27)</f>
        <v>28598.705311141279</v>
      </c>
      <c r="U29" s="68">
        <f>SUM(U19:U27)</f>
        <v>34001.626676818189</v>
      </c>
      <c r="V29" s="68">
        <f>SUM(V19:V27)</f>
        <v>38524.231539062566</v>
      </c>
      <c r="W29" s="68">
        <f>SUM(W19:W27)</f>
        <v>36782.283849978179</v>
      </c>
      <c r="X29" s="68">
        <f>SUM(X19:X27)</f>
        <v>38214.391585227269</v>
      </c>
      <c r="Y29" s="68">
        <f>SUM(Y19:Y27)</f>
        <v>37674.329777358063</v>
      </c>
      <c r="Z29" s="68">
        <f>SUM(Z19:Z27)</f>
        <v>41332.154267373291</v>
      </c>
    </row>
    <row r="30" spans="2:26" ht="16" thickTop="1">
      <c r="B30" s="19" t="s">
        <v>140</v>
      </c>
      <c r="C30" s="14" t="s">
        <v>141</v>
      </c>
      <c r="D30" s="19" t="s">
        <v>6</v>
      </c>
      <c r="E30" s="57">
        <v>46082</v>
      </c>
      <c r="F30" s="58">
        <f t="shared" si="4"/>
        <v>84.8</v>
      </c>
      <c r="G30" s="58">
        <v>10</v>
      </c>
      <c r="H30" s="59">
        <v>40</v>
      </c>
      <c r="I30" s="58">
        <f t="shared" si="0"/>
        <v>54.8</v>
      </c>
      <c r="J30" s="58">
        <f>INDEX('Salary Information'!$B$91:$O$123,MATCH('PTO Accrual'!$B30,'Salary Information'!$B$91:$B$123,0),MATCH('PTO Accrual'!$E30,'Salary Information'!$B$91:$O$91,0))</f>
        <v>27.567760052447579</v>
      </c>
      <c r="K30" s="60">
        <f t="shared" si="2"/>
        <v>1510.7132508741272</v>
      </c>
    </row>
    <row r="31" spans="2:26">
      <c r="B31" s="19" t="s">
        <v>140</v>
      </c>
      <c r="C31" s="14" t="s">
        <v>141</v>
      </c>
      <c r="D31" s="19" t="s">
        <v>6</v>
      </c>
      <c r="E31" s="57">
        <v>46113</v>
      </c>
      <c r="F31" s="58">
        <f t="shared" si="4"/>
        <v>54.8</v>
      </c>
      <c r="G31" s="58">
        <v>10</v>
      </c>
      <c r="H31" s="59">
        <v>0</v>
      </c>
      <c r="I31" s="58">
        <f t="shared" si="0"/>
        <v>64.8</v>
      </c>
      <c r="J31" s="58">
        <f>INDEX('Salary Information'!$B$91:$O$123,MATCH('PTO Accrual'!$B31,'Salary Information'!$B$91:$B$123,0),MATCH('PTO Accrual'!$E31,'Salary Information'!$B$91:$O$91,0))</f>
        <v>27.793295454545454</v>
      </c>
      <c r="K31" s="60">
        <f t="shared" si="2"/>
        <v>1801.0055454545454</v>
      </c>
    </row>
    <row r="32" spans="2:26">
      <c r="B32" s="19" t="s">
        <v>140</v>
      </c>
      <c r="C32" s="14" t="s">
        <v>141</v>
      </c>
      <c r="D32" s="19" t="s">
        <v>6</v>
      </c>
      <c r="E32" s="57">
        <v>46143</v>
      </c>
      <c r="F32" s="58">
        <f t="shared" si="4"/>
        <v>64.8</v>
      </c>
      <c r="G32" s="58">
        <v>10</v>
      </c>
      <c r="H32" s="59">
        <v>32</v>
      </c>
      <c r="I32" s="58">
        <f t="shared" si="0"/>
        <v>42.8</v>
      </c>
      <c r="J32" s="58">
        <f>INDEX('Salary Information'!$B$91:$O$123,MATCH('PTO Accrual'!$B32,'Salary Information'!$B$91:$B$123,0),MATCH('PTO Accrual'!$E32,'Salary Information'!$B$91:$O$91,0))</f>
        <v>27.212488553113559</v>
      </c>
      <c r="K32" s="60">
        <f t="shared" si="2"/>
        <v>1164.6945100732603</v>
      </c>
    </row>
    <row r="33" spans="2:11">
      <c r="B33" s="19" t="s">
        <v>140</v>
      </c>
      <c r="C33" s="14" t="s">
        <v>141</v>
      </c>
      <c r="D33" s="19" t="s">
        <v>6</v>
      </c>
      <c r="E33" s="57">
        <v>46174</v>
      </c>
      <c r="F33" s="58">
        <f t="shared" si="4"/>
        <v>42.8</v>
      </c>
      <c r="G33" s="58">
        <v>10</v>
      </c>
      <c r="H33" s="59">
        <v>0</v>
      </c>
      <c r="I33" s="58">
        <f t="shared" si="0"/>
        <v>52.8</v>
      </c>
      <c r="J33" s="58">
        <f>INDEX('Salary Information'!$B$91:$O$123,MATCH('PTO Accrual'!$B33,'Salary Information'!$B$91:$B$123,0),MATCH('PTO Accrual'!$E33,'Salary Information'!$B$91:$O$91,0))</f>
        <v>27.180583479021003</v>
      </c>
      <c r="K33" s="60">
        <f t="shared" si="2"/>
        <v>1435.1348076923089</v>
      </c>
    </row>
    <row r="34" spans="2:11">
      <c r="B34" s="19" t="s">
        <v>142</v>
      </c>
      <c r="C34" s="14" t="s">
        <v>143</v>
      </c>
      <c r="D34" s="19" t="s">
        <v>6</v>
      </c>
      <c r="E34" s="57">
        <v>45839</v>
      </c>
      <c r="F34" s="58">
        <v>33.9</v>
      </c>
      <c r="G34" s="58">
        <v>10</v>
      </c>
      <c r="H34" s="59">
        <v>8</v>
      </c>
      <c r="I34" s="58">
        <f t="shared" si="0"/>
        <v>35.9</v>
      </c>
      <c r="J34" s="58">
        <f>INDEX('Salary Information'!$B$91:$O$123,MATCH('PTO Accrual'!$B34,'Salary Information'!$B$91:$B$123,0),MATCH('PTO Accrual'!$E34,'Salary Information'!$B$91:$O$91,0))</f>
        <v>26.661821739130438</v>
      </c>
      <c r="K34" s="60">
        <f t="shared" si="2"/>
        <v>957.1594004347827</v>
      </c>
    </row>
    <row r="35" spans="2:11">
      <c r="B35" s="19" t="s">
        <v>142</v>
      </c>
      <c r="C35" s="14" t="s">
        <v>143</v>
      </c>
      <c r="D35" s="19" t="s">
        <v>6</v>
      </c>
      <c r="E35" s="57">
        <v>45870</v>
      </c>
      <c r="F35" s="58">
        <f t="shared" ref="F35:F45" si="5">I34</f>
        <v>35.9</v>
      </c>
      <c r="G35" s="58">
        <v>10</v>
      </c>
      <c r="H35" s="59">
        <v>8</v>
      </c>
      <c r="I35" s="58">
        <f t="shared" si="0"/>
        <v>37.9</v>
      </c>
      <c r="J35" s="58">
        <f>INDEX('Salary Information'!$B$91:$O$123,MATCH('PTO Accrual'!$B35,'Salary Information'!$B$91:$B$123,0),MATCH('PTO Accrual'!$E35,'Salary Information'!$B$91:$O$91,0))</f>
        <v>29.68024761904762</v>
      </c>
      <c r="K35" s="60">
        <f t="shared" si="2"/>
        <v>1124.8813847619047</v>
      </c>
    </row>
    <row r="36" spans="2:11">
      <c r="B36" s="19" t="s">
        <v>142</v>
      </c>
      <c r="C36" s="14" t="s">
        <v>143</v>
      </c>
      <c r="D36" s="19" t="s">
        <v>6</v>
      </c>
      <c r="E36" s="57">
        <v>45901</v>
      </c>
      <c r="F36" s="58">
        <f t="shared" si="5"/>
        <v>37.9</v>
      </c>
      <c r="G36" s="58">
        <v>10</v>
      </c>
      <c r="H36" s="59">
        <v>0</v>
      </c>
      <c r="I36" s="58">
        <f t="shared" si="0"/>
        <v>47.9</v>
      </c>
      <c r="J36" s="58">
        <f>INDEX('Salary Information'!$B$91:$O$123,MATCH('PTO Accrual'!$B36,'Salary Information'!$B$91:$B$123,0),MATCH('PTO Accrual'!$E36,'Salary Information'!$B$91:$O$91,0))</f>
        <v>29.09916590909091</v>
      </c>
      <c r="K36" s="60">
        <f t="shared" si="2"/>
        <v>1393.8500470454546</v>
      </c>
    </row>
    <row r="37" spans="2:11">
      <c r="B37" s="19" t="s">
        <v>142</v>
      </c>
      <c r="C37" s="14" t="s">
        <v>143</v>
      </c>
      <c r="D37" s="19" t="s">
        <v>6</v>
      </c>
      <c r="E37" s="57">
        <v>45931</v>
      </c>
      <c r="F37" s="58">
        <f t="shared" si="5"/>
        <v>47.9</v>
      </c>
      <c r="G37" s="58">
        <v>10</v>
      </c>
      <c r="H37" s="59">
        <v>0</v>
      </c>
      <c r="I37" s="58">
        <f t="shared" si="0"/>
        <v>57.9</v>
      </c>
      <c r="J37" s="58">
        <f>INDEX('Salary Information'!$B$91:$O$123,MATCH('PTO Accrual'!$B37,'Salary Information'!$B$91:$B$123,0),MATCH('PTO Accrual'!$E37,'Salary Information'!$B$91:$O$91,0))</f>
        <v>28.06560869565218</v>
      </c>
      <c r="K37" s="60">
        <f t="shared" si="2"/>
        <v>1624.9987434782613</v>
      </c>
    </row>
    <row r="38" spans="2:11">
      <c r="B38" s="19" t="s">
        <v>142</v>
      </c>
      <c r="C38" s="14" t="s">
        <v>143</v>
      </c>
      <c r="D38" s="19" t="s">
        <v>6</v>
      </c>
      <c r="E38" s="57">
        <v>45962</v>
      </c>
      <c r="F38" s="58">
        <f t="shared" si="5"/>
        <v>57.9</v>
      </c>
      <c r="G38" s="58">
        <v>10</v>
      </c>
      <c r="H38" s="59">
        <v>0</v>
      </c>
      <c r="I38" s="58">
        <f t="shared" si="0"/>
        <v>67.900000000000006</v>
      </c>
      <c r="J38" s="58">
        <f>INDEX('Salary Information'!$B$91:$O$123,MATCH('PTO Accrual'!$B38,'Salary Information'!$B$91:$B$123,0),MATCH('PTO Accrual'!$E38,'Salary Information'!$B$91:$O$91,0))</f>
        <v>29.981396634615425</v>
      </c>
      <c r="K38" s="60">
        <f t="shared" si="2"/>
        <v>2035.7368314903877</v>
      </c>
    </row>
    <row r="39" spans="2:11">
      <c r="B39" s="19" t="s">
        <v>142</v>
      </c>
      <c r="C39" s="14" t="s">
        <v>143</v>
      </c>
      <c r="D39" s="19" t="s">
        <v>6</v>
      </c>
      <c r="E39" s="57">
        <v>45992</v>
      </c>
      <c r="F39" s="58">
        <f t="shared" si="5"/>
        <v>67.900000000000006</v>
      </c>
      <c r="G39" s="58">
        <v>10</v>
      </c>
      <c r="H39" s="59">
        <v>0</v>
      </c>
      <c r="I39" s="58">
        <f t="shared" si="0"/>
        <v>77.900000000000006</v>
      </c>
      <c r="J39" s="58">
        <f>INDEX('Salary Information'!$B$91:$O$123,MATCH('PTO Accrual'!$B39,'Salary Information'!$B$91:$B$123,0),MATCH('PTO Accrual'!$E39,'Salary Information'!$B$91:$O$91,0))</f>
        <v>26.520800585284256</v>
      </c>
      <c r="K39" s="60">
        <f t="shared" si="2"/>
        <v>2065.9703655936437</v>
      </c>
    </row>
    <row r="40" spans="2:11">
      <c r="B40" s="19" t="s">
        <v>142</v>
      </c>
      <c r="C40" s="14" t="s">
        <v>143</v>
      </c>
      <c r="D40" s="19" t="s">
        <v>6</v>
      </c>
      <c r="E40" s="57">
        <v>46023</v>
      </c>
      <c r="F40" s="58">
        <f t="shared" si="5"/>
        <v>77.900000000000006</v>
      </c>
      <c r="G40" s="58">
        <v>10</v>
      </c>
      <c r="H40" s="59">
        <v>0</v>
      </c>
      <c r="I40" s="58">
        <f t="shared" si="0"/>
        <v>87.9</v>
      </c>
      <c r="J40" s="58">
        <f>INDEX('Salary Information'!$B$91:$O$123,MATCH('PTO Accrual'!$B40,'Salary Information'!$B$91:$B$123,0),MATCH('PTO Accrual'!$E40,'Salary Information'!$B$91:$O$91,0))</f>
        <v>28.535627272727275</v>
      </c>
      <c r="K40" s="60">
        <f t="shared" si="2"/>
        <v>2508.2816372727275</v>
      </c>
    </row>
    <row r="41" spans="2:11">
      <c r="B41" s="19" t="s">
        <v>142</v>
      </c>
      <c r="C41" s="14" t="s">
        <v>143</v>
      </c>
      <c r="D41" s="19" t="s">
        <v>6</v>
      </c>
      <c r="E41" s="57">
        <v>46054</v>
      </c>
      <c r="F41" s="58">
        <f t="shared" si="5"/>
        <v>87.9</v>
      </c>
      <c r="G41" s="58">
        <v>10</v>
      </c>
      <c r="H41" s="59">
        <v>0</v>
      </c>
      <c r="I41" s="58">
        <f t="shared" si="0"/>
        <v>97.9</v>
      </c>
      <c r="J41" s="58">
        <f>INDEX('Salary Information'!$B$91:$O$123,MATCH('PTO Accrual'!$B41,'Salary Information'!$B$91:$B$123,0),MATCH('PTO Accrual'!$E41,'Salary Information'!$B$91:$O$91,0))</f>
        <v>30.9493725961539</v>
      </c>
      <c r="K41" s="60">
        <f t="shared" si="2"/>
        <v>3029.9435771634671</v>
      </c>
    </row>
    <row r="42" spans="2:11">
      <c r="B42" s="19" t="s">
        <v>142</v>
      </c>
      <c r="C42" s="14" t="s">
        <v>143</v>
      </c>
      <c r="D42" s="19" t="s">
        <v>6</v>
      </c>
      <c r="E42" s="57">
        <v>46082</v>
      </c>
      <c r="F42" s="58">
        <f t="shared" si="5"/>
        <v>97.9</v>
      </c>
      <c r="G42" s="58">
        <v>10</v>
      </c>
      <c r="H42" s="59">
        <v>24</v>
      </c>
      <c r="I42" s="58">
        <f t="shared" si="0"/>
        <v>83.9</v>
      </c>
      <c r="J42" s="58">
        <f>INDEX('Salary Information'!$B$91:$O$123,MATCH('PTO Accrual'!$B42,'Salary Information'!$B$91:$B$123,0),MATCH('PTO Accrual'!$E42,'Salary Information'!$B$91:$O$91,0))</f>
        <v>27.567760052447579</v>
      </c>
      <c r="K42" s="60">
        <f t="shared" si="2"/>
        <v>2312.9350684003521</v>
      </c>
    </row>
    <row r="43" spans="2:11">
      <c r="B43" s="19" t="s">
        <v>142</v>
      </c>
      <c r="C43" s="14" t="s">
        <v>143</v>
      </c>
      <c r="D43" s="19" t="s">
        <v>6</v>
      </c>
      <c r="E43" s="57">
        <v>46113</v>
      </c>
      <c r="F43" s="58">
        <f t="shared" si="5"/>
        <v>83.9</v>
      </c>
      <c r="G43" s="58">
        <v>10</v>
      </c>
      <c r="H43" s="59">
        <v>0</v>
      </c>
      <c r="I43" s="58">
        <f t="shared" si="0"/>
        <v>93.9</v>
      </c>
      <c r="J43" s="58">
        <f>INDEX('Salary Information'!$B$91:$O$123,MATCH('PTO Accrual'!$B43,'Salary Information'!$B$91:$B$123,0),MATCH('PTO Accrual'!$E43,'Salary Information'!$B$91:$O$91,0))</f>
        <v>27.793295454545454</v>
      </c>
      <c r="K43" s="60">
        <f t="shared" si="2"/>
        <v>2609.7904431818183</v>
      </c>
    </row>
    <row r="44" spans="2:11">
      <c r="B44" s="19" t="s">
        <v>142</v>
      </c>
      <c r="C44" s="14" t="s">
        <v>143</v>
      </c>
      <c r="D44" s="19" t="s">
        <v>6</v>
      </c>
      <c r="E44" s="57">
        <v>46143</v>
      </c>
      <c r="F44" s="58">
        <f t="shared" si="5"/>
        <v>93.9</v>
      </c>
      <c r="G44" s="58">
        <v>10</v>
      </c>
      <c r="H44" s="59">
        <v>0</v>
      </c>
      <c r="I44" s="58">
        <f t="shared" si="0"/>
        <v>103.9</v>
      </c>
      <c r="J44" s="58">
        <f>INDEX('Salary Information'!$B$91:$O$123,MATCH('PTO Accrual'!$B44,'Salary Information'!$B$91:$B$123,0),MATCH('PTO Accrual'!$E44,'Salary Information'!$B$91:$O$91,0))</f>
        <v>27.212488553113559</v>
      </c>
      <c r="K44" s="60">
        <f t="shared" si="2"/>
        <v>2827.377560668499</v>
      </c>
    </row>
    <row r="45" spans="2:11">
      <c r="B45" s="19" t="s">
        <v>142</v>
      </c>
      <c r="C45" s="14" t="s">
        <v>143</v>
      </c>
      <c r="D45" s="19" t="s">
        <v>6</v>
      </c>
      <c r="E45" s="57">
        <v>46174</v>
      </c>
      <c r="F45" s="58">
        <f t="shared" si="5"/>
        <v>103.9</v>
      </c>
      <c r="G45" s="58">
        <v>10</v>
      </c>
      <c r="H45" s="59">
        <v>0</v>
      </c>
      <c r="I45" s="58">
        <f t="shared" si="0"/>
        <v>113.9</v>
      </c>
      <c r="J45" s="58">
        <f>INDEX('Salary Information'!$B$91:$O$123,MATCH('PTO Accrual'!$B45,'Salary Information'!$B$91:$B$123,0),MATCH('PTO Accrual'!$E45,'Salary Information'!$B$91:$O$91,0))</f>
        <v>27.180583479021003</v>
      </c>
      <c r="K45" s="60">
        <f t="shared" si="2"/>
        <v>3095.8684582604924</v>
      </c>
    </row>
    <row r="46" spans="2:11">
      <c r="B46" s="19" t="s">
        <v>144</v>
      </c>
      <c r="C46" s="14" t="s">
        <v>145</v>
      </c>
      <c r="D46" s="19" t="s">
        <v>8</v>
      </c>
      <c r="E46" s="57">
        <v>45839</v>
      </c>
      <c r="F46" s="58">
        <v>25.6</v>
      </c>
      <c r="G46" s="58">
        <v>10</v>
      </c>
      <c r="H46" s="59">
        <v>32</v>
      </c>
      <c r="I46" s="58">
        <f t="shared" si="0"/>
        <v>3.6000000000000014</v>
      </c>
      <c r="J46" s="58">
        <f>INDEX('Salary Information'!$B$91:$O$123,MATCH('PTO Accrual'!$B46,'Salary Information'!$B$91:$B$123,0),MATCH('PTO Accrual'!$E46,'Salary Information'!$B$91:$O$91,0))</f>
        <v>26.661821739130438</v>
      </c>
      <c r="K46" s="60">
        <f t="shared" si="2"/>
        <v>95.98255826086961</v>
      </c>
    </row>
    <row r="47" spans="2:11">
      <c r="B47" s="19" t="s">
        <v>144</v>
      </c>
      <c r="C47" s="14" t="s">
        <v>145</v>
      </c>
      <c r="D47" s="19" t="s">
        <v>8</v>
      </c>
      <c r="E47" s="57">
        <v>45870</v>
      </c>
      <c r="F47" s="58">
        <f t="shared" ref="F47:F57" si="6">I46</f>
        <v>3.6000000000000014</v>
      </c>
      <c r="G47" s="58">
        <v>10</v>
      </c>
      <c r="H47" s="59">
        <v>8</v>
      </c>
      <c r="I47" s="58">
        <f t="shared" si="0"/>
        <v>5.6000000000000014</v>
      </c>
      <c r="J47" s="58">
        <f>INDEX('Salary Information'!$B$91:$O$123,MATCH('PTO Accrual'!$B47,'Salary Information'!$B$91:$B$123,0),MATCH('PTO Accrual'!$E47,'Salary Information'!$B$91:$O$91,0))</f>
        <v>29.68024761904762</v>
      </c>
      <c r="K47" s="60">
        <f t="shared" si="2"/>
        <v>166.20938666666672</v>
      </c>
    </row>
    <row r="48" spans="2:11">
      <c r="B48" s="19" t="s">
        <v>144</v>
      </c>
      <c r="C48" s="14" t="s">
        <v>145</v>
      </c>
      <c r="D48" s="19" t="s">
        <v>8</v>
      </c>
      <c r="E48" s="57">
        <v>45901</v>
      </c>
      <c r="F48" s="58">
        <f t="shared" si="6"/>
        <v>5.6000000000000014</v>
      </c>
      <c r="G48" s="58">
        <v>10</v>
      </c>
      <c r="H48" s="59">
        <v>0</v>
      </c>
      <c r="I48" s="58">
        <f t="shared" si="0"/>
        <v>15.600000000000001</v>
      </c>
      <c r="J48" s="58">
        <f>INDEX('Salary Information'!$B$91:$O$123,MATCH('PTO Accrual'!$B48,'Salary Information'!$B$91:$B$123,0),MATCH('PTO Accrual'!$E48,'Salary Information'!$B$91:$O$91,0))</f>
        <v>29.09916590909091</v>
      </c>
      <c r="K48" s="60">
        <f t="shared" si="2"/>
        <v>453.94698818181826</v>
      </c>
    </row>
    <row r="49" spans="2:11">
      <c r="B49" s="19" t="s">
        <v>144</v>
      </c>
      <c r="C49" s="14" t="s">
        <v>145</v>
      </c>
      <c r="D49" s="19" t="s">
        <v>8</v>
      </c>
      <c r="E49" s="57">
        <v>45931</v>
      </c>
      <c r="F49" s="58">
        <f t="shared" si="6"/>
        <v>15.600000000000001</v>
      </c>
      <c r="G49" s="58">
        <v>10</v>
      </c>
      <c r="H49" s="59">
        <v>0</v>
      </c>
      <c r="I49" s="58">
        <f t="shared" si="0"/>
        <v>25.6</v>
      </c>
      <c r="J49" s="58">
        <f>INDEX('Salary Information'!$B$91:$O$123,MATCH('PTO Accrual'!$B49,'Salary Information'!$B$91:$B$123,0),MATCH('PTO Accrual'!$E49,'Salary Information'!$B$91:$O$91,0))</f>
        <v>28.06560869565218</v>
      </c>
      <c r="K49" s="60">
        <f t="shared" si="2"/>
        <v>718.47958260869586</v>
      </c>
    </row>
    <row r="50" spans="2:11">
      <c r="B50" s="19" t="s">
        <v>144</v>
      </c>
      <c r="C50" s="14" t="s">
        <v>145</v>
      </c>
      <c r="D50" s="19" t="s">
        <v>8</v>
      </c>
      <c r="E50" s="57">
        <v>45962</v>
      </c>
      <c r="F50" s="58">
        <f t="shared" si="6"/>
        <v>25.6</v>
      </c>
      <c r="G50" s="58">
        <v>10</v>
      </c>
      <c r="H50" s="59">
        <v>24</v>
      </c>
      <c r="I50" s="58">
        <f t="shared" si="0"/>
        <v>11.600000000000001</v>
      </c>
      <c r="J50" s="58">
        <f>INDEX('Salary Information'!$B$91:$O$123,MATCH('PTO Accrual'!$B50,'Salary Information'!$B$91:$B$123,0),MATCH('PTO Accrual'!$E50,'Salary Information'!$B$91:$O$91,0))</f>
        <v>29.981396634615425</v>
      </c>
      <c r="K50" s="60">
        <f t="shared" si="2"/>
        <v>347.784200961539</v>
      </c>
    </row>
    <row r="51" spans="2:11">
      <c r="B51" s="19" t="s">
        <v>144</v>
      </c>
      <c r="C51" s="14" t="s">
        <v>145</v>
      </c>
      <c r="D51" s="19" t="s">
        <v>8</v>
      </c>
      <c r="E51" s="57">
        <v>45992</v>
      </c>
      <c r="F51" s="58">
        <f t="shared" si="6"/>
        <v>11.600000000000001</v>
      </c>
      <c r="G51" s="58">
        <v>10</v>
      </c>
      <c r="H51" s="59">
        <v>8</v>
      </c>
      <c r="I51" s="58">
        <f t="shared" si="0"/>
        <v>13.600000000000001</v>
      </c>
      <c r="J51" s="58">
        <f>INDEX('Salary Information'!$B$91:$O$123,MATCH('PTO Accrual'!$B51,'Salary Information'!$B$91:$B$123,0),MATCH('PTO Accrual'!$E51,'Salary Information'!$B$91:$O$91,0))</f>
        <v>26.520800585284256</v>
      </c>
      <c r="K51" s="60">
        <f t="shared" si="2"/>
        <v>360.68288795986592</v>
      </c>
    </row>
    <row r="52" spans="2:11">
      <c r="B52" s="19" t="s">
        <v>144</v>
      </c>
      <c r="C52" s="14" t="s">
        <v>145</v>
      </c>
      <c r="D52" s="19" t="s">
        <v>8</v>
      </c>
      <c r="E52" s="57">
        <v>46023</v>
      </c>
      <c r="F52" s="58">
        <f t="shared" si="6"/>
        <v>13.600000000000001</v>
      </c>
      <c r="G52" s="58">
        <v>10</v>
      </c>
      <c r="H52" s="59">
        <v>0</v>
      </c>
      <c r="I52" s="58">
        <f t="shared" si="0"/>
        <v>23.6</v>
      </c>
      <c r="J52" s="58">
        <f>INDEX('Salary Information'!$B$91:$O$123,MATCH('PTO Accrual'!$B52,'Salary Information'!$B$91:$B$123,0),MATCH('PTO Accrual'!$E52,'Salary Information'!$B$91:$O$91,0))</f>
        <v>28.535627272727275</v>
      </c>
      <c r="K52" s="60">
        <f t="shared" si="2"/>
        <v>673.44080363636374</v>
      </c>
    </row>
    <row r="53" spans="2:11">
      <c r="B53" s="19" t="s">
        <v>144</v>
      </c>
      <c r="C53" s="14" t="s">
        <v>145</v>
      </c>
      <c r="D53" s="19" t="s">
        <v>8</v>
      </c>
      <c r="E53" s="57">
        <v>46054</v>
      </c>
      <c r="F53" s="58">
        <f t="shared" si="6"/>
        <v>23.6</v>
      </c>
      <c r="G53" s="58">
        <v>10</v>
      </c>
      <c r="H53" s="59">
        <v>0</v>
      </c>
      <c r="I53" s="58">
        <f t="shared" si="0"/>
        <v>33.6</v>
      </c>
      <c r="J53" s="58">
        <f>INDEX('Salary Information'!$B$91:$O$123,MATCH('PTO Accrual'!$B53,'Salary Information'!$B$91:$B$123,0),MATCH('PTO Accrual'!$E53,'Salary Information'!$B$91:$O$91,0))</f>
        <v>30.9493725961539</v>
      </c>
      <c r="K53" s="60">
        <f t="shared" si="2"/>
        <v>1039.8989192307711</v>
      </c>
    </row>
    <row r="54" spans="2:11">
      <c r="B54" s="19" t="s">
        <v>144</v>
      </c>
      <c r="C54" s="14" t="s">
        <v>145</v>
      </c>
      <c r="D54" s="19" t="s">
        <v>8</v>
      </c>
      <c r="E54" s="57">
        <v>46082</v>
      </c>
      <c r="F54" s="58">
        <f t="shared" si="6"/>
        <v>33.6</v>
      </c>
      <c r="G54" s="58">
        <v>10</v>
      </c>
      <c r="H54" s="59">
        <v>0</v>
      </c>
      <c r="I54" s="58">
        <f t="shared" si="0"/>
        <v>43.6</v>
      </c>
      <c r="J54" s="58">
        <f>INDEX('Salary Information'!$B$91:$O$123,MATCH('PTO Accrual'!$B54,'Salary Information'!$B$91:$B$123,0),MATCH('PTO Accrual'!$E54,'Salary Information'!$B$91:$O$91,0))</f>
        <v>27.567760052447579</v>
      </c>
      <c r="K54" s="60">
        <f t="shared" si="2"/>
        <v>1201.9543382867146</v>
      </c>
    </row>
    <row r="55" spans="2:11">
      <c r="B55" s="19" t="s">
        <v>144</v>
      </c>
      <c r="C55" s="14" t="s">
        <v>145</v>
      </c>
      <c r="D55" s="19" t="s">
        <v>8</v>
      </c>
      <c r="E55" s="57">
        <v>46113</v>
      </c>
      <c r="F55" s="58">
        <f t="shared" si="6"/>
        <v>43.6</v>
      </c>
      <c r="G55" s="58">
        <v>10</v>
      </c>
      <c r="H55" s="59">
        <v>8</v>
      </c>
      <c r="I55" s="58">
        <f t="shared" si="0"/>
        <v>45.6</v>
      </c>
      <c r="J55" s="58">
        <f>INDEX('Salary Information'!$B$91:$O$123,MATCH('PTO Accrual'!$B55,'Salary Information'!$B$91:$B$123,0),MATCH('PTO Accrual'!$E55,'Salary Information'!$B$91:$O$91,0))</f>
        <v>27.793295454545454</v>
      </c>
      <c r="K55" s="60">
        <f t="shared" si="2"/>
        <v>1267.3742727272727</v>
      </c>
    </row>
    <row r="56" spans="2:11">
      <c r="B56" s="19" t="s">
        <v>144</v>
      </c>
      <c r="C56" s="14" t="s">
        <v>145</v>
      </c>
      <c r="D56" s="19" t="s">
        <v>8</v>
      </c>
      <c r="E56" s="57">
        <v>46143</v>
      </c>
      <c r="F56" s="58">
        <f t="shared" si="6"/>
        <v>45.6</v>
      </c>
      <c r="G56" s="58">
        <v>10</v>
      </c>
      <c r="H56" s="59">
        <v>0</v>
      </c>
      <c r="I56" s="58">
        <f t="shared" si="0"/>
        <v>55.6</v>
      </c>
      <c r="J56" s="58">
        <f>INDEX('Salary Information'!$B$91:$O$123,MATCH('PTO Accrual'!$B56,'Salary Information'!$B$91:$B$123,0),MATCH('PTO Accrual'!$E56,'Salary Information'!$B$91:$O$91,0))</f>
        <v>27.212488553113559</v>
      </c>
      <c r="K56" s="60">
        <f t="shared" si="2"/>
        <v>1513.014363553114</v>
      </c>
    </row>
    <row r="57" spans="2:11">
      <c r="B57" s="19" t="s">
        <v>144</v>
      </c>
      <c r="C57" s="14" t="s">
        <v>145</v>
      </c>
      <c r="D57" s="19" t="s">
        <v>8</v>
      </c>
      <c r="E57" s="57">
        <v>46174</v>
      </c>
      <c r="F57" s="58">
        <f t="shared" si="6"/>
        <v>55.6</v>
      </c>
      <c r="G57" s="58">
        <v>10</v>
      </c>
      <c r="H57" s="59">
        <v>40</v>
      </c>
      <c r="I57" s="58">
        <f t="shared" si="0"/>
        <v>25.599999999999994</v>
      </c>
      <c r="J57" s="58">
        <f>INDEX('Salary Information'!$B$91:$O$123,MATCH('PTO Accrual'!$B57,'Salary Information'!$B$91:$B$123,0),MATCH('PTO Accrual'!$E57,'Salary Information'!$B$91:$O$91,0))</f>
        <v>27.180583479021003</v>
      </c>
      <c r="K57" s="60">
        <f t="shared" si="2"/>
        <v>695.82293706293751</v>
      </c>
    </row>
    <row r="58" spans="2:11">
      <c r="B58" s="19" t="s">
        <v>146</v>
      </c>
      <c r="C58" s="14" t="s">
        <v>147</v>
      </c>
      <c r="D58" s="19" t="s">
        <v>8</v>
      </c>
      <c r="E58" s="57">
        <v>45839</v>
      </c>
      <c r="F58" s="58">
        <v>11.5</v>
      </c>
      <c r="G58" s="58">
        <v>10</v>
      </c>
      <c r="H58" s="59">
        <v>0</v>
      </c>
      <c r="I58" s="58">
        <f t="shared" si="0"/>
        <v>21.5</v>
      </c>
      <c r="J58" s="58">
        <f>INDEX('Salary Information'!$B$91:$O$123,MATCH('PTO Accrual'!$B58,'Salary Information'!$B$91:$B$123,0),MATCH('PTO Accrual'!$E58,'Salary Information'!$B$91:$O$91,0))</f>
        <v>26.661821739130438</v>
      </c>
      <c r="K58" s="60">
        <f t="shared" si="2"/>
        <v>573.22916739130437</v>
      </c>
    </row>
    <row r="59" spans="2:11">
      <c r="B59" s="19" t="s">
        <v>146</v>
      </c>
      <c r="C59" s="14" t="s">
        <v>147</v>
      </c>
      <c r="D59" s="19" t="s">
        <v>8</v>
      </c>
      <c r="E59" s="57">
        <v>45870</v>
      </c>
      <c r="F59" s="58">
        <f t="shared" ref="F59:F69" si="7">I58</f>
        <v>21.5</v>
      </c>
      <c r="G59" s="58">
        <v>10</v>
      </c>
      <c r="H59" s="59">
        <v>8</v>
      </c>
      <c r="I59" s="58">
        <f t="shared" si="0"/>
        <v>23.5</v>
      </c>
      <c r="J59" s="58">
        <f>INDEX('Salary Information'!$B$91:$O$123,MATCH('PTO Accrual'!$B59,'Salary Information'!$B$91:$B$123,0),MATCH('PTO Accrual'!$E59,'Salary Information'!$B$91:$O$91,0))</f>
        <v>29.68024761904762</v>
      </c>
      <c r="K59" s="60">
        <f t="shared" si="2"/>
        <v>697.48581904761909</v>
      </c>
    </row>
    <row r="60" spans="2:11">
      <c r="B60" s="19" t="s">
        <v>146</v>
      </c>
      <c r="C60" s="14" t="s">
        <v>147</v>
      </c>
      <c r="D60" s="19" t="s">
        <v>8</v>
      </c>
      <c r="E60" s="57">
        <v>45901</v>
      </c>
      <c r="F60" s="58">
        <f t="shared" si="7"/>
        <v>23.5</v>
      </c>
      <c r="G60" s="58">
        <v>10</v>
      </c>
      <c r="H60" s="59">
        <v>0</v>
      </c>
      <c r="I60" s="58">
        <f t="shared" si="0"/>
        <v>33.5</v>
      </c>
      <c r="J60" s="58">
        <f>INDEX('Salary Information'!$B$91:$O$123,MATCH('PTO Accrual'!$B60,'Salary Information'!$B$91:$B$123,0),MATCH('PTO Accrual'!$E60,'Salary Information'!$B$91:$O$91,0))</f>
        <v>29.09916590909091</v>
      </c>
      <c r="K60" s="60">
        <f t="shared" si="2"/>
        <v>974.82205795454547</v>
      </c>
    </row>
    <row r="61" spans="2:11">
      <c r="B61" s="19" t="s">
        <v>146</v>
      </c>
      <c r="C61" s="14" t="s">
        <v>147</v>
      </c>
      <c r="D61" s="19" t="s">
        <v>8</v>
      </c>
      <c r="E61" s="57">
        <v>45931</v>
      </c>
      <c r="F61" s="58">
        <f t="shared" si="7"/>
        <v>33.5</v>
      </c>
      <c r="G61" s="58">
        <v>10</v>
      </c>
      <c r="H61" s="59">
        <v>8</v>
      </c>
      <c r="I61" s="58">
        <f t="shared" si="0"/>
        <v>35.5</v>
      </c>
      <c r="J61" s="58">
        <f>INDEX('Salary Information'!$B$91:$O$123,MATCH('PTO Accrual'!$B61,'Salary Information'!$B$91:$B$123,0),MATCH('PTO Accrual'!$E61,'Salary Information'!$B$91:$O$91,0))</f>
        <v>28.06560869565218</v>
      </c>
      <c r="K61" s="60">
        <f t="shared" si="2"/>
        <v>996.32910869565239</v>
      </c>
    </row>
    <row r="62" spans="2:11">
      <c r="B62" s="19" t="s">
        <v>146</v>
      </c>
      <c r="C62" s="14" t="s">
        <v>147</v>
      </c>
      <c r="D62" s="19" t="s">
        <v>8</v>
      </c>
      <c r="E62" s="57">
        <v>45962</v>
      </c>
      <c r="F62" s="58">
        <f t="shared" si="7"/>
        <v>35.5</v>
      </c>
      <c r="G62" s="58">
        <v>10</v>
      </c>
      <c r="H62" s="59">
        <v>0</v>
      </c>
      <c r="I62" s="58">
        <f t="shared" si="0"/>
        <v>45.5</v>
      </c>
      <c r="J62" s="58">
        <f>INDEX('Salary Information'!$B$91:$O$123,MATCH('PTO Accrual'!$B62,'Salary Information'!$B$91:$B$123,0),MATCH('PTO Accrual'!$E62,'Salary Information'!$B$91:$O$91,0))</f>
        <v>29.981396634615425</v>
      </c>
      <c r="K62" s="60">
        <f t="shared" si="2"/>
        <v>1364.1535468750019</v>
      </c>
    </row>
    <row r="63" spans="2:11">
      <c r="B63" s="19" t="s">
        <v>146</v>
      </c>
      <c r="C63" s="14" t="s">
        <v>147</v>
      </c>
      <c r="D63" s="19" t="s">
        <v>8</v>
      </c>
      <c r="E63" s="57">
        <v>45992</v>
      </c>
      <c r="F63" s="58">
        <f t="shared" si="7"/>
        <v>45.5</v>
      </c>
      <c r="G63" s="58">
        <v>10</v>
      </c>
      <c r="H63" s="59">
        <v>0</v>
      </c>
      <c r="I63" s="58">
        <f t="shared" si="0"/>
        <v>55.5</v>
      </c>
      <c r="J63" s="58">
        <f>INDEX('Salary Information'!$B$91:$O$123,MATCH('PTO Accrual'!$B63,'Salary Information'!$B$91:$B$123,0),MATCH('PTO Accrual'!$E63,'Salary Information'!$B$91:$O$91,0))</f>
        <v>26.520800585284256</v>
      </c>
      <c r="K63" s="60">
        <f t="shared" si="2"/>
        <v>1471.9044324832762</v>
      </c>
    </row>
    <row r="64" spans="2:11">
      <c r="B64" s="19" t="s">
        <v>146</v>
      </c>
      <c r="C64" s="14" t="s">
        <v>147</v>
      </c>
      <c r="D64" s="19" t="s">
        <v>8</v>
      </c>
      <c r="E64" s="57">
        <v>46023</v>
      </c>
      <c r="F64" s="58">
        <f t="shared" si="7"/>
        <v>55.5</v>
      </c>
      <c r="G64" s="58">
        <v>10</v>
      </c>
      <c r="H64" s="59">
        <v>16</v>
      </c>
      <c r="I64" s="58">
        <f t="shared" si="0"/>
        <v>49.5</v>
      </c>
      <c r="J64" s="58">
        <f>INDEX('Salary Information'!$B$91:$O$123,MATCH('PTO Accrual'!$B64,'Salary Information'!$B$91:$B$123,0),MATCH('PTO Accrual'!$E64,'Salary Information'!$B$91:$O$91,0))</f>
        <v>28.535627272727275</v>
      </c>
      <c r="K64" s="60">
        <f t="shared" si="2"/>
        <v>1412.5135500000001</v>
      </c>
    </row>
    <row r="65" spans="2:11">
      <c r="B65" s="19" t="s">
        <v>146</v>
      </c>
      <c r="C65" s="14" t="s">
        <v>147</v>
      </c>
      <c r="D65" s="19" t="s">
        <v>8</v>
      </c>
      <c r="E65" s="57">
        <v>46054</v>
      </c>
      <c r="F65" s="58">
        <f t="shared" si="7"/>
        <v>49.5</v>
      </c>
      <c r="G65" s="58">
        <v>10</v>
      </c>
      <c r="H65" s="59">
        <v>0</v>
      </c>
      <c r="I65" s="58">
        <f t="shared" si="0"/>
        <v>59.5</v>
      </c>
      <c r="J65" s="58">
        <f>INDEX('Salary Information'!$B$91:$O$123,MATCH('PTO Accrual'!$B65,'Salary Information'!$B$91:$B$123,0),MATCH('PTO Accrual'!$E65,'Salary Information'!$B$91:$O$91,0))</f>
        <v>30.9493725961539</v>
      </c>
      <c r="K65" s="60">
        <f t="shared" si="2"/>
        <v>1841.487669471157</v>
      </c>
    </row>
    <row r="66" spans="2:11">
      <c r="B66" s="19" t="s">
        <v>146</v>
      </c>
      <c r="C66" s="14" t="s">
        <v>147</v>
      </c>
      <c r="D66" s="19" t="s">
        <v>8</v>
      </c>
      <c r="E66" s="57">
        <v>46082</v>
      </c>
      <c r="F66" s="58">
        <f t="shared" si="7"/>
        <v>59.5</v>
      </c>
      <c r="G66" s="58">
        <v>10</v>
      </c>
      <c r="H66" s="59">
        <v>8</v>
      </c>
      <c r="I66" s="58">
        <f t="shared" si="0"/>
        <v>61.5</v>
      </c>
      <c r="J66" s="58">
        <f>INDEX('Salary Information'!$B$91:$O$123,MATCH('PTO Accrual'!$B66,'Salary Information'!$B$91:$B$123,0),MATCH('PTO Accrual'!$E66,'Salary Information'!$B$91:$O$91,0))</f>
        <v>27.567760052447579</v>
      </c>
      <c r="K66" s="60">
        <f t="shared" si="2"/>
        <v>1695.4172432255261</v>
      </c>
    </row>
    <row r="67" spans="2:11">
      <c r="B67" s="19" t="s">
        <v>146</v>
      </c>
      <c r="C67" s="14" t="s">
        <v>147</v>
      </c>
      <c r="D67" s="19" t="s">
        <v>8</v>
      </c>
      <c r="E67" s="57">
        <v>46113</v>
      </c>
      <c r="F67" s="58">
        <f t="shared" si="7"/>
        <v>61.5</v>
      </c>
      <c r="G67" s="58">
        <v>10</v>
      </c>
      <c r="H67" s="59">
        <v>16</v>
      </c>
      <c r="I67" s="58">
        <f t="shared" si="0"/>
        <v>55.5</v>
      </c>
      <c r="J67" s="58">
        <f>INDEX('Salary Information'!$B$91:$O$123,MATCH('PTO Accrual'!$B67,'Salary Information'!$B$91:$B$123,0),MATCH('PTO Accrual'!$E67,'Salary Information'!$B$91:$O$91,0))</f>
        <v>27.793295454545454</v>
      </c>
      <c r="K67" s="60">
        <f t="shared" si="2"/>
        <v>1542.5278977272726</v>
      </c>
    </row>
    <row r="68" spans="2:11">
      <c r="B68" s="19" t="s">
        <v>146</v>
      </c>
      <c r="C68" s="14" t="s">
        <v>147</v>
      </c>
      <c r="D68" s="19" t="s">
        <v>8</v>
      </c>
      <c r="E68" s="57">
        <v>46143</v>
      </c>
      <c r="F68" s="58">
        <f t="shared" si="7"/>
        <v>55.5</v>
      </c>
      <c r="G68" s="58">
        <v>10</v>
      </c>
      <c r="H68" s="59">
        <v>0</v>
      </c>
      <c r="I68" s="58">
        <f t="shared" si="0"/>
        <v>65.5</v>
      </c>
      <c r="J68" s="58">
        <f>INDEX('Salary Information'!$B$91:$O$123,MATCH('PTO Accrual'!$B68,'Salary Information'!$B$91:$B$123,0),MATCH('PTO Accrual'!$E68,'Salary Information'!$B$91:$O$91,0))</f>
        <v>27.212488553113559</v>
      </c>
      <c r="K68" s="60">
        <f t="shared" si="2"/>
        <v>1782.4180002289381</v>
      </c>
    </row>
    <row r="69" spans="2:11">
      <c r="B69" s="19" t="s">
        <v>146</v>
      </c>
      <c r="C69" s="14" t="s">
        <v>147</v>
      </c>
      <c r="D69" s="19" t="s">
        <v>8</v>
      </c>
      <c r="E69" s="57">
        <v>46174</v>
      </c>
      <c r="F69" s="58">
        <f t="shared" si="7"/>
        <v>65.5</v>
      </c>
      <c r="G69" s="58">
        <v>10</v>
      </c>
      <c r="H69" s="59">
        <v>0</v>
      </c>
      <c r="I69" s="58">
        <f t="shared" si="0"/>
        <v>75.5</v>
      </c>
      <c r="J69" s="58">
        <f>INDEX('Salary Information'!$B$91:$O$123,MATCH('PTO Accrual'!$B69,'Salary Information'!$B$91:$B$123,0),MATCH('PTO Accrual'!$E69,'Salary Information'!$B$91:$O$91,0))</f>
        <v>27.180583479021003</v>
      </c>
      <c r="K69" s="60">
        <f t="shared" si="2"/>
        <v>2052.1340526660856</v>
      </c>
    </row>
    <row r="70" spans="2:11">
      <c r="B70" s="19" t="s">
        <v>148</v>
      </c>
      <c r="C70" s="14" t="s">
        <v>149</v>
      </c>
      <c r="D70" s="19" t="s">
        <v>10</v>
      </c>
      <c r="E70" s="57">
        <v>45839</v>
      </c>
      <c r="F70" s="58">
        <v>42.3</v>
      </c>
      <c r="G70" s="58">
        <v>10</v>
      </c>
      <c r="H70" s="59">
        <v>16</v>
      </c>
      <c r="I70" s="58">
        <f t="shared" si="0"/>
        <v>36.299999999999997</v>
      </c>
      <c r="J70" s="58">
        <f>INDEX('Salary Information'!$B$91:$O$123,MATCH('PTO Accrual'!$B70,'Salary Information'!$B$91:$B$123,0),MATCH('PTO Accrual'!$E70,'Salary Information'!$B$91:$O$91,0))</f>
        <v>26.661821739130438</v>
      </c>
      <c r="K70" s="60">
        <f t="shared" si="2"/>
        <v>967.82412913043481</v>
      </c>
    </row>
    <row r="71" spans="2:11">
      <c r="B71" s="19" t="s">
        <v>148</v>
      </c>
      <c r="C71" s="14" t="s">
        <v>149</v>
      </c>
      <c r="D71" s="19" t="s">
        <v>10</v>
      </c>
      <c r="E71" s="57">
        <v>45870</v>
      </c>
      <c r="F71" s="58">
        <f t="shared" ref="F71:F77" si="8">I70</f>
        <v>36.299999999999997</v>
      </c>
      <c r="G71" s="58">
        <v>10</v>
      </c>
      <c r="H71" s="59">
        <v>24</v>
      </c>
      <c r="I71" s="58">
        <f t="shared" si="0"/>
        <v>22.299999999999997</v>
      </c>
      <c r="J71" s="58">
        <f>INDEX('Salary Information'!$B$91:$O$123,MATCH('PTO Accrual'!$B71,'Salary Information'!$B$91:$B$123,0),MATCH('PTO Accrual'!$E71,'Salary Information'!$B$91:$O$91,0))</f>
        <v>29.68024761904762</v>
      </c>
      <c r="K71" s="60">
        <f t="shared" si="2"/>
        <v>661.86952190476188</v>
      </c>
    </row>
    <row r="72" spans="2:11">
      <c r="B72" s="19" t="s">
        <v>148</v>
      </c>
      <c r="C72" s="14" t="s">
        <v>149</v>
      </c>
      <c r="D72" s="19" t="s">
        <v>10</v>
      </c>
      <c r="E72" s="57">
        <v>45901</v>
      </c>
      <c r="F72" s="58">
        <f t="shared" si="8"/>
        <v>22.299999999999997</v>
      </c>
      <c r="G72" s="58">
        <v>10</v>
      </c>
      <c r="H72" s="59">
        <v>16</v>
      </c>
      <c r="I72" s="58">
        <f t="shared" si="0"/>
        <v>16.299999999999997</v>
      </c>
      <c r="J72" s="58">
        <f>INDEX('Salary Information'!$B$91:$O$123,MATCH('PTO Accrual'!$B72,'Salary Information'!$B$91:$B$123,0),MATCH('PTO Accrual'!$E72,'Salary Information'!$B$91:$O$91,0))</f>
        <v>29.09916590909091</v>
      </c>
      <c r="K72" s="60">
        <f t="shared" si="2"/>
        <v>474.31640431818175</v>
      </c>
    </row>
    <row r="73" spans="2:11">
      <c r="B73" s="19" t="s">
        <v>148</v>
      </c>
      <c r="C73" s="14" t="s">
        <v>149</v>
      </c>
      <c r="D73" s="19" t="s">
        <v>10</v>
      </c>
      <c r="E73" s="57">
        <v>45931</v>
      </c>
      <c r="F73" s="58">
        <f t="shared" si="8"/>
        <v>16.299999999999997</v>
      </c>
      <c r="G73" s="58">
        <v>10</v>
      </c>
      <c r="H73" s="59">
        <v>8</v>
      </c>
      <c r="I73" s="58">
        <f t="shared" si="0"/>
        <v>18.299999999999997</v>
      </c>
      <c r="J73" s="58">
        <f>INDEX('Salary Information'!$B$91:$O$123,MATCH('PTO Accrual'!$B73,'Salary Information'!$B$91:$B$123,0),MATCH('PTO Accrual'!$E73,'Salary Information'!$B$91:$O$91,0))</f>
        <v>28.06560869565218</v>
      </c>
      <c r="K73" s="60">
        <f t="shared" si="2"/>
        <v>513.60063913043484</v>
      </c>
    </row>
    <row r="74" spans="2:11">
      <c r="B74" s="19" t="s">
        <v>148</v>
      </c>
      <c r="C74" s="14" t="s">
        <v>149</v>
      </c>
      <c r="D74" s="19" t="s">
        <v>10</v>
      </c>
      <c r="E74" s="57">
        <v>45962</v>
      </c>
      <c r="F74" s="58">
        <f t="shared" si="8"/>
        <v>18.299999999999997</v>
      </c>
      <c r="G74" s="58">
        <v>10</v>
      </c>
      <c r="H74" s="59">
        <v>8</v>
      </c>
      <c r="I74" s="58">
        <f t="shared" ref="I74:I136" si="9">F74+G74-H74</f>
        <v>20.299999999999997</v>
      </c>
      <c r="J74" s="58">
        <f>INDEX('Salary Information'!$B$91:$O$123,MATCH('PTO Accrual'!$B74,'Salary Information'!$B$91:$B$123,0),MATCH('PTO Accrual'!$E74,'Salary Information'!$B$91:$O$91,0))</f>
        <v>29.981396634615425</v>
      </c>
      <c r="K74" s="60">
        <f t="shared" si="2"/>
        <v>608.62235168269308</v>
      </c>
    </row>
    <row r="75" spans="2:11">
      <c r="B75" s="19" t="s">
        <v>148</v>
      </c>
      <c r="C75" s="14" t="s">
        <v>149</v>
      </c>
      <c r="D75" s="19" t="s">
        <v>10</v>
      </c>
      <c r="E75" s="57">
        <v>45992</v>
      </c>
      <c r="F75" s="58">
        <f t="shared" si="8"/>
        <v>20.299999999999997</v>
      </c>
      <c r="G75" s="58">
        <v>10</v>
      </c>
      <c r="H75" s="59">
        <v>26</v>
      </c>
      <c r="I75" s="58">
        <f t="shared" si="9"/>
        <v>4.2999999999999972</v>
      </c>
      <c r="J75" s="58">
        <f>INDEX('Salary Information'!$B$91:$O$123,MATCH('PTO Accrual'!$B75,'Salary Information'!$B$91:$B$123,0),MATCH('PTO Accrual'!$E75,'Salary Information'!$B$91:$O$91,0))</f>
        <v>26.520800585284256</v>
      </c>
      <c r="K75" s="60">
        <f t="shared" ref="K75:K138" si="10">I75*J75</f>
        <v>114.03944251672223</v>
      </c>
    </row>
    <row r="76" spans="2:11">
      <c r="B76" s="19" t="s">
        <v>148</v>
      </c>
      <c r="C76" s="14" t="s">
        <v>149</v>
      </c>
      <c r="D76" s="19" t="s">
        <v>10</v>
      </c>
      <c r="E76" s="57">
        <v>46023</v>
      </c>
      <c r="F76" s="58">
        <f t="shared" si="8"/>
        <v>4.2999999999999972</v>
      </c>
      <c r="G76" s="58">
        <v>10</v>
      </c>
      <c r="H76" s="59">
        <v>0</v>
      </c>
      <c r="I76" s="58">
        <f t="shared" si="9"/>
        <v>14.299999999999997</v>
      </c>
      <c r="J76" s="58">
        <f>INDEX('Salary Information'!$B$91:$O$123,MATCH('PTO Accrual'!$B76,'Salary Information'!$B$91:$B$123,0),MATCH('PTO Accrual'!$E76,'Salary Information'!$B$91:$O$91,0))</f>
        <v>28.535627272727275</v>
      </c>
      <c r="K76" s="60">
        <f t="shared" si="10"/>
        <v>408.05946999999998</v>
      </c>
    </row>
    <row r="77" spans="2:11">
      <c r="B77" s="19" t="s">
        <v>148</v>
      </c>
      <c r="C77" s="14" t="s">
        <v>149</v>
      </c>
      <c r="D77" s="19" t="s">
        <v>10</v>
      </c>
      <c r="E77" s="57">
        <v>46054</v>
      </c>
      <c r="F77" s="58">
        <f t="shared" si="8"/>
        <v>14.299999999999997</v>
      </c>
      <c r="G77" s="58">
        <v>10</v>
      </c>
      <c r="H77" s="59">
        <v>24.3</v>
      </c>
      <c r="I77" s="58">
        <f t="shared" si="9"/>
        <v>0</v>
      </c>
      <c r="J77" s="58">
        <f>INDEX('Salary Information'!$B$91:$O$123,MATCH('PTO Accrual'!$B77,'Salary Information'!$B$91:$B$123,0),MATCH('PTO Accrual'!$E77,'Salary Information'!$B$91:$O$91,0))</f>
        <v>30.9493725961539</v>
      </c>
      <c r="K77" s="60">
        <f t="shared" si="10"/>
        <v>0</v>
      </c>
    </row>
    <row r="78" spans="2:11">
      <c r="B78" s="19" t="s">
        <v>150</v>
      </c>
      <c r="C78" s="14" t="s">
        <v>151</v>
      </c>
      <c r="D78" s="19" t="s">
        <v>10</v>
      </c>
      <c r="E78" s="57">
        <v>45839</v>
      </c>
      <c r="F78" s="58">
        <v>43.1</v>
      </c>
      <c r="G78" s="58">
        <v>10</v>
      </c>
      <c r="H78" s="59">
        <v>0</v>
      </c>
      <c r="I78" s="58">
        <f t="shared" si="9"/>
        <v>53.1</v>
      </c>
      <c r="J78" s="58">
        <f>INDEX('Salary Information'!$B$91:$O$123,MATCH('PTO Accrual'!$B78,'Salary Information'!$B$91:$B$123,0),MATCH('PTO Accrual'!$E78,'Salary Information'!$B$91:$O$91,0))</f>
        <v>26.661821739130438</v>
      </c>
      <c r="K78" s="60">
        <f t="shared" si="10"/>
        <v>1415.7427343478264</v>
      </c>
    </row>
    <row r="79" spans="2:11">
      <c r="B79" s="19" t="s">
        <v>150</v>
      </c>
      <c r="C79" s="14" t="s">
        <v>151</v>
      </c>
      <c r="D79" s="19" t="s">
        <v>10</v>
      </c>
      <c r="E79" s="57">
        <v>45870</v>
      </c>
      <c r="F79" s="58">
        <f t="shared" ref="F79:F89" si="11">I78</f>
        <v>53.1</v>
      </c>
      <c r="G79" s="58">
        <v>10</v>
      </c>
      <c r="H79" s="59">
        <v>32</v>
      </c>
      <c r="I79" s="58">
        <f t="shared" si="9"/>
        <v>31.1</v>
      </c>
      <c r="J79" s="58">
        <f>INDEX('Salary Information'!$B$91:$O$123,MATCH('PTO Accrual'!$B79,'Salary Information'!$B$91:$B$123,0),MATCH('PTO Accrual'!$E79,'Salary Information'!$B$91:$O$91,0))</f>
        <v>29.68024761904762</v>
      </c>
      <c r="K79" s="60">
        <f t="shared" si="10"/>
        <v>923.05570095238102</v>
      </c>
    </row>
    <row r="80" spans="2:11">
      <c r="B80" s="19" t="s">
        <v>150</v>
      </c>
      <c r="C80" s="14" t="s">
        <v>151</v>
      </c>
      <c r="D80" s="19" t="s">
        <v>10</v>
      </c>
      <c r="E80" s="57">
        <v>45901</v>
      </c>
      <c r="F80" s="58">
        <f t="shared" si="11"/>
        <v>31.1</v>
      </c>
      <c r="G80" s="58">
        <v>10</v>
      </c>
      <c r="H80" s="59">
        <v>0</v>
      </c>
      <c r="I80" s="58">
        <f t="shared" si="9"/>
        <v>41.1</v>
      </c>
      <c r="J80" s="58">
        <f>INDEX('Salary Information'!$B$91:$O$123,MATCH('PTO Accrual'!$B80,'Salary Information'!$B$91:$B$123,0),MATCH('PTO Accrual'!$E80,'Salary Information'!$B$91:$O$91,0))</f>
        <v>29.09916590909091</v>
      </c>
      <c r="K80" s="60">
        <f t="shared" si="10"/>
        <v>1195.9757188636365</v>
      </c>
    </row>
    <row r="81" spans="2:11">
      <c r="B81" s="19" t="s">
        <v>150</v>
      </c>
      <c r="C81" s="14" t="s">
        <v>151</v>
      </c>
      <c r="D81" s="19" t="s">
        <v>10</v>
      </c>
      <c r="E81" s="57">
        <v>45931</v>
      </c>
      <c r="F81" s="58">
        <f t="shared" si="11"/>
        <v>41.1</v>
      </c>
      <c r="G81" s="58">
        <v>10</v>
      </c>
      <c r="H81" s="59">
        <v>0</v>
      </c>
      <c r="I81" s="58">
        <f t="shared" si="9"/>
        <v>51.1</v>
      </c>
      <c r="J81" s="58">
        <f>INDEX('Salary Information'!$B$91:$O$123,MATCH('PTO Accrual'!$B81,'Salary Information'!$B$91:$B$123,0),MATCH('PTO Accrual'!$E81,'Salary Information'!$B$91:$O$91,0))</f>
        <v>28.06560869565218</v>
      </c>
      <c r="K81" s="60">
        <f t="shared" si="10"/>
        <v>1434.1526043478264</v>
      </c>
    </row>
    <row r="82" spans="2:11">
      <c r="B82" s="19" t="s">
        <v>150</v>
      </c>
      <c r="C82" s="14" t="s">
        <v>151</v>
      </c>
      <c r="D82" s="19" t="s">
        <v>10</v>
      </c>
      <c r="E82" s="57">
        <v>45962</v>
      </c>
      <c r="F82" s="58">
        <f t="shared" si="11"/>
        <v>51.1</v>
      </c>
      <c r="G82" s="58">
        <v>10</v>
      </c>
      <c r="H82" s="59">
        <v>0</v>
      </c>
      <c r="I82" s="58">
        <f t="shared" si="9"/>
        <v>61.1</v>
      </c>
      <c r="J82" s="58">
        <f>INDEX('Salary Information'!$B$91:$O$123,MATCH('PTO Accrual'!$B82,'Salary Information'!$B$91:$B$123,0),MATCH('PTO Accrual'!$E82,'Salary Information'!$B$91:$O$91,0))</f>
        <v>29.981396634615425</v>
      </c>
      <c r="K82" s="60">
        <f t="shared" si="10"/>
        <v>1831.8633343750025</v>
      </c>
    </row>
    <row r="83" spans="2:11">
      <c r="B83" s="19" t="s">
        <v>150</v>
      </c>
      <c r="C83" s="14" t="s">
        <v>151</v>
      </c>
      <c r="D83" s="19" t="s">
        <v>10</v>
      </c>
      <c r="E83" s="57">
        <v>45992</v>
      </c>
      <c r="F83" s="58">
        <f t="shared" si="11"/>
        <v>61.1</v>
      </c>
      <c r="G83" s="58">
        <v>10</v>
      </c>
      <c r="H83" s="59">
        <v>8</v>
      </c>
      <c r="I83" s="58">
        <f t="shared" si="9"/>
        <v>63.099999999999994</v>
      </c>
      <c r="J83" s="58">
        <f>INDEX('Salary Information'!$B$91:$O$123,MATCH('PTO Accrual'!$B83,'Salary Information'!$B$91:$B$123,0),MATCH('PTO Accrual'!$E83,'Salary Information'!$B$91:$O$91,0))</f>
        <v>26.520800585284256</v>
      </c>
      <c r="K83" s="60">
        <f t="shared" si="10"/>
        <v>1673.4625169314363</v>
      </c>
    </row>
    <row r="84" spans="2:11">
      <c r="B84" s="19" t="s">
        <v>150</v>
      </c>
      <c r="C84" s="14" t="s">
        <v>151</v>
      </c>
      <c r="D84" s="19" t="s">
        <v>10</v>
      </c>
      <c r="E84" s="57">
        <v>46023</v>
      </c>
      <c r="F84" s="58">
        <f t="shared" si="11"/>
        <v>63.099999999999994</v>
      </c>
      <c r="G84" s="58">
        <v>10</v>
      </c>
      <c r="H84" s="59">
        <v>0</v>
      </c>
      <c r="I84" s="58">
        <f t="shared" si="9"/>
        <v>73.099999999999994</v>
      </c>
      <c r="J84" s="58">
        <f>INDEX('Salary Information'!$B$91:$O$123,MATCH('PTO Accrual'!$B84,'Salary Information'!$B$91:$B$123,0),MATCH('PTO Accrual'!$E84,'Salary Information'!$B$91:$O$91,0))</f>
        <v>28.535627272727275</v>
      </c>
      <c r="K84" s="60">
        <f t="shared" si="10"/>
        <v>2085.9543536363635</v>
      </c>
    </row>
    <row r="85" spans="2:11">
      <c r="B85" s="19" t="s">
        <v>150</v>
      </c>
      <c r="C85" s="14" t="s">
        <v>151</v>
      </c>
      <c r="D85" s="19" t="s">
        <v>10</v>
      </c>
      <c r="E85" s="57">
        <v>46054</v>
      </c>
      <c r="F85" s="58">
        <f t="shared" si="11"/>
        <v>73.099999999999994</v>
      </c>
      <c r="G85" s="58">
        <v>10</v>
      </c>
      <c r="H85" s="59">
        <v>0</v>
      </c>
      <c r="I85" s="58">
        <f t="shared" si="9"/>
        <v>83.1</v>
      </c>
      <c r="J85" s="58">
        <f>INDEX('Salary Information'!$B$91:$O$123,MATCH('PTO Accrual'!$B85,'Salary Information'!$B$91:$B$123,0),MATCH('PTO Accrual'!$E85,'Salary Information'!$B$91:$O$91,0))</f>
        <v>30.9493725961539</v>
      </c>
      <c r="K85" s="60">
        <f t="shared" si="10"/>
        <v>2571.8928627403889</v>
      </c>
    </row>
    <row r="86" spans="2:11">
      <c r="B86" s="19" t="s">
        <v>150</v>
      </c>
      <c r="C86" s="14" t="s">
        <v>151</v>
      </c>
      <c r="D86" s="19" t="s">
        <v>10</v>
      </c>
      <c r="E86" s="57">
        <v>46082</v>
      </c>
      <c r="F86" s="58">
        <f t="shared" si="11"/>
        <v>83.1</v>
      </c>
      <c r="G86" s="58">
        <v>10</v>
      </c>
      <c r="H86" s="59">
        <v>8</v>
      </c>
      <c r="I86" s="58">
        <f t="shared" si="9"/>
        <v>85.1</v>
      </c>
      <c r="J86" s="58">
        <f>INDEX('Salary Information'!$B$91:$O$123,MATCH('PTO Accrual'!$B86,'Salary Information'!$B$91:$B$123,0),MATCH('PTO Accrual'!$E86,'Salary Information'!$B$91:$O$91,0))</f>
        <v>27.567760052447579</v>
      </c>
      <c r="K86" s="60">
        <f t="shared" si="10"/>
        <v>2346.0163804632889</v>
      </c>
    </row>
    <row r="87" spans="2:11">
      <c r="B87" s="19" t="s">
        <v>150</v>
      </c>
      <c r="C87" s="14" t="s">
        <v>151</v>
      </c>
      <c r="D87" s="19" t="s">
        <v>10</v>
      </c>
      <c r="E87" s="57">
        <v>46113</v>
      </c>
      <c r="F87" s="58">
        <f t="shared" si="11"/>
        <v>85.1</v>
      </c>
      <c r="G87" s="58">
        <v>10</v>
      </c>
      <c r="H87" s="59">
        <v>0</v>
      </c>
      <c r="I87" s="58">
        <f t="shared" si="9"/>
        <v>95.1</v>
      </c>
      <c r="J87" s="58">
        <f>INDEX('Salary Information'!$B$91:$O$123,MATCH('PTO Accrual'!$B87,'Salary Information'!$B$91:$B$123,0),MATCH('PTO Accrual'!$E87,'Salary Information'!$B$91:$O$91,0))</f>
        <v>27.793295454545454</v>
      </c>
      <c r="K87" s="60">
        <f t="shared" si="10"/>
        <v>2643.1423977272725</v>
      </c>
    </row>
    <row r="88" spans="2:11">
      <c r="B88" s="19" t="s">
        <v>150</v>
      </c>
      <c r="C88" s="14" t="s">
        <v>151</v>
      </c>
      <c r="D88" s="19" t="s">
        <v>10</v>
      </c>
      <c r="E88" s="57">
        <v>46143</v>
      </c>
      <c r="F88" s="58">
        <f t="shared" si="11"/>
        <v>95.1</v>
      </c>
      <c r="G88" s="58">
        <v>10</v>
      </c>
      <c r="H88" s="59">
        <v>16</v>
      </c>
      <c r="I88" s="58">
        <f t="shared" si="9"/>
        <v>89.1</v>
      </c>
      <c r="J88" s="58">
        <f>INDEX('Salary Information'!$B$91:$O$123,MATCH('PTO Accrual'!$B88,'Salary Information'!$B$91:$B$123,0),MATCH('PTO Accrual'!$E88,'Salary Information'!$B$91:$O$91,0))</f>
        <v>27.212488553113559</v>
      </c>
      <c r="K88" s="60">
        <f t="shared" si="10"/>
        <v>2424.6327300824178</v>
      </c>
    </row>
    <row r="89" spans="2:11">
      <c r="B89" s="19" t="s">
        <v>150</v>
      </c>
      <c r="C89" s="14" t="s">
        <v>151</v>
      </c>
      <c r="D89" s="19" t="s">
        <v>10</v>
      </c>
      <c r="E89" s="57">
        <v>46174</v>
      </c>
      <c r="F89" s="58">
        <f t="shared" si="11"/>
        <v>89.1</v>
      </c>
      <c r="G89" s="58">
        <v>10</v>
      </c>
      <c r="H89" s="59">
        <v>0</v>
      </c>
      <c r="I89" s="58">
        <f t="shared" si="9"/>
        <v>99.1</v>
      </c>
      <c r="J89" s="58">
        <f>INDEX('Salary Information'!$B$91:$O$123,MATCH('PTO Accrual'!$B89,'Salary Information'!$B$91:$B$123,0),MATCH('PTO Accrual'!$E89,'Salary Information'!$B$91:$O$91,0))</f>
        <v>27.180583479021003</v>
      </c>
      <c r="K89" s="60">
        <f t="shared" si="10"/>
        <v>2693.5958227709812</v>
      </c>
    </row>
    <row r="90" spans="2:11">
      <c r="B90" s="19" t="s">
        <v>152</v>
      </c>
      <c r="C90" s="14" t="s">
        <v>153</v>
      </c>
      <c r="D90" s="19" t="s">
        <v>12</v>
      </c>
      <c r="E90" s="57">
        <v>45839</v>
      </c>
      <c r="F90" s="58">
        <v>27.4</v>
      </c>
      <c r="G90" s="58">
        <v>10</v>
      </c>
      <c r="H90" s="59">
        <v>8</v>
      </c>
      <c r="I90" s="58">
        <f t="shared" si="9"/>
        <v>29.4</v>
      </c>
      <c r="J90" s="58">
        <f>INDEX('Salary Information'!$B$91:$O$123,MATCH('PTO Accrual'!$B90,'Salary Information'!$B$91:$B$123,0),MATCH('PTO Accrual'!$E90,'Salary Information'!$B$91:$O$91,0))</f>
        <v>26.661821739130438</v>
      </c>
      <c r="K90" s="60">
        <f t="shared" si="10"/>
        <v>783.85755913043488</v>
      </c>
    </row>
    <row r="91" spans="2:11">
      <c r="B91" s="19" t="s">
        <v>152</v>
      </c>
      <c r="C91" s="14" t="s">
        <v>153</v>
      </c>
      <c r="D91" s="19" t="s">
        <v>12</v>
      </c>
      <c r="E91" s="57">
        <v>45870</v>
      </c>
      <c r="F91" s="58">
        <f t="shared" ref="F91:F101" si="12">I90</f>
        <v>29.4</v>
      </c>
      <c r="G91" s="58">
        <v>10</v>
      </c>
      <c r="H91" s="59">
        <v>0</v>
      </c>
      <c r="I91" s="58">
        <f t="shared" si="9"/>
        <v>39.4</v>
      </c>
      <c r="J91" s="58">
        <f>INDEX('Salary Information'!$B$91:$O$123,MATCH('PTO Accrual'!$B91,'Salary Information'!$B$91:$B$123,0),MATCH('PTO Accrual'!$E91,'Salary Information'!$B$91:$O$91,0))</f>
        <v>29.68024761904762</v>
      </c>
      <c r="K91" s="60">
        <f t="shared" si="10"/>
        <v>1169.4017561904761</v>
      </c>
    </row>
    <row r="92" spans="2:11">
      <c r="B92" s="19" t="s">
        <v>152</v>
      </c>
      <c r="C92" s="14" t="s">
        <v>153</v>
      </c>
      <c r="D92" s="19" t="s">
        <v>12</v>
      </c>
      <c r="E92" s="57">
        <v>45901</v>
      </c>
      <c r="F92" s="58">
        <f t="shared" si="12"/>
        <v>39.4</v>
      </c>
      <c r="G92" s="58">
        <v>10</v>
      </c>
      <c r="H92" s="59">
        <v>0</v>
      </c>
      <c r="I92" s="58">
        <f t="shared" si="9"/>
        <v>49.4</v>
      </c>
      <c r="J92" s="58">
        <f>INDEX('Salary Information'!$B$91:$O$123,MATCH('PTO Accrual'!$B92,'Salary Information'!$B$91:$B$123,0),MATCH('PTO Accrual'!$E92,'Salary Information'!$B$91:$O$91,0))</f>
        <v>29.09916590909091</v>
      </c>
      <c r="K92" s="60">
        <f t="shared" si="10"/>
        <v>1437.4987959090909</v>
      </c>
    </row>
    <row r="93" spans="2:11">
      <c r="B93" s="19" t="s">
        <v>152</v>
      </c>
      <c r="C93" s="14" t="s">
        <v>153</v>
      </c>
      <c r="D93" s="19" t="s">
        <v>12</v>
      </c>
      <c r="E93" s="57">
        <v>45931</v>
      </c>
      <c r="F93" s="58">
        <f t="shared" si="12"/>
        <v>49.4</v>
      </c>
      <c r="G93" s="58">
        <v>10</v>
      </c>
      <c r="H93" s="59">
        <v>0</v>
      </c>
      <c r="I93" s="58">
        <f t="shared" si="9"/>
        <v>59.4</v>
      </c>
      <c r="J93" s="58">
        <f>INDEX('Salary Information'!$B$91:$O$123,MATCH('PTO Accrual'!$B93,'Salary Information'!$B$91:$B$123,0),MATCH('PTO Accrual'!$E93,'Salary Information'!$B$91:$O$91,0))</f>
        <v>28.06560869565218</v>
      </c>
      <c r="K93" s="60">
        <f t="shared" si="10"/>
        <v>1667.0971565217394</v>
      </c>
    </row>
    <row r="94" spans="2:11">
      <c r="B94" s="19" t="s">
        <v>152</v>
      </c>
      <c r="C94" s="14" t="s">
        <v>153</v>
      </c>
      <c r="D94" s="19" t="s">
        <v>12</v>
      </c>
      <c r="E94" s="57">
        <v>45962</v>
      </c>
      <c r="F94" s="58">
        <f t="shared" si="12"/>
        <v>59.4</v>
      </c>
      <c r="G94" s="58">
        <v>10</v>
      </c>
      <c r="H94" s="59">
        <v>0</v>
      </c>
      <c r="I94" s="58">
        <f t="shared" si="9"/>
        <v>69.400000000000006</v>
      </c>
      <c r="J94" s="58">
        <f>INDEX('Salary Information'!$B$91:$O$123,MATCH('PTO Accrual'!$B94,'Salary Information'!$B$91:$B$123,0),MATCH('PTO Accrual'!$E94,'Salary Information'!$B$91:$O$91,0))</f>
        <v>29.981396634615425</v>
      </c>
      <c r="K94" s="60">
        <f t="shared" si="10"/>
        <v>2080.7089264423107</v>
      </c>
    </row>
    <row r="95" spans="2:11">
      <c r="B95" s="19" t="s">
        <v>152</v>
      </c>
      <c r="C95" s="14" t="s">
        <v>153</v>
      </c>
      <c r="D95" s="19" t="s">
        <v>12</v>
      </c>
      <c r="E95" s="57">
        <v>45992</v>
      </c>
      <c r="F95" s="58">
        <f t="shared" si="12"/>
        <v>69.400000000000006</v>
      </c>
      <c r="G95" s="58">
        <v>10</v>
      </c>
      <c r="H95" s="59">
        <v>0</v>
      </c>
      <c r="I95" s="58">
        <f t="shared" si="9"/>
        <v>79.400000000000006</v>
      </c>
      <c r="J95" s="58">
        <f>INDEX('Salary Information'!$B$91:$O$123,MATCH('PTO Accrual'!$B95,'Salary Information'!$B$91:$B$123,0),MATCH('PTO Accrual'!$E95,'Salary Information'!$B$91:$O$91,0))</f>
        <v>26.520800585284256</v>
      </c>
      <c r="K95" s="60">
        <f t="shared" si="10"/>
        <v>2105.7515664715702</v>
      </c>
    </row>
    <row r="96" spans="2:11">
      <c r="B96" s="19" t="s">
        <v>152</v>
      </c>
      <c r="C96" s="14" t="s">
        <v>153</v>
      </c>
      <c r="D96" s="19" t="s">
        <v>12</v>
      </c>
      <c r="E96" s="57">
        <v>46023</v>
      </c>
      <c r="F96" s="58">
        <f t="shared" si="12"/>
        <v>79.400000000000006</v>
      </c>
      <c r="G96" s="58">
        <v>10</v>
      </c>
      <c r="H96" s="59">
        <v>0</v>
      </c>
      <c r="I96" s="58">
        <f t="shared" si="9"/>
        <v>89.4</v>
      </c>
      <c r="J96" s="58">
        <f>INDEX('Salary Information'!$B$91:$O$123,MATCH('PTO Accrual'!$B96,'Salary Information'!$B$91:$B$123,0),MATCH('PTO Accrual'!$E96,'Salary Information'!$B$91:$O$91,0))</f>
        <v>28.535627272727275</v>
      </c>
      <c r="K96" s="60">
        <f t="shared" si="10"/>
        <v>2551.0850781818185</v>
      </c>
    </row>
    <row r="97" spans="2:11">
      <c r="B97" s="19" t="s">
        <v>152</v>
      </c>
      <c r="C97" s="14" t="s">
        <v>153</v>
      </c>
      <c r="D97" s="19" t="s">
        <v>12</v>
      </c>
      <c r="E97" s="57">
        <v>46054</v>
      </c>
      <c r="F97" s="58">
        <f t="shared" si="12"/>
        <v>89.4</v>
      </c>
      <c r="G97" s="58">
        <v>10</v>
      </c>
      <c r="H97" s="59">
        <v>16</v>
      </c>
      <c r="I97" s="58">
        <f t="shared" si="9"/>
        <v>83.4</v>
      </c>
      <c r="J97" s="58">
        <f>INDEX('Salary Information'!$B$91:$O$123,MATCH('PTO Accrual'!$B97,'Salary Information'!$B$91:$B$123,0),MATCH('PTO Accrual'!$E97,'Salary Information'!$B$91:$O$91,0))</f>
        <v>30.9493725961539</v>
      </c>
      <c r="K97" s="60">
        <f t="shared" si="10"/>
        <v>2581.1776745192356</v>
      </c>
    </row>
    <row r="98" spans="2:11">
      <c r="B98" s="19" t="s">
        <v>152</v>
      </c>
      <c r="C98" s="14" t="s">
        <v>153</v>
      </c>
      <c r="D98" s="19" t="s">
        <v>12</v>
      </c>
      <c r="E98" s="57">
        <v>46082</v>
      </c>
      <c r="F98" s="58">
        <f t="shared" si="12"/>
        <v>83.4</v>
      </c>
      <c r="G98" s="58">
        <v>10</v>
      </c>
      <c r="H98" s="59">
        <v>0</v>
      </c>
      <c r="I98" s="58">
        <f t="shared" si="9"/>
        <v>93.4</v>
      </c>
      <c r="J98" s="58">
        <f>INDEX('Salary Information'!$B$91:$O$123,MATCH('PTO Accrual'!$B98,'Salary Information'!$B$91:$B$123,0),MATCH('PTO Accrual'!$E98,'Salary Information'!$B$91:$O$91,0))</f>
        <v>27.567760052447579</v>
      </c>
      <c r="K98" s="60">
        <f t="shared" si="10"/>
        <v>2574.8287888986042</v>
      </c>
    </row>
    <row r="99" spans="2:11">
      <c r="B99" s="19" t="s">
        <v>152</v>
      </c>
      <c r="C99" s="14" t="s">
        <v>153</v>
      </c>
      <c r="D99" s="19" t="s">
        <v>12</v>
      </c>
      <c r="E99" s="57">
        <v>46113</v>
      </c>
      <c r="F99" s="58">
        <f t="shared" si="12"/>
        <v>93.4</v>
      </c>
      <c r="G99" s="58">
        <v>10</v>
      </c>
      <c r="H99" s="59">
        <v>0</v>
      </c>
      <c r="I99" s="58">
        <f t="shared" si="9"/>
        <v>103.4</v>
      </c>
      <c r="J99" s="58">
        <f>INDEX('Salary Information'!$B$91:$O$123,MATCH('PTO Accrual'!$B99,'Salary Information'!$B$91:$B$123,0),MATCH('PTO Accrual'!$E99,'Salary Information'!$B$91:$O$91,0))</f>
        <v>27.793295454545454</v>
      </c>
      <c r="K99" s="60">
        <f t="shared" si="10"/>
        <v>2873.8267500000002</v>
      </c>
    </row>
    <row r="100" spans="2:11">
      <c r="B100" s="19" t="s">
        <v>152</v>
      </c>
      <c r="C100" s="14" t="s">
        <v>153</v>
      </c>
      <c r="D100" s="19" t="s">
        <v>12</v>
      </c>
      <c r="E100" s="57">
        <v>46143</v>
      </c>
      <c r="F100" s="58">
        <f t="shared" si="12"/>
        <v>103.4</v>
      </c>
      <c r="G100" s="58">
        <v>10</v>
      </c>
      <c r="H100" s="59">
        <v>32</v>
      </c>
      <c r="I100" s="58">
        <f t="shared" si="9"/>
        <v>81.400000000000006</v>
      </c>
      <c r="J100" s="58">
        <f>INDEX('Salary Information'!$B$91:$O$123,MATCH('PTO Accrual'!$B100,'Salary Information'!$B$91:$B$123,0),MATCH('PTO Accrual'!$E100,'Salary Information'!$B$91:$O$91,0))</f>
        <v>27.212488553113559</v>
      </c>
      <c r="K100" s="60">
        <f t="shared" si="10"/>
        <v>2215.0965682234437</v>
      </c>
    </row>
    <row r="101" spans="2:11">
      <c r="B101" s="19" t="s">
        <v>152</v>
      </c>
      <c r="C101" s="14" t="s">
        <v>153</v>
      </c>
      <c r="D101" s="19" t="s">
        <v>12</v>
      </c>
      <c r="E101" s="57">
        <v>46174</v>
      </c>
      <c r="F101" s="58">
        <f t="shared" si="12"/>
        <v>81.400000000000006</v>
      </c>
      <c r="G101" s="58">
        <v>10</v>
      </c>
      <c r="H101" s="59">
        <v>0</v>
      </c>
      <c r="I101" s="58">
        <f t="shared" si="9"/>
        <v>91.4</v>
      </c>
      <c r="J101" s="58">
        <f>INDEX('Salary Information'!$B$91:$O$123,MATCH('PTO Accrual'!$B101,'Salary Information'!$B$91:$B$123,0),MATCH('PTO Accrual'!$E101,'Salary Information'!$B$91:$O$91,0))</f>
        <v>27.180583479021003</v>
      </c>
      <c r="K101" s="60">
        <f t="shared" si="10"/>
        <v>2484.3053299825197</v>
      </c>
    </row>
    <row r="102" spans="2:11">
      <c r="B102" s="19" t="s">
        <v>154</v>
      </c>
      <c r="C102" s="14" t="s">
        <v>155</v>
      </c>
      <c r="D102" s="19" t="s">
        <v>12</v>
      </c>
      <c r="E102" s="57">
        <v>45839</v>
      </c>
      <c r="F102" s="58">
        <v>13.5</v>
      </c>
      <c r="G102" s="58">
        <v>5</v>
      </c>
      <c r="H102" s="59">
        <f>H90/2</f>
        <v>4</v>
      </c>
      <c r="I102" s="58">
        <f t="shared" si="9"/>
        <v>14.5</v>
      </c>
      <c r="J102" s="58">
        <f>INDEX('Salary Information'!$B$91:$O$123,MATCH('PTO Accrual'!$B102,'Salary Information'!$B$91:$B$123,0),MATCH('PTO Accrual'!$E102,'Salary Information'!$B$91:$O$91,0))</f>
        <v>26.661821739130438</v>
      </c>
      <c r="K102" s="60">
        <f t="shared" si="10"/>
        <v>386.59641521739138</v>
      </c>
    </row>
    <row r="103" spans="2:11">
      <c r="B103" s="19" t="s">
        <v>154</v>
      </c>
      <c r="C103" s="14" t="s">
        <v>155</v>
      </c>
      <c r="D103" s="19" t="s">
        <v>12</v>
      </c>
      <c r="E103" s="57">
        <v>45870</v>
      </c>
      <c r="F103" s="58">
        <f t="shared" ref="F103:F113" si="13">I102</f>
        <v>14.5</v>
      </c>
      <c r="G103" s="58">
        <v>5</v>
      </c>
      <c r="H103" s="59">
        <f t="shared" ref="H103:H113" si="14">H91/2</f>
        <v>0</v>
      </c>
      <c r="I103" s="58">
        <f t="shared" si="9"/>
        <v>19.5</v>
      </c>
      <c r="J103" s="58">
        <f>INDEX('Salary Information'!$B$91:$O$123,MATCH('PTO Accrual'!$B103,'Salary Information'!$B$91:$B$123,0),MATCH('PTO Accrual'!$E103,'Salary Information'!$B$91:$O$91,0))</f>
        <v>29.68024761904762</v>
      </c>
      <c r="K103" s="60">
        <f t="shared" si="10"/>
        <v>578.76482857142855</v>
      </c>
    </row>
    <row r="104" spans="2:11">
      <c r="B104" s="19" t="s">
        <v>154</v>
      </c>
      <c r="C104" s="14" t="s">
        <v>155</v>
      </c>
      <c r="D104" s="19" t="s">
        <v>12</v>
      </c>
      <c r="E104" s="57">
        <v>45901</v>
      </c>
      <c r="F104" s="58">
        <f t="shared" si="13"/>
        <v>19.5</v>
      </c>
      <c r="G104" s="58">
        <v>5</v>
      </c>
      <c r="H104" s="59">
        <f t="shared" si="14"/>
        <v>0</v>
      </c>
      <c r="I104" s="58">
        <f t="shared" si="9"/>
        <v>24.5</v>
      </c>
      <c r="J104" s="58">
        <f>INDEX('Salary Information'!$B$91:$O$123,MATCH('PTO Accrual'!$B104,'Salary Information'!$B$91:$B$123,0),MATCH('PTO Accrual'!$E104,'Salary Information'!$B$91:$O$91,0))</f>
        <v>29.09916590909091</v>
      </c>
      <c r="K104" s="60">
        <f t="shared" si="10"/>
        <v>712.9295647727273</v>
      </c>
    </row>
    <row r="105" spans="2:11">
      <c r="B105" s="19" t="s">
        <v>154</v>
      </c>
      <c r="C105" s="14" t="s">
        <v>155</v>
      </c>
      <c r="D105" s="19" t="s">
        <v>12</v>
      </c>
      <c r="E105" s="57">
        <v>45931</v>
      </c>
      <c r="F105" s="58">
        <f t="shared" si="13"/>
        <v>24.5</v>
      </c>
      <c r="G105" s="58">
        <v>5</v>
      </c>
      <c r="H105" s="59">
        <f t="shared" si="14"/>
        <v>0</v>
      </c>
      <c r="I105" s="58">
        <f t="shared" si="9"/>
        <v>29.5</v>
      </c>
      <c r="J105" s="58">
        <f>INDEX('Salary Information'!$B$91:$O$123,MATCH('PTO Accrual'!$B105,'Salary Information'!$B$91:$B$123,0),MATCH('PTO Accrual'!$E105,'Salary Information'!$B$91:$O$91,0))</f>
        <v>28.06560869565218</v>
      </c>
      <c r="K105" s="60">
        <f t="shared" si="10"/>
        <v>827.9354565217393</v>
      </c>
    </row>
    <row r="106" spans="2:11">
      <c r="B106" s="19" t="s">
        <v>154</v>
      </c>
      <c r="C106" s="14" t="s">
        <v>155</v>
      </c>
      <c r="D106" s="19" t="s">
        <v>12</v>
      </c>
      <c r="E106" s="57">
        <v>45962</v>
      </c>
      <c r="F106" s="58">
        <f t="shared" si="13"/>
        <v>29.5</v>
      </c>
      <c r="G106" s="58">
        <v>5</v>
      </c>
      <c r="H106" s="59">
        <f t="shared" si="14"/>
        <v>0</v>
      </c>
      <c r="I106" s="58">
        <f t="shared" si="9"/>
        <v>34.5</v>
      </c>
      <c r="J106" s="58">
        <f>INDEX('Salary Information'!$B$91:$O$123,MATCH('PTO Accrual'!$B106,'Salary Information'!$B$91:$B$123,0),MATCH('PTO Accrual'!$E106,'Salary Information'!$B$91:$O$91,0))</f>
        <v>29.981396634615425</v>
      </c>
      <c r="K106" s="60">
        <f t="shared" si="10"/>
        <v>1034.3581838942321</v>
      </c>
    </row>
    <row r="107" spans="2:11">
      <c r="B107" s="19" t="s">
        <v>154</v>
      </c>
      <c r="C107" s="14" t="s">
        <v>155</v>
      </c>
      <c r="D107" s="19" t="s">
        <v>12</v>
      </c>
      <c r="E107" s="57">
        <v>45992</v>
      </c>
      <c r="F107" s="58">
        <f t="shared" si="13"/>
        <v>34.5</v>
      </c>
      <c r="G107" s="58">
        <v>5</v>
      </c>
      <c r="H107" s="59">
        <f t="shared" si="14"/>
        <v>0</v>
      </c>
      <c r="I107" s="58">
        <f t="shared" si="9"/>
        <v>39.5</v>
      </c>
      <c r="J107" s="58">
        <f>INDEX('Salary Information'!$B$91:$O$123,MATCH('PTO Accrual'!$B107,'Salary Information'!$B$91:$B$123,0),MATCH('PTO Accrual'!$E107,'Salary Information'!$B$91:$O$91,0))</f>
        <v>26.520800585284256</v>
      </c>
      <c r="K107" s="60">
        <f t="shared" si="10"/>
        <v>1047.5716231187282</v>
      </c>
    </row>
    <row r="108" spans="2:11">
      <c r="B108" s="19" t="s">
        <v>154</v>
      </c>
      <c r="C108" s="14" t="s">
        <v>155</v>
      </c>
      <c r="D108" s="19" t="s">
        <v>12</v>
      </c>
      <c r="E108" s="57">
        <v>46023</v>
      </c>
      <c r="F108" s="58">
        <f t="shared" si="13"/>
        <v>39.5</v>
      </c>
      <c r="G108" s="58">
        <v>5</v>
      </c>
      <c r="H108" s="59">
        <f t="shared" si="14"/>
        <v>0</v>
      </c>
      <c r="I108" s="58">
        <f t="shared" si="9"/>
        <v>44.5</v>
      </c>
      <c r="J108" s="58">
        <f>INDEX('Salary Information'!$B$91:$O$123,MATCH('PTO Accrual'!$B108,'Salary Information'!$B$91:$B$123,0),MATCH('PTO Accrual'!$E108,'Salary Information'!$B$91:$O$91,0))</f>
        <v>28.535627272727275</v>
      </c>
      <c r="K108" s="60">
        <f t="shared" si="10"/>
        <v>1269.8354136363637</v>
      </c>
    </row>
    <row r="109" spans="2:11">
      <c r="B109" s="19" t="s">
        <v>154</v>
      </c>
      <c r="C109" s="14" t="s">
        <v>155</v>
      </c>
      <c r="D109" s="19" t="s">
        <v>12</v>
      </c>
      <c r="E109" s="57">
        <v>46054</v>
      </c>
      <c r="F109" s="58">
        <f t="shared" si="13"/>
        <v>44.5</v>
      </c>
      <c r="G109" s="58">
        <v>5</v>
      </c>
      <c r="H109" s="59">
        <f t="shared" si="14"/>
        <v>8</v>
      </c>
      <c r="I109" s="58">
        <f t="shared" si="9"/>
        <v>41.5</v>
      </c>
      <c r="J109" s="58">
        <f>INDEX('Salary Information'!$B$91:$O$123,MATCH('PTO Accrual'!$B109,'Salary Information'!$B$91:$B$123,0),MATCH('PTO Accrual'!$E109,'Salary Information'!$B$91:$O$91,0))</f>
        <v>30.9493725961539</v>
      </c>
      <c r="K109" s="60">
        <f t="shared" si="10"/>
        <v>1284.3989627403869</v>
      </c>
    </row>
    <row r="110" spans="2:11">
      <c r="B110" s="19" t="s">
        <v>154</v>
      </c>
      <c r="C110" s="14" t="s">
        <v>155</v>
      </c>
      <c r="D110" s="19" t="s">
        <v>12</v>
      </c>
      <c r="E110" s="57">
        <v>46082</v>
      </c>
      <c r="F110" s="58">
        <f t="shared" si="13"/>
        <v>41.5</v>
      </c>
      <c r="G110" s="58">
        <v>5</v>
      </c>
      <c r="H110" s="59">
        <f t="shared" si="14"/>
        <v>0</v>
      </c>
      <c r="I110" s="58">
        <f t="shared" si="9"/>
        <v>46.5</v>
      </c>
      <c r="J110" s="58">
        <f>INDEX('Salary Information'!$B$91:$O$123,MATCH('PTO Accrual'!$B110,'Salary Information'!$B$91:$B$123,0),MATCH('PTO Accrual'!$E110,'Salary Information'!$B$91:$O$91,0))</f>
        <v>27.567760052447579</v>
      </c>
      <c r="K110" s="60">
        <f t="shared" si="10"/>
        <v>1281.9008424388123</v>
      </c>
    </row>
    <row r="111" spans="2:11">
      <c r="B111" s="19" t="s">
        <v>154</v>
      </c>
      <c r="C111" s="14" t="s">
        <v>155</v>
      </c>
      <c r="D111" s="19" t="s">
        <v>12</v>
      </c>
      <c r="E111" s="57">
        <v>46113</v>
      </c>
      <c r="F111" s="58">
        <f t="shared" si="13"/>
        <v>46.5</v>
      </c>
      <c r="G111" s="58">
        <v>5</v>
      </c>
      <c r="H111" s="59">
        <f t="shared" si="14"/>
        <v>0</v>
      </c>
      <c r="I111" s="58">
        <f t="shared" si="9"/>
        <v>51.5</v>
      </c>
      <c r="J111" s="58">
        <f>INDEX('Salary Information'!$B$91:$O$123,MATCH('PTO Accrual'!$B111,'Salary Information'!$B$91:$B$123,0),MATCH('PTO Accrual'!$E111,'Salary Information'!$B$91:$O$91,0))</f>
        <v>27.793295454545454</v>
      </c>
      <c r="K111" s="60">
        <f t="shared" si="10"/>
        <v>1431.3547159090908</v>
      </c>
    </row>
    <row r="112" spans="2:11">
      <c r="B112" s="19" t="s">
        <v>154</v>
      </c>
      <c r="C112" s="14" t="s">
        <v>155</v>
      </c>
      <c r="D112" s="19" t="s">
        <v>12</v>
      </c>
      <c r="E112" s="57">
        <v>46143</v>
      </c>
      <c r="F112" s="58">
        <f t="shared" si="13"/>
        <v>51.5</v>
      </c>
      <c r="G112" s="58">
        <v>5</v>
      </c>
      <c r="H112" s="59">
        <f t="shared" si="14"/>
        <v>16</v>
      </c>
      <c r="I112" s="58">
        <f t="shared" si="9"/>
        <v>40.5</v>
      </c>
      <c r="J112" s="58">
        <f>INDEX('Salary Information'!$B$91:$O$123,MATCH('PTO Accrual'!$B112,'Salary Information'!$B$91:$B$123,0),MATCH('PTO Accrual'!$E112,'Salary Information'!$B$91:$O$91,0))</f>
        <v>27.212488553113559</v>
      </c>
      <c r="K112" s="60">
        <f t="shared" si="10"/>
        <v>1102.1057864010991</v>
      </c>
    </row>
    <row r="113" spans="2:11">
      <c r="B113" s="19" t="s">
        <v>154</v>
      </c>
      <c r="C113" s="14" t="s">
        <v>155</v>
      </c>
      <c r="D113" s="19" t="s">
        <v>12</v>
      </c>
      <c r="E113" s="57">
        <v>46174</v>
      </c>
      <c r="F113" s="58">
        <f t="shared" si="13"/>
        <v>40.5</v>
      </c>
      <c r="G113" s="58">
        <v>5</v>
      </c>
      <c r="H113" s="59">
        <f t="shared" si="14"/>
        <v>0</v>
      </c>
      <c r="I113" s="58">
        <f t="shared" si="9"/>
        <v>45.5</v>
      </c>
      <c r="J113" s="58">
        <f>INDEX('Salary Information'!$B$91:$O$123,MATCH('PTO Accrual'!$B113,'Salary Information'!$B$91:$B$123,0),MATCH('PTO Accrual'!$E113,'Salary Information'!$B$91:$O$91,0))</f>
        <v>27.180583479021003</v>
      </c>
      <c r="K113" s="60">
        <f t="shared" si="10"/>
        <v>1236.7165482954556</v>
      </c>
    </row>
    <row r="114" spans="2:11">
      <c r="B114" s="19" t="s">
        <v>154</v>
      </c>
      <c r="C114" s="14" t="s">
        <v>155</v>
      </c>
      <c r="D114" s="17" t="s">
        <v>4</v>
      </c>
      <c r="E114" s="57">
        <v>45839</v>
      </c>
      <c r="F114" s="58">
        <f>F102/2</f>
        <v>6.75</v>
      </c>
      <c r="G114" s="58">
        <f>G102/2</f>
        <v>2.5</v>
      </c>
      <c r="H114" s="59">
        <f>H102/2</f>
        <v>2</v>
      </c>
      <c r="I114" s="58">
        <f t="shared" si="9"/>
        <v>7.25</v>
      </c>
      <c r="J114" s="58">
        <f>INDEX('Salary Information'!$B$91:$O$123,MATCH('PTO Accrual'!$B114,'Salary Information'!$B$91:$B$123,0),MATCH('PTO Accrual'!$E114,'Salary Information'!$B$91:$O$91,0))</f>
        <v>26.661821739130438</v>
      </c>
      <c r="K114" s="60">
        <f t="shared" si="10"/>
        <v>193.29820760869569</v>
      </c>
    </row>
    <row r="115" spans="2:11">
      <c r="B115" s="19" t="s">
        <v>154</v>
      </c>
      <c r="C115" s="14" t="s">
        <v>155</v>
      </c>
      <c r="D115" s="17" t="s">
        <v>4</v>
      </c>
      <c r="E115" s="57">
        <v>45870</v>
      </c>
      <c r="F115" s="58">
        <f>I114</f>
        <v>7.25</v>
      </c>
      <c r="G115" s="58">
        <f t="shared" ref="G115:G125" si="15">G103/2</f>
        <v>2.5</v>
      </c>
      <c r="H115" s="59">
        <f t="shared" ref="H115" si="16">H103/2</f>
        <v>0</v>
      </c>
      <c r="I115" s="58">
        <f t="shared" si="9"/>
        <v>9.75</v>
      </c>
      <c r="J115" s="58">
        <f>INDEX('Salary Information'!$B$91:$O$123,MATCH('PTO Accrual'!$B115,'Salary Information'!$B$91:$B$123,0),MATCH('PTO Accrual'!$E115,'Salary Information'!$B$91:$O$91,0))</f>
        <v>29.68024761904762</v>
      </c>
      <c r="K115" s="60">
        <f t="shared" si="10"/>
        <v>289.38241428571428</v>
      </c>
    </row>
    <row r="116" spans="2:11">
      <c r="B116" s="19" t="s">
        <v>154</v>
      </c>
      <c r="C116" s="14" t="s">
        <v>155</v>
      </c>
      <c r="D116" s="17" t="s">
        <v>4</v>
      </c>
      <c r="E116" s="57">
        <v>45901</v>
      </c>
      <c r="F116" s="58">
        <f t="shared" ref="F116:F125" si="17">I115</f>
        <v>9.75</v>
      </c>
      <c r="G116" s="58">
        <f t="shared" si="15"/>
        <v>2.5</v>
      </c>
      <c r="H116" s="59">
        <f t="shared" ref="H116" si="18">H104/2</f>
        <v>0</v>
      </c>
      <c r="I116" s="58">
        <f t="shared" si="9"/>
        <v>12.25</v>
      </c>
      <c r="J116" s="58">
        <f>INDEX('Salary Information'!$B$91:$O$123,MATCH('PTO Accrual'!$B116,'Salary Information'!$B$91:$B$123,0),MATCH('PTO Accrual'!$E116,'Salary Information'!$B$91:$O$91,0))</f>
        <v>29.09916590909091</v>
      </c>
      <c r="K116" s="60">
        <f t="shared" si="10"/>
        <v>356.46478238636365</v>
      </c>
    </row>
    <row r="117" spans="2:11">
      <c r="B117" s="19" t="s">
        <v>154</v>
      </c>
      <c r="C117" s="14" t="s">
        <v>155</v>
      </c>
      <c r="D117" s="17" t="s">
        <v>4</v>
      </c>
      <c r="E117" s="57">
        <v>45931</v>
      </c>
      <c r="F117" s="58">
        <f t="shared" si="17"/>
        <v>12.25</v>
      </c>
      <c r="G117" s="58">
        <f t="shared" si="15"/>
        <v>2.5</v>
      </c>
      <c r="H117" s="59">
        <f t="shared" ref="H117" si="19">H105/2</f>
        <v>0</v>
      </c>
      <c r="I117" s="58">
        <f t="shared" si="9"/>
        <v>14.75</v>
      </c>
      <c r="J117" s="58">
        <f>INDEX('Salary Information'!$B$91:$O$123,MATCH('PTO Accrual'!$B117,'Salary Information'!$B$91:$B$123,0),MATCH('PTO Accrual'!$E117,'Salary Information'!$B$91:$O$91,0))</f>
        <v>28.06560869565218</v>
      </c>
      <c r="K117" s="60">
        <f t="shared" si="10"/>
        <v>413.96772826086965</v>
      </c>
    </row>
    <row r="118" spans="2:11">
      <c r="B118" s="19" t="s">
        <v>154</v>
      </c>
      <c r="C118" s="14" t="s">
        <v>155</v>
      </c>
      <c r="D118" s="17" t="s">
        <v>4</v>
      </c>
      <c r="E118" s="57">
        <v>45962</v>
      </c>
      <c r="F118" s="58">
        <f t="shared" si="17"/>
        <v>14.75</v>
      </c>
      <c r="G118" s="58">
        <f t="shared" si="15"/>
        <v>2.5</v>
      </c>
      <c r="H118" s="59">
        <f t="shared" ref="H118" si="20">H106/2</f>
        <v>0</v>
      </c>
      <c r="I118" s="58">
        <f t="shared" si="9"/>
        <v>17.25</v>
      </c>
      <c r="J118" s="58">
        <f>INDEX('Salary Information'!$B$91:$O$123,MATCH('PTO Accrual'!$B118,'Salary Information'!$B$91:$B$123,0),MATCH('PTO Accrual'!$E118,'Salary Information'!$B$91:$O$91,0))</f>
        <v>29.981396634615425</v>
      </c>
      <c r="K118" s="60">
        <f t="shared" si="10"/>
        <v>517.17909194711604</v>
      </c>
    </row>
    <row r="119" spans="2:11">
      <c r="B119" s="19" t="s">
        <v>154</v>
      </c>
      <c r="C119" s="14" t="s">
        <v>155</v>
      </c>
      <c r="D119" s="17" t="s">
        <v>4</v>
      </c>
      <c r="E119" s="57">
        <v>45992</v>
      </c>
      <c r="F119" s="58">
        <f t="shared" si="17"/>
        <v>17.25</v>
      </c>
      <c r="G119" s="58">
        <f t="shared" si="15"/>
        <v>2.5</v>
      </c>
      <c r="H119" s="59">
        <f t="shared" ref="H119" si="21">H107/2</f>
        <v>0</v>
      </c>
      <c r="I119" s="58">
        <f t="shared" si="9"/>
        <v>19.75</v>
      </c>
      <c r="J119" s="58">
        <f>INDEX('Salary Information'!$B$91:$O$123,MATCH('PTO Accrual'!$B119,'Salary Information'!$B$91:$B$123,0),MATCH('PTO Accrual'!$E119,'Salary Information'!$B$91:$O$91,0))</f>
        <v>26.520800585284256</v>
      </c>
      <c r="K119" s="60">
        <f t="shared" si="10"/>
        <v>523.78581155936411</v>
      </c>
    </row>
    <row r="120" spans="2:11">
      <c r="B120" s="19" t="s">
        <v>154</v>
      </c>
      <c r="C120" s="14" t="s">
        <v>155</v>
      </c>
      <c r="D120" s="17" t="s">
        <v>4</v>
      </c>
      <c r="E120" s="57">
        <v>46023</v>
      </c>
      <c r="F120" s="58">
        <f t="shared" si="17"/>
        <v>19.75</v>
      </c>
      <c r="G120" s="58">
        <f t="shared" si="15"/>
        <v>2.5</v>
      </c>
      <c r="H120" s="59">
        <f t="shared" ref="H120" si="22">H108/2</f>
        <v>0</v>
      </c>
      <c r="I120" s="58">
        <f t="shared" si="9"/>
        <v>22.25</v>
      </c>
      <c r="J120" s="58">
        <f>INDEX('Salary Information'!$B$91:$O$123,MATCH('PTO Accrual'!$B120,'Salary Information'!$B$91:$B$123,0),MATCH('PTO Accrual'!$E120,'Salary Information'!$B$91:$O$91,0))</f>
        <v>28.535627272727275</v>
      </c>
      <c r="K120" s="60">
        <f t="shared" si="10"/>
        <v>634.91770681818184</v>
      </c>
    </row>
    <row r="121" spans="2:11">
      <c r="B121" s="19" t="s">
        <v>154</v>
      </c>
      <c r="C121" s="14" t="s">
        <v>155</v>
      </c>
      <c r="D121" s="17" t="s">
        <v>4</v>
      </c>
      <c r="E121" s="57">
        <v>46054</v>
      </c>
      <c r="F121" s="58">
        <f t="shared" si="17"/>
        <v>22.25</v>
      </c>
      <c r="G121" s="58">
        <f t="shared" si="15"/>
        <v>2.5</v>
      </c>
      <c r="H121" s="59">
        <f t="shared" ref="H121" si="23">H109/2</f>
        <v>4</v>
      </c>
      <c r="I121" s="58">
        <f t="shared" si="9"/>
        <v>20.75</v>
      </c>
      <c r="J121" s="58">
        <f>INDEX('Salary Information'!$B$91:$O$123,MATCH('PTO Accrual'!$B121,'Salary Information'!$B$91:$B$123,0),MATCH('PTO Accrual'!$E121,'Salary Information'!$B$91:$O$91,0))</f>
        <v>30.9493725961539</v>
      </c>
      <c r="K121" s="60">
        <f t="shared" si="10"/>
        <v>642.19948137019344</v>
      </c>
    </row>
    <row r="122" spans="2:11">
      <c r="B122" s="19" t="s">
        <v>154</v>
      </c>
      <c r="C122" s="14" t="s">
        <v>155</v>
      </c>
      <c r="D122" s="17" t="s">
        <v>4</v>
      </c>
      <c r="E122" s="57">
        <v>46082</v>
      </c>
      <c r="F122" s="58">
        <f t="shared" si="17"/>
        <v>20.75</v>
      </c>
      <c r="G122" s="58">
        <f t="shared" si="15"/>
        <v>2.5</v>
      </c>
      <c r="H122" s="59">
        <f t="shared" ref="H122" si="24">H110/2</f>
        <v>0</v>
      </c>
      <c r="I122" s="58">
        <f t="shared" si="9"/>
        <v>23.25</v>
      </c>
      <c r="J122" s="58">
        <f>INDEX('Salary Information'!$B$91:$O$123,MATCH('PTO Accrual'!$B122,'Salary Information'!$B$91:$B$123,0),MATCH('PTO Accrual'!$E122,'Salary Information'!$B$91:$O$91,0))</f>
        <v>27.567760052447579</v>
      </c>
      <c r="K122" s="60">
        <f t="shared" si="10"/>
        <v>640.95042121940617</v>
      </c>
    </row>
    <row r="123" spans="2:11">
      <c r="B123" s="19" t="s">
        <v>154</v>
      </c>
      <c r="C123" s="14" t="s">
        <v>155</v>
      </c>
      <c r="D123" s="17" t="s">
        <v>4</v>
      </c>
      <c r="E123" s="57">
        <v>46113</v>
      </c>
      <c r="F123" s="58">
        <f t="shared" si="17"/>
        <v>23.25</v>
      </c>
      <c r="G123" s="58">
        <f t="shared" si="15"/>
        <v>2.5</v>
      </c>
      <c r="H123" s="59">
        <f t="shared" ref="H123" si="25">H111/2</f>
        <v>0</v>
      </c>
      <c r="I123" s="58">
        <f t="shared" si="9"/>
        <v>25.75</v>
      </c>
      <c r="J123" s="58">
        <f>INDEX('Salary Information'!$B$91:$O$123,MATCH('PTO Accrual'!$B123,'Salary Information'!$B$91:$B$123,0),MATCH('PTO Accrual'!$E123,'Salary Information'!$B$91:$O$91,0))</f>
        <v>27.793295454545454</v>
      </c>
      <c r="K123" s="60">
        <f t="shared" si="10"/>
        <v>715.67735795454541</v>
      </c>
    </row>
    <row r="124" spans="2:11">
      <c r="B124" s="19" t="s">
        <v>154</v>
      </c>
      <c r="C124" s="14" t="s">
        <v>155</v>
      </c>
      <c r="D124" s="17" t="s">
        <v>4</v>
      </c>
      <c r="E124" s="57">
        <v>46143</v>
      </c>
      <c r="F124" s="58">
        <f t="shared" si="17"/>
        <v>25.75</v>
      </c>
      <c r="G124" s="58">
        <f t="shared" si="15"/>
        <v>2.5</v>
      </c>
      <c r="H124" s="59">
        <f t="shared" ref="H124" si="26">H112/2</f>
        <v>8</v>
      </c>
      <c r="I124" s="58">
        <f t="shared" si="9"/>
        <v>20.25</v>
      </c>
      <c r="J124" s="58">
        <f>INDEX('Salary Information'!$B$91:$O$123,MATCH('PTO Accrual'!$B124,'Salary Information'!$B$91:$B$123,0),MATCH('PTO Accrual'!$E124,'Salary Information'!$B$91:$O$91,0))</f>
        <v>27.212488553113559</v>
      </c>
      <c r="K124" s="60">
        <f t="shared" si="10"/>
        <v>551.05289320054953</v>
      </c>
    </row>
    <row r="125" spans="2:11">
      <c r="B125" s="19" t="s">
        <v>154</v>
      </c>
      <c r="C125" s="14" t="s">
        <v>155</v>
      </c>
      <c r="D125" s="17" t="s">
        <v>4</v>
      </c>
      <c r="E125" s="57">
        <v>46174</v>
      </c>
      <c r="F125" s="58">
        <f t="shared" si="17"/>
        <v>20.25</v>
      </c>
      <c r="G125" s="58">
        <f t="shared" si="15"/>
        <v>2.5</v>
      </c>
      <c r="H125" s="59">
        <f t="shared" ref="H125" si="27">H113/2</f>
        <v>0</v>
      </c>
      <c r="I125" s="58">
        <f t="shared" si="9"/>
        <v>22.75</v>
      </c>
      <c r="J125" s="58">
        <f>INDEX('Salary Information'!$B$91:$O$123,MATCH('PTO Accrual'!$B125,'Salary Information'!$B$91:$B$123,0),MATCH('PTO Accrual'!$E125,'Salary Information'!$B$91:$O$91,0))</f>
        <v>27.180583479021003</v>
      </c>
      <c r="K125" s="60">
        <f t="shared" si="10"/>
        <v>618.3582741477278</v>
      </c>
    </row>
    <row r="126" spans="2:11">
      <c r="B126" s="19" t="s">
        <v>156</v>
      </c>
      <c r="C126" s="14" t="s">
        <v>157</v>
      </c>
      <c r="D126" s="19" t="s">
        <v>12</v>
      </c>
      <c r="E126" s="57">
        <v>45839</v>
      </c>
      <c r="F126" s="58">
        <v>12.6</v>
      </c>
      <c r="G126" s="58">
        <v>10</v>
      </c>
      <c r="H126" s="59">
        <v>0</v>
      </c>
      <c r="I126" s="58">
        <f t="shared" si="9"/>
        <v>22.6</v>
      </c>
      <c r="J126" s="58">
        <f>INDEX('Salary Information'!$B$91:$O$123,MATCH('PTO Accrual'!$B126,'Salary Information'!$B$91:$B$123,0),MATCH('PTO Accrual'!$E126,'Salary Information'!$B$91:$O$91,0))</f>
        <v>26.661821739130438</v>
      </c>
      <c r="K126" s="60">
        <f t="shared" si="10"/>
        <v>602.55717130434789</v>
      </c>
    </row>
    <row r="127" spans="2:11">
      <c r="B127" s="19" t="s">
        <v>156</v>
      </c>
      <c r="C127" s="14" t="s">
        <v>157</v>
      </c>
      <c r="D127" s="19" t="s">
        <v>12</v>
      </c>
      <c r="E127" s="57">
        <v>45870</v>
      </c>
      <c r="F127" s="58">
        <f t="shared" ref="F127:F128" si="28">I126</f>
        <v>22.6</v>
      </c>
      <c r="G127" s="58">
        <v>10</v>
      </c>
      <c r="H127" s="59">
        <v>8</v>
      </c>
      <c r="I127" s="58">
        <f t="shared" si="9"/>
        <v>24.6</v>
      </c>
      <c r="J127" s="58">
        <f>INDEX('Salary Information'!$B$91:$O$123,MATCH('PTO Accrual'!$B127,'Salary Information'!$B$91:$B$123,0),MATCH('PTO Accrual'!$E127,'Salary Information'!$B$91:$O$91,0))</f>
        <v>29.68024761904762</v>
      </c>
      <c r="K127" s="60">
        <f t="shared" si="10"/>
        <v>730.13409142857154</v>
      </c>
    </row>
    <row r="128" spans="2:11">
      <c r="B128" s="19" t="s">
        <v>156</v>
      </c>
      <c r="C128" s="14" t="s">
        <v>157</v>
      </c>
      <c r="D128" s="19" t="s">
        <v>12</v>
      </c>
      <c r="E128" s="57">
        <v>45901</v>
      </c>
      <c r="F128" s="58">
        <f t="shared" si="28"/>
        <v>24.6</v>
      </c>
      <c r="G128" s="58">
        <v>10</v>
      </c>
      <c r="H128" s="59">
        <f>8+26.6</f>
        <v>34.6</v>
      </c>
      <c r="I128" s="58">
        <f t="shared" si="9"/>
        <v>0</v>
      </c>
      <c r="J128" s="58">
        <f>INDEX('Salary Information'!$B$91:$O$123,MATCH('PTO Accrual'!$B128,'Salary Information'!$B$91:$B$123,0),MATCH('PTO Accrual'!$E128,'Salary Information'!$B$91:$O$91,0))</f>
        <v>29.09916590909091</v>
      </c>
      <c r="K128" s="60">
        <f t="shared" si="10"/>
        <v>0</v>
      </c>
    </row>
    <row r="129" spans="2:11">
      <c r="B129" s="19" t="s">
        <v>158</v>
      </c>
      <c r="C129" s="14" t="s">
        <v>159</v>
      </c>
      <c r="D129" s="19" t="s">
        <v>12</v>
      </c>
      <c r="E129" s="57">
        <v>45839</v>
      </c>
      <c r="F129" s="58">
        <v>0.2</v>
      </c>
      <c r="G129" s="58">
        <v>10</v>
      </c>
      <c r="H129" s="59">
        <v>0</v>
      </c>
      <c r="I129" s="58">
        <f t="shared" si="9"/>
        <v>10.199999999999999</v>
      </c>
      <c r="J129" s="58">
        <f>INDEX('Salary Information'!$B$91:$O$123,MATCH('PTO Accrual'!$B129,'Salary Information'!$B$91:$B$123,0),MATCH('PTO Accrual'!$E129,'Salary Information'!$B$91:$O$91,0))</f>
        <v>26.661821739130438</v>
      </c>
      <c r="K129" s="60">
        <f t="shared" si="10"/>
        <v>271.95058173913043</v>
      </c>
    </row>
    <row r="130" spans="2:11">
      <c r="B130" s="19" t="s">
        <v>158</v>
      </c>
      <c r="C130" s="14" t="s">
        <v>159</v>
      </c>
      <c r="D130" s="19" t="s">
        <v>12</v>
      </c>
      <c r="E130" s="57">
        <v>45870</v>
      </c>
      <c r="F130" s="58">
        <f t="shared" ref="F130:F140" si="29">I129</f>
        <v>10.199999999999999</v>
      </c>
      <c r="G130" s="58">
        <v>10</v>
      </c>
      <c r="H130" s="59">
        <v>0</v>
      </c>
      <c r="I130" s="58">
        <f t="shared" si="9"/>
        <v>20.2</v>
      </c>
      <c r="J130" s="58">
        <f>INDEX('Salary Information'!$B$91:$O$123,MATCH('PTO Accrual'!$B130,'Salary Information'!$B$91:$B$123,0),MATCH('PTO Accrual'!$E130,'Salary Information'!$B$91:$O$91,0))</f>
        <v>29.68024761904762</v>
      </c>
      <c r="K130" s="60">
        <f t="shared" si="10"/>
        <v>599.54100190476186</v>
      </c>
    </row>
    <row r="131" spans="2:11">
      <c r="B131" s="19" t="s">
        <v>158</v>
      </c>
      <c r="C131" s="14" t="s">
        <v>159</v>
      </c>
      <c r="D131" s="19" t="s">
        <v>12</v>
      </c>
      <c r="E131" s="57">
        <v>45901</v>
      </c>
      <c r="F131" s="58">
        <f t="shared" si="29"/>
        <v>20.2</v>
      </c>
      <c r="G131" s="58">
        <v>10</v>
      </c>
      <c r="H131" s="59">
        <v>0</v>
      </c>
      <c r="I131" s="58">
        <f t="shared" si="9"/>
        <v>30.2</v>
      </c>
      <c r="J131" s="58">
        <f>INDEX('Salary Information'!$B$91:$O$123,MATCH('PTO Accrual'!$B131,'Salary Information'!$B$91:$B$123,0),MATCH('PTO Accrual'!$E131,'Salary Information'!$B$91:$O$91,0))</f>
        <v>29.09916590909091</v>
      </c>
      <c r="K131" s="60">
        <f t="shared" si="10"/>
        <v>878.79481045454543</v>
      </c>
    </row>
    <row r="132" spans="2:11">
      <c r="B132" s="19" t="s">
        <v>158</v>
      </c>
      <c r="C132" s="14" t="s">
        <v>159</v>
      </c>
      <c r="D132" s="19" t="s">
        <v>12</v>
      </c>
      <c r="E132" s="57">
        <v>45931</v>
      </c>
      <c r="F132" s="58">
        <f t="shared" si="29"/>
        <v>30.2</v>
      </c>
      <c r="G132" s="58">
        <v>10</v>
      </c>
      <c r="H132" s="59">
        <v>16</v>
      </c>
      <c r="I132" s="58">
        <f t="shared" si="9"/>
        <v>24.200000000000003</v>
      </c>
      <c r="J132" s="58">
        <f>INDEX('Salary Information'!$B$91:$O$123,MATCH('PTO Accrual'!$B132,'Salary Information'!$B$91:$B$123,0),MATCH('PTO Accrual'!$E132,'Salary Information'!$B$91:$O$91,0))</f>
        <v>28.06560869565218</v>
      </c>
      <c r="K132" s="60">
        <f t="shared" si="10"/>
        <v>679.18773043478279</v>
      </c>
    </row>
    <row r="133" spans="2:11">
      <c r="B133" s="19" t="s">
        <v>158</v>
      </c>
      <c r="C133" s="14" t="s">
        <v>159</v>
      </c>
      <c r="D133" s="19" t="s">
        <v>12</v>
      </c>
      <c r="E133" s="57">
        <v>45962</v>
      </c>
      <c r="F133" s="58">
        <f t="shared" si="29"/>
        <v>24.200000000000003</v>
      </c>
      <c r="G133" s="58">
        <v>10</v>
      </c>
      <c r="H133" s="59">
        <v>0</v>
      </c>
      <c r="I133" s="58">
        <f t="shared" si="9"/>
        <v>34.200000000000003</v>
      </c>
      <c r="J133" s="58">
        <f>INDEX('Salary Information'!$B$91:$O$123,MATCH('PTO Accrual'!$B133,'Salary Information'!$B$91:$B$123,0),MATCH('PTO Accrual'!$E133,'Salary Information'!$B$91:$O$91,0))</f>
        <v>29.981396634615425</v>
      </c>
      <c r="K133" s="60">
        <f t="shared" si="10"/>
        <v>1025.3637649038476</v>
      </c>
    </row>
    <row r="134" spans="2:11">
      <c r="B134" s="19" t="s">
        <v>158</v>
      </c>
      <c r="C134" s="14" t="s">
        <v>159</v>
      </c>
      <c r="D134" s="19" t="s">
        <v>12</v>
      </c>
      <c r="E134" s="57">
        <v>45992</v>
      </c>
      <c r="F134" s="58">
        <f t="shared" si="29"/>
        <v>34.200000000000003</v>
      </c>
      <c r="G134" s="58">
        <v>10</v>
      </c>
      <c r="H134" s="59">
        <v>8</v>
      </c>
      <c r="I134" s="58">
        <f t="shared" si="9"/>
        <v>36.200000000000003</v>
      </c>
      <c r="J134" s="58">
        <f>INDEX('Salary Information'!$B$91:$O$123,MATCH('PTO Accrual'!$B134,'Salary Information'!$B$91:$B$123,0),MATCH('PTO Accrual'!$E134,'Salary Information'!$B$91:$O$91,0))</f>
        <v>26.520800585284256</v>
      </c>
      <c r="K134" s="60">
        <f t="shared" si="10"/>
        <v>960.05298118729013</v>
      </c>
    </row>
    <row r="135" spans="2:11">
      <c r="B135" s="19" t="s">
        <v>158</v>
      </c>
      <c r="C135" s="14" t="s">
        <v>159</v>
      </c>
      <c r="D135" s="19" t="s">
        <v>12</v>
      </c>
      <c r="E135" s="57">
        <v>46023</v>
      </c>
      <c r="F135" s="58">
        <f t="shared" si="29"/>
        <v>36.200000000000003</v>
      </c>
      <c r="G135" s="58">
        <v>10</v>
      </c>
      <c r="H135" s="59">
        <v>32</v>
      </c>
      <c r="I135" s="58">
        <f t="shared" si="9"/>
        <v>14.200000000000003</v>
      </c>
      <c r="J135" s="58">
        <f>INDEX('Salary Information'!$B$91:$O$123,MATCH('PTO Accrual'!$B135,'Salary Information'!$B$91:$B$123,0),MATCH('PTO Accrual'!$E135,'Salary Information'!$B$91:$O$91,0))</f>
        <v>28.535627272727275</v>
      </c>
      <c r="K135" s="60">
        <f t="shared" si="10"/>
        <v>405.20590727272742</v>
      </c>
    </row>
    <row r="136" spans="2:11">
      <c r="B136" s="19" t="s">
        <v>158</v>
      </c>
      <c r="C136" s="14" t="s">
        <v>159</v>
      </c>
      <c r="D136" s="19" t="s">
        <v>12</v>
      </c>
      <c r="E136" s="57">
        <v>46054</v>
      </c>
      <c r="F136" s="58">
        <f t="shared" si="29"/>
        <v>14.200000000000003</v>
      </c>
      <c r="G136" s="58">
        <v>10</v>
      </c>
      <c r="H136" s="59">
        <v>0</v>
      </c>
      <c r="I136" s="58">
        <f t="shared" si="9"/>
        <v>24.200000000000003</v>
      </c>
      <c r="J136" s="58">
        <f>INDEX('Salary Information'!$B$91:$O$123,MATCH('PTO Accrual'!$B136,'Salary Information'!$B$91:$B$123,0),MATCH('PTO Accrual'!$E136,'Salary Information'!$B$91:$O$91,0))</f>
        <v>30.9493725961539</v>
      </c>
      <c r="K136" s="60">
        <f t="shared" si="10"/>
        <v>748.97481682692444</v>
      </c>
    </row>
    <row r="137" spans="2:11">
      <c r="B137" s="19" t="s">
        <v>158</v>
      </c>
      <c r="C137" s="14" t="s">
        <v>159</v>
      </c>
      <c r="D137" s="19" t="s">
        <v>12</v>
      </c>
      <c r="E137" s="57">
        <v>46082</v>
      </c>
      <c r="F137" s="58">
        <f t="shared" si="29"/>
        <v>24.200000000000003</v>
      </c>
      <c r="G137" s="58">
        <v>10</v>
      </c>
      <c r="H137" s="59">
        <v>8</v>
      </c>
      <c r="I137" s="58">
        <f t="shared" ref="I137:I200" si="30">F137+G137-H137</f>
        <v>26.200000000000003</v>
      </c>
      <c r="J137" s="58">
        <f>INDEX('Salary Information'!$B$91:$O$123,MATCH('PTO Accrual'!$B137,'Salary Information'!$B$91:$B$123,0),MATCH('PTO Accrual'!$E137,'Salary Information'!$B$91:$O$91,0))</f>
        <v>27.567760052447579</v>
      </c>
      <c r="K137" s="60">
        <f t="shared" si="10"/>
        <v>722.27531337412665</v>
      </c>
    </row>
    <row r="138" spans="2:11">
      <c r="B138" s="19" t="s">
        <v>158</v>
      </c>
      <c r="C138" s="14" t="s">
        <v>159</v>
      </c>
      <c r="D138" s="19" t="s">
        <v>12</v>
      </c>
      <c r="E138" s="57">
        <v>46113</v>
      </c>
      <c r="F138" s="58">
        <f t="shared" si="29"/>
        <v>26.200000000000003</v>
      </c>
      <c r="G138" s="58">
        <v>10</v>
      </c>
      <c r="H138" s="59">
        <v>0</v>
      </c>
      <c r="I138" s="58">
        <f t="shared" si="30"/>
        <v>36.200000000000003</v>
      </c>
      <c r="J138" s="58">
        <f>INDEX('Salary Information'!$B$91:$O$123,MATCH('PTO Accrual'!$B138,'Salary Information'!$B$91:$B$123,0),MATCH('PTO Accrual'!$E138,'Salary Information'!$B$91:$O$91,0))</f>
        <v>27.793295454545454</v>
      </c>
      <c r="K138" s="60">
        <f t="shared" si="10"/>
        <v>1006.1172954545456</v>
      </c>
    </row>
    <row r="139" spans="2:11">
      <c r="B139" s="19" t="s">
        <v>158</v>
      </c>
      <c r="C139" s="14" t="s">
        <v>159</v>
      </c>
      <c r="D139" s="19" t="s">
        <v>12</v>
      </c>
      <c r="E139" s="57">
        <v>46143</v>
      </c>
      <c r="F139" s="58">
        <f t="shared" si="29"/>
        <v>36.200000000000003</v>
      </c>
      <c r="G139" s="58">
        <v>10</v>
      </c>
      <c r="H139" s="59">
        <v>0</v>
      </c>
      <c r="I139" s="58">
        <f t="shared" si="30"/>
        <v>46.2</v>
      </c>
      <c r="J139" s="58">
        <f>INDEX('Salary Information'!$B$91:$O$123,MATCH('PTO Accrual'!$B139,'Salary Information'!$B$91:$B$123,0),MATCH('PTO Accrual'!$E139,'Salary Information'!$B$91:$O$91,0))</f>
        <v>27.212488553113559</v>
      </c>
      <c r="K139" s="60">
        <f t="shared" ref="K139:K202" si="31">I139*J139</f>
        <v>1257.2169711538465</v>
      </c>
    </row>
    <row r="140" spans="2:11">
      <c r="B140" s="19" t="s">
        <v>158</v>
      </c>
      <c r="C140" s="14" t="s">
        <v>159</v>
      </c>
      <c r="D140" s="19" t="s">
        <v>12</v>
      </c>
      <c r="E140" s="57">
        <v>46174</v>
      </c>
      <c r="F140" s="58">
        <f t="shared" si="29"/>
        <v>46.2</v>
      </c>
      <c r="G140" s="58">
        <v>10</v>
      </c>
      <c r="H140" s="59">
        <v>0</v>
      </c>
      <c r="I140" s="58">
        <f t="shared" si="30"/>
        <v>56.2</v>
      </c>
      <c r="J140" s="58">
        <f>INDEX('Salary Information'!$B$91:$O$123,MATCH('PTO Accrual'!$B140,'Salary Information'!$B$91:$B$123,0),MATCH('PTO Accrual'!$E140,'Salary Information'!$B$91:$O$91,0))</f>
        <v>27.180583479021003</v>
      </c>
      <c r="K140" s="60">
        <f t="shared" si="31"/>
        <v>1527.5487915209803</v>
      </c>
    </row>
    <row r="141" spans="2:11">
      <c r="B141" s="19" t="s">
        <v>160</v>
      </c>
      <c r="C141" s="14" t="s">
        <v>161</v>
      </c>
      <c r="D141" s="19" t="s">
        <v>14</v>
      </c>
      <c r="E141" s="57">
        <v>45839</v>
      </c>
      <c r="F141" s="58">
        <v>19.8</v>
      </c>
      <c r="G141" s="58">
        <v>10</v>
      </c>
      <c r="H141" s="59">
        <v>8</v>
      </c>
      <c r="I141" s="58">
        <f t="shared" si="30"/>
        <v>21.8</v>
      </c>
      <c r="J141" s="58">
        <f>INDEX('Salary Information'!$B$91:$O$123,MATCH('PTO Accrual'!$B141,'Salary Information'!$B$91:$B$123,0),MATCH('PTO Accrual'!$E141,'Salary Information'!$B$91:$O$91,0))</f>
        <v>26.661821739130438</v>
      </c>
      <c r="K141" s="60">
        <f t="shared" si="31"/>
        <v>581.22771391304354</v>
      </c>
    </row>
    <row r="142" spans="2:11">
      <c r="B142" s="19" t="s">
        <v>160</v>
      </c>
      <c r="C142" s="14" t="s">
        <v>161</v>
      </c>
      <c r="D142" s="19" t="s">
        <v>14</v>
      </c>
      <c r="E142" s="57">
        <v>45870</v>
      </c>
      <c r="F142" s="58">
        <f t="shared" ref="F142:F152" si="32">I141</f>
        <v>21.8</v>
      </c>
      <c r="G142" s="58">
        <v>10</v>
      </c>
      <c r="H142" s="59">
        <v>0</v>
      </c>
      <c r="I142" s="58">
        <f t="shared" si="30"/>
        <v>31.8</v>
      </c>
      <c r="J142" s="58">
        <f>INDEX('Salary Information'!$B$91:$O$123,MATCH('PTO Accrual'!$B142,'Salary Information'!$B$91:$B$123,0),MATCH('PTO Accrual'!$E142,'Salary Information'!$B$91:$O$91,0))</f>
        <v>29.68024761904762</v>
      </c>
      <c r="K142" s="60">
        <f t="shared" si="31"/>
        <v>943.83187428571432</v>
      </c>
    </row>
    <row r="143" spans="2:11">
      <c r="B143" s="19" t="s">
        <v>160</v>
      </c>
      <c r="C143" s="14" t="s">
        <v>161</v>
      </c>
      <c r="D143" s="19" t="s">
        <v>14</v>
      </c>
      <c r="E143" s="57">
        <v>45901</v>
      </c>
      <c r="F143" s="58">
        <f t="shared" si="32"/>
        <v>31.8</v>
      </c>
      <c r="G143" s="58">
        <v>10</v>
      </c>
      <c r="H143" s="59">
        <v>40</v>
      </c>
      <c r="I143" s="58">
        <f t="shared" si="30"/>
        <v>1.7999999999999972</v>
      </c>
      <c r="J143" s="58">
        <f>INDEX('Salary Information'!$B$91:$O$123,MATCH('PTO Accrual'!$B143,'Salary Information'!$B$91:$B$123,0),MATCH('PTO Accrual'!$E143,'Salary Information'!$B$91:$O$91,0))</f>
        <v>29.09916590909091</v>
      </c>
      <c r="K143" s="60">
        <f t="shared" si="31"/>
        <v>52.378498636363553</v>
      </c>
    </row>
    <row r="144" spans="2:11">
      <c r="B144" s="19" t="s">
        <v>160</v>
      </c>
      <c r="C144" s="14" t="s">
        <v>161</v>
      </c>
      <c r="D144" s="19" t="s">
        <v>14</v>
      </c>
      <c r="E144" s="57">
        <v>45931</v>
      </c>
      <c r="F144" s="58">
        <f t="shared" si="32"/>
        <v>1.7999999999999972</v>
      </c>
      <c r="G144" s="58">
        <v>10</v>
      </c>
      <c r="H144" s="59">
        <v>8</v>
      </c>
      <c r="I144" s="58">
        <f t="shared" si="30"/>
        <v>3.7999999999999972</v>
      </c>
      <c r="J144" s="58">
        <f>INDEX('Salary Information'!$B$91:$O$123,MATCH('PTO Accrual'!$B144,'Salary Information'!$B$91:$B$123,0),MATCH('PTO Accrual'!$E144,'Salary Information'!$B$91:$O$91,0))</f>
        <v>28.06560869565218</v>
      </c>
      <c r="K144" s="60">
        <f t="shared" si="31"/>
        <v>106.6493130434782</v>
      </c>
    </row>
    <row r="145" spans="2:11">
      <c r="B145" s="19" t="s">
        <v>160</v>
      </c>
      <c r="C145" s="14" t="s">
        <v>161</v>
      </c>
      <c r="D145" s="19" t="s">
        <v>14</v>
      </c>
      <c r="E145" s="57">
        <v>45962</v>
      </c>
      <c r="F145" s="58">
        <f t="shared" si="32"/>
        <v>3.7999999999999972</v>
      </c>
      <c r="G145" s="58">
        <v>10</v>
      </c>
      <c r="H145" s="59">
        <v>0</v>
      </c>
      <c r="I145" s="58">
        <f t="shared" si="30"/>
        <v>13.799999999999997</v>
      </c>
      <c r="J145" s="58">
        <f>INDEX('Salary Information'!$B$91:$O$123,MATCH('PTO Accrual'!$B145,'Salary Information'!$B$91:$B$123,0),MATCH('PTO Accrual'!$E145,'Salary Information'!$B$91:$O$91,0))</f>
        <v>29.981396634615425</v>
      </c>
      <c r="K145" s="60">
        <f t="shared" si="31"/>
        <v>413.74327355769276</v>
      </c>
    </row>
    <row r="146" spans="2:11">
      <c r="B146" s="19" t="s">
        <v>160</v>
      </c>
      <c r="C146" s="14" t="s">
        <v>161</v>
      </c>
      <c r="D146" s="19" t="s">
        <v>14</v>
      </c>
      <c r="E146" s="57">
        <v>45992</v>
      </c>
      <c r="F146" s="58">
        <f t="shared" si="32"/>
        <v>13.799999999999997</v>
      </c>
      <c r="G146" s="58">
        <v>10</v>
      </c>
      <c r="H146" s="59">
        <v>0</v>
      </c>
      <c r="I146" s="58">
        <f t="shared" si="30"/>
        <v>23.799999999999997</v>
      </c>
      <c r="J146" s="58">
        <f>INDEX('Salary Information'!$B$91:$O$123,MATCH('PTO Accrual'!$B146,'Salary Information'!$B$91:$B$123,0),MATCH('PTO Accrual'!$E146,'Salary Information'!$B$91:$O$91,0))</f>
        <v>26.520800585284256</v>
      </c>
      <c r="K146" s="60">
        <f t="shared" si="31"/>
        <v>631.19505392976521</v>
      </c>
    </row>
    <row r="147" spans="2:11">
      <c r="B147" s="19" t="s">
        <v>160</v>
      </c>
      <c r="C147" s="14" t="s">
        <v>161</v>
      </c>
      <c r="D147" s="19" t="s">
        <v>14</v>
      </c>
      <c r="E147" s="57">
        <v>46023</v>
      </c>
      <c r="F147" s="58">
        <f t="shared" si="32"/>
        <v>23.799999999999997</v>
      </c>
      <c r="G147" s="58">
        <v>10</v>
      </c>
      <c r="H147" s="59">
        <v>8</v>
      </c>
      <c r="I147" s="58">
        <f t="shared" si="30"/>
        <v>25.799999999999997</v>
      </c>
      <c r="J147" s="58">
        <f>INDEX('Salary Information'!$B$91:$O$123,MATCH('PTO Accrual'!$B147,'Salary Information'!$B$91:$B$123,0),MATCH('PTO Accrual'!$E147,'Salary Information'!$B$91:$O$91,0))</f>
        <v>28.535627272727275</v>
      </c>
      <c r="K147" s="60">
        <f t="shared" si="31"/>
        <v>736.2191836363636</v>
      </c>
    </row>
    <row r="148" spans="2:11">
      <c r="B148" s="19" t="s">
        <v>160</v>
      </c>
      <c r="C148" s="14" t="s">
        <v>161</v>
      </c>
      <c r="D148" s="19" t="s">
        <v>14</v>
      </c>
      <c r="E148" s="57">
        <v>46054</v>
      </c>
      <c r="F148" s="58">
        <f t="shared" si="32"/>
        <v>25.799999999999997</v>
      </c>
      <c r="G148" s="58">
        <v>10</v>
      </c>
      <c r="H148" s="59">
        <v>0</v>
      </c>
      <c r="I148" s="58">
        <f t="shared" si="30"/>
        <v>35.799999999999997</v>
      </c>
      <c r="J148" s="58">
        <f>INDEX('Salary Information'!$B$91:$O$123,MATCH('PTO Accrual'!$B148,'Salary Information'!$B$91:$B$123,0),MATCH('PTO Accrual'!$E148,'Salary Information'!$B$91:$O$91,0))</f>
        <v>30.9493725961539</v>
      </c>
      <c r="K148" s="60">
        <f t="shared" si="31"/>
        <v>1107.9875389423096</v>
      </c>
    </row>
    <row r="149" spans="2:11">
      <c r="B149" s="19" t="s">
        <v>160</v>
      </c>
      <c r="C149" s="14" t="s">
        <v>161</v>
      </c>
      <c r="D149" s="19" t="s">
        <v>14</v>
      </c>
      <c r="E149" s="57">
        <v>46082</v>
      </c>
      <c r="F149" s="58">
        <f t="shared" si="32"/>
        <v>35.799999999999997</v>
      </c>
      <c r="G149" s="58">
        <v>10</v>
      </c>
      <c r="H149" s="59">
        <v>0</v>
      </c>
      <c r="I149" s="58">
        <f t="shared" si="30"/>
        <v>45.8</v>
      </c>
      <c r="J149" s="58">
        <f>INDEX('Salary Information'!$B$91:$O$123,MATCH('PTO Accrual'!$B149,'Salary Information'!$B$91:$B$123,0),MATCH('PTO Accrual'!$E149,'Salary Information'!$B$91:$O$91,0))</f>
        <v>27.567760052447579</v>
      </c>
      <c r="K149" s="60">
        <f t="shared" si="31"/>
        <v>1262.6034104020989</v>
      </c>
    </row>
    <row r="150" spans="2:11">
      <c r="B150" s="19" t="s">
        <v>160</v>
      </c>
      <c r="C150" s="14" t="s">
        <v>161</v>
      </c>
      <c r="D150" s="19" t="s">
        <v>14</v>
      </c>
      <c r="E150" s="57">
        <v>46113</v>
      </c>
      <c r="F150" s="58">
        <f t="shared" si="32"/>
        <v>45.8</v>
      </c>
      <c r="G150" s="58">
        <v>10</v>
      </c>
      <c r="H150" s="59">
        <v>0</v>
      </c>
      <c r="I150" s="58">
        <f t="shared" si="30"/>
        <v>55.8</v>
      </c>
      <c r="J150" s="58">
        <f>INDEX('Salary Information'!$B$91:$O$123,MATCH('PTO Accrual'!$B150,'Salary Information'!$B$91:$B$123,0),MATCH('PTO Accrual'!$E150,'Salary Information'!$B$91:$O$91,0))</f>
        <v>27.793295454545454</v>
      </c>
      <c r="K150" s="60">
        <f t="shared" si="31"/>
        <v>1550.8658863636363</v>
      </c>
    </row>
    <row r="151" spans="2:11">
      <c r="B151" s="19" t="s">
        <v>160</v>
      </c>
      <c r="C151" s="14" t="s">
        <v>161</v>
      </c>
      <c r="D151" s="19" t="s">
        <v>14</v>
      </c>
      <c r="E151" s="57">
        <v>46143</v>
      </c>
      <c r="F151" s="58">
        <f t="shared" si="32"/>
        <v>55.8</v>
      </c>
      <c r="G151" s="58">
        <v>10</v>
      </c>
      <c r="H151" s="59">
        <v>0</v>
      </c>
      <c r="I151" s="58">
        <f t="shared" si="30"/>
        <v>65.8</v>
      </c>
      <c r="J151" s="58">
        <f>INDEX('Salary Information'!$B$91:$O$123,MATCH('PTO Accrual'!$B151,'Salary Information'!$B$91:$B$123,0),MATCH('PTO Accrual'!$E151,'Salary Information'!$B$91:$O$91,0))</f>
        <v>27.212488553113559</v>
      </c>
      <c r="K151" s="60">
        <f t="shared" si="31"/>
        <v>1790.5817467948721</v>
      </c>
    </row>
    <row r="152" spans="2:11">
      <c r="B152" s="19" t="s">
        <v>160</v>
      </c>
      <c r="C152" s="14" t="s">
        <v>161</v>
      </c>
      <c r="D152" s="19" t="s">
        <v>14</v>
      </c>
      <c r="E152" s="57">
        <v>46174</v>
      </c>
      <c r="F152" s="58">
        <f t="shared" si="32"/>
        <v>65.8</v>
      </c>
      <c r="G152" s="58">
        <v>10</v>
      </c>
      <c r="H152" s="59">
        <v>8</v>
      </c>
      <c r="I152" s="58">
        <f t="shared" si="30"/>
        <v>67.8</v>
      </c>
      <c r="J152" s="58">
        <f>INDEX('Salary Information'!$B$91:$O$123,MATCH('PTO Accrual'!$B152,'Salary Information'!$B$91:$B$123,0),MATCH('PTO Accrual'!$E152,'Salary Information'!$B$91:$O$91,0))</f>
        <v>27.180583479021003</v>
      </c>
      <c r="K152" s="60">
        <f t="shared" si="31"/>
        <v>1842.8435598776239</v>
      </c>
    </row>
    <row r="153" spans="2:11">
      <c r="B153" s="19" t="s">
        <v>162</v>
      </c>
      <c r="C153" s="14" t="s">
        <v>163</v>
      </c>
      <c r="D153" s="19" t="s">
        <v>14</v>
      </c>
      <c r="E153" s="57">
        <v>45839</v>
      </c>
      <c r="F153" s="58">
        <v>31.2</v>
      </c>
      <c r="G153" s="58">
        <v>10</v>
      </c>
      <c r="H153" s="59">
        <v>8</v>
      </c>
      <c r="I153" s="58">
        <f t="shared" si="30"/>
        <v>33.200000000000003</v>
      </c>
      <c r="J153" s="58">
        <f>INDEX('Salary Information'!$B$91:$O$123,MATCH('PTO Accrual'!$B153,'Salary Information'!$B$91:$B$123,0),MATCH('PTO Accrual'!$E153,'Salary Information'!$B$91:$O$91,0))</f>
        <v>26.661821739130438</v>
      </c>
      <c r="K153" s="60">
        <f t="shared" si="31"/>
        <v>885.1724817391306</v>
      </c>
    </row>
    <row r="154" spans="2:11">
      <c r="B154" s="19" t="s">
        <v>162</v>
      </c>
      <c r="C154" s="14" t="s">
        <v>163</v>
      </c>
      <c r="D154" s="19" t="s">
        <v>14</v>
      </c>
      <c r="E154" s="57">
        <v>45870</v>
      </c>
      <c r="F154" s="58">
        <f t="shared" ref="F154:F164" si="33">I153</f>
        <v>33.200000000000003</v>
      </c>
      <c r="G154" s="58">
        <v>10</v>
      </c>
      <c r="H154" s="59">
        <v>8</v>
      </c>
      <c r="I154" s="58">
        <f t="shared" si="30"/>
        <v>35.200000000000003</v>
      </c>
      <c r="J154" s="58">
        <f>INDEX('Salary Information'!$B$91:$O$123,MATCH('PTO Accrual'!$B154,'Salary Information'!$B$91:$B$123,0),MATCH('PTO Accrual'!$E154,'Salary Information'!$B$91:$O$91,0))</f>
        <v>29.68024761904762</v>
      </c>
      <c r="K154" s="60">
        <f t="shared" si="31"/>
        <v>1044.7447161904763</v>
      </c>
    </row>
    <row r="155" spans="2:11">
      <c r="B155" s="19" t="s">
        <v>162</v>
      </c>
      <c r="C155" s="14" t="s">
        <v>163</v>
      </c>
      <c r="D155" s="19" t="s">
        <v>14</v>
      </c>
      <c r="E155" s="57">
        <v>45901</v>
      </c>
      <c r="F155" s="58">
        <f t="shared" si="33"/>
        <v>35.200000000000003</v>
      </c>
      <c r="G155" s="58">
        <v>10</v>
      </c>
      <c r="H155" s="59">
        <v>0</v>
      </c>
      <c r="I155" s="58">
        <f t="shared" si="30"/>
        <v>45.2</v>
      </c>
      <c r="J155" s="58">
        <f>INDEX('Salary Information'!$B$91:$O$123,MATCH('PTO Accrual'!$B155,'Salary Information'!$B$91:$B$123,0),MATCH('PTO Accrual'!$E155,'Salary Information'!$B$91:$O$91,0))</f>
        <v>29.09916590909091</v>
      </c>
      <c r="K155" s="60">
        <f t="shared" si="31"/>
        <v>1315.2822990909092</v>
      </c>
    </row>
    <row r="156" spans="2:11">
      <c r="B156" s="19" t="s">
        <v>162</v>
      </c>
      <c r="C156" s="14" t="s">
        <v>163</v>
      </c>
      <c r="D156" s="19" t="s">
        <v>14</v>
      </c>
      <c r="E156" s="57">
        <v>45931</v>
      </c>
      <c r="F156" s="58">
        <f t="shared" si="33"/>
        <v>45.2</v>
      </c>
      <c r="G156" s="58">
        <v>10</v>
      </c>
      <c r="H156" s="59">
        <v>0</v>
      </c>
      <c r="I156" s="58">
        <f t="shared" si="30"/>
        <v>55.2</v>
      </c>
      <c r="J156" s="58">
        <f>INDEX('Salary Information'!$B$91:$O$123,MATCH('PTO Accrual'!$B156,'Salary Information'!$B$91:$B$123,0),MATCH('PTO Accrual'!$E156,'Salary Information'!$B$91:$O$91,0))</f>
        <v>28.06560869565218</v>
      </c>
      <c r="K156" s="60">
        <f t="shared" si="31"/>
        <v>1549.2216000000005</v>
      </c>
    </row>
    <row r="157" spans="2:11">
      <c r="B157" s="19" t="s">
        <v>162</v>
      </c>
      <c r="C157" s="14" t="s">
        <v>163</v>
      </c>
      <c r="D157" s="19" t="s">
        <v>14</v>
      </c>
      <c r="E157" s="57">
        <v>45962</v>
      </c>
      <c r="F157" s="58">
        <f t="shared" si="33"/>
        <v>55.2</v>
      </c>
      <c r="G157" s="58">
        <v>10</v>
      </c>
      <c r="H157" s="59">
        <v>16</v>
      </c>
      <c r="I157" s="58">
        <f t="shared" si="30"/>
        <v>49.2</v>
      </c>
      <c r="J157" s="58">
        <f>INDEX('Salary Information'!$B$91:$O$123,MATCH('PTO Accrual'!$B157,'Salary Information'!$B$91:$B$123,0),MATCH('PTO Accrual'!$E157,'Salary Information'!$B$91:$O$91,0))</f>
        <v>29.981396634615425</v>
      </c>
      <c r="K157" s="60">
        <f t="shared" si="31"/>
        <v>1475.084714423079</v>
      </c>
    </row>
    <row r="158" spans="2:11">
      <c r="B158" s="19" t="s">
        <v>162</v>
      </c>
      <c r="C158" s="14" t="s">
        <v>163</v>
      </c>
      <c r="D158" s="19" t="s">
        <v>14</v>
      </c>
      <c r="E158" s="57">
        <v>45992</v>
      </c>
      <c r="F158" s="58">
        <f t="shared" si="33"/>
        <v>49.2</v>
      </c>
      <c r="G158" s="58">
        <v>10</v>
      </c>
      <c r="H158" s="59">
        <v>0</v>
      </c>
      <c r="I158" s="58">
        <f t="shared" si="30"/>
        <v>59.2</v>
      </c>
      <c r="J158" s="58">
        <f>INDEX('Salary Information'!$B$91:$O$123,MATCH('PTO Accrual'!$B158,'Salary Information'!$B$91:$B$123,0),MATCH('PTO Accrual'!$E158,'Salary Information'!$B$91:$O$91,0))</f>
        <v>26.520800585284256</v>
      </c>
      <c r="K158" s="60">
        <f t="shared" si="31"/>
        <v>1570.0313946488279</v>
      </c>
    </row>
    <row r="159" spans="2:11">
      <c r="B159" s="19" t="s">
        <v>162</v>
      </c>
      <c r="C159" s="14" t="s">
        <v>163</v>
      </c>
      <c r="D159" s="19" t="s">
        <v>14</v>
      </c>
      <c r="E159" s="57">
        <v>46023</v>
      </c>
      <c r="F159" s="58">
        <f t="shared" si="33"/>
        <v>59.2</v>
      </c>
      <c r="G159" s="58">
        <v>10</v>
      </c>
      <c r="H159" s="59">
        <v>0</v>
      </c>
      <c r="I159" s="58">
        <f t="shared" si="30"/>
        <v>69.2</v>
      </c>
      <c r="J159" s="58">
        <f>INDEX('Salary Information'!$B$91:$O$123,MATCH('PTO Accrual'!$B159,'Salary Information'!$B$91:$B$123,0),MATCH('PTO Accrual'!$E159,'Salary Information'!$B$91:$O$91,0))</f>
        <v>28.535627272727275</v>
      </c>
      <c r="K159" s="60">
        <f t="shared" si="31"/>
        <v>1974.6654072727276</v>
      </c>
    </row>
    <row r="160" spans="2:11">
      <c r="B160" s="19" t="s">
        <v>162</v>
      </c>
      <c r="C160" s="14" t="s">
        <v>163</v>
      </c>
      <c r="D160" s="19" t="s">
        <v>14</v>
      </c>
      <c r="E160" s="57">
        <v>46054</v>
      </c>
      <c r="F160" s="58">
        <f t="shared" si="33"/>
        <v>69.2</v>
      </c>
      <c r="G160" s="58">
        <v>10</v>
      </c>
      <c r="H160" s="59">
        <v>0</v>
      </c>
      <c r="I160" s="58">
        <f t="shared" si="30"/>
        <v>79.2</v>
      </c>
      <c r="J160" s="58">
        <f>INDEX('Salary Information'!$B$91:$O$123,MATCH('PTO Accrual'!$B160,'Salary Information'!$B$91:$B$123,0),MATCH('PTO Accrual'!$E160,'Salary Information'!$B$91:$O$91,0))</f>
        <v>30.9493725961539</v>
      </c>
      <c r="K160" s="60">
        <f t="shared" si="31"/>
        <v>2451.1903096153887</v>
      </c>
    </row>
    <row r="161" spans="2:11">
      <c r="B161" s="19" t="s">
        <v>162</v>
      </c>
      <c r="C161" s="14" t="s">
        <v>163</v>
      </c>
      <c r="D161" s="19" t="s">
        <v>14</v>
      </c>
      <c r="E161" s="57">
        <v>46082</v>
      </c>
      <c r="F161" s="58">
        <f t="shared" si="33"/>
        <v>79.2</v>
      </c>
      <c r="G161" s="58">
        <v>10</v>
      </c>
      <c r="H161" s="59">
        <v>8</v>
      </c>
      <c r="I161" s="58">
        <f t="shared" si="30"/>
        <v>81.2</v>
      </c>
      <c r="J161" s="58">
        <f>INDEX('Salary Information'!$B$91:$O$123,MATCH('PTO Accrual'!$B161,'Salary Information'!$B$91:$B$123,0),MATCH('PTO Accrual'!$E161,'Salary Information'!$B$91:$O$91,0))</f>
        <v>27.567760052447579</v>
      </c>
      <c r="K161" s="60">
        <f t="shared" si="31"/>
        <v>2238.5021162587436</v>
      </c>
    </row>
    <row r="162" spans="2:11">
      <c r="B162" s="19" t="s">
        <v>162</v>
      </c>
      <c r="C162" s="14" t="s">
        <v>163</v>
      </c>
      <c r="D162" s="19" t="s">
        <v>14</v>
      </c>
      <c r="E162" s="57">
        <v>46113</v>
      </c>
      <c r="F162" s="58">
        <f t="shared" si="33"/>
        <v>81.2</v>
      </c>
      <c r="G162" s="58">
        <v>10</v>
      </c>
      <c r="H162" s="59">
        <v>16</v>
      </c>
      <c r="I162" s="58">
        <f t="shared" si="30"/>
        <v>75.2</v>
      </c>
      <c r="J162" s="58">
        <f>INDEX('Salary Information'!$B$91:$O$123,MATCH('PTO Accrual'!$B162,'Salary Information'!$B$91:$B$123,0),MATCH('PTO Accrual'!$E162,'Salary Information'!$B$91:$O$91,0))</f>
        <v>27.793295454545454</v>
      </c>
      <c r="K162" s="60">
        <f t="shared" si="31"/>
        <v>2090.0558181818183</v>
      </c>
    </row>
    <row r="163" spans="2:11">
      <c r="B163" s="19" t="s">
        <v>162</v>
      </c>
      <c r="C163" s="14" t="s">
        <v>163</v>
      </c>
      <c r="D163" s="19" t="s">
        <v>14</v>
      </c>
      <c r="E163" s="57">
        <v>46143</v>
      </c>
      <c r="F163" s="58">
        <f t="shared" si="33"/>
        <v>75.2</v>
      </c>
      <c r="G163" s="58">
        <v>10</v>
      </c>
      <c r="H163" s="59">
        <v>16</v>
      </c>
      <c r="I163" s="58">
        <f t="shared" si="30"/>
        <v>69.2</v>
      </c>
      <c r="J163" s="58">
        <f>INDEX('Salary Information'!$B$91:$O$123,MATCH('PTO Accrual'!$B163,'Salary Information'!$B$91:$B$123,0),MATCH('PTO Accrual'!$E163,'Salary Information'!$B$91:$O$91,0))</f>
        <v>27.212488553113559</v>
      </c>
      <c r="K163" s="60">
        <f t="shared" si="31"/>
        <v>1883.1042078754583</v>
      </c>
    </row>
    <row r="164" spans="2:11">
      <c r="B164" s="19" t="s">
        <v>162</v>
      </c>
      <c r="C164" s="14" t="s">
        <v>163</v>
      </c>
      <c r="D164" s="19" t="s">
        <v>14</v>
      </c>
      <c r="E164" s="57">
        <v>46174</v>
      </c>
      <c r="F164" s="58">
        <f t="shared" si="33"/>
        <v>69.2</v>
      </c>
      <c r="G164" s="58">
        <v>10</v>
      </c>
      <c r="H164" s="59">
        <v>16</v>
      </c>
      <c r="I164" s="58">
        <f t="shared" si="30"/>
        <v>63.2</v>
      </c>
      <c r="J164" s="58">
        <f>INDEX('Salary Information'!$B$91:$O$123,MATCH('PTO Accrual'!$B164,'Salary Information'!$B$91:$B$123,0),MATCH('PTO Accrual'!$E164,'Salary Information'!$B$91:$O$91,0))</f>
        <v>27.180583479021003</v>
      </c>
      <c r="K164" s="60">
        <f t="shared" si="31"/>
        <v>1717.8128758741275</v>
      </c>
    </row>
    <row r="165" spans="2:11">
      <c r="B165" s="19" t="s">
        <v>164</v>
      </c>
      <c r="C165" s="14" t="s">
        <v>165</v>
      </c>
      <c r="D165" s="19" t="s">
        <v>14</v>
      </c>
      <c r="E165" s="57">
        <v>45839</v>
      </c>
      <c r="F165" s="58">
        <v>3.7</v>
      </c>
      <c r="G165" s="58">
        <v>10</v>
      </c>
      <c r="H165" s="59">
        <v>16</v>
      </c>
      <c r="I165" s="58">
        <f t="shared" si="30"/>
        <v>-2.3000000000000007</v>
      </c>
      <c r="J165" s="58">
        <f>INDEX('Salary Information'!$B$91:$O$123,MATCH('PTO Accrual'!$B165,'Salary Information'!$B$91:$B$123,0),MATCH('PTO Accrual'!$E165,'Salary Information'!$B$91:$O$91,0))</f>
        <v>26.661821739130438</v>
      </c>
      <c r="K165" s="60">
        <f t="shared" si="31"/>
        <v>-61.322190000000028</v>
      </c>
    </row>
    <row r="166" spans="2:11">
      <c r="B166" s="19" t="s">
        <v>164</v>
      </c>
      <c r="C166" s="14" t="s">
        <v>165</v>
      </c>
      <c r="D166" s="19" t="s">
        <v>14</v>
      </c>
      <c r="E166" s="57">
        <v>45870</v>
      </c>
      <c r="F166" s="58">
        <f t="shared" ref="F166:F176" si="34">I165</f>
        <v>-2.3000000000000007</v>
      </c>
      <c r="G166" s="58">
        <v>10</v>
      </c>
      <c r="H166" s="59">
        <v>0</v>
      </c>
      <c r="I166" s="58">
        <f t="shared" si="30"/>
        <v>7.6999999999999993</v>
      </c>
      <c r="J166" s="58">
        <f>INDEX('Salary Information'!$B$91:$O$123,MATCH('PTO Accrual'!$B166,'Salary Information'!$B$91:$B$123,0),MATCH('PTO Accrual'!$E166,'Salary Information'!$B$91:$O$91,0))</f>
        <v>29.68024761904762</v>
      </c>
      <c r="K166" s="60">
        <f t="shared" si="31"/>
        <v>228.53790666666666</v>
      </c>
    </row>
    <row r="167" spans="2:11">
      <c r="B167" s="19" t="s">
        <v>164</v>
      </c>
      <c r="C167" s="14" t="s">
        <v>165</v>
      </c>
      <c r="D167" s="19" t="s">
        <v>14</v>
      </c>
      <c r="E167" s="57">
        <v>45901</v>
      </c>
      <c r="F167" s="58">
        <f t="shared" si="34"/>
        <v>7.6999999999999993</v>
      </c>
      <c r="G167" s="58">
        <v>10</v>
      </c>
      <c r="H167" s="59">
        <v>0</v>
      </c>
      <c r="I167" s="58">
        <f t="shared" si="30"/>
        <v>17.7</v>
      </c>
      <c r="J167" s="58">
        <f>INDEX('Salary Information'!$B$91:$O$123,MATCH('PTO Accrual'!$B167,'Salary Information'!$B$91:$B$123,0),MATCH('PTO Accrual'!$E167,'Salary Information'!$B$91:$O$91,0))</f>
        <v>29.09916590909091</v>
      </c>
      <c r="K167" s="60">
        <f t="shared" si="31"/>
        <v>515.05523659090909</v>
      </c>
    </row>
    <row r="168" spans="2:11">
      <c r="B168" s="19" t="s">
        <v>164</v>
      </c>
      <c r="C168" s="14" t="s">
        <v>165</v>
      </c>
      <c r="D168" s="19" t="s">
        <v>14</v>
      </c>
      <c r="E168" s="57">
        <v>45931</v>
      </c>
      <c r="F168" s="58">
        <f t="shared" si="34"/>
        <v>17.7</v>
      </c>
      <c r="G168" s="58">
        <v>10</v>
      </c>
      <c r="H168" s="59">
        <v>0</v>
      </c>
      <c r="I168" s="58">
        <f t="shared" si="30"/>
        <v>27.7</v>
      </c>
      <c r="J168" s="58">
        <f>INDEX('Salary Information'!$B$91:$O$123,MATCH('PTO Accrual'!$B168,'Salary Information'!$B$91:$B$123,0),MATCH('PTO Accrual'!$E168,'Salary Information'!$B$91:$O$91,0))</f>
        <v>28.06560869565218</v>
      </c>
      <c r="K168" s="60">
        <f t="shared" si="31"/>
        <v>777.41736086956541</v>
      </c>
    </row>
    <row r="169" spans="2:11">
      <c r="B169" s="19" t="s">
        <v>164</v>
      </c>
      <c r="C169" s="14" t="s">
        <v>165</v>
      </c>
      <c r="D169" s="19" t="s">
        <v>14</v>
      </c>
      <c r="E169" s="57">
        <v>45962</v>
      </c>
      <c r="F169" s="58">
        <f t="shared" si="34"/>
        <v>27.7</v>
      </c>
      <c r="G169" s="58">
        <v>10</v>
      </c>
      <c r="H169" s="59">
        <v>0</v>
      </c>
      <c r="I169" s="58">
        <f t="shared" si="30"/>
        <v>37.700000000000003</v>
      </c>
      <c r="J169" s="58">
        <f>INDEX('Salary Information'!$B$91:$O$123,MATCH('PTO Accrual'!$B169,'Salary Information'!$B$91:$B$123,0),MATCH('PTO Accrual'!$E169,'Salary Information'!$B$91:$O$91,0))</f>
        <v>29.981396634615425</v>
      </c>
      <c r="K169" s="60">
        <f t="shared" si="31"/>
        <v>1130.2986531250017</v>
      </c>
    </row>
    <row r="170" spans="2:11">
      <c r="B170" s="19" t="s">
        <v>164</v>
      </c>
      <c r="C170" s="14" t="s">
        <v>165</v>
      </c>
      <c r="D170" s="19" t="s">
        <v>14</v>
      </c>
      <c r="E170" s="57">
        <v>45992</v>
      </c>
      <c r="F170" s="58">
        <f t="shared" si="34"/>
        <v>37.700000000000003</v>
      </c>
      <c r="G170" s="58">
        <v>10</v>
      </c>
      <c r="H170" s="59">
        <v>0</v>
      </c>
      <c r="I170" s="58">
        <f t="shared" si="30"/>
        <v>47.7</v>
      </c>
      <c r="J170" s="58">
        <f>INDEX('Salary Information'!$B$91:$O$123,MATCH('PTO Accrual'!$B170,'Salary Information'!$B$91:$B$123,0),MATCH('PTO Accrual'!$E170,'Salary Information'!$B$91:$O$91,0))</f>
        <v>26.520800585284256</v>
      </c>
      <c r="K170" s="60">
        <f t="shared" si="31"/>
        <v>1265.0421879180592</v>
      </c>
    </row>
    <row r="171" spans="2:11">
      <c r="B171" s="19" t="s">
        <v>164</v>
      </c>
      <c r="C171" s="14" t="s">
        <v>165</v>
      </c>
      <c r="D171" s="19" t="s">
        <v>14</v>
      </c>
      <c r="E171" s="57">
        <v>46023</v>
      </c>
      <c r="F171" s="58">
        <f t="shared" si="34"/>
        <v>47.7</v>
      </c>
      <c r="G171" s="58">
        <v>10</v>
      </c>
      <c r="H171" s="59">
        <v>0</v>
      </c>
      <c r="I171" s="58">
        <f t="shared" si="30"/>
        <v>57.7</v>
      </c>
      <c r="J171" s="58">
        <f>INDEX('Salary Information'!$B$91:$O$123,MATCH('PTO Accrual'!$B171,'Salary Information'!$B$91:$B$123,0),MATCH('PTO Accrual'!$E171,'Salary Information'!$B$91:$O$91,0))</f>
        <v>28.535627272727275</v>
      </c>
      <c r="K171" s="60">
        <f t="shared" si="31"/>
        <v>1646.505693636364</v>
      </c>
    </row>
    <row r="172" spans="2:11">
      <c r="B172" s="19" t="s">
        <v>164</v>
      </c>
      <c r="C172" s="14" t="s">
        <v>165</v>
      </c>
      <c r="D172" s="19" t="s">
        <v>14</v>
      </c>
      <c r="E172" s="57">
        <v>46054</v>
      </c>
      <c r="F172" s="58">
        <f t="shared" si="34"/>
        <v>57.7</v>
      </c>
      <c r="G172" s="58">
        <v>10</v>
      </c>
      <c r="H172" s="59">
        <v>8</v>
      </c>
      <c r="I172" s="58">
        <f t="shared" si="30"/>
        <v>59.7</v>
      </c>
      <c r="J172" s="58">
        <f>INDEX('Salary Information'!$B$91:$O$123,MATCH('PTO Accrual'!$B172,'Salary Information'!$B$91:$B$123,0),MATCH('PTO Accrual'!$E172,'Salary Information'!$B$91:$O$91,0))</f>
        <v>30.9493725961539</v>
      </c>
      <c r="K172" s="60">
        <f t="shared" si="31"/>
        <v>1847.6775439903879</v>
      </c>
    </row>
    <row r="173" spans="2:11">
      <c r="B173" s="19" t="s">
        <v>164</v>
      </c>
      <c r="C173" s="14" t="s">
        <v>165</v>
      </c>
      <c r="D173" s="19" t="s">
        <v>14</v>
      </c>
      <c r="E173" s="57">
        <v>46082</v>
      </c>
      <c r="F173" s="58">
        <f t="shared" si="34"/>
        <v>59.7</v>
      </c>
      <c r="G173" s="58">
        <v>10</v>
      </c>
      <c r="H173" s="59">
        <v>0</v>
      </c>
      <c r="I173" s="58">
        <f t="shared" si="30"/>
        <v>69.7</v>
      </c>
      <c r="J173" s="58">
        <f>INDEX('Salary Information'!$B$91:$O$123,MATCH('PTO Accrual'!$B173,'Salary Information'!$B$91:$B$123,0),MATCH('PTO Accrual'!$E173,'Salary Information'!$B$91:$O$91,0))</f>
        <v>27.567760052447579</v>
      </c>
      <c r="K173" s="60">
        <f t="shared" si="31"/>
        <v>1921.4728756555962</v>
      </c>
    </row>
    <row r="174" spans="2:11">
      <c r="B174" s="19" t="s">
        <v>164</v>
      </c>
      <c r="C174" s="14" t="s">
        <v>165</v>
      </c>
      <c r="D174" s="19" t="s">
        <v>14</v>
      </c>
      <c r="E174" s="57">
        <v>46113</v>
      </c>
      <c r="F174" s="58">
        <f t="shared" si="34"/>
        <v>69.7</v>
      </c>
      <c r="G174" s="58">
        <v>10</v>
      </c>
      <c r="H174" s="59">
        <v>0</v>
      </c>
      <c r="I174" s="58">
        <f t="shared" si="30"/>
        <v>79.7</v>
      </c>
      <c r="J174" s="58">
        <f>INDEX('Salary Information'!$B$91:$O$123,MATCH('PTO Accrual'!$B174,'Salary Information'!$B$91:$B$123,0),MATCH('PTO Accrual'!$E174,'Salary Information'!$B$91:$O$91,0))</f>
        <v>27.793295454545454</v>
      </c>
      <c r="K174" s="60">
        <f t="shared" si="31"/>
        <v>2215.1256477272727</v>
      </c>
    </row>
    <row r="175" spans="2:11">
      <c r="B175" s="19" t="s">
        <v>164</v>
      </c>
      <c r="C175" s="14" t="s">
        <v>165</v>
      </c>
      <c r="D175" s="19" t="s">
        <v>14</v>
      </c>
      <c r="E175" s="57">
        <v>46143</v>
      </c>
      <c r="F175" s="58">
        <f t="shared" si="34"/>
        <v>79.7</v>
      </c>
      <c r="G175" s="58">
        <v>10</v>
      </c>
      <c r="H175" s="59">
        <v>16</v>
      </c>
      <c r="I175" s="58">
        <f t="shared" si="30"/>
        <v>73.7</v>
      </c>
      <c r="J175" s="58">
        <f>INDEX('Salary Information'!$B$91:$O$123,MATCH('PTO Accrual'!$B175,'Salary Information'!$B$91:$B$123,0),MATCH('PTO Accrual'!$E175,'Salary Information'!$B$91:$O$91,0))</f>
        <v>27.212488553113559</v>
      </c>
      <c r="K175" s="60">
        <f t="shared" si="31"/>
        <v>2005.5604063644694</v>
      </c>
    </row>
    <row r="176" spans="2:11">
      <c r="B176" s="19" t="s">
        <v>164</v>
      </c>
      <c r="C176" s="14" t="s">
        <v>165</v>
      </c>
      <c r="D176" s="19" t="s">
        <v>14</v>
      </c>
      <c r="E176" s="57">
        <v>46174</v>
      </c>
      <c r="F176" s="58">
        <f t="shared" si="34"/>
        <v>73.7</v>
      </c>
      <c r="G176" s="58">
        <v>10</v>
      </c>
      <c r="H176" s="59">
        <v>0</v>
      </c>
      <c r="I176" s="58">
        <f t="shared" si="30"/>
        <v>83.7</v>
      </c>
      <c r="J176" s="58">
        <f>INDEX('Salary Information'!$B$91:$O$123,MATCH('PTO Accrual'!$B176,'Salary Information'!$B$91:$B$123,0),MATCH('PTO Accrual'!$E176,'Salary Information'!$B$91:$O$91,0))</f>
        <v>27.180583479021003</v>
      </c>
      <c r="K176" s="60">
        <f t="shared" si="31"/>
        <v>2275.0148371940581</v>
      </c>
    </row>
    <row r="177" spans="2:11">
      <c r="B177" s="19" t="s">
        <v>166</v>
      </c>
      <c r="C177" s="14" t="s">
        <v>167</v>
      </c>
      <c r="D177" s="19" t="s">
        <v>16</v>
      </c>
      <c r="E177" s="57">
        <v>45839</v>
      </c>
      <c r="F177" s="58">
        <v>42.4</v>
      </c>
      <c r="G177" s="58">
        <v>10</v>
      </c>
      <c r="H177" s="59">
        <v>0</v>
      </c>
      <c r="I177" s="58">
        <f t="shared" si="30"/>
        <v>52.4</v>
      </c>
      <c r="J177" s="58">
        <f>INDEX('Salary Information'!$B$91:$O$123,MATCH('PTO Accrual'!$B177,'Salary Information'!$B$91:$B$123,0),MATCH('PTO Accrual'!$E177,'Salary Information'!$B$91:$O$91,0))</f>
        <v>26.661821739130438</v>
      </c>
      <c r="K177" s="60">
        <f t="shared" si="31"/>
        <v>1397.079459130435</v>
      </c>
    </row>
    <row r="178" spans="2:11">
      <c r="B178" s="19" t="s">
        <v>166</v>
      </c>
      <c r="C178" s="14" t="s">
        <v>167</v>
      </c>
      <c r="D178" s="19" t="s">
        <v>16</v>
      </c>
      <c r="E178" s="57">
        <v>45870</v>
      </c>
      <c r="F178" s="58">
        <f t="shared" ref="F178:F188" si="35">I177</f>
        <v>52.4</v>
      </c>
      <c r="G178" s="58">
        <v>10</v>
      </c>
      <c r="H178" s="59">
        <v>0</v>
      </c>
      <c r="I178" s="58">
        <f t="shared" si="30"/>
        <v>62.4</v>
      </c>
      <c r="J178" s="58">
        <f>INDEX('Salary Information'!$B$91:$O$123,MATCH('PTO Accrual'!$B178,'Salary Information'!$B$91:$B$123,0),MATCH('PTO Accrual'!$E178,'Salary Information'!$B$91:$O$91,0))</f>
        <v>29.68024761904762</v>
      </c>
      <c r="K178" s="60">
        <f t="shared" si="31"/>
        <v>1852.0474514285715</v>
      </c>
    </row>
    <row r="179" spans="2:11">
      <c r="B179" s="19" t="s">
        <v>166</v>
      </c>
      <c r="C179" s="14" t="s">
        <v>167</v>
      </c>
      <c r="D179" s="19" t="s">
        <v>16</v>
      </c>
      <c r="E179" s="57">
        <v>45901</v>
      </c>
      <c r="F179" s="58">
        <f t="shared" si="35"/>
        <v>62.4</v>
      </c>
      <c r="G179" s="58">
        <v>10</v>
      </c>
      <c r="H179" s="59">
        <v>0</v>
      </c>
      <c r="I179" s="58">
        <f t="shared" si="30"/>
        <v>72.400000000000006</v>
      </c>
      <c r="J179" s="58">
        <f>INDEX('Salary Information'!$B$91:$O$123,MATCH('PTO Accrual'!$B179,'Salary Information'!$B$91:$B$123,0),MATCH('PTO Accrual'!$E179,'Salary Information'!$B$91:$O$91,0))</f>
        <v>29.09916590909091</v>
      </c>
      <c r="K179" s="60">
        <f t="shared" si="31"/>
        <v>2106.7796118181823</v>
      </c>
    </row>
    <row r="180" spans="2:11">
      <c r="B180" s="19" t="s">
        <v>166</v>
      </c>
      <c r="C180" s="14" t="s">
        <v>167</v>
      </c>
      <c r="D180" s="19" t="s">
        <v>16</v>
      </c>
      <c r="E180" s="57">
        <v>45931</v>
      </c>
      <c r="F180" s="58">
        <f t="shared" si="35"/>
        <v>72.400000000000006</v>
      </c>
      <c r="G180" s="58">
        <v>10</v>
      </c>
      <c r="H180" s="59">
        <v>40</v>
      </c>
      <c r="I180" s="58">
        <f t="shared" si="30"/>
        <v>42.400000000000006</v>
      </c>
      <c r="J180" s="58">
        <f>INDEX('Salary Information'!$B$91:$O$123,MATCH('PTO Accrual'!$B180,'Salary Information'!$B$91:$B$123,0),MATCH('PTO Accrual'!$E180,'Salary Information'!$B$91:$O$91,0))</f>
        <v>28.06560869565218</v>
      </c>
      <c r="K180" s="60">
        <f t="shared" si="31"/>
        <v>1189.9818086956527</v>
      </c>
    </row>
    <row r="181" spans="2:11">
      <c r="B181" s="19" t="s">
        <v>166</v>
      </c>
      <c r="C181" s="14" t="s">
        <v>167</v>
      </c>
      <c r="D181" s="19" t="s">
        <v>16</v>
      </c>
      <c r="E181" s="57">
        <v>45962</v>
      </c>
      <c r="F181" s="58">
        <f t="shared" si="35"/>
        <v>42.400000000000006</v>
      </c>
      <c r="G181" s="58">
        <v>10</v>
      </c>
      <c r="H181" s="59">
        <v>8</v>
      </c>
      <c r="I181" s="58">
        <f t="shared" si="30"/>
        <v>44.400000000000006</v>
      </c>
      <c r="J181" s="58">
        <f>INDEX('Salary Information'!$B$91:$O$123,MATCH('PTO Accrual'!$B181,'Salary Information'!$B$91:$B$123,0),MATCH('PTO Accrual'!$E181,'Salary Information'!$B$91:$O$91,0))</f>
        <v>29.981396634615425</v>
      </c>
      <c r="K181" s="60">
        <f t="shared" si="31"/>
        <v>1331.174010576925</v>
      </c>
    </row>
    <row r="182" spans="2:11">
      <c r="B182" s="19" t="s">
        <v>166</v>
      </c>
      <c r="C182" s="14" t="s">
        <v>167</v>
      </c>
      <c r="D182" s="19" t="s">
        <v>16</v>
      </c>
      <c r="E182" s="57">
        <v>45992</v>
      </c>
      <c r="F182" s="58">
        <f t="shared" si="35"/>
        <v>44.400000000000006</v>
      </c>
      <c r="G182" s="58">
        <v>10</v>
      </c>
      <c r="H182" s="59">
        <v>24</v>
      </c>
      <c r="I182" s="58">
        <f t="shared" si="30"/>
        <v>30.400000000000006</v>
      </c>
      <c r="J182" s="58">
        <f>INDEX('Salary Information'!$B$91:$O$123,MATCH('PTO Accrual'!$B182,'Salary Information'!$B$91:$B$123,0),MATCH('PTO Accrual'!$E182,'Salary Information'!$B$91:$O$91,0))</f>
        <v>26.520800585284256</v>
      </c>
      <c r="K182" s="60">
        <f t="shared" si="31"/>
        <v>806.23233779264149</v>
      </c>
    </row>
    <row r="183" spans="2:11">
      <c r="B183" s="19" t="s">
        <v>166</v>
      </c>
      <c r="C183" s="14" t="s">
        <v>167</v>
      </c>
      <c r="D183" s="19" t="s">
        <v>16</v>
      </c>
      <c r="E183" s="57">
        <v>46023</v>
      </c>
      <c r="F183" s="58">
        <f t="shared" si="35"/>
        <v>30.400000000000006</v>
      </c>
      <c r="G183" s="58">
        <v>10</v>
      </c>
      <c r="H183" s="59">
        <v>8</v>
      </c>
      <c r="I183" s="58">
        <f t="shared" si="30"/>
        <v>32.400000000000006</v>
      </c>
      <c r="J183" s="58">
        <f>INDEX('Salary Information'!$B$91:$O$123,MATCH('PTO Accrual'!$B183,'Salary Information'!$B$91:$B$123,0),MATCH('PTO Accrual'!$E183,'Salary Information'!$B$91:$O$91,0))</f>
        <v>28.535627272727275</v>
      </c>
      <c r="K183" s="60">
        <f t="shared" si="31"/>
        <v>924.55432363636385</v>
      </c>
    </row>
    <row r="184" spans="2:11">
      <c r="B184" s="19" t="s">
        <v>166</v>
      </c>
      <c r="C184" s="14" t="s">
        <v>167</v>
      </c>
      <c r="D184" s="19" t="s">
        <v>16</v>
      </c>
      <c r="E184" s="57">
        <v>46054</v>
      </c>
      <c r="F184" s="58">
        <f t="shared" si="35"/>
        <v>32.400000000000006</v>
      </c>
      <c r="G184" s="58">
        <v>10</v>
      </c>
      <c r="H184" s="59">
        <v>8</v>
      </c>
      <c r="I184" s="58">
        <f t="shared" si="30"/>
        <v>34.400000000000006</v>
      </c>
      <c r="J184" s="58">
        <f>INDEX('Salary Information'!$B$91:$O$123,MATCH('PTO Accrual'!$B184,'Salary Information'!$B$91:$B$123,0),MATCH('PTO Accrual'!$E184,'Salary Information'!$B$91:$O$91,0))</f>
        <v>30.9493725961539</v>
      </c>
      <c r="K184" s="60">
        <f t="shared" si="31"/>
        <v>1064.6584173076944</v>
      </c>
    </row>
    <row r="185" spans="2:11">
      <c r="B185" s="19" t="s">
        <v>166</v>
      </c>
      <c r="C185" s="14" t="s">
        <v>167</v>
      </c>
      <c r="D185" s="19" t="s">
        <v>16</v>
      </c>
      <c r="E185" s="57">
        <v>46082</v>
      </c>
      <c r="F185" s="58">
        <f t="shared" si="35"/>
        <v>34.400000000000006</v>
      </c>
      <c r="G185" s="58">
        <v>10</v>
      </c>
      <c r="H185" s="59">
        <v>16</v>
      </c>
      <c r="I185" s="58">
        <f t="shared" si="30"/>
        <v>28.400000000000006</v>
      </c>
      <c r="J185" s="58">
        <f>INDEX('Salary Information'!$B$91:$O$123,MATCH('PTO Accrual'!$B185,'Salary Information'!$B$91:$B$123,0),MATCH('PTO Accrual'!$E185,'Salary Information'!$B$91:$O$91,0))</f>
        <v>27.567760052447579</v>
      </c>
      <c r="K185" s="60">
        <f t="shared" si="31"/>
        <v>782.92438548951134</v>
      </c>
    </row>
    <row r="186" spans="2:11">
      <c r="B186" s="19" t="s">
        <v>166</v>
      </c>
      <c r="C186" s="14" t="s">
        <v>167</v>
      </c>
      <c r="D186" s="19" t="s">
        <v>16</v>
      </c>
      <c r="E186" s="57">
        <v>46113</v>
      </c>
      <c r="F186" s="58">
        <f t="shared" si="35"/>
        <v>28.400000000000006</v>
      </c>
      <c r="G186" s="58">
        <v>10</v>
      </c>
      <c r="H186" s="59">
        <v>0</v>
      </c>
      <c r="I186" s="58">
        <f t="shared" si="30"/>
        <v>38.400000000000006</v>
      </c>
      <c r="J186" s="58">
        <f>INDEX('Salary Information'!$B$91:$O$123,MATCH('PTO Accrual'!$B186,'Salary Information'!$B$91:$B$123,0),MATCH('PTO Accrual'!$E186,'Salary Information'!$B$91:$O$91,0))</f>
        <v>27.793295454545454</v>
      </c>
      <c r="K186" s="60">
        <f t="shared" si="31"/>
        <v>1067.2625454545455</v>
      </c>
    </row>
    <row r="187" spans="2:11">
      <c r="B187" s="19" t="s">
        <v>166</v>
      </c>
      <c r="C187" s="14" t="s">
        <v>167</v>
      </c>
      <c r="D187" s="19" t="s">
        <v>16</v>
      </c>
      <c r="E187" s="57">
        <v>46143</v>
      </c>
      <c r="F187" s="58">
        <f t="shared" si="35"/>
        <v>38.400000000000006</v>
      </c>
      <c r="G187" s="58">
        <v>10</v>
      </c>
      <c r="H187" s="59">
        <v>0</v>
      </c>
      <c r="I187" s="58">
        <f t="shared" si="30"/>
        <v>48.400000000000006</v>
      </c>
      <c r="J187" s="58">
        <f>INDEX('Salary Information'!$B$91:$O$123,MATCH('PTO Accrual'!$B187,'Salary Information'!$B$91:$B$123,0),MATCH('PTO Accrual'!$E187,'Salary Information'!$B$91:$O$91,0))</f>
        <v>27.212488553113559</v>
      </c>
      <c r="K187" s="60">
        <f t="shared" si="31"/>
        <v>1317.0844459706964</v>
      </c>
    </row>
    <row r="188" spans="2:11">
      <c r="B188" s="19" t="s">
        <v>166</v>
      </c>
      <c r="C188" s="14" t="s">
        <v>167</v>
      </c>
      <c r="D188" s="19" t="s">
        <v>16</v>
      </c>
      <c r="E188" s="57">
        <v>46174</v>
      </c>
      <c r="F188" s="58">
        <f t="shared" si="35"/>
        <v>48.400000000000006</v>
      </c>
      <c r="G188" s="58">
        <v>10</v>
      </c>
      <c r="H188" s="59">
        <v>0</v>
      </c>
      <c r="I188" s="58">
        <f t="shared" si="30"/>
        <v>58.400000000000006</v>
      </c>
      <c r="J188" s="58">
        <f>INDEX('Salary Information'!$B$91:$O$123,MATCH('PTO Accrual'!$B188,'Salary Information'!$B$91:$B$123,0),MATCH('PTO Accrual'!$E188,'Salary Information'!$B$91:$O$91,0))</f>
        <v>27.180583479021003</v>
      </c>
      <c r="K188" s="60">
        <f t="shared" si="31"/>
        <v>1587.3460751748266</v>
      </c>
    </row>
    <row r="189" spans="2:11">
      <c r="B189" s="19" t="s">
        <v>168</v>
      </c>
      <c r="C189" s="14" t="s">
        <v>169</v>
      </c>
      <c r="D189" s="19" t="s">
        <v>16</v>
      </c>
      <c r="E189" s="57">
        <v>45839</v>
      </c>
      <c r="F189" s="58">
        <v>12.4</v>
      </c>
      <c r="G189" s="58">
        <v>10</v>
      </c>
      <c r="H189" s="59">
        <v>0</v>
      </c>
      <c r="I189" s="58">
        <f t="shared" si="30"/>
        <v>22.4</v>
      </c>
      <c r="J189" s="58">
        <f>INDEX('Salary Information'!$B$91:$O$123,MATCH('PTO Accrual'!$B189,'Salary Information'!$B$91:$B$123,0),MATCH('PTO Accrual'!$E189,'Salary Information'!$B$91:$O$91,0))</f>
        <v>26.661821739130438</v>
      </c>
      <c r="K189" s="60">
        <f t="shared" si="31"/>
        <v>597.22480695652177</v>
      </c>
    </row>
    <row r="190" spans="2:11">
      <c r="B190" s="19" t="s">
        <v>168</v>
      </c>
      <c r="C190" s="14" t="s">
        <v>169</v>
      </c>
      <c r="D190" s="19" t="s">
        <v>16</v>
      </c>
      <c r="E190" s="57">
        <v>45870</v>
      </c>
      <c r="F190" s="58">
        <f t="shared" ref="F190:F200" si="36">I189</f>
        <v>22.4</v>
      </c>
      <c r="G190" s="58">
        <v>10</v>
      </c>
      <c r="H190" s="59">
        <v>24</v>
      </c>
      <c r="I190" s="58">
        <f t="shared" si="30"/>
        <v>8.3999999999999986</v>
      </c>
      <c r="J190" s="58">
        <f>INDEX('Salary Information'!$B$91:$O$123,MATCH('PTO Accrual'!$B190,'Salary Information'!$B$91:$B$123,0),MATCH('PTO Accrual'!$E190,'Salary Information'!$B$91:$O$91,0))</f>
        <v>29.68024761904762</v>
      </c>
      <c r="K190" s="60">
        <f t="shared" si="31"/>
        <v>249.31407999999996</v>
      </c>
    </row>
    <row r="191" spans="2:11">
      <c r="B191" s="19" t="s">
        <v>168</v>
      </c>
      <c r="C191" s="14" t="s">
        <v>169</v>
      </c>
      <c r="D191" s="19" t="s">
        <v>16</v>
      </c>
      <c r="E191" s="57">
        <v>45901</v>
      </c>
      <c r="F191" s="58">
        <f t="shared" si="36"/>
        <v>8.3999999999999986</v>
      </c>
      <c r="G191" s="58">
        <v>10</v>
      </c>
      <c r="H191" s="59">
        <v>16</v>
      </c>
      <c r="I191" s="58">
        <f t="shared" si="30"/>
        <v>2.3999999999999986</v>
      </c>
      <c r="J191" s="58">
        <f>INDEX('Salary Information'!$B$91:$O$123,MATCH('PTO Accrual'!$B191,'Salary Information'!$B$91:$B$123,0),MATCH('PTO Accrual'!$E191,'Salary Information'!$B$91:$O$91,0))</f>
        <v>29.09916590909091</v>
      </c>
      <c r="K191" s="60">
        <f t="shared" si="31"/>
        <v>69.837998181818136</v>
      </c>
    </row>
    <row r="192" spans="2:11">
      <c r="B192" s="19" t="s">
        <v>168</v>
      </c>
      <c r="C192" s="14" t="s">
        <v>169</v>
      </c>
      <c r="D192" s="19" t="s">
        <v>16</v>
      </c>
      <c r="E192" s="57">
        <v>45931</v>
      </c>
      <c r="F192" s="58">
        <f t="shared" si="36"/>
        <v>2.3999999999999986</v>
      </c>
      <c r="G192" s="58">
        <v>10</v>
      </c>
      <c r="H192" s="59">
        <v>0</v>
      </c>
      <c r="I192" s="58">
        <f t="shared" si="30"/>
        <v>12.399999999999999</v>
      </c>
      <c r="J192" s="58">
        <f>INDEX('Salary Information'!$B$91:$O$123,MATCH('PTO Accrual'!$B192,'Salary Information'!$B$91:$B$123,0),MATCH('PTO Accrual'!$E192,'Salary Information'!$B$91:$O$91,0))</f>
        <v>28.06560869565218</v>
      </c>
      <c r="K192" s="60">
        <f t="shared" si="31"/>
        <v>348.01354782608701</v>
      </c>
    </row>
    <row r="193" spans="2:11">
      <c r="B193" s="19" t="s">
        <v>168</v>
      </c>
      <c r="C193" s="14" t="s">
        <v>169</v>
      </c>
      <c r="D193" s="19" t="s">
        <v>16</v>
      </c>
      <c r="E193" s="57">
        <v>45962</v>
      </c>
      <c r="F193" s="58">
        <f t="shared" si="36"/>
        <v>12.399999999999999</v>
      </c>
      <c r="G193" s="58">
        <v>10</v>
      </c>
      <c r="H193" s="59">
        <v>0</v>
      </c>
      <c r="I193" s="58">
        <f t="shared" si="30"/>
        <v>22.4</v>
      </c>
      <c r="J193" s="58">
        <f>INDEX('Salary Information'!$B$91:$O$123,MATCH('PTO Accrual'!$B193,'Salary Information'!$B$91:$B$123,0),MATCH('PTO Accrual'!$E193,'Salary Information'!$B$91:$O$91,0))</f>
        <v>29.981396634615425</v>
      </c>
      <c r="K193" s="60">
        <f t="shared" si="31"/>
        <v>671.58328461538554</v>
      </c>
    </row>
    <row r="194" spans="2:11">
      <c r="B194" s="19" t="s">
        <v>168</v>
      </c>
      <c r="C194" s="14" t="s">
        <v>169</v>
      </c>
      <c r="D194" s="19" t="s">
        <v>16</v>
      </c>
      <c r="E194" s="57">
        <v>45992</v>
      </c>
      <c r="F194" s="58">
        <f t="shared" si="36"/>
        <v>22.4</v>
      </c>
      <c r="G194" s="58">
        <v>10</v>
      </c>
      <c r="H194" s="59">
        <v>0</v>
      </c>
      <c r="I194" s="58">
        <f t="shared" si="30"/>
        <v>32.4</v>
      </c>
      <c r="J194" s="58">
        <f>INDEX('Salary Information'!$B$91:$O$123,MATCH('PTO Accrual'!$B194,'Salary Information'!$B$91:$B$123,0),MATCH('PTO Accrual'!$E194,'Salary Information'!$B$91:$O$91,0))</f>
        <v>26.520800585284256</v>
      </c>
      <c r="K194" s="60">
        <f t="shared" si="31"/>
        <v>859.27393896320984</v>
      </c>
    </row>
    <row r="195" spans="2:11">
      <c r="B195" s="19" t="s">
        <v>168</v>
      </c>
      <c r="C195" s="14" t="s">
        <v>169</v>
      </c>
      <c r="D195" s="19" t="s">
        <v>16</v>
      </c>
      <c r="E195" s="57">
        <v>46023</v>
      </c>
      <c r="F195" s="58">
        <f t="shared" si="36"/>
        <v>32.4</v>
      </c>
      <c r="G195" s="58">
        <v>10</v>
      </c>
      <c r="H195" s="59">
        <v>0</v>
      </c>
      <c r="I195" s="58">
        <f t="shared" si="30"/>
        <v>42.4</v>
      </c>
      <c r="J195" s="58">
        <f>INDEX('Salary Information'!$B$91:$O$123,MATCH('PTO Accrual'!$B195,'Salary Information'!$B$91:$B$123,0),MATCH('PTO Accrual'!$E195,'Salary Information'!$B$91:$O$91,0))</f>
        <v>28.535627272727275</v>
      </c>
      <c r="K195" s="60">
        <f t="shared" si="31"/>
        <v>1209.9105963636364</v>
      </c>
    </row>
    <row r="196" spans="2:11">
      <c r="B196" s="19" t="s">
        <v>168</v>
      </c>
      <c r="C196" s="14" t="s">
        <v>169</v>
      </c>
      <c r="D196" s="19" t="s">
        <v>16</v>
      </c>
      <c r="E196" s="57">
        <v>46054</v>
      </c>
      <c r="F196" s="58">
        <f t="shared" si="36"/>
        <v>42.4</v>
      </c>
      <c r="G196" s="58">
        <v>10</v>
      </c>
      <c r="H196" s="59">
        <v>32</v>
      </c>
      <c r="I196" s="58">
        <f t="shared" si="30"/>
        <v>20.399999999999999</v>
      </c>
      <c r="J196" s="58">
        <f>INDEX('Salary Information'!$B$91:$O$123,MATCH('PTO Accrual'!$B196,'Salary Information'!$B$91:$B$123,0),MATCH('PTO Accrual'!$E196,'Salary Information'!$B$91:$O$91,0))</f>
        <v>30.9493725961539</v>
      </c>
      <c r="K196" s="60">
        <f t="shared" si="31"/>
        <v>631.36720096153954</v>
      </c>
    </row>
    <row r="197" spans="2:11">
      <c r="B197" s="19" t="s">
        <v>168</v>
      </c>
      <c r="C197" s="14" t="s">
        <v>169</v>
      </c>
      <c r="D197" s="19" t="s">
        <v>16</v>
      </c>
      <c r="E197" s="57">
        <v>46082</v>
      </c>
      <c r="F197" s="58">
        <f t="shared" si="36"/>
        <v>20.399999999999999</v>
      </c>
      <c r="G197" s="58">
        <v>10</v>
      </c>
      <c r="H197" s="59">
        <v>0</v>
      </c>
      <c r="I197" s="58">
        <f t="shared" si="30"/>
        <v>30.4</v>
      </c>
      <c r="J197" s="58">
        <f>INDEX('Salary Information'!$B$91:$O$123,MATCH('PTO Accrual'!$B197,'Salary Information'!$B$91:$B$123,0),MATCH('PTO Accrual'!$E197,'Salary Information'!$B$91:$O$91,0))</f>
        <v>27.567760052447579</v>
      </c>
      <c r="K197" s="60">
        <f t="shared" si="31"/>
        <v>838.05990559440636</v>
      </c>
    </row>
    <row r="198" spans="2:11">
      <c r="B198" s="19" t="s">
        <v>168</v>
      </c>
      <c r="C198" s="14" t="s">
        <v>169</v>
      </c>
      <c r="D198" s="19" t="s">
        <v>16</v>
      </c>
      <c r="E198" s="57">
        <v>46113</v>
      </c>
      <c r="F198" s="58">
        <f t="shared" si="36"/>
        <v>30.4</v>
      </c>
      <c r="G198" s="58">
        <v>10</v>
      </c>
      <c r="H198" s="59">
        <v>40.4</v>
      </c>
      <c r="I198" s="58">
        <f t="shared" si="30"/>
        <v>0</v>
      </c>
      <c r="J198" s="58">
        <f>INDEX('Salary Information'!$B$91:$O$123,MATCH('PTO Accrual'!$B198,'Salary Information'!$B$91:$B$123,0),MATCH('PTO Accrual'!$E198,'Salary Information'!$B$91:$O$91,0))</f>
        <v>27.793295454545454</v>
      </c>
      <c r="K198" s="60">
        <f t="shared" si="31"/>
        <v>0</v>
      </c>
    </row>
    <row r="199" spans="2:11">
      <c r="B199" s="19" t="s">
        <v>168</v>
      </c>
      <c r="C199" s="14" t="s">
        <v>169</v>
      </c>
      <c r="D199" s="19" t="s">
        <v>16</v>
      </c>
      <c r="E199" s="57">
        <v>46143</v>
      </c>
      <c r="F199" s="58">
        <f t="shared" si="36"/>
        <v>0</v>
      </c>
      <c r="G199" s="58">
        <v>10</v>
      </c>
      <c r="H199" s="59">
        <v>16</v>
      </c>
      <c r="I199" s="58">
        <f t="shared" si="30"/>
        <v>-6</v>
      </c>
      <c r="J199" s="58">
        <f>INDEX('Salary Information'!$B$91:$O$123,MATCH('PTO Accrual'!$B199,'Salary Information'!$B$91:$B$123,0),MATCH('PTO Accrual'!$E199,'Salary Information'!$B$91:$O$91,0))</f>
        <v>27.212488553113559</v>
      </c>
      <c r="K199" s="60">
        <f t="shared" si="31"/>
        <v>-163.27493131868135</v>
      </c>
    </row>
    <row r="200" spans="2:11">
      <c r="B200" s="19" t="s">
        <v>168</v>
      </c>
      <c r="C200" s="14" t="s">
        <v>169</v>
      </c>
      <c r="D200" s="19" t="s">
        <v>16</v>
      </c>
      <c r="E200" s="57">
        <v>46174</v>
      </c>
      <c r="F200" s="58">
        <f t="shared" si="36"/>
        <v>-6</v>
      </c>
      <c r="G200" s="58">
        <v>10</v>
      </c>
      <c r="H200" s="59">
        <v>0</v>
      </c>
      <c r="I200" s="58">
        <f t="shared" si="30"/>
        <v>4</v>
      </c>
      <c r="J200" s="58">
        <f>INDEX('Salary Information'!$B$91:$O$123,MATCH('PTO Accrual'!$B200,'Salary Information'!$B$91:$B$123,0),MATCH('PTO Accrual'!$E200,'Salary Information'!$B$91:$O$91,0))</f>
        <v>27.180583479021003</v>
      </c>
      <c r="K200" s="60">
        <f t="shared" si="31"/>
        <v>108.72233391608401</v>
      </c>
    </row>
    <row r="201" spans="2:11">
      <c r="B201" s="19" t="s">
        <v>170</v>
      </c>
      <c r="C201" s="14" t="s">
        <v>171</v>
      </c>
      <c r="D201" s="19" t="s">
        <v>16</v>
      </c>
      <c r="E201" s="57">
        <v>45839</v>
      </c>
      <c r="F201" s="58">
        <v>12.4</v>
      </c>
      <c r="G201" s="58">
        <v>10</v>
      </c>
      <c r="H201" s="59">
        <v>0</v>
      </c>
      <c r="I201" s="58">
        <f t="shared" ref="I201:I256" si="37">F201+G201-H201</f>
        <v>22.4</v>
      </c>
      <c r="J201" s="58">
        <f>INDEX('Salary Information'!$B$91:$O$123,MATCH('PTO Accrual'!$B201,'Salary Information'!$B$91:$B$123,0),MATCH('PTO Accrual'!$E201,'Salary Information'!$B$91:$O$91,0))</f>
        <v>26.661821739130438</v>
      </c>
      <c r="K201" s="60">
        <f t="shared" si="31"/>
        <v>597.22480695652177</v>
      </c>
    </row>
    <row r="202" spans="2:11">
      <c r="B202" s="19" t="s">
        <v>170</v>
      </c>
      <c r="C202" s="14" t="s">
        <v>171</v>
      </c>
      <c r="D202" s="19" t="s">
        <v>16</v>
      </c>
      <c r="E202" s="57">
        <v>45870</v>
      </c>
      <c r="F202" s="58">
        <f t="shared" ref="F202:F210" si="38">I201</f>
        <v>22.4</v>
      </c>
      <c r="G202" s="58">
        <v>10</v>
      </c>
      <c r="H202" s="59">
        <v>0</v>
      </c>
      <c r="I202" s="58">
        <f t="shared" si="37"/>
        <v>32.4</v>
      </c>
      <c r="J202" s="58">
        <f>INDEX('Salary Information'!$B$91:$O$123,MATCH('PTO Accrual'!$B202,'Salary Information'!$B$91:$B$123,0),MATCH('PTO Accrual'!$E202,'Salary Information'!$B$91:$O$91,0))</f>
        <v>29.68024761904762</v>
      </c>
      <c r="K202" s="60">
        <f t="shared" si="31"/>
        <v>961.64002285714287</v>
      </c>
    </row>
    <row r="203" spans="2:11">
      <c r="B203" s="19" t="s">
        <v>170</v>
      </c>
      <c r="C203" s="14" t="s">
        <v>171</v>
      </c>
      <c r="D203" s="19" t="s">
        <v>16</v>
      </c>
      <c r="E203" s="57">
        <v>45901</v>
      </c>
      <c r="F203" s="58">
        <f t="shared" si="38"/>
        <v>32.4</v>
      </c>
      <c r="G203" s="58">
        <v>10</v>
      </c>
      <c r="H203" s="59">
        <v>0</v>
      </c>
      <c r="I203" s="58">
        <f t="shared" si="37"/>
        <v>42.4</v>
      </c>
      <c r="J203" s="58">
        <f>INDEX('Salary Information'!$B$91:$O$123,MATCH('PTO Accrual'!$B203,'Salary Information'!$B$91:$B$123,0),MATCH('PTO Accrual'!$E203,'Salary Information'!$B$91:$O$91,0))</f>
        <v>29.09916590909091</v>
      </c>
      <c r="K203" s="60">
        <f t="shared" ref="K203:K266" si="39">I203*J203</f>
        <v>1233.8046345454545</v>
      </c>
    </row>
    <row r="204" spans="2:11">
      <c r="B204" s="19" t="s">
        <v>170</v>
      </c>
      <c r="C204" s="14" t="s">
        <v>171</v>
      </c>
      <c r="D204" s="19" t="s">
        <v>16</v>
      </c>
      <c r="E204" s="57">
        <v>45931</v>
      </c>
      <c r="F204" s="58">
        <f t="shared" si="38"/>
        <v>42.4</v>
      </c>
      <c r="G204" s="58">
        <v>10</v>
      </c>
      <c r="H204" s="59">
        <v>24</v>
      </c>
      <c r="I204" s="58">
        <f t="shared" si="37"/>
        <v>28.4</v>
      </c>
      <c r="J204" s="58">
        <f>INDEX('Salary Information'!$B$91:$O$123,MATCH('PTO Accrual'!$B204,'Salary Information'!$B$91:$B$123,0),MATCH('PTO Accrual'!$E204,'Salary Information'!$B$91:$O$91,0))</f>
        <v>28.06560869565218</v>
      </c>
      <c r="K204" s="60">
        <f t="shared" si="39"/>
        <v>797.06328695652189</v>
      </c>
    </row>
    <row r="205" spans="2:11">
      <c r="B205" s="19" t="s">
        <v>170</v>
      </c>
      <c r="C205" s="14" t="s">
        <v>171</v>
      </c>
      <c r="D205" s="19" t="s">
        <v>16</v>
      </c>
      <c r="E205" s="57">
        <v>45962</v>
      </c>
      <c r="F205" s="58">
        <f t="shared" si="38"/>
        <v>28.4</v>
      </c>
      <c r="G205" s="58">
        <v>10</v>
      </c>
      <c r="H205" s="59">
        <v>0</v>
      </c>
      <c r="I205" s="58">
        <f t="shared" si="37"/>
        <v>38.4</v>
      </c>
      <c r="J205" s="58">
        <f>INDEX('Salary Information'!$B$91:$O$123,MATCH('PTO Accrual'!$B205,'Salary Information'!$B$91:$B$123,0),MATCH('PTO Accrual'!$E205,'Salary Information'!$B$91:$O$91,0))</f>
        <v>29.981396634615425</v>
      </c>
      <c r="K205" s="60">
        <f t="shared" si="39"/>
        <v>1151.2856307692323</v>
      </c>
    </row>
    <row r="206" spans="2:11">
      <c r="B206" s="19" t="s">
        <v>170</v>
      </c>
      <c r="C206" s="14" t="s">
        <v>171</v>
      </c>
      <c r="D206" s="19" t="s">
        <v>16</v>
      </c>
      <c r="E206" s="57">
        <v>45992</v>
      </c>
      <c r="F206" s="58">
        <f t="shared" si="38"/>
        <v>38.4</v>
      </c>
      <c r="G206" s="58">
        <v>10</v>
      </c>
      <c r="H206" s="59">
        <v>16</v>
      </c>
      <c r="I206" s="58">
        <f t="shared" si="37"/>
        <v>32.4</v>
      </c>
      <c r="J206" s="58">
        <f>INDEX('Salary Information'!$B$91:$O$123,MATCH('PTO Accrual'!$B206,'Salary Information'!$B$91:$B$123,0),MATCH('PTO Accrual'!$E206,'Salary Information'!$B$91:$O$91,0))</f>
        <v>26.520800585284256</v>
      </c>
      <c r="K206" s="60">
        <f t="shared" si="39"/>
        <v>859.27393896320984</v>
      </c>
    </row>
    <row r="207" spans="2:11">
      <c r="B207" s="19" t="s">
        <v>170</v>
      </c>
      <c r="C207" s="14" t="s">
        <v>171</v>
      </c>
      <c r="D207" s="19" t="s">
        <v>16</v>
      </c>
      <c r="E207" s="57">
        <v>46023</v>
      </c>
      <c r="F207" s="58">
        <f t="shared" si="38"/>
        <v>32.4</v>
      </c>
      <c r="G207" s="58">
        <v>10</v>
      </c>
      <c r="H207" s="59">
        <v>0</v>
      </c>
      <c r="I207" s="58">
        <f t="shared" si="37"/>
        <v>42.4</v>
      </c>
      <c r="J207" s="58">
        <f>INDEX('Salary Information'!$B$91:$O$123,MATCH('PTO Accrual'!$B207,'Salary Information'!$B$91:$B$123,0),MATCH('PTO Accrual'!$E207,'Salary Information'!$B$91:$O$91,0))</f>
        <v>28.535627272727275</v>
      </c>
      <c r="K207" s="60">
        <f t="shared" si="39"/>
        <v>1209.9105963636364</v>
      </c>
    </row>
    <row r="208" spans="2:11">
      <c r="B208" s="19" t="s">
        <v>170</v>
      </c>
      <c r="C208" s="14" t="s">
        <v>171</v>
      </c>
      <c r="D208" s="19" t="s">
        <v>16</v>
      </c>
      <c r="E208" s="57">
        <v>46054</v>
      </c>
      <c r="F208" s="58">
        <f t="shared" si="38"/>
        <v>42.4</v>
      </c>
      <c r="G208" s="58">
        <v>10</v>
      </c>
      <c r="H208" s="59">
        <v>0</v>
      </c>
      <c r="I208" s="58">
        <f t="shared" si="37"/>
        <v>52.4</v>
      </c>
      <c r="J208" s="58">
        <f>INDEX('Salary Information'!$B$91:$O$123,MATCH('PTO Accrual'!$B208,'Salary Information'!$B$91:$B$123,0),MATCH('PTO Accrual'!$E208,'Salary Information'!$B$91:$O$91,0))</f>
        <v>30.9493725961539</v>
      </c>
      <c r="K208" s="60">
        <f t="shared" si="39"/>
        <v>1621.7471240384643</v>
      </c>
    </row>
    <row r="209" spans="2:11">
      <c r="B209" s="19" t="s">
        <v>170</v>
      </c>
      <c r="C209" s="14" t="s">
        <v>171</v>
      </c>
      <c r="D209" s="19" t="s">
        <v>16</v>
      </c>
      <c r="E209" s="57">
        <v>46082</v>
      </c>
      <c r="F209" s="58">
        <f t="shared" si="38"/>
        <v>52.4</v>
      </c>
      <c r="G209" s="58">
        <v>10</v>
      </c>
      <c r="H209" s="59">
        <v>0</v>
      </c>
      <c r="I209" s="58">
        <f t="shared" si="37"/>
        <v>62.4</v>
      </c>
      <c r="J209" s="58">
        <f>INDEX('Salary Information'!$B$91:$O$123,MATCH('PTO Accrual'!$B209,'Salary Information'!$B$91:$B$123,0),MATCH('PTO Accrual'!$E209,'Salary Information'!$B$91:$O$91,0))</f>
        <v>27.567760052447579</v>
      </c>
      <c r="K209" s="60">
        <f t="shared" si="39"/>
        <v>1720.2282272727289</v>
      </c>
    </row>
    <row r="210" spans="2:11">
      <c r="B210" s="19" t="s">
        <v>170</v>
      </c>
      <c r="C210" s="14" t="s">
        <v>171</v>
      </c>
      <c r="D210" s="19" t="s">
        <v>16</v>
      </c>
      <c r="E210" s="57">
        <v>46113</v>
      </c>
      <c r="F210" s="58">
        <f t="shared" si="38"/>
        <v>62.4</v>
      </c>
      <c r="G210" s="58">
        <v>10</v>
      </c>
      <c r="H210" s="59">
        <v>72.400000000000006</v>
      </c>
      <c r="I210" s="58">
        <f t="shared" si="37"/>
        <v>0</v>
      </c>
      <c r="J210" s="58">
        <f>INDEX('Salary Information'!$B$91:$O$123,MATCH('PTO Accrual'!$B210,'Salary Information'!$B$91:$B$123,0),MATCH('PTO Accrual'!$E210,'Salary Information'!$B$91:$O$91,0))</f>
        <v>27.793295454545454</v>
      </c>
      <c r="K210" s="60">
        <f t="shared" si="39"/>
        <v>0</v>
      </c>
    </row>
    <row r="211" spans="2:11">
      <c r="B211" s="19" t="s">
        <v>172</v>
      </c>
      <c r="C211" s="14" t="s">
        <v>173</v>
      </c>
      <c r="D211" s="19" t="s">
        <v>18</v>
      </c>
      <c r="E211" s="57">
        <v>45839</v>
      </c>
      <c r="F211" s="58">
        <v>2.2999999999999998</v>
      </c>
      <c r="G211" s="58">
        <v>10</v>
      </c>
      <c r="H211" s="59">
        <v>24</v>
      </c>
      <c r="I211" s="58">
        <f t="shared" si="37"/>
        <v>-11.7</v>
      </c>
      <c r="J211" s="58">
        <f>INDEX('Salary Information'!$B$91:$O$123,MATCH('PTO Accrual'!$B211,'Salary Information'!$B$91:$B$123,0),MATCH('PTO Accrual'!$E211,'Salary Information'!$B$91:$O$91,0))</f>
        <v>26.661821739130438</v>
      </c>
      <c r="K211" s="60">
        <f t="shared" si="39"/>
        <v>-311.94331434782612</v>
      </c>
    </row>
    <row r="212" spans="2:11">
      <c r="B212" s="19" t="s">
        <v>172</v>
      </c>
      <c r="C212" s="14" t="s">
        <v>173</v>
      </c>
      <c r="D212" s="19" t="s">
        <v>18</v>
      </c>
      <c r="E212" s="57">
        <v>45870</v>
      </c>
      <c r="F212" s="58">
        <f t="shared" ref="F212:F216" si="40">I211</f>
        <v>-11.7</v>
      </c>
      <c r="G212" s="58">
        <v>10</v>
      </c>
      <c r="H212" s="59">
        <v>0</v>
      </c>
      <c r="I212" s="58">
        <f t="shared" si="37"/>
        <v>-1.6999999999999993</v>
      </c>
      <c r="J212" s="58">
        <f>INDEX('Salary Information'!$B$91:$O$123,MATCH('PTO Accrual'!$B212,'Salary Information'!$B$91:$B$123,0),MATCH('PTO Accrual'!$E212,'Salary Information'!$B$91:$O$91,0))</f>
        <v>29.68024761904762</v>
      </c>
      <c r="K212" s="60">
        <f t="shared" si="39"/>
        <v>-50.456420952380931</v>
      </c>
    </row>
    <row r="213" spans="2:11">
      <c r="B213" s="19" t="s">
        <v>172</v>
      </c>
      <c r="C213" s="14" t="s">
        <v>173</v>
      </c>
      <c r="D213" s="19" t="s">
        <v>18</v>
      </c>
      <c r="E213" s="57">
        <v>45901</v>
      </c>
      <c r="F213" s="58">
        <f t="shared" si="40"/>
        <v>-1.6999999999999993</v>
      </c>
      <c r="G213" s="58">
        <v>10</v>
      </c>
      <c r="H213" s="59">
        <v>24</v>
      </c>
      <c r="I213" s="58">
        <f t="shared" si="37"/>
        <v>-15.7</v>
      </c>
      <c r="J213" s="58">
        <f>INDEX('Salary Information'!$B$91:$O$123,MATCH('PTO Accrual'!$B213,'Salary Information'!$B$91:$B$123,0),MATCH('PTO Accrual'!$E213,'Salary Information'!$B$91:$O$91,0))</f>
        <v>29.09916590909091</v>
      </c>
      <c r="K213" s="60">
        <f t="shared" si="39"/>
        <v>-456.85690477272726</v>
      </c>
    </row>
    <row r="214" spans="2:11">
      <c r="B214" s="19" t="s">
        <v>172</v>
      </c>
      <c r="C214" s="14" t="s">
        <v>173</v>
      </c>
      <c r="D214" s="19" t="s">
        <v>18</v>
      </c>
      <c r="E214" s="57">
        <v>45931</v>
      </c>
      <c r="F214" s="58">
        <f t="shared" si="40"/>
        <v>-15.7</v>
      </c>
      <c r="G214" s="58">
        <v>10</v>
      </c>
      <c r="H214" s="59">
        <v>0</v>
      </c>
      <c r="I214" s="58">
        <f t="shared" si="37"/>
        <v>-5.6999999999999993</v>
      </c>
      <c r="J214" s="58">
        <f>INDEX('Salary Information'!$B$91:$O$123,MATCH('PTO Accrual'!$B214,'Salary Information'!$B$91:$B$123,0),MATCH('PTO Accrual'!$E214,'Salary Information'!$B$91:$O$91,0))</f>
        <v>28.06560869565218</v>
      </c>
      <c r="K214" s="60">
        <f t="shared" si="39"/>
        <v>-159.9739695652174</v>
      </c>
    </row>
    <row r="215" spans="2:11">
      <c r="B215" s="19" t="s">
        <v>172</v>
      </c>
      <c r="C215" s="14" t="s">
        <v>173</v>
      </c>
      <c r="D215" s="19" t="s">
        <v>18</v>
      </c>
      <c r="E215" s="57">
        <v>45962</v>
      </c>
      <c r="F215" s="58">
        <f t="shared" si="40"/>
        <v>-5.6999999999999993</v>
      </c>
      <c r="G215" s="58">
        <v>10</v>
      </c>
      <c r="H215" s="59">
        <v>8</v>
      </c>
      <c r="I215" s="58">
        <f t="shared" si="37"/>
        <v>-3.6999999999999993</v>
      </c>
      <c r="J215" s="58">
        <f>INDEX('Salary Information'!$B$91:$O$123,MATCH('PTO Accrual'!$B215,'Salary Information'!$B$91:$B$123,0),MATCH('PTO Accrual'!$E215,'Salary Information'!$B$91:$O$91,0))</f>
        <v>29.981396634615425</v>
      </c>
      <c r="K215" s="60">
        <f t="shared" si="39"/>
        <v>-110.93116754807706</v>
      </c>
    </row>
    <row r="216" spans="2:11">
      <c r="B216" s="19" t="s">
        <v>172</v>
      </c>
      <c r="C216" s="14" t="s">
        <v>173</v>
      </c>
      <c r="D216" s="19" t="s">
        <v>18</v>
      </c>
      <c r="E216" s="57">
        <v>45992</v>
      </c>
      <c r="F216" s="58">
        <f t="shared" si="40"/>
        <v>-3.6999999999999993</v>
      </c>
      <c r="G216" s="58">
        <v>10</v>
      </c>
      <c r="H216" s="59">
        <v>0</v>
      </c>
      <c r="I216" s="58">
        <f t="shared" si="37"/>
        <v>6.3000000000000007</v>
      </c>
      <c r="J216" s="58">
        <f>INDEX('Salary Information'!$B$91:$O$123,MATCH('PTO Accrual'!$B216,'Salary Information'!$B$91:$B$123,0),MATCH('PTO Accrual'!$E216,'Salary Information'!$B$91:$O$91,0))</f>
        <v>26.520800585284256</v>
      </c>
      <c r="K216" s="60">
        <f t="shared" si="39"/>
        <v>167.08104368729084</v>
      </c>
    </row>
    <row r="217" spans="2:11">
      <c r="B217" s="19" t="s">
        <v>174</v>
      </c>
      <c r="C217" s="14" t="s">
        <v>175</v>
      </c>
      <c r="D217" s="19" t="s">
        <v>18</v>
      </c>
      <c r="E217" s="57">
        <v>45839</v>
      </c>
      <c r="F217" s="58">
        <v>53.2</v>
      </c>
      <c r="G217" s="58">
        <v>10</v>
      </c>
      <c r="H217" s="59">
        <v>0</v>
      </c>
      <c r="I217" s="58">
        <f t="shared" si="37"/>
        <v>63.2</v>
      </c>
      <c r="J217" s="58">
        <f>INDEX('Salary Information'!$B$91:$O$123,MATCH('PTO Accrual'!$B217,'Salary Information'!$B$91:$B$123,0),MATCH('PTO Accrual'!$E217,'Salary Information'!$B$91:$O$91,0))</f>
        <v>26.661821739130438</v>
      </c>
      <c r="K217" s="60">
        <f t="shared" si="39"/>
        <v>1685.0271339130438</v>
      </c>
    </row>
    <row r="218" spans="2:11">
      <c r="B218" s="19" t="s">
        <v>174</v>
      </c>
      <c r="C218" s="14" t="s">
        <v>175</v>
      </c>
      <c r="D218" s="19" t="s">
        <v>18</v>
      </c>
      <c r="E218" s="57">
        <v>45870</v>
      </c>
      <c r="F218" s="58">
        <f t="shared" ref="F218:F228" si="41">I217</f>
        <v>63.2</v>
      </c>
      <c r="G218" s="58">
        <v>10</v>
      </c>
      <c r="H218" s="59">
        <v>0</v>
      </c>
      <c r="I218" s="58">
        <f t="shared" si="37"/>
        <v>73.2</v>
      </c>
      <c r="J218" s="58">
        <f>INDEX('Salary Information'!$B$91:$O$123,MATCH('PTO Accrual'!$B218,'Salary Information'!$B$91:$B$123,0),MATCH('PTO Accrual'!$E218,'Salary Information'!$B$91:$O$91,0))</f>
        <v>29.68024761904762</v>
      </c>
      <c r="K218" s="60">
        <f t="shared" si="39"/>
        <v>2172.5941257142858</v>
      </c>
    </row>
    <row r="219" spans="2:11">
      <c r="B219" s="19" t="s">
        <v>174</v>
      </c>
      <c r="C219" s="14" t="s">
        <v>175</v>
      </c>
      <c r="D219" s="19" t="s">
        <v>18</v>
      </c>
      <c r="E219" s="57">
        <v>45901</v>
      </c>
      <c r="F219" s="58">
        <f t="shared" si="41"/>
        <v>73.2</v>
      </c>
      <c r="G219" s="58">
        <v>10</v>
      </c>
      <c r="H219" s="59">
        <v>16</v>
      </c>
      <c r="I219" s="58">
        <f t="shared" si="37"/>
        <v>67.2</v>
      </c>
      <c r="J219" s="58">
        <f>INDEX('Salary Information'!$B$91:$O$123,MATCH('PTO Accrual'!$B219,'Salary Information'!$B$91:$B$123,0),MATCH('PTO Accrual'!$E219,'Salary Information'!$B$91:$O$91,0))</f>
        <v>29.09916590909091</v>
      </c>
      <c r="K219" s="60">
        <f t="shared" si="39"/>
        <v>1955.4639490909092</v>
      </c>
    </row>
    <row r="220" spans="2:11">
      <c r="B220" s="19" t="s">
        <v>174</v>
      </c>
      <c r="C220" s="14" t="s">
        <v>175</v>
      </c>
      <c r="D220" s="19" t="s">
        <v>18</v>
      </c>
      <c r="E220" s="57">
        <v>45931</v>
      </c>
      <c r="F220" s="58">
        <f t="shared" si="41"/>
        <v>67.2</v>
      </c>
      <c r="G220" s="58">
        <v>10</v>
      </c>
      <c r="H220" s="59">
        <v>24</v>
      </c>
      <c r="I220" s="58">
        <f t="shared" si="37"/>
        <v>53.2</v>
      </c>
      <c r="J220" s="58">
        <f>INDEX('Salary Information'!$B$91:$O$123,MATCH('PTO Accrual'!$B220,'Salary Information'!$B$91:$B$123,0),MATCH('PTO Accrual'!$E220,'Salary Information'!$B$91:$O$91,0))</f>
        <v>28.06560869565218</v>
      </c>
      <c r="K220" s="60">
        <f t="shared" si="39"/>
        <v>1493.090382608696</v>
      </c>
    </row>
    <row r="221" spans="2:11">
      <c r="B221" s="19" t="s">
        <v>174</v>
      </c>
      <c r="C221" s="14" t="s">
        <v>175</v>
      </c>
      <c r="D221" s="19" t="s">
        <v>18</v>
      </c>
      <c r="E221" s="57">
        <v>45962</v>
      </c>
      <c r="F221" s="58">
        <f t="shared" si="41"/>
        <v>53.2</v>
      </c>
      <c r="G221" s="58">
        <v>10</v>
      </c>
      <c r="H221" s="59">
        <v>8</v>
      </c>
      <c r="I221" s="58">
        <f t="shared" si="37"/>
        <v>55.2</v>
      </c>
      <c r="J221" s="58">
        <f>INDEX('Salary Information'!$B$91:$O$123,MATCH('PTO Accrual'!$B221,'Salary Information'!$B$91:$B$123,0),MATCH('PTO Accrual'!$E221,'Salary Information'!$B$91:$O$91,0))</f>
        <v>29.981396634615425</v>
      </c>
      <c r="K221" s="60">
        <f t="shared" si="39"/>
        <v>1654.9730942307715</v>
      </c>
    </row>
    <row r="222" spans="2:11">
      <c r="B222" s="19" t="s">
        <v>174</v>
      </c>
      <c r="C222" s="14" t="s">
        <v>175</v>
      </c>
      <c r="D222" s="19" t="s">
        <v>18</v>
      </c>
      <c r="E222" s="57">
        <v>45992</v>
      </c>
      <c r="F222" s="58">
        <f t="shared" si="41"/>
        <v>55.2</v>
      </c>
      <c r="G222" s="58">
        <v>10</v>
      </c>
      <c r="H222" s="59">
        <v>12</v>
      </c>
      <c r="I222" s="58">
        <f t="shared" si="37"/>
        <v>53.2</v>
      </c>
      <c r="J222" s="58">
        <f>INDEX('Salary Information'!$B$91:$O$123,MATCH('PTO Accrual'!$B222,'Salary Information'!$B$91:$B$123,0),MATCH('PTO Accrual'!$E222,'Salary Information'!$B$91:$O$91,0))</f>
        <v>26.520800585284256</v>
      </c>
      <c r="K222" s="60">
        <f t="shared" si="39"/>
        <v>1410.9065911371224</v>
      </c>
    </row>
    <row r="223" spans="2:11">
      <c r="B223" s="19" t="s">
        <v>174</v>
      </c>
      <c r="C223" s="14" t="s">
        <v>175</v>
      </c>
      <c r="D223" s="19" t="s">
        <v>18</v>
      </c>
      <c r="E223" s="57">
        <v>46023</v>
      </c>
      <c r="F223" s="58">
        <f t="shared" si="41"/>
        <v>53.2</v>
      </c>
      <c r="G223" s="58">
        <v>10</v>
      </c>
      <c r="H223" s="59">
        <v>16</v>
      </c>
      <c r="I223" s="58">
        <f t="shared" si="37"/>
        <v>47.2</v>
      </c>
      <c r="J223" s="58">
        <f>INDEX('Salary Information'!$B$91:$O$123,MATCH('PTO Accrual'!$B223,'Salary Information'!$B$91:$B$123,0),MATCH('PTO Accrual'!$E223,'Salary Information'!$B$91:$O$91,0))</f>
        <v>28.535627272727275</v>
      </c>
      <c r="K223" s="60">
        <f t="shared" si="39"/>
        <v>1346.8816072727275</v>
      </c>
    </row>
    <row r="224" spans="2:11">
      <c r="B224" s="19" t="s">
        <v>174</v>
      </c>
      <c r="C224" s="14" t="s">
        <v>175</v>
      </c>
      <c r="D224" s="19" t="s">
        <v>18</v>
      </c>
      <c r="E224" s="57">
        <v>46054</v>
      </c>
      <c r="F224" s="58">
        <f t="shared" si="41"/>
        <v>47.2</v>
      </c>
      <c r="G224" s="58">
        <v>10</v>
      </c>
      <c r="H224" s="59">
        <v>40</v>
      </c>
      <c r="I224" s="58">
        <f t="shared" si="37"/>
        <v>17.200000000000003</v>
      </c>
      <c r="J224" s="58">
        <f>INDEX('Salary Information'!$B$91:$O$123,MATCH('PTO Accrual'!$B224,'Salary Information'!$B$91:$B$123,0),MATCH('PTO Accrual'!$E224,'Salary Information'!$B$91:$O$91,0))</f>
        <v>30.9493725961539</v>
      </c>
      <c r="K224" s="60">
        <f t="shared" si="39"/>
        <v>532.32920865384722</v>
      </c>
    </row>
    <row r="225" spans="2:11">
      <c r="B225" s="19" t="s">
        <v>174</v>
      </c>
      <c r="C225" s="14" t="s">
        <v>175</v>
      </c>
      <c r="D225" s="19" t="s">
        <v>18</v>
      </c>
      <c r="E225" s="57">
        <v>46082</v>
      </c>
      <c r="F225" s="58">
        <f t="shared" si="41"/>
        <v>17.200000000000003</v>
      </c>
      <c r="G225" s="58">
        <v>10</v>
      </c>
      <c r="H225" s="59">
        <v>0</v>
      </c>
      <c r="I225" s="58">
        <f t="shared" si="37"/>
        <v>27.200000000000003</v>
      </c>
      <c r="J225" s="58">
        <f>INDEX('Salary Information'!$B$91:$O$123,MATCH('PTO Accrual'!$B225,'Salary Information'!$B$91:$B$123,0),MATCH('PTO Accrual'!$E225,'Salary Information'!$B$91:$O$91,0))</f>
        <v>27.567760052447579</v>
      </c>
      <c r="K225" s="60">
        <f t="shared" si="39"/>
        <v>749.84307342657416</v>
      </c>
    </row>
    <row r="226" spans="2:11">
      <c r="B226" s="19" t="s">
        <v>174</v>
      </c>
      <c r="C226" s="14" t="s">
        <v>175</v>
      </c>
      <c r="D226" s="19" t="s">
        <v>18</v>
      </c>
      <c r="E226" s="57">
        <v>46113</v>
      </c>
      <c r="F226" s="58">
        <f t="shared" si="41"/>
        <v>27.200000000000003</v>
      </c>
      <c r="G226" s="58">
        <v>10</v>
      </c>
      <c r="H226" s="59">
        <v>0</v>
      </c>
      <c r="I226" s="58">
        <f t="shared" si="37"/>
        <v>37.200000000000003</v>
      </c>
      <c r="J226" s="58">
        <f>INDEX('Salary Information'!$B$91:$O$123,MATCH('PTO Accrual'!$B226,'Salary Information'!$B$91:$B$123,0),MATCH('PTO Accrual'!$E226,'Salary Information'!$B$91:$O$91,0))</f>
        <v>27.793295454545454</v>
      </c>
      <c r="K226" s="60">
        <f t="shared" si="39"/>
        <v>1033.9105909090911</v>
      </c>
    </row>
    <row r="227" spans="2:11">
      <c r="B227" s="19" t="s">
        <v>174</v>
      </c>
      <c r="C227" s="14" t="s">
        <v>175</v>
      </c>
      <c r="D227" s="19" t="s">
        <v>18</v>
      </c>
      <c r="E227" s="57">
        <v>46143</v>
      </c>
      <c r="F227" s="58">
        <f t="shared" si="41"/>
        <v>37.200000000000003</v>
      </c>
      <c r="G227" s="58">
        <v>10</v>
      </c>
      <c r="H227" s="59">
        <v>16</v>
      </c>
      <c r="I227" s="58">
        <f t="shared" si="37"/>
        <v>31.200000000000003</v>
      </c>
      <c r="J227" s="58">
        <f>INDEX('Salary Information'!$B$91:$O$123,MATCH('PTO Accrual'!$B227,'Salary Information'!$B$91:$B$123,0),MATCH('PTO Accrual'!$E227,'Salary Information'!$B$91:$O$91,0))</f>
        <v>27.212488553113559</v>
      </c>
      <c r="K227" s="60">
        <f t="shared" si="39"/>
        <v>849.02964285714313</v>
      </c>
    </row>
    <row r="228" spans="2:11">
      <c r="B228" s="19" t="s">
        <v>174</v>
      </c>
      <c r="C228" s="14" t="s">
        <v>175</v>
      </c>
      <c r="D228" s="19" t="s">
        <v>18</v>
      </c>
      <c r="E228" s="57">
        <v>46174</v>
      </c>
      <c r="F228" s="58">
        <f t="shared" si="41"/>
        <v>31.200000000000003</v>
      </c>
      <c r="G228" s="58">
        <v>10</v>
      </c>
      <c r="H228" s="59">
        <v>0</v>
      </c>
      <c r="I228" s="58">
        <f t="shared" si="37"/>
        <v>41.2</v>
      </c>
      <c r="J228" s="58">
        <f>INDEX('Salary Information'!$B$91:$O$123,MATCH('PTO Accrual'!$B228,'Salary Information'!$B$91:$B$123,0),MATCH('PTO Accrual'!$E228,'Salary Information'!$B$91:$O$91,0))</f>
        <v>27.180583479021003</v>
      </c>
      <c r="K228" s="60">
        <f t="shared" si="39"/>
        <v>1119.8400393356653</v>
      </c>
    </row>
    <row r="229" spans="2:11">
      <c r="B229" s="19" t="s">
        <v>176</v>
      </c>
      <c r="C229" s="14" t="s">
        <v>177</v>
      </c>
      <c r="D229" s="19" t="s">
        <v>18</v>
      </c>
      <c r="E229" s="57">
        <v>45839</v>
      </c>
      <c r="F229" s="58">
        <v>39.4</v>
      </c>
      <c r="G229" s="58">
        <v>10</v>
      </c>
      <c r="H229" s="59">
        <v>0</v>
      </c>
      <c r="I229" s="58">
        <f t="shared" si="37"/>
        <v>49.4</v>
      </c>
      <c r="J229" s="58">
        <f>INDEX('Salary Information'!$B$91:$O$123,MATCH('PTO Accrual'!$B229,'Salary Information'!$B$91:$B$123,0),MATCH('PTO Accrual'!$E229,'Salary Information'!$B$91:$O$91,0))</f>
        <v>26.661821739130438</v>
      </c>
      <c r="K229" s="60">
        <f t="shared" si="39"/>
        <v>1317.0939939130437</v>
      </c>
    </row>
    <row r="230" spans="2:11">
      <c r="B230" s="19" t="s">
        <v>176</v>
      </c>
      <c r="C230" s="14" t="s">
        <v>177</v>
      </c>
      <c r="D230" s="19" t="s">
        <v>18</v>
      </c>
      <c r="E230" s="57">
        <v>45870</v>
      </c>
      <c r="F230" s="58">
        <f t="shared" ref="F230:F240" si="42">I229</f>
        <v>49.4</v>
      </c>
      <c r="G230" s="58">
        <v>10</v>
      </c>
      <c r="H230" s="59">
        <v>16</v>
      </c>
      <c r="I230" s="58">
        <f t="shared" si="37"/>
        <v>43.4</v>
      </c>
      <c r="J230" s="58">
        <f>INDEX('Salary Information'!$B$91:$O$123,MATCH('PTO Accrual'!$B230,'Salary Information'!$B$91:$B$123,0),MATCH('PTO Accrual'!$E230,'Salary Information'!$B$91:$O$91,0))</f>
        <v>29.68024761904762</v>
      </c>
      <c r="K230" s="60">
        <f t="shared" si="39"/>
        <v>1288.1227466666667</v>
      </c>
    </row>
    <row r="231" spans="2:11">
      <c r="B231" s="19" t="s">
        <v>176</v>
      </c>
      <c r="C231" s="14" t="s">
        <v>177</v>
      </c>
      <c r="D231" s="19" t="s">
        <v>18</v>
      </c>
      <c r="E231" s="57">
        <v>45901</v>
      </c>
      <c r="F231" s="58">
        <f t="shared" si="42"/>
        <v>43.4</v>
      </c>
      <c r="G231" s="58">
        <v>10</v>
      </c>
      <c r="H231" s="59">
        <v>0</v>
      </c>
      <c r="I231" s="58">
        <f t="shared" si="37"/>
        <v>53.4</v>
      </c>
      <c r="J231" s="58">
        <f>INDEX('Salary Information'!$B$91:$O$123,MATCH('PTO Accrual'!$B231,'Salary Information'!$B$91:$B$123,0),MATCH('PTO Accrual'!$E231,'Salary Information'!$B$91:$O$91,0))</f>
        <v>29.09916590909091</v>
      </c>
      <c r="K231" s="60">
        <f t="shared" si="39"/>
        <v>1553.8954595454545</v>
      </c>
    </row>
    <row r="232" spans="2:11">
      <c r="B232" s="19" t="s">
        <v>176</v>
      </c>
      <c r="C232" s="14" t="s">
        <v>177</v>
      </c>
      <c r="D232" s="19" t="s">
        <v>18</v>
      </c>
      <c r="E232" s="57">
        <v>45931</v>
      </c>
      <c r="F232" s="58">
        <f t="shared" si="42"/>
        <v>53.4</v>
      </c>
      <c r="G232" s="58">
        <v>10</v>
      </c>
      <c r="H232" s="59">
        <v>0</v>
      </c>
      <c r="I232" s="58">
        <f t="shared" si="37"/>
        <v>63.4</v>
      </c>
      <c r="J232" s="58">
        <f>INDEX('Salary Information'!$B$91:$O$123,MATCH('PTO Accrual'!$B232,'Salary Information'!$B$91:$B$123,0),MATCH('PTO Accrual'!$E232,'Salary Information'!$B$91:$O$91,0))</f>
        <v>28.06560869565218</v>
      </c>
      <c r="K232" s="60">
        <f t="shared" si="39"/>
        <v>1779.3595913043482</v>
      </c>
    </row>
    <row r="233" spans="2:11">
      <c r="B233" s="19" t="s">
        <v>176</v>
      </c>
      <c r="C233" s="14" t="s">
        <v>177</v>
      </c>
      <c r="D233" s="19" t="s">
        <v>18</v>
      </c>
      <c r="E233" s="57">
        <v>45962</v>
      </c>
      <c r="F233" s="58">
        <f t="shared" si="42"/>
        <v>63.4</v>
      </c>
      <c r="G233" s="58">
        <v>10</v>
      </c>
      <c r="H233" s="59">
        <v>8</v>
      </c>
      <c r="I233" s="58">
        <f t="shared" si="37"/>
        <v>65.400000000000006</v>
      </c>
      <c r="J233" s="58">
        <f>INDEX('Salary Information'!$B$91:$O$123,MATCH('PTO Accrual'!$B233,'Salary Information'!$B$91:$B$123,0),MATCH('PTO Accrual'!$E233,'Salary Information'!$B$91:$O$91,0))</f>
        <v>29.981396634615425</v>
      </c>
      <c r="K233" s="60">
        <f t="shared" si="39"/>
        <v>1960.7833399038491</v>
      </c>
    </row>
    <row r="234" spans="2:11">
      <c r="B234" s="19" t="s">
        <v>176</v>
      </c>
      <c r="C234" s="14" t="s">
        <v>177</v>
      </c>
      <c r="D234" s="19" t="s">
        <v>18</v>
      </c>
      <c r="E234" s="57">
        <v>45992</v>
      </c>
      <c r="F234" s="58">
        <f t="shared" si="42"/>
        <v>65.400000000000006</v>
      </c>
      <c r="G234" s="58">
        <v>10</v>
      </c>
      <c r="H234" s="59">
        <v>16</v>
      </c>
      <c r="I234" s="58">
        <f t="shared" si="37"/>
        <v>59.400000000000006</v>
      </c>
      <c r="J234" s="58">
        <f>INDEX('Salary Information'!$B$91:$O$123,MATCH('PTO Accrual'!$B234,'Salary Information'!$B$91:$B$123,0),MATCH('PTO Accrual'!$E234,'Salary Information'!$B$91:$O$91,0))</f>
        <v>26.520800585284256</v>
      </c>
      <c r="K234" s="60">
        <f t="shared" si="39"/>
        <v>1575.335554765885</v>
      </c>
    </row>
    <row r="235" spans="2:11">
      <c r="B235" s="19" t="s">
        <v>176</v>
      </c>
      <c r="C235" s="14" t="s">
        <v>177</v>
      </c>
      <c r="D235" s="19" t="s">
        <v>18</v>
      </c>
      <c r="E235" s="57">
        <v>46023</v>
      </c>
      <c r="F235" s="58">
        <f t="shared" si="42"/>
        <v>59.400000000000006</v>
      </c>
      <c r="G235" s="58">
        <v>10</v>
      </c>
      <c r="H235" s="59">
        <v>8</v>
      </c>
      <c r="I235" s="58">
        <f t="shared" si="37"/>
        <v>61.400000000000006</v>
      </c>
      <c r="J235" s="58">
        <f>INDEX('Salary Information'!$B$91:$O$123,MATCH('PTO Accrual'!$B235,'Salary Information'!$B$91:$B$123,0),MATCH('PTO Accrual'!$E235,'Salary Information'!$B$91:$O$91,0))</f>
        <v>28.535627272727275</v>
      </c>
      <c r="K235" s="60">
        <f t="shared" si="39"/>
        <v>1752.087514545455</v>
      </c>
    </row>
    <row r="236" spans="2:11">
      <c r="B236" s="19" t="s">
        <v>176</v>
      </c>
      <c r="C236" s="14" t="s">
        <v>177</v>
      </c>
      <c r="D236" s="19" t="s">
        <v>18</v>
      </c>
      <c r="E236" s="57">
        <v>46054</v>
      </c>
      <c r="F236" s="58">
        <f t="shared" si="42"/>
        <v>61.400000000000006</v>
      </c>
      <c r="G236" s="58">
        <v>10</v>
      </c>
      <c r="H236" s="59">
        <v>8</v>
      </c>
      <c r="I236" s="58">
        <f t="shared" si="37"/>
        <v>63.400000000000006</v>
      </c>
      <c r="J236" s="58">
        <f>INDEX('Salary Information'!$B$91:$O$123,MATCH('PTO Accrual'!$B236,'Salary Information'!$B$91:$B$123,0),MATCH('PTO Accrual'!$E236,'Salary Information'!$B$91:$O$91,0))</f>
        <v>30.9493725961539</v>
      </c>
      <c r="K236" s="60">
        <f t="shared" si="39"/>
        <v>1962.1902225961574</v>
      </c>
    </row>
    <row r="237" spans="2:11">
      <c r="B237" s="19" t="s">
        <v>176</v>
      </c>
      <c r="C237" s="14" t="s">
        <v>177</v>
      </c>
      <c r="D237" s="19" t="s">
        <v>18</v>
      </c>
      <c r="E237" s="57">
        <v>46082</v>
      </c>
      <c r="F237" s="58">
        <f t="shared" si="42"/>
        <v>63.400000000000006</v>
      </c>
      <c r="G237" s="58">
        <v>10</v>
      </c>
      <c r="H237" s="59">
        <v>0</v>
      </c>
      <c r="I237" s="58">
        <f t="shared" si="37"/>
        <v>73.400000000000006</v>
      </c>
      <c r="J237" s="58">
        <f>INDEX('Salary Information'!$B$91:$O$123,MATCH('PTO Accrual'!$B237,'Salary Information'!$B$91:$B$123,0),MATCH('PTO Accrual'!$E237,'Salary Information'!$B$91:$O$91,0))</f>
        <v>27.567760052447579</v>
      </c>
      <c r="K237" s="60">
        <f t="shared" si="39"/>
        <v>2023.4735878496524</v>
      </c>
    </row>
    <row r="238" spans="2:11">
      <c r="B238" s="19" t="s">
        <v>176</v>
      </c>
      <c r="C238" s="14" t="s">
        <v>177</v>
      </c>
      <c r="D238" s="19" t="s">
        <v>18</v>
      </c>
      <c r="E238" s="57">
        <v>46113</v>
      </c>
      <c r="F238" s="58">
        <f t="shared" si="42"/>
        <v>73.400000000000006</v>
      </c>
      <c r="G238" s="58">
        <v>10</v>
      </c>
      <c r="H238" s="59">
        <v>8</v>
      </c>
      <c r="I238" s="58">
        <f t="shared" si="37"/>
        <v>75.400000000000006</v>
      </c>
      <c r="J238" s="58">
        <f>INDEX('Salary Information'!$B$91:$O$123,MATCH('PTO Accrual'!$B238,'Salary Information'!$B$91:$B$123,0),MATCH('PTO Accrual'!$E238,'Salary Information'!$B$91:$O$91,0))</f>
        <v>27.793295454545454</v>
      </c>
      <c r="K238" s="60">
        <f t="shared" si="39"/>
        <v>2095.6144772727275</v>
      </c>
    </row>
    <row r="239" spans="2:11">
      <c r="B239" s="19" t="s">
        <v>176</v>
      </c>
      <c r="C239" s="14" t="s">
        <v>177</v>
      </c>
      <c r="D239" s="19" t="s">
        <v>18</v>
      </c>
      <c r="E239" s="57">
        <v>46143</v>
      </c>
      <c r="F239" s="58">
        <f t="shared" si="42"/>
        <v>75.400000000000006</v>
      </c>
      <c r="G239" s="58">
        <v>10</v>
      </c>
      <c r="H239" s="59">
        <v>0</v>
      </c>
      <c r="I239" s="58">
        <f t="shared" si="37"/>
        <v>85.4</v>
      </c>
      <c r="J239" s="58">
        <f>INDEX('Salary Information'!$B$91:$O$123,MATCH('PTO Accrual'!$B239,'Salary Information'!$B$91:$B$123,0),MATCH('PTO Accrual'!$E239,'Salary Information'!$B$91:$O$91,0))</f>
        <v>27.212488553113559</v>
      </c>
      <c r="K239" s="60">
        <f t="shared" si="39"/>
        <v>2323.9465224358983</v>
      </c>
    </row>
    <row r="240" spans="2:11">
      <c r="B240" s="19" t="s">
        <v>176</v>
      </c>
      <c r="C240" s="14" t="s">
        <v>177</v>
      </c>
      <c r="D240" s="19" t="s">
        <v>18</v>
      </c>
      <c r="E240" s="57">
        <v>46174</v>
      </c>
      <c r="F240" s="58">
        <f t="shared" si="42"/>
        <v>85.4</v>
      </c>
      <c r="G240" s="58">
        <v>10</v>
      </c>
      <c r="H240" s="59">
        <v>0</v>
      </c>
      <c r="I240" s="58">
        <f t="shared" si="37"/>
        <v>95.4</v>
      </c>
      <c r="J240" s="58">
        <f>INDEX('Salary Information'!$B$91:$O$123,MATCH('PTO Accrual'!$B240,'Salary Information'!$B$91:$B$123,0),MATCH('PTO Accrual'!$E240,'Salary Information'!$B$91:$O$91,0))</f>
        <v>27.180583479021003</v>
      </c>
      <c r="K240" s="60">
        <f t="shared" si="39"/>
        <v>2593.0276638986038</v>
      </c>
    </row>
    <row r="241" spans="2:11">
      <c r="B241" s="19" t="s">
        <v>178</v>
      </c>
      <c r="C241" s="14" t="s">
        <v>179</v>
      </c>
      <c r="D241" s="19" t="s">
        <v>18</v>
      </c>
      <c r="E241" s="57">
        <v>45839</v>
      </c>
      <c r="F241" s="58">
        <v>46.7</v>
      </c>
      <c r="G241" s="58">
        <v>10</v>
      </c>
      <c r="H241" s="59">
        <v>0</v>
      </c>
      <c r="I241" s="58">
        <f t="shared" si="37"/>
        <v>56.7</v>
      </c>
      <c r="J241" s="58">
        <f>INDEX('Salary Information'!$B$91:$O$123,MATCH('PTO Accrual'!$B241,'Salary Information'!$B$91:$B$123,0),MATCH('PTO Accrual'!$E241,'Salary Information'!$B$91:$O$91,0))</f>
        <v>26.661821739130438</v>
      </c>
      <c r="K241" s="60">
        <f t="shared" si="39"/>
        <v>1511.725292608696</v>
      </c>
    </row>
    <row r="242" spans="2:11">
      <c r="B242" s="19" t="s">
        <v>178</v>
      </c>
      <c r="C242" s="14" t="s">
        <v>179</v>
      </c>
      <c r="D242" s="19" t="s">
        <v>18</v>
      </c>
      <c r="E242" s="57">
        <v>45870</v>
      </c>
      <c r="F242" s="58">
        <f t="shared" ref="F242:F252" si="43">I241</f>
        <v>56.7</v>
      </c>
      <c r="G242" s="58">
        <v>10</v>
      </c>
      <c r="H242" s="59">
        <v>0</v>
      </c>
      <c r="I242" s="58">
        <f t="shared" si="37"/>
        <v>66.7</v>
      </c>
      <c r="J242" s="58">
        <f>INDEX('Salary Information'!$B$91:$O$123,MATCH('PTO Accrual'!$B242,'Salary Information'!$B$91:$B$123,0),MATCH('PTO Accrual'!$E242,'Salary Information'!$B$91:$O$91,0))</f>
        <v>29.68024761904762</v>
      </c>
      <c r="K242" s="60">
        <f t="shared" si="39"/>
        <v>1979.6725161904762</v>
      </c>
    </row>
    <row r="243" spans="2:11">
      <c r="B243" s="19" t="s">
        <v>178</v>
      </c>
      <c r="C243" s="14" t="s">
        <v>179</v>
      </c>
      <c r="D243" s="19" t="s">
        <v>18</v>
      </c>
      <c r="E243" s="57">
        <v>45901</v>
      </c>
      <c r="F243" s="58">
        <f t="shared" si="43"/>
        <v>66.7</v>
      </c>
      <c r="G243" s="58">
        <v>10</v>
      </c>
      <c r="H243" s="59">
        <v>0</v>
      </c>
      <c r="I243" s="58">
        <f t="shared" si="37"/>
        <v>76.7</v>
      </c>
      <c r="J243" s="58">
        <f>INDEX('Salary Information'!$B$91:$O$123,MATCH('PTO Accrual'!$B243,'Salary Information'!$B$91:$B$123,0),MATCH('PTO Accrual'!$E243,'Salary Information'!$B$91:$O$91,0))</f>
        <v>29.09916590909091</v>
      </c>
      <c r="K243" s="60">
        <f t="shared" si="39"/>
        <v>2231.9060252272729</v>
      </c>
    </row>
    <row r="244" spans="2:11">
      <c r="B244" s="19" t="s">
        <v>178</v>
      </c>
      <c r="C244" s="14" t="s">
        <v>179</v>
      </c>
      <c r="D244" s="19" t="s">
        <v>18</v>
      </c>
      <c r="E244" s="57">
        <v>45931</v>
      </c>
      <c r="F244" s="58">
        <f t="shared" si="43"/>
        <v>76.7</v>
      </c>
      <c r="G244" s="58">
        <v>10</v>
      </c>
      <c r="H244" s="59">
        <v>8</v>
      </c>
      <c r="I244" s="58">
        <f t="shared" si="37"/>
        <v>78.7</v>
      </c>
      <c r="J244" s="58">
        <f>INDEX('Salary Information'!$B$91:$O$123,MATCH('PTO Accrual'!$B244,'Salary Information'!$B$91:$B$123,0),MATCH('PTO Accrual'!$E244,'Salary Information'!$B$91:$O$91,0))</f>
        <v>28.06560869565218</v>
      </c>
      <c r="K244" s="60">
        <f t="shared" si="39"/>
        <v>2208.7634043478265</v>
      </c>
    </row>
    <row r="245" spans="2:11">
      <c r="B245" s="19" t="s">
        <v>178</v>
      </c>
      <c r="C245" s="14" t="s">
        <v>179</v>
      </c>
      <c r="D245" s="19" t="s">
        <v>18</v>
      </c>
      <c r="E245" s="57">
        <v>45962</v>
      </c>
      <c r="F245" s="58">
        <f t="shared" si="43"/>
        <v>78.7</v>
      </c>
      <c r="G245" s="58">
        <v>10</v>
      </c>
      <c r="H245" s="59">
        <v>16</v>
      </c>
      <c r="I245" s="58">
        <f t="shared" si="37"/>
        <v>72.7</v>
      </c>
      <c r="J245" s="58">
        <f>INDEX('Salary Information'!$B$91:$O$123,MATCH('PTO Accrual'!$B245,'Salary Information'!$B$91:$B$123,0),MATCH('PTO Accrual'!$E245,'Salary Information'!$B$91:$O$91,0))</f>
        <v>29.981396634615425</v>
      </c>
      <c r="K245" s="60">
        <f t="shared" si="39"/>
        <v>2179.6475353365413</v>
      </c>
    </row>
    <row r="246" spans="2:11">
      <c r="B246" s="19" t="s">
        <v>178</v>
      </c>
      <c r="C246" s="14" t="s">
        <v>179</v>
      </c>
      <c r="D246" s="19" t="s">
        <v>18</v>
      </c>
      <c r="E246" s="57">
        <v>45992</v>
      </c>
      <c r="F246" s="58">
        <f t="shared" si="43"/>
        <v>72.7</v>
      </c>
      <c r="G246" s="58">
        <v>10</v>
      </c>
      <c r="H246" s="59">
        <v>16</v>
      </c>
      <c r="I246" s="58">
        <f t="shared" si="37"/>
        <v>66.7</v>
      </c>
      <c r="J246" s="58">
        <f>INDEX('Salary Information'!$B$91:$O$123,MATCH('PTO Accrual'!$B246,'Salary Information'!$B$91:$B$123,0),MATCH('PTO Accrual'!$E246,'Salary Information'!$B$91:$O$91,0))</f>
        <v>26.520800585284256</v>
      </c>
      <c r="K246" s="60">
        <f t="shared" si="39"/>
        <v>1768.9373990384599</v>
      </c>
    </row>
    <row r="247" spans="2:11">
      <c r="B247" s="19" t="s">
        <v>178</v>
      </c>
      <c r="C247" s="14" t="s">
        <v>179</v>
      </c>
      <c r="D247" s="19" t="s">
        <v>18</v>
      </c>
      <c r="E247" s="57">
        <v>46023</v>
      </c>
      <c r="F247" s="58">
        <f t="shared" si="43"/>
        <v>66.7</v>
      </c>
      <c r="G247" s="58">
        <v>10</v>
      </c>
      <c r="H247" s="59">
        <v>40</v>
      </c>
      <c r="I247" s="58">
        <f t="shared" si="37"/>
        <v>36.700000000000003</v>
      </c>
      <c r="J247" s="58">
        <f>INDEX('Salary Information'!$B$91:$O$123,MATCH('PTO Accrual'!$B247,'Salary Information'!$B$91:$B$123,0),MATCH('PTO Accrual'!$E247,'Salary Information'!$B$91:$O$91,0))</f>
        <v>28.535627272727275</v>
      </c>
      <c r="K247" s="60">
        <f t="shared" si="39"/>
        <v>1047.257520909091</v>
      </c>
    </row>
    <row r="248" spans="2:11">
      <c r="B248" s="19" t="s">
        <v>178</v>
      </c>
      <c r="C248" s="14" t="s">
        <v>179</v>
      </c>
      <c r="D248" s="19" t="s">
        <v>18</v>
      </c>
      <c r="E248" s="57">
        <v>46054</v>
      </c>
      <c r="F248" s="58">
        <f t="shared" si="43"/>
        <v>36.700000000000003</v>
      </c>
      <c r="G248" s="58">
        <v>10</v>
      </c>
      <c r="H248" s="59">
        <v>0</v>
      </c>
      <c r="I248" s="58">
        <f t="shared" si="37"/>
        <v>46.7</v>
      </c>
      <c r="J248" s="58">
        <f>INDEX('Salary Information'!$B$91:$O$123,MATCH('PTO Accrual'!$B248,'Salary Information'!$B$91:$B$123,0),MATCH('PTO Accrual'!$E248,'Salary Information'!$B$91:$O$91,0))</f>
        <v>30.9493725961539</v>
      </c>
      <c r="K248" s="60">
        <f t="shared" si="39"/>
        <v>1445.3357002403873</v>
      </c>
    </row>
    <row r="249" spans="2:11">
      <c r="B249" s="19" t="s">
        <v>178</v>
      </c>
      <c r="C249" s="14" t="s">
        <v>179</v>
      </c>
      <c r="D249" s="19" t="s">
        <v>18</v>
      </c>
      <c r="E249" s="57">
        <v>46082</v>
      </c>
      <c r="F249" s="58">
        <f t="shared" si="43"/>
        <v>46.7</v>
      </c>
      <c r="G249" s="58">
        <v>10</v>
      </c>
      <c r="H249" s="59">
        <v>0</v>
      </c>
      <c r="I249" s="58">
        <f t="shared" si="37"/>
        <v>56.7</v>
      </c>
      <c r="J249" s="58">
        <f>INDEX('Salary Information'!$B$91:$O$123,MATCH('PTO Accrual'!$B249,'Salary Information'!$B$91:$B$123,0),MATCH('PTO Accrual'!$E249,'Salary Information'!$B$91:$O$91,0))</f>
        <v>27.567760052447579</v>
      </c>
      <c r="K249" s="60">
        <f t="shared" si="39"/>
        <v>1563.0919949737777</v>
      </c>
    </row>
    <row r="250" spans="2:11">
      <c r="B250" s="19" t="s">
        <v>178</v>
      </c>
      <c r="C250" s="14" t="s">
        <v>179</v>
      </c>
      <c r="D250" s="19" t="s">
        <v>18</v>
      </c>
      <c r="E250" s="57">
        <v>46113</v>
      </c>
      <c r="F250" s="58">
        <f t="shared" si="43"/>
        <v>56.7</v>
      </c>
      <c r="G250" s="58">
        <v>10</v>
      </c>
      <c r="H250" s="59">
        <v>0</v>
      </c>
      <c r="I250" s="58">
        <f t="shared" si="37"/>
        <v>66.7</v>
      </c>
      <c r="J250" s="58">
        <f>INDEX('Salary Information'!$B$91:$O$123,MATCH('PTO Accrual'!$B250,'Salary Information'!$B$91:$B$123,0),MATCH('PTO Accrual'!$E250,'Salary Information'!$B$91:$O$91,0))</f>
        <v>27.793295454545454</v>
      </c>
      <c r="K250" s="60">
        <f t="shared" si="39"/>
        <v>1853.8128068181818</v>
      </c>
    </row>
    <row r="251" spans="2:11">
      <c r="B251" s="19" t="s">
        <v>178</v>
      </c>
      <c r="C251" s="14" t="s">
        <v>179</v>
      </c>
      <c r="D251" s="19" t="s">
        <v>18</v>
      </c>
      <c r="E251" s="57">
        <v>46143</v>
      </c>
      <c r="F251" s="58">
        <f t="shared" si="43"/>
        <v>66.7</v>
      </c>
      <c r="G251" s="58">
        <v>10</v>
      </c>
      <c r="H251" s="59">
        <v>32</v>
      </c>
      <c r="I251" s="58">
        <f t="shared" si="37"/>
        <v>44.7</v>
      </c>
      <c r="J251" s="58">
        <f>INDEX('Salary Information'!$B$91:$O$123,MATCH('PTO Accrual'!$B251,'Salary Information'!$B$91:$B$123,0),MATCH('PTO Accrual'!$E251,'Salary Information'!$B$91:$O$91,0))</f>
        <v>27.212488553113559</v>
      </c>
      <c r="K251" s="60">
        <f t="shared" si="39"/>
        <v>1216.3982383241762</v>
      </c>
    </row>
    <row r="252" spans="2:11">
      <c r="B252" s="19" t="s">
        <v>178</v>
      </c>
      <c r="C252" s="14" t="s">
        <v>179</v>
      </c>
      <c r="D252" s="19" t="s">
        <v>18</v>
      </c>
      <c r="E252" s="57">
        <v>46174</v>
      </c>
      <c r="F252" s="58">
        <f t="shared" si="43"/>
        <v>44.7</v>
      </c>
      <c r="G252" s="58">
        <v>10</v>
      </c>
      <c r="H252" s="59">
        <v>0</v>
      </c>
      <c r="I252" s="58">
        <f t="shared" si="37"/>
        <v>54.7</v>
      </c>
      <c r="J252" s="58">
        <f>INDEX('Salary Information'!$B$91:$O$123,MATCH('PTO Accrual'!$B252,'Salary Information'!$B$91:$B$123,0),MATCH('PTO Accrual'!$E252,'Salary Information'!$B$91:$O$91,0))</f>
        <v>27.180583479021003</v>
      </c>
      <c r="K252" s="60">
        <f t="shared" si="39"/>
        <v>1486.7779163024488</v>
      </c>
    </row>
    <row r="253" spans="2:11">
      <c r="B253" s="19" t="s">
        <v>180</v>
      </c>
      <c r="C253" s="14" t="s">
        <v>181</v>
      </c>
      <c r="D253" s="19" t="s">
        <v>20</v>
      </c>
      <c r="E253" s="57">
        <v>45839</v>
      </c>
      <c r="F253" s="58">
        <v>32.9</v>
      </c>
      <c r="G253" s="58">
        <v>10</v>
      </c>
      <c r="H253" s="59">
        <v>8</v>
      </c>
      <c r="I253" s="58">
        <f t="shared" si="37"/>
        <v>34.9</v>
      </c>
      <c r="J253" s="58">
        <f>INDEX('Salary Information'!$B$91:$O$123,MATCH('PTO Accrual'!$B253,'Salary Information'!$B$91:$B$123,0),MATCH('PTO Accrual'!$E253,'Salary Information'!$B$91:$O$91,0))</f>
        <v>26.661821739130438</v>
      </c>
      <c r="K253" s="60">
        <f t="shared" si="39"/>
        <v>930.49757869565224</v>
      </c>
    </row>
    <row r="254" spans="2:11">
      <c r="B254" s="19" t="s">
        <v>180</v>
      </c>
      <c r="C254" s="14" t="s">
        <v>181</v>
      </c>
      <c r="D254" s="19" t="s">
        <v>20</v>
      </c>
      <c r="E254" s="57">
        <v>45870</v>
      </c>
      <c r="F254" s="58">
        <f t="shared" ref="F254:F264" si="44">I253</f>
        <v>34.9</v>
      </c>
      <c r="G254" s="58">
        <v>10</v>
      </c>
      <c r="H254" s="59">
        <v>0</v>
      </c>
      <c r="I254" s="58">
        <f t="shared" si="37"/>
        <v>44.9</v>
      </c>
      <c r="J254" s="58">
        <f>INDEX('Salary Information'!$B$91:$O$123,MATCH('PTO Accrual'!$B254,'Salary Information'!$B$91:$B$123,0),MATCH('PTO Accrual'!$E254,'Salary Information'!$B$91:$O$91,0))</f>
        <v>29.68024761904762</v>
      </c>
      <c r="K254" s="60">
        <f t="shared" si="39"/>
        <v>1332.6431180952382</v>
      </c>
    </row>
    <row r="255" spans="2:11">
      <c r="B255" s="19" t="s">
        <v>180</v>
      </c>
      <c r="C255" s="14" t="s">
        <v>181</v>
      </c>
      <c r="D255" s="19" t="s">
        <v>20</v>
      </c>
      <c r="E255" s="57">
        <v>45901</v>
      </c>
      <c r="F255" s="58">
        <f t="shared" si="44"/>
        <v>44.9</v>
      </c>
      <c r="G255" s="58">
        <v>10</v>
      </c>
      <c r="H255" s="59">
        <v>16</v>
      </c>
      <c r="I255" s="58">
        <f t="shared" si="37"/>
        <v>38.9</v>
      </c>
      <c r="J255" s="58">
        <f>INDEX('Salary Information'!$B$91:$O$123,MATCH('PTO Accrual'!$B255,'Salary Information'!$B$91:$B$123,0),MATCH('PTO Accrual'!$E255,'Salary Information'!$B$91:$O$91,0))</f>
        <v>29.09916590909091</v>
      </c>
      <c r="K255" s="60">
        <f t="shared" si="39"/>
        <v>1131.9575538636363</v>
      </c>
    </row>
    <row r="256" spans="2:11">
      <c r="B256" s="19" t="s">
        <v>180</v>
      </c>
      <c r="C256" s="14" t="s">
        <v>181</v>
      </c>
      <c r="D256" s="19" t="s">
        <v>20</v>
      </c>
      <c r="E256" s="57">
        <v>45931</v>
      </c>
      <c r="F256" s="58">
        <f t="shared" si="44"/>
        <v>38.9</v>
      </c>
      <c r="G256" s="58">
        <v>10</v>
      </c>
      <c r="H256" s="59">
        <v>0</v>
      </c>
      <c r="I256" s="58">
        <f t="shared" si="37"/>
        <v>48.9</v>
      </c>
      <c r="J256" s="58">
        <f>INDEX('Salary Information'!$B$91:$O$123,MATCH('PTO Accrual'!$B256,'Salary Information'!$B$91:$B$123,0),MATCH('PTO Accrual'!$E256,'Salary Information'!$B$91:$O$91,0))</f>
        <v>28.06560869565218</v>
      </c>
      <c r="K256" s="60">
        <f t="shared" si="39"/>
        <v>1372.4082652173915</v>
      </c>
    </row>
    <row r="257" spans="2:11">
      <c r="B257" s="19" t="s">
        <v>180</v>
      </c>
      <c r="C257" s="14" t="s">
        <v>181</v>
      </c>
      <c r="D257" s="19" t="s">
        <v>20</v>
      </c>
      <c r="E257" s="57">
        <v>45962</v>
      </c>
      <c r="F257" s="58">
        <f t="shared" si="44"/>
        <v>48.9</v>
      </c>
      <c r="G257" s="58">
        <v>10</v>
      </c>
      <c r="H257" s="59">
        <v>8</v>
      </c>
      <c r="I257" s="58">
        <f t="shared" ref="I257:I308" si="45">F257+G257-H257</f>
        <v>50.9</v>
      </c>
      <c r="J257" s="58">
        <f>INDEX('Salary Information'!$B$91:$O$123,MATCH('PTO Accrual'!$B257,'Salary Information'!$B$91:$B$123,0),MATCH('PTO Accrual'!$E257,'Salary Information'!$B$91:$O$91,0))</f>
        <v>29.981396634615425</v>
      </c>
      <c r="K257" s="60">
        <f t="shared" si="39"/>
        <v>1526.0530887019252</v>
      </c>
    </row>
    <row r="258" spans="2:11">
      <c r="B258" s="19" t="s">
        <v>180</v>
      </c>
      <c r="C258" s="14" t="s">
        <v>181</v>
      </c>
      <c r="D258" s="19" t="s">
        <v>20</v>
      </c>
      <c r="E258" s="57">
        <v>45992</v>
      </c>
      <c r="F258" s="58">
        <f t="shared" si="44"/>
        <v>50.9</v>
      </c>
      <c r="G258" s="58">
        <v>10</v>
      </c>
      <c r="H258" s="59">
        <v>0</v>
      </c>
      <c r="I258" s="58">
        <f t="shared" si="45"/>
        <v>60.9</v>
      </c>
      <c r="J258" s="58">
        <f>INDEX('Salary Information'!$B$91:$O$123,MATCH('PTO Accrual'!$B258,'Salary Information'!$B$91:$B$123,0),MATCH('PTO Accrual'!$E258,'Salary Information'!$B$91:$O$91,0))</f>
        <v>26.520800585284256</v>
      </c>
      <c r="K258" s="60">
        <f t="shared" si="39"/>
        <v>1615.1167556438111</v>
      </c>
    </row>
    <row r="259" spans="2:11">
      <c r="B259" s="19" t="s">
        <v>180</v>
      </c>
      <c r="C259" s="14" t="s">
        <v>181</v>
      </c>
      <c r="D259" s="19" t="s">
        <v>20</v>
      </c>
      <c r="E259" s="57">
        <v>46023</v>
      </c>
      <c r="F259" s="58">
        <f t="shared" si="44"/>
        <v>60.9</v>
      </c>
      <c r="G259" s="58">
        <v>10</v>
      </c>
      <c r="H259" s="59">
        <v>0</v>
      </c>
      <c r="I259" s="58">
        <f t="shared" si="45"/>
        <v>70.900000000000006</v>
      </c>
      <c r="J259" s="58">
        <f>INDEX('Salary Information'!$B$91:$O$123,MATCH('PTO Accrual'!$B259,'Salary Information'!$B$91:$B$123,0),MATCH('PTO Accrual'!$E259,'Salary Information'!$B$91:$O$91,0))</f>
        <v>28.535627272727275</v>
      </c>
      <c r="K259" s="60">
        <f t="shared" si="39"/>
        <v>2023.175973636364</v>
      </c>
    </row>
    <row r="260" spans="2:11">
      <c r="B260" s="19" t="s">
        <v>180</v>
      </c>
      <c r="C260" s="14" t="s">
        <v>181</v>
      </c>
      <c r="D260" s="19" t="s">
        <v>20</v>
      </c>
      <c r="E260" s="57">
        <v>46054</v>
      </c>
      <c r="F260" s="58">
        <f t="shared" si="44"/>
        <v>70.900000000000006</v>
      </c>
      <c r="G260" s="58">
        <v>10</v>
      </c>
      <c r="H260" s="59">
        <v>0</v>
      </c>
      <c r="I260" s="58">
        <f t="shared" si="45"/>
        <v>80.900000000000006</v>
      </c>
      <c r="J260" s="58">
        <f>INDEX('Salary Information'!$B$91:$O$123,MATCH('PTO Accrual'!$B260,'Salary Information'!$B$91:$B$123,0),MATCH('PTO Accrual'!$E260,'Salary Information'!$B$91:$O$91,0))</f>
        <v>30.9493725961539</v>
      </c>
      <c r="K260" s="60">
        <f t="shared" si="39"/>
        <v>2503.8042430288506</v>
      </c>
    </row>
    <row r="261" spans="2:11">
      <c r="B261" s="19" t="s">
        <v>180</v>
      </c>
      <c r="C261" s="14" t="s">
        <v>181</v>
      </c>
      <c r="D261" s="19" t="s">
        <v>20</v>
      </c>
      <c r="E261" s="57">
        <v>46082</v>
      </c>
      <c r="F261" s="58">
        <f t="shared" si="44"/>
        <v>80.900000000000006</v>
      </c>
      <c r="G261" s="58">
        <v>10</v>
      </c>
      <c r="H261" s="59">
        <v>8</v>
      </c>
      <c r="I261" s="58">
        <f t="shared" si="45"/>
        <v>82.9</v>
      </c>
      <c r="J261" s="58">
        <f>INDEX('Salary Information'!$B$91:$O$123,MATCH('PTO Accrual'!$B261,'Salary Information'!$B$91:$B$123,0),MATCH('PTO Accrual'!$E261,'Salary Information'!$B$91:$O$91,0))</f>
        <v>27.567760052447579</v>
      </c>
      <c r="K261" s="60">
        <f t="shared" si="39"/>
        <v>2285.3673083479043</v>
      </c>
    </row>
    <row r="262" spans="2:11">
      <c r="B262" s="19" t="s">
        <v>180</v>
      </c>
      <c r="C262" s="14" t="s">
        <v>181</v>
      </c>
      <c r="D262" s="19" t="s">
        <v>20</v>
      </c>
      <c r="E262" s="57">
        <v>46113</v>
      </c>
      <c r="F262" s="58">
        <f t="shared" si="44"/>
        <v>82.9</v>
      </c>
      <c r="G262" s="58">
        <v>10</v>
      </c>
      <c r="H262" s="59">
        <v>8</v>
      </c>
      <c r="I262" s="58">
        <f t="shared" si="45"/>
        <v>84.9</v>
      </c>
      <c r="J262" s="58">
        <f>INDEX('Salary Information'!$B$91:$O$123,MATCH('PTO Accrual'!$B262,'Salary Information'!$B$91:$B$123,0),MATCH('PTO Accrual'!$E262,'Salary Information'!$B$91:$O$91,0))</f>
        <v>27.793295454545454</v>
      </c>
      <c r="K262" s="60">
        <f t="shared" si="39"/>
        <v>2359.6507840909094</v>
      </c>
    </row>
    <row r="263" spans="2:11">
      <c r="B263" s="19" t="s">
        <v>180</v>
      </c>
      <c r="C263" s="14" t="s">
        <v>181</v>
      </c>
      <c r="D263" s="19" t="s">
        <v>20</v>
      </c>
      <c r="E263" s="57">
        <v>46143</v>
      </c>
      <c r="F263" s="58">
        <f t="shared" si="44"/>
        <v>84.9</v>
      </c>
      <c r="G263" s="58">
        <v>10</v>
      </c>
      <c r="H263" s="59">
        <v>8</v>
      </c>
      <c r="I263" s="58">
        <f t="shared" si="45"/>
        <v>86.9</v>
      </c>
      <c r="J263" s="58">
        <f>INDEX('Salary Information'!$B$91:$O$123,MATCH('PTO Accrual'!$B263,'Salary Information'!$B$91:$B$123,0),MATCH('PTO Accrual'!$E263,'Salary Information'!$B$91:$O$91,0))</f>
        <v>27.212488553113559</v>
      </c>
      <c r="K263" s="60">
        <f t="shared" si="39"/>
        <v>2364.7652552655686</v>
      </c>
    </row>
    <row r="264" spans="2:11">
      <c r="B264" s="19" t="s">
        <v>180</v>
      </c>
      <c r="C264" s="14" t="s">
        <v>181</v>
      </c>
      <c r="D264" s="19" t="s">
        <v>20</v>
      </c>
      <c r="E264" s="57">
        <v>46174</v>
      </c>
      <c r="F264" s="58">
        <f t="shared" si="44"/>
        <v>86.9</v>
      </c>
      <c r="G264" s="58">
        <v>10</v>
      </c>
      <c r="H264" s="59">
        <v>16</v>
      </c>
      <c r="I264" s="58">
        <f t="shared" si="45"/>
        <v>80.900000000000006</v>
      </c>
      <c r="J264" s="58">
        <f>INDEX('Salary Information'!$B$91:$O$123,MATCH('PTO Accrual'!$B264,'Salary Information'!$B$91:$B$123,0),MATCH('PTO Accrual'!$E264,'Salary Information'!$B$91:$O$91,0))</f>
        <v>27.180583479021003</v>
      </c>
      <c r="K264" s="60">
        <f t="shared" si="39"/>
        <v>2198.9092034527994</v>
      </c>
    </row>
    <row r="265" spans="2:11">
      <c r="B265" s="19" t="s">
        <v>182</v>
      </c>
      <c r="C265" s="14" t="s">
        <v>183</v>
      </c>
      <c r="D265" s="19" t="s">
        <v>20</v>
      </c>
      <c r="E265" s="57">
        <v>45839</v>
      </c>
      <c r="F265" s="58">
        <v>1.8</v>
      </c>
      <c r="G265" s="58">
        <v>10</v>
      </c>
      <c r="H265" s="59">
        <v>8</v>
      </c>
      <c r="I265" s="58">
        <f t="shared" si="45"/>
        <v>3.8000000000000007</v>
      </c>
      <c r="J265" s="58">
        <f>INDEX('Salary Information'!$B$91:$O$123,MATCH('PTO Accrual'!$B265,'Salary Information'!$B$91:$B$123,0),MATCH('PTO Accrual'!$E265,'Salary Information'!$B$91:$O$91,0))</f>
        <v>26.661821739130438</v>
      </c>
      <c r="K265" s="60">
        <f t="shared" si="39"/>
        <v>101.31492260869568</v>
      </c>
    </row>
    <row r="266" spans="2:11">
      <c r="B266" s="19" t="s">
        <v>182</v>
      </c>
      <c r="C266" s="14" t="s">
        <v>183</v>
      </c>
      <c r="D266" s="19" t="s">
        <v>20</v>
      </c>
      <c r="E266" s="57">
        <v>45870</v>
      </c>
      <c r="F266" s="58">
        <f t="shared" ref="F266:F276" si="46">I265</f>
        <v>3.8000000000000007</v>
      </c>
      <c r="G266" s="58">
        <v>10</v>
      </c>
      <c r="H266" s="59">
        <v>8</v>
      </c>
      <c r="I266" s="58">
        <f t="shared" si="45"/>
        <v>5.8000000000000007</v>
      </c>
      <c r="J266" s="58">
        <f>INDEX('Salary Information'!$B$91:$O$123,MATCH('PTO Accrual'!$B266,'Salary Information'!$B$91:$B$123,0),MATCH('PTO Accrual'!$E266,'Salary Information'!$B$91:$O$91,0))</f>
        <v>29.68024761904762</v>
      </c>
      <c r="K266" s="60">
        <f t="shared" si="39"/>
        <v>172.1454361904762</v>
      </c>
    </row>
    <row r="267" spans="2:11">
      <c r="B267" s="19" t="s">
        <v>182</v>
      </c>
      <c r="C267" s="14" t="s">
        <v>183</v>
      </c>
      <c r="D267" s="19" t="s">
        <v>20</v>
      </c>
      <c r="E267" s="57">
        <v>45901</v>
      </c>
      <c r="F267" s="58">
        <f t="shared" si="46"/>
        <v>5.8000000000000007</v>
      </c>
      <c r="G267" s="58">
        <v>10</v>
      </c>
      <c r="H267" s="59">
        <v>32</v>
      </c>
      <c r="I267" s="58">
        <f t="shared" si="45"/>
        <v>-16.2</v>
      </c>
      <c r="J267" s="58">
        <f>INDEX('Salary Information'!$B$91:$O$123,MATCH('PTO Accrual'!$B267,'Salary Information'!$B$91:$B$123,0),MATCH('PTO Accrual'!$E267,'Salary Information'!$B$91:$O$91,0))</f>
        <v>29.09916590909091</v>
      </c>
      <c r="K267" s="60">
        <f t="shared" ref="K267:K327" si="47">I267*J267</f>
        <v>-471.40648772727275</v>
      </c>
    </row>
    <row r="268" spans="2:11">
      <c r="B268" s="19" t="s">
        <v>182</v>
      </c>
      <c r="C268" s="14" t="s">
        <v>183</v>
      </c>
      <c r="D268" s="19" t="s">
        <v>20</v>
      </c>
      <c r="E268" s="57">
        <v>45931</v>
      </c>
      <c r="F268" s="58">
        <f t="shared" si="46"/>
        <v>-16.2</v>
      </c>
      <c r="G268" s="58">
        <v>10</v>
      </c>
      <c r="H268" s="59">
        <v>0</v>
      </c>
      <c r="I268" s="58">
        <f t="shared" si="45"/>
        <v>-6.1999999999999993</v>
      </c>
      <c r="J268" s="58">
        <f>INDEX('Salary Information'!$B$91:$O$123,MATCH('PTO Accrual'!$B268,'Salary Information'!$B$91:$B$123,0),MATCH('PTO Accrual'!$E268,'Salary Information'!$B$91:$O$91,0))</f>
        <v>28.06560869565218</v>
      </c>
      <c r="K268" s="60">
        <f t="shared" si="47"/>
        <v>-174.0067739130435</v>
      </c>
    </row>
    <row r="269" spans="2:11">
      <c r="B269" s="19" t="s">
        <v>182</v>
      </c>
      <c r="C269" s="14" t="s">
        <v>183</v>
      </c>
      <c r="D269" s="19" t="s">
        <v>20</v>
      </c>
      <c r="E269" s="57">
        <v>45962</v>
      </c>
      <c r="F269" s="58">
        <f t="shared" si="46"/>
        <v>-6.1999999999999993</v>
      </c>
      <c r="G269" s="58">
        <v>10</v>
      </c>
      <c r="H269" s="59">
        <v>0</v>
      </c>
      <c r="I269" s="58">
        <f t="shared" si="45"/>
        <v>3.8000000000000007</v>
      </c>
      <c r="J269" s="58">
        <f>INDEX('Salary Information'!$B$91:$O$123,MATCH('PTO Accrual'!$B269,'Salary Information'!$B$91:$B$123,0),MATCH('PTO Accrual'!$E269,'Salary Information'!$B$91:$O$91,0))</f>
        <v>29.981396634615425</v>
      </c>
      <c r="K269" s="60">
        <f t="shared" si="47"/>
        <v>113.92930721153864</v>
      </c>
    </row>
    <row r="270" spans="2:11">
      <c r="B270" s="19" t="s">
        <v>182</v>
      </c>
      <c r="C270" s="14" t="s">
        <v>183</v>
      </c>
      <c r="D270" s="19" t="s">
        <v>20</v>
      </c>
      <c r="E270" s="57">
        <v>45992</v>
      </c>
      <c r="F270" s="58">
        <f t="shared" si="46"/>
        <v>3.8000000000000007</v>
      </c>
      <c r="G270" s="58">
        <v>10</v>
      </c>
      <c r="H270" s="59">
        <v>8</v>
      </c>
      <c r="I270" s="58">
        <f t="shared" si="45"/>
        <v>5.8000000000000007</v>
      </c>
      <c r="J270" s="58">
        <f>INDEX('Salary Information'!$B$91:$O$123,MATCH('PTO Accrual'!$B270,'Salary Information'!$B$91:$B$123,0),MATCH('PTO Accrual'!$E270,'Salary Information'!$B$91:$O$91,0))</f>
        <v>26.520800585284256</v>
      </c>
      <c r="K270" s="60">
        <f t="shared" si="47"/>
        <v>153.8206433946487</v>
      </c>
    </row>
    <row r="271" spans="2:11">
      <c r="B271" s="19" t="s">
        <v>182</v>
      </c>
      <c r="C271" s="14" t="s">
        <v>183</v>
      </c>
      <c r="D271" s="19" t="s">
        <v>20</v>
      </c>
      <c r="E271" s="57">
        <v>46023</v>
      </c>
      <c r="F271" s="58">
        <f t="shared" si="46"/>
        <v>5.8000000000000007</v>
      </c>
      <c r="G271" s="58">
        <v>10</v>
      </c>
      <c r="H271" s="59">
        <v>0</v>
      </c>
      <c r="I271" s="58">
        <f t="shared" si="45"/>
        <v>15.8</v>
      </c>
      <c r="J271" s="58">
        <f>INDEX('Salary Information'!$B$91:$O$123,MATCH('PTO Accrual'!$B271,'Salary Information'!$B$91:$B$123,0),MATCH('PTO Accrual'!$E271,'Salary Information'!$B$91:$O$91,0))</f>
        <v>28.535627272727275</v>
      </c>
      <c r="K271" s="60">
        <f t="shared" si="47"/>
        <v>450.86291090909094</v>
      </c>
    </row>
    <row r="272" spans="2:11">
      <c r="B272" s="19" t="s">
        <v>182</v>
      </c>
      <c r="C272" s="14" t="s">
        <v>183</v>
      </c>
      <c r="D272" s="19" t="s">
        <v>20</v>
      </c>
      <c r="E272" s="57">
        <v>46054</v>
      </c>
      <c r="F272" s="58">
        <f t="shared" si="46"/>
        <v>15.8</v>
      </c>
      <c r="G272" s="58">
        <v>10</v>
      </c>
      <c r="H272" s="59">
        <v>0</v>
      </c>
      <c r="I272" s="58">
        <f t="shared" si="45"/>
        <v>25.8</v>
      </c>
      <c r="J272" s="58">
        <f>INDEX('Salary Information'!$B$91:$O$123,MATCH('PTO Accrual'!$B272,'Salary Information'!$B$91:$B$123,0),MATCH('PTO Accrual'!$E272,'Salary Information'!$B$91:$O$91,0))</f>
        <v>30.9493725961539</v>
      </c>
      <c r="K272" s="60">
        <f t="shared" si="47"/>
        <v>798.4938129807706</v>
      </c>
    </row>
    <row r="273" spans="2:11">
      <c r="B273" s="19" t="s">
        <v>182</v>
      </c>
      <c r="C273" s="14" t="s">
        <v>183</v>
      </c>
      <c r="D273" s="19" t="s">
        <v>20</v>
      </c>
      <c r="E273" s="57">
        <v>46082</v>
      </c>
      <c r="F273" s="58">
        <f t="shared" si="46"/>
        <v>25.8</v>
      </c>
      <c r="G273" s="58">
        <v>10</v>
      </c>
      <c r="H273" s="59">
        <v>16</v>
      </c>
      <c r="I273" s="58">
        <f t="shared" si="45"/>
        <v>19.799999999999997</v>
      </c>
      <c r="J273" s="58">
        <f>INDEX('Salary Information'!$B$91:$O$123,MATCH('PTO Accrual'!$B273,'Salary Information'!$B$91:$B$123,0),MATCH('PTO Accrual'!$E273,'Salary Information'!$B$91:$O$91,0))</f>
        <v>27.567760052447579</v>
      </c>
      <c r="K273" s="60">
        <f t="shared" si="47"/>
        <v>545.84164903846192</v>
      </c>
    </row>
    <row r="274" spans="2:11">
      <c r="B274" s="19" t="s">
        <v>182</v>
      </c>
      <c r="C274" s="14" t="s">
        <v>183</v>
      </c>
      <c r="D274" s="19" t="s">
        <v>20</v>
      </c>
      <c r="E274" s="57">
        <v>46113</v>
      </c>
      <c r="F274" s="58">
        <f t="shared" si="46"/>
        <v>19.799999999999997</v>
      </c>
      <c r="G274" s="58">
        <v>10</v>
      </c>
      <c r="H274" s="59">
        <v>0</v>
      </c>
      <c r="I274" s="58">
        <f t="shared" si="45"/>
        <v>29.799999999999997</v>
      </c>
      <c r="J274" s="58">
        <f>INDEX('Salary Information'!$B$91:$O$123,MATCH('PTO Accrual'!$B274,'Salary Information'!$B$91:$B$123,0),MATCH('PTO Accrual'!$E274,'Salary Information'!$B$91:$O$91,0))</f>
        <v>27.793295454545454</v>
      </c>
      <c r="K274" s="60">
        <f t="shared" si="47"/>
        <v>828.2402045454545</v>
      </c>
    </row>
    <row r="275" spans="2:11">
      <c r="B275" s="19" t="s">
        <v>182</v>
      </c>
      <c r="C275" s="14" t="s">
        <v>183</v>
      </c>
      <c r="D275" s="19" t="s">
        <v>20</v>
      </c>
      <c r="E275" s="57">
        <v>46143</v>
      </c>
      <c r="F275" s="58">
        <f t="shared" si="46"/>
        <v>29.799999999999997</v>
      </c>
      <c r="G275" s="58">
        <v>10</v>
      </c>
      <c r="H275" s="59">
        <v>0</v>
      </c>
      <c r="I275" s="58">
        <f t="shared" si="45"/>
        <v>39.799999999999997</v>
      </c>
      <c r="J275" s="58">
        <f>INDEX('Salary Information'!$B$91:$O$123,MATCH('PTO Accrual'!$B275,'Salary Information'!$B$91:$B$123,0),MATCH('PTO Accrual'!$E275,'Salary Information'!$B$91:$O$91,0))</f>
        <v>27.212488553113559</v>
      </c>
      <c r="K275" s="60">
        <f t="shared" si="47"/>
        <v>1083.0570444139196</v>
      </c>
    </row>
    <row r="276" spans="2:11">
      <c r="B276" s="19" t="s">
        <v>182</v>
      </c>
      <c r="C276" s="14" t="s">
        <v>183</v>
      </c>
      <c r="D276" s="19" t="s">
        <v>20</v>
      </c>
      <c r="E276" s="57">
        <v>46174</v>
      </c>
      <c r="F276" s="58">
        <f t="shared" si="46"/>
        <v>39.799999999999997</v>
      </c>
      <c r="G276" s="58">
        <v>10</v>
      </c>
      <c r="H276" s="59">
        <v>8</v>
      </c>
      <c r="I276" s="58">
        <f t="shared" si="45"/>
        <v>41.8</v>
      </c>
      <c r="J276" s="58">
        <f>INDEX('Salary Information'!$B$91:$O$123,MATCH('PTO Accrual'!$B276,'Salary Information'!$B$91:$B$123,0),MATCH('PTO Accrual'!$E276,'Salary Information'!$B$91:$O$91,0))</f>
        <v>27.180583479021003</v>
      </c>
      <c r="K276" s="60">
        <f t="shared" si="47"/>
        <v>1136.1483894230778</v>
      </c>
    </row>
    <row r="277" spans="2:11">
      <c r="B277" s="19" t="s">
        <v>184</v>
      </c>
      <c r="C277" s="14" t="s">
        <v>185</v>
      </c>
      <c r="D277" s="19" t="s">
        <v>20</v>
      </c>
      <c r="E277" s="57">
        <v>45839</v>
      </c>
      <c r="F277" s="58">
        <v>17.600000000000001</v>
      </c>
      <c r="G277" s="58">
        <v>10</v>
      </c>
      <c r="H277" s="59">
        <v>0</v>
      </c>
      <c r="I277" s="58">
        <f t="shared" si="45"/>
        <v>27.6</v>
      </c>
      <c r="J277" s="58">
        <f>INDEX('Salary Information'!$B$91:$O$123,MATCH('PTO Accrual'!$B277,'Salary Information'!$B$91:$B$123,0),MATCH('PTO Accrual'!$E277,'Salary Information'!$B$91:$O$91,0))</f>
        <v>26.661821739130438</v>
      </c>
      <c r="K277" s="60">
        <f t="shared" si="47"/>
        <v>735.86628000000019</v>
      </c>
    </row>
    <row r="278" spans="2:11">
      <c r="B278" s="19" t="s">
        <v>184</v>
      </c>
      <c r="C278" s="14" t="s">
        <v>185</v>
      </c>
      <c r="D278" s="19" t="s">
        <v>20</v>
      </c>
      <c r="E278" s="57">
        <v>45870</v>
      </c>
      <c r="F278" s="58">
        <f t="shared" ref="F278:F288" si="48">I277</f>
        <v>27.6</v>
      </c>
      <c r="G278" s="58">
        <v>10</v>
      </c>
      <c r="H278" s="59">
        <v>0</v>
      </c>
      <c r="I278" s="58">
        <f t="shared" si="45"/>
        <v>37.6</v>
      </c>
      <c r="J278" s="58">
        <f>INDEX('Salary Information'!$B$91:$O$123,MATCH('PTO Accrual'!$B278,'Salary Information'!$B$91:$B$123,0),MATCH('PTO Accrual'!$E278,'Salary Information'!$B$91:$O$91,0))</f>
        <v>29.68024761904762</v>
      </c>
      <c r="K278" s="60">
        <f t="shared" si="47"/>
        <v>1115.9773104761905</v>
      </c>
    </row>
    <row r="279" spans="2:11">
      <c r="B279" s="19" t="s">
        <v>184</v>
      </c>
      <c r="C279" s="14" t="s">
        <v>185</v>
      </c>
      <c r="D279" s="19" t="s">
        <v>20</v>
      </c>
      <c r="E279" s="57">
        <v>45901</v>
      </c>
      <c r="F279" s="58">
        <f t="shared" si="48"/>
        <v>37.6</v>
      </c>
      <c r="G279" s="58">
        <v>10</v>
      </c>
      <c r="H279" s="59">
        <v>0</v>
      </c>
      <c r="I279" s="58">
        <f t="shared" si="45"/>
        <v>47.6</v>
      </c>
      <c r="J279" s="58">
        <f>INDEX('Salary Information'!$B$91:$O$123,MATCH('PTO Accrual'!$B279,'Salary Information'!$B$91:$B$123,0),MATCH('PTO Accrual'!$E279,'Salary Information'!$B$91:$O$91,0))</f>
        <v>29.09916590909091</v>
      </c>
      <c r="K279" s="60">
        <f t="shared" si="47"/>
        <v>1385.1202972727274</v>
      </c>
    </row>
    <row r="280" spans="2:11">
      <c r="B280" s="19" t="s">
        <v>184</v>
      </c>
      <c r="C280" s="14" t="s">
        <v>185</v>
      </c>
      <c r="D280" s="19" t="s">
        <v>20</v>
      </c>
      <c r="E280" s="57">
        <v>45931</v>
      </c>
      <c r="F280" s="58">
        <f t="shared" si="48"/>
        <v>47.6</v>
      </c>
      <c r="G280" s="58">
        <v>10</v>
      </c>
      <c r="H280" s="59">
        <v>0</v>
      </c>
      <c r="I280" s="58">
        <f t="shared" si="45"/>
        <v>57.6</v>
      </c>
      <c r="J280" s="58">
        <f>INDEX('Salary Information'!$B$91:$O$123,MATCH('PTO Accrual'!$B280,'Salary Information'!$B$91:$B$123,0),MATCH('PTO Accrual'!$E280,'Salary Information'!$B$91:$O$91,0))</f>
        <v>28.06560869565218</v>
      </c>
      <c r="K280" s="60">
        <f t="shared" si="47"/>
        <v>1616.5790608695656</v>
      </c>
    </row>
    <row r="281" spans="2:11">
      <c r="B281" s="19" t="s">
        <v>184</v>
      </c>
      <c r="C281" s="14" t="s">
        <v>185</v>
      </c>
      <c r="D281" s="19" t="s">
        <v>20</v>
      </c>
      <c r="E281" s="57">
        <v>45962</v>
      </c>
      <c r="F281" s="58">
        <f t="shared" si="48"/>
        <v>57.6</v>
      </c>
      <c r="G281" s="58">
        <v>10</v>
      </c>
      <c r="H281" s="59">
        <v>0</v>
      </c>
      <c r="I281" s="58">
        <f t="shared" si="45"/>
        <v>67.599999999999994</v>
      </c>
      <c r="J281" s="58">
        <f>INDEX('Salary Information'!$B$91:$O$123,MATCH('PTO Accrual'!$B281,'Salary Information'!$B$91:$B$123,0),MATCH('PTO Accrual'!$E281,'Salary Information'!$B$91:$O$91,0))</f>
        <v>29.981396634615425</v>
      </c>
      <c r="K281" s="60">
        <f t="shared" si="47"/>
        <v>2026.7424125000025</v>
      </c>
    </row>
    <row r="282" spans="2:11">
      <c r="B282" s="19" t="s">
        <v>184</v>
      </c>
      <c r="C282" s="14" t="s">
        <v>185</v>
      </c>
      <c r="D282" s="19" t="s">
        <v>20</v>
      </c>
      <c r="E282" s="57">
        <v>45992</v>
      </c>
      <c r="F282" s="58">
        <f t="shared" si="48"/>
        <v>67.599999999999994</v>
      </c>
      <c r="G282" s="58">
        <v>10</v>
      </c>
      <c r="H282" s="59">
        <v>0</v>
      </c>
      <c r="I282" s="58">
        <f t="shared" si="45"/>
        <v>77.599999999999994</v>
      </c>
      <c r="J282" s="58">
        <f>INDEX('Salary Information'!$B$91:$O$123,MATCH('PTO Accrual'!$B282,'Salary Information'!$B$91:$B$123,0),MATCH('PTO Accrual'!$E282,'Salary Information'!$B$91:$O$91,0))</f>
        <v>26.520800585284256</v>
      </c>
      <c r="K282" s="60">
        <f t="shared" si="47"/>
        <v>2058.014125418058</v>
      </c>
    </row>
    <row r="283" spans="2:11">
      <c r="B283" s="19" t="s">
        <v>184</v>
      </c>
      <c r="C283" s="14" t="s">
        <v>185</v>
      </c>
      <c r="D283" s="19" t="s">
        <v>20</v>
      </c>
      <c r="E283" s="57">
        <v>46023</v>
      </c>
      <c r="F283" s="58">
        <f t="shared" si="48"/>
        <v>77.599999999999994</v>
      </c>
      <c r="G283" s="58">
        <v>10</v>
      </c>
      <c r="H283" s="59">
        <v>0</v>
      </c>
      <c r="I283" s="58">
        <f t="shared" si="45"/>
        <v>87.6</v>
      </c>
      <c r="J283" s="58">
        <f>INDEX('Salary Information'!$B$91:$O$123,MATCH('PTO Accrual'!$B283,'Salary Information'!$B$91:$B$123,0),MATCH('PTO Accrual'!$E283,'Salary Information'!$B$91:$O$91,0))</f>
        <v>28.535627272727275</v>
      </c>
      <c r="K283" s="60">
        <f t="shared" si="47"/>
        <v>2499.720949090909</v>
      </c>
    </row>
    <row r="284" spans="2:11">
      <c r="B284" s="19" t="s">
        <v>184</v>
      </c>
      <c r="C284" s="14" t="s">
        <v>185</v>
      </c>
      <c r="D284" s="19" t="s">
        <v>20</v>
      </c>
      <c r="E284" s="57">
        <v>46054</v>
      </c>
      <c r="F284" s="58">
        <f t="shared" si="48"/>
        <v>87.6</v>
      </c>
      <c r="G284" s="58">
        <v>10</v>
      </c>
      <c r="H284" s="59">
        <v>8</v>
      </c>
      <c r="I284" s="58">
        <f t="shared" si="45"/>
        <v>89.6</v>
      </c>
      <c r="J284" s="58">
        <f>INDEX('Salary Information'!$B$91:$O$123,MATCH('PTO Accrual'!$B284,'Salary Information'!$B$91:$B$123,0),MATCH('PTO Accrual'!$E284,'Salary Information'!$B$91:$O$91,0))</f>
        <v>30.9493725961539</v>
      </c>
      <c r="K284" s="60">
        <f t="shared" si="47"/>
        <v>2773.0637846153891</v>
      </c>
    </row>
    <row r="285" spans="2:11">
      <c r="B285" s="19" t="s">
        <v>184</v>
      </c>
      <c r="C285" s="14" t="s">
        <v>185</v>
      </c>
      <c r="D285" s="19" t="s">
        <v>20</v>
      </c>
      <c r="E285" s="57">
        <v>46082</v>
      </c>
      <c r="F285" s="58">
        <f t="shared" si="48"/>
        <v>89.6</v>
      </c>
      <c r="G285" s="58">
        <v>10</v>
      </c>
      <c r="H285" s="59">
        <v>24</v>
      </c>
      <c r="I285" s="58">
        <f t="shared" si="45"/>
        <v>75.599999999999994</v>
      </c>
      <c r="J285" s="58">
        <f>INDEX('Salary Information'!$B$91:$O$123,MATCH('PTO Accrual'!$B285,'Salary Information'!$B$91:$B$123,0),MATCH('PTO Accrual'!$E285,'Salary Information'!$B$91:$O$91,0))</f>
        <v>27.567760052447579</v>
      </c>
      <c r="K285" s="60">
        <f t="shared" si="47"/>
        <v>2084.1226599650367</v>
      </c>
    </row>
    <row r="286" spans="2:11">
      <c r="B286" s="19" t="s">
        <v>184</v>
      </c>
      <c r="C286" s="14" t="s">
        <v>185</v>
      </c>
      <c r="D286" s="19" t="s">
        <v>20</v>
      </c>
      <c r="E286" s="57">
        <v>46113</v>
      </c>
      <c r="F286" s="58">
        <f t="shared" si="48"/>
        <v>75.599999999999994</v>
      </c>
      <c r="G286" s="58">
        <v>10</v>
      </c>
      <c r="H286" s="59">
        <v>0</v>
      </c>
      <c r="I286" s="58">
        <f t="shared" si="45"/>
        <v>85.6</v>
      </c>
      <c r="J286" s="58">
        <f>INDEX('Salary Information'!$B$91:$O$123,MATCH('PTO Accrual'!$B286,'Salary Information'!$B$91:$B$123,0),MATCH('PTO Accrual'!$E286,'Salary Information'!$B$91:$O$91,0))</f>
        <v>27.793295454545454</v>
      </c>
      <c r="K286" s="60">
        <f t="shared" si="47"/>
        <v>2379.1060909090907</v>
      </c>
    </row>
    <row r="287" spans="2:11">
      <c r="B287" s="19" t="s">
        <v>184</v>
      </c>
      <c r="C287" s="14" t="s">
        <v>185</v>
      </c>
      <c r="D287" s="19" t="s">
        <v>20</v>
      </c>
      <c r="E287" s="57">
        <v>46143</v>
      </c>
      <c r="F287" s="58">
        <f t="shared" si="48"/>
        <v>85.6</v>
      </c>
      <c r="G287" s="58">
        <v>10</v>
      </c>
      <c r="H287" s="59">
        <v>0</v>
      </c>
      <c r="I287" s="58">
        <f t="shared" si="45"/>
        <v>95.6</v>
      </c>
      <c r="J287" s="58">
        <f>INDEX('Salary Information'!$B$91:$O$123,MATCH('PTO Accrual'!$B287,'Salary Information'!$B$91:$B$123,0),MATCH('PTO Accrual'!$E287,'Salary Information'!$B$91:$O$91,0))</f>
        <v>27.212488553113559</v>
      </c>
      <c r="K287" s="60">
        <f t="shared" si="47"/>
        <v>2601.5139056776561</v>
      </c>
    </row>
    <row r="288" spans="2:11">
      <c r="B288" s="19" t="s">
        <v>184</v>
      </c>
      <c r="C288" s="14" t="s">
        <v>185</v>
      </c>
      <c r="D288" s="19" t="s">
        <v>20</v>
      </c>
      <c r="E288" s="57">
        <v>46174</v>
      </c>
      <c r="F288" s="58">
        <f t="shared" si="48"/>
        <v>95.6</v>
      </c>
      <c r="G288" s="58">
        <v>10</v>
      </c>
      <c r="H288" s="59">
        <v>0</v>
      </c>
      <c r="I288" s="58">
        <f t="shared" si="45"/>
        <v>105.6</v>
      </c>
      <c r="J288" s="58">
        <f>INDEX('Salary Information'!$B$91:$O$123,MATCH('PTO Accrual'!$B288,'Salary Information'!$B$91:$B$123,0),MATCH('PTO Accrual'!$E288,'Salary Information'!$B$91:$O$91,0))</f>
        <v>27.180583479021003</v>
      </c>
      <c r="K288" s="60">
        <f t="shared" si="47"/>
        <v>2870.2696153846177</v>
      </c>
    </row>
    <row r="289" spans="2:11">
      <c r="B289" s="19" t="s">
        <v>186</v>
      </c>
      <c r="C289" s="14" t="s">
        <v>187</v>
      </c>
      <c r="D289" s="19" t="s">
        <v>20</v>
      </c>
      <c r="E289" s="57">
        <v>45839</v>
      </c>
      <c r="F289" s="58">
        <v>26.6</v>
      </c>
      <c r="G289" s="58">
        <v>10</v>
      </c>
      <c r="H289" s="59">
        <v>8</v>
      </c>
      <c r="I289" s="58">
        <f t="shared" si="45"/>
        <v>28.6</v>
      </c>
      <c r="J289" s="58">
        <f>INDEX('Salary Information'!$B$91:$O$123,MATCH('PTO Accrual'!$B289,'Salary Information'!$B$91:$B$123,0),MATCH('PTO Accrual'!$E289,'Salary Information'!$B$91:$O$91,0))</f>
        <v>13.330910869565219</v>
      </c>
      <c r="K289" s="60">
        <f t="shared" si="47"/>
        <v>381.26405086956527</v>
      </c>
    </row>
    <row r="290" spans="2:11">
      <c r="B290" s="19" t="s">
        <v>186</v>
      </c>
      <c r="C290" s="14" t="s">
        <v>187</v>
      </c>
      <c r="D290" s="19" t="s">
        <v>20</v>
      </c>
      <c r="E290" s="57">
        <v>45870</v>
      </c>
      <c r="F290" s="58">
        <f t="shared" ref="F290:F299" si="49">I289</f>
        <v>28.6</v>
      </c>
      <c r="G290" s="58">
        <v>10</v>
      </c>
      <c r="H290" s="59">
        <v>0</v>
      </c>
      <c r="I290" s="58">
        <f t="shared" si="45"/>
        <v>38.6</v>
      </c>
      <c r="J290" s="58">
        <f>INDEX('Salary Information'!$B$91:$O$123,MATCH('PTO Accrual'!$B290,'Salary Information'!$B$91:$B$123,0),MATCH('PTO Accrual'!$E290,'Salary Information'!$B$91:$O$91,0))</f>
        <v>14.84012380952381</v>
      </c>
      <c r="K290" s="60">
        <f t="shared" si="47"/>
        <v>572.82877904761904</v>
      </c>
    </row>
    <row r="291" spans="2:11">
      <c r="B291" s="19" t="s">
        <v>186</v>
      </c>
      <c r="C291" s="14" t="s">
        <v>187</v>
      </c>
      <c r="D291" s="19" t="s">
        <v>20</v>
      </c>
      <c r="E291" s="57">
        <v>45901</v>
      </c>
      <c r="F291" s="58">
        <f t="shared" si="49"/>
        <v>38.6</v>
      </c>
      <c r="G291" s="58">
        <v>10</v>
      </c>
      <c r="H291" s="59">
        <v>32</v>
      </c>
      <c r="I291" s="58">
        <f t="shared" si="45"/>
        <v>16.600000000000001</v>
      </c>
      <c r="J291" s="58">
        <f>INDEX('Salary Information'!$B$91:$O$123,MATCH('PTO Accrual'!$B291,'Salary Information'!$B$91:$B$123,0),MATCH('PTO Accrual'!$E291,'Salary Information'!$B$91:$O$91,0))</f>
        <v>14.549582954545455</v>
      </c>
      <c r="K291" s="60">
        <f t="shared" si="47"/>
        <v>241.52307704545458</v>
      </c>
    </row>
    <row r="292" spans="2:11">
      <c r="B292" s="19" t="s">
        <v>186</v>
      </c>
      <c r="C292" s="14" t="s">
        <v>187</v>
      </c>
      <c r="D292" s="19" t="s">
        <v>20</v>
      </c>
      <c r="E292" s="57">
        <v>45931</v>
      </c>
      <c r="F292" s="58">
        <f t="shared" si="49"/>
        <v>16.600000000000001</v>
      </c>
      <c r="G292" s="58">
        <v>10</v>
      </c>
      <c r="H292" s="59">
        <v>24</v>
      </c>
      <c r="I292" s="58">
        <f t="shared" si="45"/>
        <v>2.6000000000000014</v>
      </c>
      <c r="J292" s="58">
        <f>INDEX('Salary Information'!$B$91:$O$123,MATCH('PTO Accrual'!$B292,'Salary Information'!$B$91:$B$123,0),MATCH('PTO Accrual'!$E292,'Salary Information'!$B$91:$O$91,0))</f>
        <v>14.03280434782609</v>
      </c>
      <c r="K292" s="60">
        <f t="shared" si="47"/>
        <v>36.485291304347854</v>
      </c>
    </row>
    <row r="293" spans="2:11">
      <c r="B293" s="19" t="s">
        <v>186</v>
      </c>
      <c r="C293" s="14" t="s">
        <v>187</v>
      </c>
      <c r="D293" s="19" t="s">
        <v>20</v>
      </c>
      <c r="E293" s="57">
        <v>45962</v>
      </c>
      <c r="F293" s="58">
        <f t="shared" si="49"/>
        <v>2.6000000000000014</v>
      </c>
      <c r="G293" s="58">
        <v>10</v>
      </c>
      <c r="H293" s="59">
        <v>40</v>
      </c>
      <c r="I293" s="58">
        <f t="shared" si="45"/>
        <v>-27.4</v>
      </c>
      <c r="J293" s="58">
        <f>INDEX('Salary Information'!$B$91:$O$123,MATCH('PTO Accrual'!$B293,'Salary Information'!$B$91:$B$123,0),MATCH('PTO Accrual'!$E293,'Salary Information'!$B$91:$O$91,0))</f>
        <v>14.990698317307713</v>
      </c>
      <c r="K293" s="60">
        <f t="shared" si="47"/>
        <v>-410.74513389423129</v>
      </c>
    </row>
    <row r="294" spans="2:11">
      <c r="B294" s="19" t="s">
        <v>186</v>
      </c>
      <c r="C294" s="14" t="s">
        <v>187</v>
      </c>
      <c r="D294" s="19" t="s">
        <v>20</v>
      </c>
      <c r="E294" s="57">
        <v>45992</v>
      </c>
      <c r="F294" s="58">
        <f t="shared" si="49"/>
        <v>-27.4</v>
      </c>
      <c r="G294" s="58">
        <v>10</v>
      </c>
      <c r="H294" s="59">
        <v>0</v>
      </c>
      <c r="I294" s="58">
        <f t="shared" si="45"/>
        <v>-17.399999999999999</v>
      </c>
      <c r="J294" s="58">
        <f>INDEX('Salary Information'!$B$91:$O$123,MATCH('PTO Accrual'!$B294,'Salary Information'!$B$91:$B$123,0),MATCH('PTO Accrual'!$E294,'Salary Information'!$B$91:$O$91,0))</f>
        <v>13.260400292642128</v>
      </c>
      <c r="K294" s="60">
        <f t="shared" si="47"/>
        <v>-230.73096509197302</v>
      </c>
    </row>
    <row r="295" spans="2:11">
      <c r="B295" s="19" t="s">
        <v>186</v>
      </c>
      <c r="C295" s="14" t="s">
        <v>187</v>
      </c>
      <c r="D295" s="19" t="s">
        <v>20</v>
      </c>
      <c r="E295" s="57">
        <v>46023</v>
      </c>
      <c r="F295" s="58">
        <f t="shared" si="49"/>
        <v>-17.399999999999999</v>
      </c>
      <c r="G295" s="58">
        <v>10</v>
      </c>
      <c r="H295" s="59">
        <v>0</v>
      </c>
      <c r="I295" s="58">
        <f t="shared" si="45"/>
        <v>-7.3999999999999986</v>
      </c>
      <c r="J295" s="58">
        <f>INDEX('Salary Information'!$B$91:$O$123,MATCH('PTO Accrual'!$B295,'Salary Information'!$B$91:$B$123,0),MATCH('PTO Accrual'!$E295,'Salary Information'!$B$91:$O$91,0))</f>
        <v>14.267813636363638</v>
      </c>
      <c r="K295" s="60">
        <f t="shared" si="47"/>
        <v>-105.58182090909089</v>
      </c>
    </row>
    <row r="296" spans="2:11">
      <c r="B296" s="19" t="s">
        <v>186</v>
      </c>
      <c r="C296" s="14" t="s">
        <v>187</v>
      </c>
      <c r="D296" s="19" t="s">
        <v>20</v>
      </c>
      <c r="E296" s="57">
        <v>46054</v>
      </c>
      <c r="F296" s="58">
        <f t="shared" si="49"/>
        <v>-7.3999999999999986</v>
      </c>
      <c r="G296" s="58">
        <v>10</v>
      </c>
      <c r="H296" s="59">
        <v>40</v>
      </c>
      <c r="I296" s="58">
        <f t="shared" si="45"/>
        <v>-37.4</v>
      </c>
      <c r="J296" s="58">
        <f>INDEX('Salary Information'!$B$91:$O$123,MATCH('PTO Accrual'!$B296,'Salary Information'!$B$91:$B$123,0),MATCH('PTO Accrual'!$E296,'Salary Information'!$B$91:$O$91,0))</f>
        <v>15.47468629807695</v>
      </c>
      <c r="K296" s="60">
        <f t="shared" si="47"/>
        <v>-578.75326754807793</v>
      </c>
    </row>
    <row r="297" spans="2:11">
      <c r="B297" s="19" t="s">
        <v>186</v>
      </c>
      <c r="C297" s="14" t="s">
        <v>187</v>
      </c>
      <c r="D297" s="19" t="s">
        <v>20</v>
      </c>
      <c r="E297" s="57">
        <v>46082</v>
      </c>
      <c r="F297" s="58">
        <f t="shared" si="49"/>
        <v>-37.4</v>
      </c>
      <c r="G297" s="58">
        <v>10</v>
      </c>
      <c r="H297" s="59">
        <v>0</v>
      </c>
      <c r="I297" s="58">
        <f t="shared" si="45"/>
        <v>-27.4</v>
      </c>
      <c r="J297" s="58">
        <f>INDEX('Salary Information'!$B$91:$O$123,MATCH('PTO Accrual'!$B297,'Salary Information'!$B$91:$B$123,0),MATCH('PTO Accrual'!$E297,'Salary Information'!$B$91:$O$91,0))</f>
        <v>13.783880026223789</v>
      </c>
      <c r="K297" s="60">
        <f t="shared" si="47"/>
        <v>-377.6783127185318</v>
      </c>
    </row>
    <row r="298" spans="2:11">
      <c r="B298" s="19" t="s">
        <v>186</v>
      </c>
      <c r="C298" s="14" t="s">
        <v>187</v>
      </c>
      <c r="D298" s="19" t="s">
        <v>20</v>
      </c>
      <c r="E298" s="57">
        <v>46113</v>
      </c>
      <c r="F298" s="58">
        <f t="shared" si="49"/>
        <v>-27.4</v>
      </c>
      <c r="G298" s="58">
        <v>10</v>
      </c>
      <c r="H298" s="59">
        <v>32</v>
      </c>
      <c r="I298" s="58">
        <f t="shared" si="45"/>
        <v>-49.4</v>
      </c>
      <c r="J298" s="58">
        <f>INDEX('Salary Information'!$B$91:$O$123,MATCH('PTO Accrual'!$B298,'Salary Information'!$B$91:$B$123,0),MATCH('PTO Accrual'!$E298,'Salary Information'!$B$91:$O$91,0))</f>
        <v>13.896647727272727</v>
      </c>
      <c r="K298" s="60">
        <f t="shared" si="47"/>
        <v>-686.49439772727271</v>
      </c>
    </row>
    <row r="299" spans="2:11">
      <c r="B299" s="19" t="s">
        <v>186</v>
      </c>
      <c r="C299" s="14" t="s">
        <v>187</v>
      </c>
      <c r="D299" s="19" t="s">
        <v>20</v>
      </c>
      <c r="E299" s="57">
        <v>46143</v>
      </c>
      <c r="F299" s="58">
        <f t="shared" si="49"/>
        <v>-49.4</v>
      </c>
      <c r="G299" s="58">
        <v>10</v>
      </c>
      <c r="H299" s="59">
        <v>0</v>
      </c>
      <c r="I299" s="58">
        <f t="shared" si="45"/>
        <v>-39.4</v>
      </c>
      <c r="J299" s="58">
        <f>INDEX('Salary Information'!$B$91:$O$123,MATCH('PTO Accrual'!$B299,'Salary Information'!$B$91:$B$123,0),MATCH('PTO Accrual'!$E299,'Salary Information'!$B$91:$O$91,0))</f>
        <v>13.606244276556779</v>
      </c>
      <c r="K299" s="60">
        <f t="shared" si="47"/>
        <v>-536.08602449633713</v>
      </c>
    </row>
    <row r="300" spans="2:11">
      <c r="B300" s="19" t="s">
        <v>190</v>
      </c>
      <c r="C300" s="14" t="s">
        <v>191</v>
      </c>
      <c r="D300" s="19" t="s">
        <v>14</v>
      </c>
      <c r="E300" s="57">
        <v>45962</v>
      </c>
      <c r="F300" s="58">
        <v>0</v>
      </c>
      <c r="G300" s="58">
        <v>10</v>
      </c>
      <c r="H300" s="59">
        <v>0</v>
      </c>
      <c r="I300" s="58">
        <f t="shared" si="45"/>
        <v>10</v>
      </c>
      <c r="J300" s="58">
        <f>INDEX('Salary Information'!$B$91:$O$123,MATCH('PTO Accrual'!$B300,'Salary Information'!$B$91:$B$123,0),MATCH('PTO Accrual'!$E300,'Salary Information'!$B$91:$O$91,0))</f>
        <v>29.981396634615425</v>
      </c>
      <c r="K300" s="60">
        <f t="shared" si="47"/>
        <v>299.81396634615425</v>
      </c>
    </row>
    <row r="301" spans="2:11">
      <c r="B301" s="19" t="s">
        <v>190</v>
      </c>
      <c r="C301" s="14" t="s">
        <v>191</v>
      </c>
      <c r="D301" s="19" t="s">
        <v>14</v>
      </c>
      <c r="E301" s="57">
        <v>45992</v>
      </c>
      <c r="F301" s="58">
        <f t="shared" ref="F301:F307" si="50">I300</f>
        <v>10</v>
      </c>
      <c r="G301" s="58">
        <v>10</v>
      </c>
      <c r="H301" s="59">
        <v>8</v>
      </c>
      <c r="I301" s="58">
        <f t="shared" si="45"/>
        <v>12</v>
      </c>
      <c r="J301" s="58">
        <f>INDEX('Salary Information'!$B$91:$O$123,MATCH('PTO Accrual'!$B301,'Salary Information'!$B$91:$B$123,0),MATCH('PTO Accrual'!$E301,'Salary Information'!$B$91:$O$91,0))</f>
        <v>26.520800585284256</v>
      </c>
      <c r="K301" s="60">
        <f t="shared" si="47"/>
        <v>318.24960702341104</v>
      </c>
    </row>
    <row r="302" spans="2:11">
      <c r="B302" s="19" t="s">
        <v>190</v>
      </c>
      <c r="C302" s="14" t="s">
        <v>191</v>
      </c>
      <c r="D302" s="19" t="s">
        <v>14</v>
      </c>
      <c r="E302" s="57">
        <v>46023</v>
      </c>
      <c r="F302" s="58">
        <f t="shared" si="50"/>
        <v>12</v>
      </c>
      <c r="G302" s="58">
        <v>10</v>
      </c>
      <c r="H302" s="59">
        <v>0</v>
      </c>
      <c r="I302" s="58">
        <f t="shared" si="45"/>
        <v>22</v>
      </c>
      <c r="J302" s="58">
        <f>INDEX('Salary Information'!$B$91:$O$123,MATCH('PTO Accrual'!$B302,'Salary Information'!$B$91:$B$123,0),MATCH('PTO Accrual'!$E302,'Salary Information'!$B$91:$O$91,0))</f>
        <v>28.535627272727275</v>
      </c>
      <c r="K302" s="60">
        <f t="shared" si="47"/>
        <v>627.78380000000004</v>
      </c>
    </row>
    <row r="303" spans="2:11">
      <c r="B303" s="19" t="s">
        <v>190</v>
      </c>
      <c r="C303" s="14" t="s">
        <v>191</v>
      </c>
      <c r="D303" s="19" t="s">
        <v>14</v>
      </c>
      <c r="E303" s="57">
        <v>46054</v>
      </c>
      <c r="F303" s="58">
        <f t="shared" si="50"/>
        <v>22</v>
      </c>
      <c r="G303" s="58">
        <v>10</v>
      </c>
      <c r="H303" s="59">
        <v>0</v>
      </c>
      <c r="I303" s="58">
        <f t="shared" si="45"/>
        <v>32</v>
      </c>
      <c r="J303" s="58">
        <f>INDEX('Salary Information'!$B$91:$O$123,MATCH('PTO Accrual'!$B303,'Salary Information'!$B$91:$B$123,0),MATCH('PTO Accrual'!$E303,'Salary Information'!$B$91:$O$91,0))</f>
        <v>30.9493725961539</v>
      </c>
      <c r="K303" s="60">
        <f t="shared" si="47"/>
        <v>990.3799230769248</v>
      </c>
    </row>
    <row r="304" spans="2:11">
      <c r="B304" s="19" t="s">
        <v>190</v>
      </c>
      <c r="C304" s="14" t="s">
        <v>191</v>
      </c>
      <c r="D304" s="19" t="s">
        <v>14</v>
      </c>
      <c r="E304" s="57">
        <v>46082</v>
      </c>
      <c r="F304" s="58">
        <f t="shared" si="50"/>
        <v>32</v>
      </c>
      <c r="G304" s="58">
        <v>10</v>
      </c>
      <c r="H304" s="59">
        <v>0</v>
      </c>
      <c r="I304" s="58">
        <f t="shared" si="45"/>
        <v>42</v>
      </c>
      <c r="J304" s="58">
        <f>INDEX('Salary Information'!$B$91:$O$123,MATCH('PTO Accrual'!$B304,'Salary Information'!$B$91:$B$123,0),MATCH('PTO Accrual'!$E304,'Salary Information'!$B$91:$O$91,0))</f>
        <v>27.567760052447579</v>
      </c>
      <c r="K304" s="60">
        <f t="shared" si="47"/>
        <v>1157.8459222027982</v>
      </c>
    </row>
    <row r="305" spans="2:11">
      <c r="B305" s="19" t="s">
        <v>190</v>
      </c>
      <c r="C305" s="14" t="s">
        <v>191</v>
      </c>
      <c r="D305" s="19" t="s">
        <v>14</v>
      </c>
      <c r="E305" s="57">
        <v>46113</v>
      </c>
      <c r="F305" s="58">
        <f t="shared" si="50"/>
        <v>42</v>
      </c>
      <c r="G305" s="58">
        <v>10</v>
      </c>
      <c r="H305" s="59">
        <v>0</v>
      </c>
      <c r="I305" s="58">
        <f t="shared" si="45"/>
        <v>52</v>
      </c>
      <c r="J305" s="58">
        <f>INDEX('Salary Information'!$B$91:$O$123,MATCH('PTO Accrual'!$B305,'Salary Information'!$B$91:$B$123,0),MATCH('PTO Accrual'!$E305,'Salary Information'!$B$91:$O$91,0))</f>
        <v>27.793295454545454</v>
      </c>
      <c r="K305" s="60">
        <f t="shared" si="47"/>
        <v>1445.2513636363635</v>
      </c>
    </row>
    <row r="306" spans="2:11">
      <c r="B306" s="19" t="s">
        <v>190</v>
      </c>
      <c r="C306" s="14" t="s">
        <v>191</v>
      </c>
      <c r="D306" s="19" t="s">
        <v>14</v>
      </c>
      <c r="E306" s="57">
        <v>46143</v>
      </c>
      <c r="F306" s="58">
        <f t="shared" si="50"/>
        <v>52</v>
      </c>
      <c r="G306" s="58">
        <v>10</v>
      </c>
      <c r="H306" s="59">
        <v>0</v>
      </c>
      <c r="I306" s="58">
        <f t="shared" si="45"/>
        <v>62</v>
      </c>
      <c r="J306" s="58">
        <f>INDEX('Salary Information'!$B$91:$O$123,MATCH('PTO Accrual'!$B306,'Salary Information'!$B$91:$B$123,0),MATCH('PTO Accrual'!$E306,'Salary Information'!$B$91:$O$91,0))</f>
        <v>27.212488553113559</v>
      </c>
      <c r="K306" s="60">
        <f t="shared" si="47"/>
        <v>1687.1742902930407</v>
      </c>
    </row>
    <row r="307" spans="2:11">
      <c r="B307" s="19" t="s">
        <v>190</v>
      </c>
      <c r="C307" s="14" t="s">
        <v>191</v>
      </c>
      <c r="D307" s="19" t="s">
        <v>14</v>
      </c>
      <c r="E307" s="57">
        <v>46174</v>
      </c>
      <c r="F307" s="58">
        <f t="shared" si="50"/>
        <v>62</v>
      </c>
      <c r="G307" s="58">
        <v>10</v>
      </c>
      <c r="H307" s="59">
        <v>16</v>
      </c>
      <c r="I307" s="58">
        <f t="shared" si="45"/>
        <v>56</v>
      </c>
      <c r="J307" s="58">
        <f>INDEX('Salary Information'!$B$91:$O$123,MATCH('PTO Accrual'!$B307,'Salary Information'!$B$91:$B$123,0),MATCH('PTO Accrual'!$E307,'Salary Information'!$B$91:$O$91,0))</f>
        <v>27.180583479021003</v>
      </c>
      <c r="K307" s="60">
        <f t="shared" si="47"/>
        <v>1522.1126748251761</v>
      </c>
    </row>
    <row r="308" spans="2:11">
      <c r="B308" s="19" t="s">
        <v>192</v>
      </c>
      <c r="C308" s="14" t="s">
        <v>193</v>
      </c>
      <c r="D308" s="19" t="s">
        <v>18</v>
      </c>
      <c r="E308" s="57">
        <v>46054</v>
      </c>
      <c r="F308" s="58">
        <v>0</v>
      </c>
      <c r="G308" s="58">
        <v>10</v>
      </c>
      <c r="H308" s="59">
        <v>16</v>
      </c>
      <c r="I308" s="58">
        <f t="shared" si="45"/>
        <v>-6</v>
      </c>
      <c r="J308" s="58">
        <f>INDEX('Salary Information'!$B$91:$O$123,MATCH('PTO Accrual'!$B308,'Salary Information'!$B$91:$B$123,0),MATCH('PTO Accrual'!$E308,'Salary Information'!$B$91:$O$91,0))</f>
        <v>30.9493725961539</v>
      </c>
      <c r="K308" s="60">
        <f t="shared" si="47"/>
        <v>-185.69623557692341</v>
      </c>
    </row>
    <row r="309" spans="2:11">
      <c r="B309" s="19" t="s">
        <v>192</v>
      </c>
      <c r="C309" s="14" t="s">
        <v>193</v>
      </c>
      <c r="D309" s="19" t="s">
        <v>18</v>
      </c>
      <c r="E309" s="57">
        <v>46082</v>
      </c>
      <c r="F309" s="58">
        <f t="shared" ref="F309:F312" si="51">I308</f>
        <v>-6</v>
      </c>
      <c r="G309" s="58">
        <v>10</v>
      </c>
      <c r="H309" s="59">
        <v>0</v>
      </c>
      <c r="I309" s="58">
        <f t="shared" ref="I309:I327" si="52">F309+G309-H309</f>
        <v>4</v>
      </c>
      <c r="J309" s="58">
        <f>INDEX('Salary Information'!$B$91:$O$123,MATCH('PTO Accrual'!$B309,'Salary Information'!$B$91:$B$123,0),MATCH('PTO Accrual'!$E309,'Salary Information'!$B$91:$O$91,0))</f>
        <v>27.567760052447579</v>
      </c>
      <c r="K309" s="60">
        <f t="shared" si="47"/>
        <v>110.27104020979031</v>
      </c>
    </row>
    <row r="310" spans="2:11">
      <c r="B310" s="19" t="s">
        <v>192</v>
      </c>
      <c r="C310" s="14" t="s">
        <v>193</v>
      </c>
      <c r="D310" s="19" t="s">
        <v>18</v>
      </c>
      <c r="E310" s="57">
        <v>46113</v>
      </c>
      <c r="F310" s="58">
        <f t="shared" si="51"/>
        <v>4</v>
      </c>
      <c r="G310" s="58">
        <v>10</v>
      </c>
      <c r="H310" s="59">
        <v>8</v>
      </c>
      <c r="I310" s="58">
        <f t="shared" si="52"/>
        <v>6</v>
      </c>
      <c r="J310" s="58">
        <f>INDEX('Salary Information'!$B$91:$O$123,MATCH('PTO Accrual'!$B310,'Salary Information'!$B$91:$B$123,0),MATCH('PTO Accrual'!$E310,'Salary Information'!$B$91:$O$91,0))</f>
        <v>27.793295454545454</v>
      </c>
      <c r="K310" s="60">
        <f t="shared" si="47"/>
        <v>166.75977272727272</v>
      </c>
    </row>
    <row r="311" spans="2:11">
      <c r="B311" s="19" t="s">
        <v>192</v>
      </c>
      <c r="C311" s="14" t="s">
        <v>193</v>
      </c>
      <c r="D311" s="19" t="s">
        <v>18</v>
      </c>
      <c r="E311" s="57">
        <v>46143</v>
      </c>
      <c r="F311" s="58">
        <f t="shared" si="51"/>
        <v>6</v>
      </c>
      <c r="G311" s="58">
        <v>10</v>
      </c>
      <c r="H311" s="59">
        <v>0</v>
      </c>
      <c r="I311" s="58">
        <f t="shared" si="52"/>
        <v>16</v>
      </c>
      <c r="J311" s="58">
        <f>INDEX('Salary Information'!$B$91:$O$123,MATCH('PTO Accrual'!$B311,'Salary Information'!$B$91:$B$123,0),MATCH('PTO Accrual'!$E311,'Salary Information'!$B$91:$O$91,0))</f>
        <v>27.212488553113559</v>
      </c>
      <c r="K311" s="60">
        <f t="shared" si="47"/>
        <v>435.39981684981694</v>
      </c>
    </row>
    <row r="312" spans="2:11">
      <c r="B312" s="19" t="s">
        <v>192</v>
      </c>
      <c r="C312" s="14" t="s">
        <v>193</v>
      </c>
      <c r="D312" s="19" t="s">
        <v>18</v>
      </c>
      <c r="E312" s="57">
        <v>46174</v>
      </c>
      <c r="F312" s="58">
        <f t="shared" si="51"/>
        <v>16</v>
      </c>
      <c r="G312" s="58">
        <v>10</v>
      </c>
      <c r="H312" s="59">
        <v>0</v>
      </c>
      <c r="I312" s="58">
        <f t="shared" si="52"/>
        <v>26</v>
      </c>
      <c r="J312" s="58">
        <f>INDEX('Salary Information'!$B$91:$O$123,MATCH('PTO Accrual'!$B312,'Salary Information'!$B$91:$B$123,0),MATCH('PTO Accrual'!$E312,'Salary Information'!$B$91:$O$91,0))</f>
        <v>27.180583479021003</v>
      </c>
      <c r="K312" s="60">
        <f t="shared" si="47"/>
        <v>706.69517045454609</v>
      </c>
    </row>
    <row r="313" spans="2:11">
      <c r="B313" s="19" t="s">
        <v>188</v>
      </c>
      <c r="C313" s="14" t="s">
        <v>189</v>
      </c>
      <c r="D313" s="19" t="s">
        <v>12</v>
      </c>
      <c r="E313" s="57">
        <v>45931</v>
      </c>
      <c r="F313" s="58">
        <v>0</v>
      </c>
      <c r="G313" s="58">
        <v>10</v>
      </c>
      <c r="H313" s="59">
        <v>8</v>
      </c>
      <c r="I313" s="58">
        <f t="shared" si="52"/>
        <v>2</v>
      </c>
      <c r="J313" s="58">
        <f>INDEX('Salary Information'!$B$91:$O$123,MATCH('PTO Accrual'!$B313,'Salary Information'!$B$91:$B$123,0),MATCH('PTO Accrual'!$E313,'Salary Information'!$B$91:$O$91,0))</f>
        <v>28.06560869565218</v>
      </c>
      <c r="K313" s="60">
        <f t="shared" si="47"/>
        <v>56.131217391304361</v>
      </c>
    </row>
    <row r="314" spans="2:11">
      <c r="B314" s="19" t="s">
        <v>188</v>
      </c>
      <c r="C314" s="14" t="s">
        <v>189</v>
      </c>
      <c r="D314" s="19" t="s">
        <v>12</v>
      </c>
      <c r="E314" s="57">
        <v>45962</v>
      </c>
      <c r="F314" s="58">
        <f t="shared" ref="F314:F321" si="53">I313</f>
        <v>2</v>
      </c>
      <c r="G314" s="58">
        <v>10</v>
      </c>
      <c r="H314" s="59">
        <v>0</v>
      </c>
      <c r="I314" s="58">
        <f t="shared" si="52"/>
        <v>12</v>
      </c>
      <c r="J314" s="58">
        <f>INDEX('Salary Information'!$B$91:$O$123,MATCH('PTO Accrual'!$B314,'Salary Information'!$B$91:$B$123,0),MATCH('PTO Accrual'!$E314,'Salary Information'!$B$91:$O$91,0))</f>
        <v>29.981396634615425</v>
      </c>
      <c r="K314" s="60">
        <f t="shared" si="47"/>
        <v>359.77675961538512</v>
      </c>
    </row>
    <row r="315" spans="2:11">
      <c r="B315" s="19" t="s">
        <v>188</v>
      </c>
      <c r="C315" s="14" t="s">
        <v>189</v>
      </c>
      <c r="D315" s="19" t="s">
        <v>12</v>
      </c>
      <c r="E315" s="57">
        <v>45992</v>
      </c>
      <c r="F315" s="58">
        <f t="shared" si="53"/>
        <v>12</v>
      </c>
      <c r="G315" s="58">
        <v>10</v>
      </c>
      <c r="H315" s="59">
        <v>0</v>
      </c>
      <c r="I315" s="58">
        <f t="shared" si="52"/>
        <v>22</v>
      </c>
      <c r="J315" s="58">
        <f>INDEX('Salary Information'!$B$91:$O$123,MATCH('PTO Accrual'!$B315,'Salary Information'!$B$91:$B$123,0),MATCH('PTO Accrual'!$E315,'Salary Information'!$B$91:$O$91,0))</f>
        <v>26.520800585284256</v>
      </c>
      <c r="K315" s="60">
        <f t="shared" si="47"/>
        <v>583.45761287625362</v>
      </c>
    </row>
    <row r="316" spans="2:11">
      <c r="B316" s="19" t="s">
        <v>188</v>
      </c>
      <c r="C316" s="14" t="s">
        <v>189</v>
      </c>
      <c r="D316" s="19" t="s">
        <v>12</v>
      </c>
      <c r="E316" s="57">
        <v>46023</v>
      </c>
      <c r="F316" s="58">
        <f t="shared" si="53"/>
        <v>22</v>
      </c>
      <c r="G316" s="58">
        <v>10</v>
      </c>
      <c r="H316" s="59">
        <v>0</v>
      </c>
      <c r="I316" s="58">
        <f t="shared" si="52"/>
        <v>32</v>
      </c>
      <c r="J316" s="58">
        <f>INDEX('Salary Information'!$B$91:$O$123,MATCH('PTO Accrual'!$B316,'Salary Information'!$B$91:$B$123,0),MATCH('PTO Accrual'!$E316,'Salary Information'!$B$91:$O$91,0))</f>
        <v>28.535627272727275</v>
      </c>
      <c r="K316" s="60">
        <f t="shared" si="47"/>
        <v>913.14007272727281</v>
      </c>
    </row>
    <row r="317" spans="2:11">
      <c r="B317" s="19" t="s">
        <v>188</v>
      </c>
      <c r="C317" s="14" t="s">
        <v>189</v>
      </c>
      <c r="D317" s="19" t="s">
        <v>12</v>
      </c>
      <c r="E317" s="57">
        <v>46054</v>
      </c>
      <c r="F317" s="58">
        <f t="shared" si="53"/>
        <v>32</v>
      </c>
      <c r="G317" s="58">
        <v>10</v>
      </c>
      <c r="H317" s="59">
        <v>0</v>
      </c>
      <c r="I317" s="58">
        <f t="shared" si="52"/>
        <v>42</v>
      </c>
      <c r="J317" s="58">
        <f>INDEX('Salary Information'!$B$91:$O$123,MATCH('PTO Accrual'!$B317,'Salary Information'!$B$91:$B$123,0),MATCH('PTO Accrual'!$E317,'Salary Information'!$B$91:$O$91,0))</f>
        <v>30.9493725961539</v>
      </c>
      <c r="K317" s="60">
        <f t="shared" si="47"/>
        <v>1299.8736490384638</v>
      </c>
    </row>
    <row r="318" spans="2:11">
      <c r="B318" s="19" t="s">
        <v>188</v>
      </c>
      <c r="C318" s="14" t="s">
        <v>189</v>
      </c>
      <c r="D318" s="19" t="s">
        <v>12</v>
      </c>
      <c r="E318" s="57">
        <v>46082</v>
      </c>
      <c r="F318" s="58">
        <f t="shared" si="53"/>
        <v>42</v>
      </c>
      <c r="G318" s="58">
        <v>10</v>
      </c>
      <c r="H318" s="59">
        <v>8</v>
      </c>
      <c r="I318" s="58">
        <f t="shared" si="52"/>
        <v>44</v>
      </c>
      <c r="J318" s="58">
        <f>INDEX('Salary Information'!$B$91:$O$123,MATCH('PTO Accrual'!$B318,'Salary Information'!$B$91:$B$123,0),MATCH('PTO Accrual'!$E318,'Salary Information'!$B$91:$O$91,0))</f>
        <v>27.567760052447579</v>
      </c>
      <c r="K318" s="60">
        <f t="shared" si="47"/>
        <v>1212.9814423076934</v>
      </c>
    </row>
    <row r="319" spans="2:11">
      <c r="B319" s="19" t="s">
        <v>188</v>
      </c>
      <c r="C319" s="14" t="s">
        <v>189</v>
      </c>
      <c r="D319" s="19" t="s">
        <v>12</v>
      </c>
      <c r="E319" s="57">
        <v>46113</v>
      </c>
      <c r="F319" s="58">
        <f t="shared" si="53"/>
        <v>44</v>
      </c>
      <c r="G319" s="58">
        <v>10</v>
      </c>
      <c r="H319" s="59">
        <v>8</v>
      </c>
      <c r="I319" s="58">
        <f t="shared" si="52"/>
        <v>46</v>
      </c>
      <c r="J319" s="58">
        <f>INDEX('Salary Information'!$B$91:$O$123,MATCH('PTO Accrual'!$B319,'Salary Information'!$B$91:$B$123,0),MATCH('PTO Accrual'!$E319,'Salary Information'!$B$91:$O$91,0))</f>
        <v>27.793295454545454</v>
      </c>
      <c r="K319" s="60">
        <f t="shared" si="47"/>
        <v>1278.491590909091</v>
      </c>
    </row>
    <row r="320" spans="2:11">
      <c r="B320" s="19" t="s">
        <v>188</v>
      </c>
      <c r="C320" s="14" t="s">
        <v>189</v>
      </c>
      <c r="D320" s="19" t="s">
        <v>12</v>
      </c>
      <c r="E320" s="57">
        <v>46143</v>
      </c>
      <c r="F320" s="58">
        <f t="shared" si="53"/>
        <v>46</v>
      </c>
      <c r="G320" s="58">
        <v>10</v>
      </c>
      <c r="H320" s="59">
        <v>0</v>
      </c>
      <c r="I320" s="58">
        <f t="shared" si="52"/>
        <v>56</v>
      </c>
      <c r="J320" s="58">
        <f>INDEX('Salary Information'!$B$91:$O$123,MATCH('PTO Accrual'!$B320,'Salary Information'!$B$91:$B$123,0),MATCH('PTO Accrual'!$E320,'Salary Information'!$B$91:$O$91,0))</f>
        <v>27.212488553113559</v>
      </c>
      <c r="K320" s="60">
        <f t="shared" si="47"/>
        <v>1523.8993589743593</v>
      </c>
    </row>
    <row r="321" spans="2:11">
      <c r="B321" s="19" t="s">
        <v>188</v>
      </c>
      <c r="C321" s="14" t="s">
        <v>189</v>
      </c>
      <c r="D321" s="19" t="s">
        <v>12</v>
      </c>
      <c r="E321" s="57">
        <v>46174</v>
      </c>
      <c r="F321" s="58">
        <f t="shared" si="53"/>
        <v>56</v>
      </c>
      <c r="G321" s="58">
        <v>10</v>
      </c>
      <c r="H321" s="59">
        <v>0</v>
      </c>
      <c r="I321" s="58">
        <f t="shared" si="52"/>
        <v>66</v>
      </c>
      <c r="J321" s="58">
        <f>INDEX('Salary Information'!$B$91:$O$123,MATCH('PTO Accrual'!$B321,'Salary Information'!$B$91:$B$123,0),MATCH('PTO Accrual'!$E321,'Salary Information'!$B$91:$O$91,0))</f>
        <v>27.180583479021003</v>
      </c>
      <c r="K321" s="60">
        <f t="shared" si="47"/>
        <v>1793.9185096153863</v>
      </c>
    </row>
    <row r="322" spans="2:11">
      <c r="B322" s="19" t="s">
        <v>194</v>
      </c>
      <c r="C322" s="14" t="s">
        <v>195</v>
      </c>
      <c r="D322" s="19" t="s">
        <v>18</v>
      </c>
      <c r="E322" s="57">
        <v>46082</v>
      </c>
      <c r="F322" s="58">
        <v>0</v>
      </c>
      <c r="G322" s="58">
        <v>10</v>
      </c>
      <c r="H322" s="59">
        <v>0</v>
      </c>
      <c r="I322" s="58">
        <f t="shared" si="52"/>
        <v>10</v>
      </c>
      <c r="J322" s="58">
        <f>INDEX('Salary Information'!$B$91:$O$123,MATCH('PTO Accrual'!$B322,'Salary Information'!$B$91:$B$123,0),MATCH('PTO Accrual'!$E322,'Salary Information'!$B$91:$O$91,0))</f>
        <v>27.567760052447579</v>
      </c>
      <c r="K322" s="60">
        <f t="shared" si="47"/>
        <v>275.67760052447579</v>
      </c>
    </row>
    <row r="323" spans="2:11">
      <c r="B323" s="19" t="s">
        <v>194</v>
      </c>
      <c r="C323" s="14" t="s">
        <v>195</v>
      </c>
      <c r="D323" s="19" t="s">
        <v>18</v>
      </c>
      <c r="E323" s="57">
        <v>46113</v>
      </c>
      <c r="F323" s="58">
        <f t="shared" ref="F323:F325" si="54">I322</f>
        <v>10</v>
      </c>
      <c r="G323" s="58">
        <v>10</v>
      </c>
      <c r="H323" s="59">
        <v>16</v>
      </c>
      <c r="I323" s="58">
        <f t="shared" si="52"/>
        <v>4</v>
      </c>
      <c r="J323" s="58">
        <f>INDEX('Salary Information'!$B$91:$O$123,MATCH('PTO Accrual'!$B323,'Salary Information'!$B$91:$B$123,0),MATCH('PTO Accrual'!$E323,'Salary Information'!$B$91:$O$91,0))</f>
        <v>27.793295454545454</v>
      </c>
      <c r="K323" s="60">
        <f t="shared" si="47"/>
        <v>111.17318181818182</v>
      </c>
    </row>
    <row r="324" spans="2:11">
      <c r="B324" s="19" t="s">
        <v>194</v>
      </c>
      <c r="C324" s="14" t="s">
        <v>195</v>
      </c>
      <c r="D324" s="19" t="s">
        <v>18</v>
      </c>
      <c r="E324" s="57">
        <v>46143</v>
      </c>
      <c r="F324" s="58">
        <f t="shared" si="54"/>
        <v>4</v>
      </c>
      <c r="G324" s="58">
        <v>10</v>
      </c>
      <c r="H324" s="59">
        <v>0</v>
      </c>
      <c r="I324" s="58">
        <f t="shared" si="52"/>
        <v>14</v>
      </c>
      <c r="J324" s="58">
        <f>INDEX('Salary Information'!$B$91:$O$123,MATCH('PTO Accrual'!$B324,'Salary Information'!$B$91:$B$123,0),MATCH('PTO Accrual'!$E324,'Salary Information'!$B$91:$O$91,0))</f>
        <v>27.212488553113559</v>
      </c>
      <c r="K324" s="60">
        <f t="shared" si="47"/>
        <v>380.97483974358983</v>
      </c>
    </row>
    <row r="325" spans="2:11">
      <c r="B325" s="19" t="s">
        <v>194</v>
      </c>
      <c r="C325" s="14" t="s">
        <v>195</v>
      </c>
      <c r="D325" s="19" t="s">
        <v>18</v>
      </c>
      <c r="E325" s="57">
        <v>46174</v>
      </c>
      <c r="F325" s="58">
        <f t="shared" si="54"/>
        <v>14</v>
      </c>
      <c r="G325" s="58">
        <v>10</v>
      </c>
      <c r="H325" s="59">
        <v>0</v>
      </c>
      <c r="I325" s="58">
        <f t="shared" si="52"/>
        <v>24</v>
      </c>
      <c r="J325" s="58">
        <f>INDEX('Salary Information'!$B$91:$O$123,MATCH('PTO Accrual'!$B325,'Salary Information'!$B$91:$B$123,0),MATCH('PTO Accrual'!$E325,'Salary Information'!$B$91:$O$91,0))</f>
        <v>27.180583479021003</v>
      </c>
      <c r="K325" s="60">
        <f t="shared" si="47"/>
        <v>652.33400349650401</v>
      </c>
    </row>
    <row r="326" spans="2:11">
      <c r="B326" s="19" t="s">
        <v>196</v>
      </c>
      <c r="C326" s="14" t="s">
        <v>197</v>
      </c>
      <c r="D326" s="19" t="s">
        <v>20</v>
      </c>
      <c r="E326" s="57">
        <v>46143</v>
      </c>
      <c r="F326" s="58">
        <v>0</v>
      </c>
      <c r="G326" s="58">
        <v>10</v>
      </c>
      <c r="H326" s="59">
        <v>16</v>
      </c>
      <c r="I326" s="58">
        <f t="shared" si="52"/>
        <v>-6</v>
      </c>
      <c r="J326" s="58">
        <f>INDEX('Salary Information'!$B$91:$O$123,MATCH('PTO Accrual'!$B326,'Salary Information'!$B$91:$B$123,0),MATCH('PTO Accrual'!$E326,'Salary Information'!$B$91:$O$91,0))</f>
        <v>27.212488553113559</v>
      </c>
      <c r="K326" s="60">
        <f t="shared" si="47"/>
        <v>-163.27493131868135</v>
      </c>
    </row>
    <row r="327" spans="2:11">
      <c r="B327" s="19" t="s">
        <v>196</v>
      </c>
      <c r="C327" s="14" t="s">
        <v>197</v>
      </c>
      <c r="D327" s="19" t="s">
        <v>20</v>
      </c>
      <c r="E327" s="57">
        <v>46174</v>
      </c>
      <c r="F327" s="58">
        <f t="shared" ref="F327" si="55">I326</f>
        <v>-6</v>
      </c>
      <c r="G327" s="58">
        <v>10</v>
      </c>
      <c r="H327" s="59">
        <v>8</v>
      </c>
      <c r="I327" s="58">
        <f t="shared" si="52"/>
        <v>-4</v>
      </c>
      <c r="J327" s="58">
        <f>INDEX('Salary Information'!$B$91:$O$123,MATCH('PTO Accrual'!$B327,'Salary Information'!$B$91:$B$123,0),MATCH('PTO Accrual'!$E327,'Salary Information'!$B$91:$O$91,0))</f>
        <v>27.180583479021003</v>
      </c>
      <c r="K327" s="60">
        <f t="shared" si="47"/>
        <v>-108.72233391608401</v>
      </c>
    </row>
  </sheetData>
  <autoFilter ref="B9:K327" xr:uid="{A5BC07F2-5C32-824F-A5B2-75A22E9D198D}"/>
  <phoneticPr fontId="6"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A42"/>
  <sheetViews>
    <sheetView showGridLines="0" zoomScaleNormal="100" workbookViewId="0">
      <pane xSplit="1" ySplit="2" topLeftCell="E3" activePane="bottomRight" state="frozen"/>
      <selection pane="topRight" activeCell="E1" sqref="E1"/>
      <selection pane="bottomLeft" activeCell="A3" sqref="A3"/>
      <selection pane="bottomRight" activeCell="D2455" sqref="D2455"/>
    </sheetView>
  </sheetViews>
  <sheetFormatPr baseColWidth="10" defaultColWidth="11.1640625" defaultRowHeight="15"/>
  <cols>
    <col min="1" max="1" width="14.6640625" customWidth="1"/>
    <col min="2" max="2" width="30.1640625" customWidth="1"/>
    <col min="3" max="3" width="24.6640625" customWidth="1"/>
    <col min="4" max="13" width="12.6640625" customWidth="1"/>
  </cols>
  <sheetData>
    <row r="2" spans="1:27" ht="15" customHeight="1">
      <c r="A2" s="5" t="s">
        <v>2</v>
      </c>
      <c r="B2" s="5" t="s">
        <v>643</v>
      </c>
      <c r="C2" s="5" t="s">
        <v>644</v>
      </c>
      <c r="D2" s="4">
        <v>45839</v>
      </c>
      <c r="E2" s="4" t="s">
        <v>645</v>
      </c>
      <c r="F2" s="4">
        <v>45870</v>
      </c>
      <c r="G2" s="4"/>
      <c r="H2" s="4">
        <v>45901</v>
      </c>
      <c r="I2" s="4"/>
      <c r="J2" s="4">
        <v>45931</v>
      </c>
      <c r="K2" s="4"/>
      <c r="L2" s="4">
        <v>45962</v>
      </c>
      <c r="M2" s="4"/>
      <c r="N2" s="4">
        <v>45992</v>
      </c>
      <c r="O2" s="4"/>
      <c r="P2" s="4">
        <v>46023</v>
      </c>
      <c r="Q2" s="4"/>
      <c r="R2" s="4">
        <v>46054</v>
      </c>
      <c r="S2" s="4"/>
      <c r="T2" s="4">
        <v>46082</v>
      </c>
      <c r="U2" s="4"/>
      <c r="V2" s="4">
        <v>46113</v>
      </c>
      <c r="W2" s="4"/>
      <c r="X2" s="4">
        <v>46143</v>
      </c>
      <c r="Y2" s="4"/>
      <c r="Z2" s="4">
        <v>46174</v>
      </c>
      <c r="AA2" s="4"/>
    </row>
    <row r="3" spans="1:27" ht="15" customHeight="1">
      <c r="A3" s="1" t="s">
        <v>12</v>
      </c>
      <c r="B3" s="2" t="s">
        <v>13</v>
      </c>
      <c r="C3" s="2" t="s">
        <v>133</v>
      </c>
      <c r="D3" s="6">
        <f>SUMIFS('Budget Data'!$J:$J,'Budget Data'!$C:$C,'Indirect Pool - Budget'!$A3,'Budget Data'!$G:$G,"Expense",'Budget Data'!$A:$A,'Indirect Pool - Budget'!D$2)</f>
        <v>24400</v>
      </c>
      <c r="E3" s="7">
        <f>D3/D$9</f>
        <v>0.18841698841698842</v>
      </c>
      <c r="F3" s="6">
        <f>SUMIFS('Budget Data'!$J:$J,'Budget Data'!$C:$C,'Indirect Pool - Budget'!$A3,'Budget Data'!$G:$G,"Expense",'Budget Data'!$A:$A,'Indirect Pool - Budget'!F$2)</f>
        <v>25700</v>
      </c>
      <c r="G3" s="7">
        <f>F3/F$9</f>
        <v>0.19136262099776619</v>
      </c>
      <c r="H3" s="6">
        <f>SUMIFS('Budget Data'!$J:$J,'Budget Data'!$C:$C,'Indirect Pool - Budget'!$A3,'Budget Data'!$G:$G,"Expense",'Budget Data'!$A:$A,'Indirect Pool - Budget'!H$2)</f>
        <v>26900</v>
      </c>
      <c r="I3" s="7">
        <f>H3/H$9</f>
        <v>0.19823139277818719</v>
      </c>
      <c r="J3" s="6">
        <f>SUMIFS('Budget Data'!$J:$J,'Budget Data'!$C:$C,'Indirect Pool - Budget'!$A3,'Budget Data'!$G:$G,"Expense",'Budget Data'!$A:$A,'Indirect Pool - Budget'!J$2)</f>
        <v>20000</v>
      </c>
      <c r="K3" s="7">
        <f>J3/J$9</f>
        <v>0.13106159895150721</v>
      </c>
      <c r="L3" s="6">
        <f>SUMIFS('Budget Data'!$J:$J,'Budget Data'!$C:$C,'Indirect Pool - Budget'!$A3,'Budget Data'!$G:$G,"Expense",'Budget Data'!$A:$A,'Indirect Pool - Budget'!L$2)</f>
        <v>26200</v>
      </c>
      <c r="M3" s="7">
        <f>L3/L$9</f>
        <v>0.17994505494505494</v>
      </c>
      <c r="N3" s="6">
        <f>SUMIFS('Budget Data'!$J:$J,'Budget Data'!$C:$C,'Indirect Pool - Budget'!$A3,'Budget Data'!$G:$G,"Expense",'Budget Data'!$A:$A,'Indirect Pool - Budget'!N$2)</f>
        <v>26800</v>
      </c>
      <c r="O3" s="7">
        <f>N3/N$9</f>
        <v>0.17724867724867724</v>
      </c>
      <c r="P3" s="6">
        <f>SUMIFS('Budget Data'!$J:$J,'Budget Data'!$C:$C,'Indirect Pool - Budget'!$A3,'Budget Data'!$G:$G,"Expense",'Budget Data'!$A:$A,'Indirect Pool - Budget'!P$2)</f>
        <v>30700</v>
      </c>
      <c r="Q3" s="7">
        <f>P3/P$9</f>
        <v>0.19973975276512687</v>
      </c>
      <c r="R3" s="6">
        <f>SUMIFS('Budget Data'!$J:$J,'Budget Data'!$C:$C,'Indirect Pool - Budget'!$A3,'Budget Data'!$G:$G,"Expense",'Budget Data'!$A:$A,'Indirect Pool - Budget'!R$2)</f>
        <v>28300</v>
      </c>
      <c r="S3" s="7">
        <f>R3/R$9</f>
        <v>0.18593955321944811</v>
      </c>
      <c r="T3" s="6">
        <f>SUMIFS('Budget Data'!$J:$J,'Budget Data'!$C:$C,'Indirect Pool - Budget'!$A3,'Budget Data'!$G:$G,"Expense",'Budget Data'!$A:$A,'Indirect Pool - Budget'!T$2)</f>
        <v>27700</v>
      </c>
      <c r="U3" s="7">
        <f>T3/T$9</f>
        <v>0.17280099812850905</v>
      </c>
      <c r="V3" s="6">
        <f>SUMIFS('Budget Data'!$J:$J,'Budget Data'!$C:$C,'Indirect Pool - Budget'!$A3,'Budget Data'!$G:$G,"Expense",'Budget Data'!$A:$A,'Indirect Pool - Budget'!V$2)</f>
        <v>28600</v>
      </c>
      <c r="W3" s="7">
        <f>V3/V$9</f>
        <v>0.17249698431845598</v>
      </c>
      <c r="X3" s="6">
        <f>SUMIFS('Budget Data'!$J:$J,'Budget Data'!$C:$C,'Indirect Pool - Budget'!$A3,'Budget Data'!$G:$G,"Expense",'Budget Data'!$A:$A,'Indirect Pool - Budget'!X$2)</f>
        <v>27600</v>
      </c>
      <c r="Y3" s="7">
        <f>X3/X$9</f>
        <v>0.19422941590429274</v>
      </c>
      <c r="Z3" s="6">
        <f>SUMIFS('Budget Data'!$J:$J,'Budget Data'!$C:$C,'Indirect Pool - Budget'!$A3,'Budget Data'!$G:$G,"Expense",'Budget Data'!$A:$A,'Indirect Pool - Budget'!Z$2)</f>
        <v>28700</v>
      </c>
      <c r="AA3" s="7">
        <f>Z3/Z$9</f>
        <v>0.17661538461538462</v>
      </c>
    </row>
    <row r="4" spans="1:27" ht="15" customHeight="1">
      <c r="A4" s="1" t="s">
        <v>14</v>
      </c>
      <c r="B4" s="2" t="s">
        <v>15</v>
      </c>
      <c r="C4" s="2" t="s">
        <v>133</v>
      </c>
      <c r="D4" s="6">
        <f>SUMIFS('Budget Data'!$J:$J,'Budget Data'!$C:$C,'Indirect Pool - Budget'!$A4,'Budget Data'!$G:$G,"Expense",'Budget Data'!$A:$A,'Indirect Pool - Budget'!D$2)</f>
        <v>20600</v>
      </c>
      <c r="E4" s="7">
        <f>D4/D$9</f>
        <v>0.15907335907335907</v>
      </c>
      <c r="F4" s="6">
        <f>SUMIFS('Budget Data'!$J:$J,'Budget Data'!$C:$C,'Indirect Pool - Budget'!$A4,'Budget Data'!$G:$G,"Expense",'Budget Data'!$A:$A,'Indirect Pool - Budget'!F$2)</f>
        <v>21600</v>
      </c>
      <c r="G4" s="7">
        <f>F4/F$9</f>
        <v>0.16083395383469842</v>
      </c>
      <c r="H4" s="6">
        <f>SUMIFS('Budget Data'!$J:$J,'Budget Data'!$C:$C,'Indirect Pool - Budget'!$A4,'Budget Data'!$G:$G,"Expense",'Budget Data'!$A:$A,'Indirect Pool - Budget'!H$2)</f>
        <v>22800</v>
      </c>
      <c r="I4" s="7">
        <f>H4/H$9</f>
        <v>0.16801768607221812</v>
      </c>
      <c r="J4" s="6">
        <f>SUMIFS('Budget Data'!$J:$J,'Budget Data'!$C:$C,'Indirect Pool - Budget'!$A4,'Budget Data'!$G:$G,"Expense",'Budget Data'!$A:$A,'Indirect Pool - Budget'!J$2)</f>
        <v>44000</v>
      </c>
      <c r="K4" s="7">
        <f>J4/J$9</f>
        <v>0.28833551769331583</v>
      </c>
      <c r="L4" s="6">
        <f>SUMIFS('Budget Data'!$J:$J,'Budget Data'!$C:$C,'Indirect Pool - Budget'!$A4,'Budget Data'!$G:$G,"Expense",'Budget Data'!$A:$A,'Indirect Pool - Budget'!L$2)</f>
        <v>28300</v>
      </c>
      <c r="M4" s="7">
        <f>L4/L$9</f>
        <v>0.19436813186813187</v>
      </c>
      <c r="N4" s="6">
        <f>SUMIFS('Budget Data'!$J:$J,'Budget Data'!$C:$C,'Indirect Pool - Budget'!$A4,'Budget Data'!$G:$G,"Expense",'Budget Data'!$A:$A,'Indirect Pool - Budget'!N$2)</f>
        <v>29100</v>
      </c>
      <c r="O4" s="7">
        <f>N4/N$9</f>
        <v>0.19246031746031747</v>
      </c>
      <c r="P4" s="6">
        <f>SUMIFS('Budget Data'!$J:$J,'Budget Data'!$C:$C,'Indirect Pool - Budget'!$A4,'Budget Data'!$G:$G,"Expense",'Budget Data'!$A:$A,'Indirect Pool - Budget'!P$2)</f>
        <v>31200</v>
      </c>
      <c r="Q4" s="7">
        <f>P4/P$9</f>
        <v>0.202992843201041</v>
      </c>
      <c r="R4" s="6">
        <f>SUMIFS('Budget Data'!$J:$J,'Budget Data'!$C:$C,'Indirect Pool - Budget'!$A4,'Budget Data'!$G:$G,"Expense",'Budget Data'!$A:$A,'Indirect Pool - Budget'!R$2)</f>
        <v>35000</v>
      </c>
      <c r="S4" s="7">
        <f>R4/R$9</f>
        <v>0.22996057818659657</v>
      </c>
      <c r="T4" s="6">
        <f>SUMIFS('Budget Data'!$J:$J,'Budget Data'!$C:$C,'Indirect Pool - Budget'!$A4,'Budget Data'!$G:$G,"Expense",'Budget Data'!$A:$A,'Indirect Pool - Budget'!T$2)</f>
        <v>31700</v>
      </c>
      <c r="U4" s="7">
        <f>T4/T$9</f>
        <v>0.19775421085464753</v>
      </c>
      <c r="V4" s="6">
        <f>SUMIFS('Budget Data'!$J:$J,'Budget Data'!$C:$C,'Indirect Pool - Budget'!$A4,'Budget Data'!$G:$G,"Expense",'Budget Data'!$A:$A,'Indirect Pool - Budget'!V$2)</f>
        <v>43500</v>
      </c>
      <c r="W4" s="7">
        <f>V4/V$9</f>
        <v>0.26236429433051872</v>
      </c>
      <c r="X4" s="6">
        <f>SUMIFS('Budget Data'!$J:$J,'Budget Data'!$C:$C,'Indirect Pool - Budget'!$A4,'Budget Data'!$G:$G,"Expense",'Budget Data'!$A:$A,'Indirect Pool - Budget'!X$2)</f>
        <v>32000</v>
      </c>
      <c r="Y4" s="7">
        <f>X4/X$9</f>
        <v>0.22519352568613651</v>
      </c>
      <c r="Z4" s="6">
        <f>SUMIFS('Budget Data'!$J:$J,'Budget Data'!$C:$C,'Indirect Pool - Budget'!$A4,'Budget Data'!$G:$G,"Expense",'Budget Data'!$A:$A,'Indirect Pool - Budget'!Z$2)</f>
        <v>32000</v>
      </c>
      <c r="AA4" s="7">
        <f>Z4/Z$9</f>
        <v>0.19692307692307692</v>
      </c>
    </row>
    <row r="5" spans="1:27" ht="15" customHeight="1">
      <c r="A5" s="1" t="s">
        <v>16</v>
      </c>
      <c r="B5" s="2" t="s">
        <v>17</v>
      </c>
      <c r="C5" s="2" t="s">
        <v>133</v>
      </c>
      <c r="D5" s="6">
        <f>SUMIFS('Budget Data'!$J:$J,'Budget Data'!$C:$C,'Indirect Pool - Budget'!$A5,'Budget Data'!$G:$G,"Expense",'Budget Data'!$A:$A,'Indirect Pool - Budget'!D$2)</f>
        <v>24700</v>
      </c>
      <c r="E5" s="7">
        <f>D5/D$9</f>
        <v>0.19073359073359072</v>
      </c>
      <c r="F5" s="6">
        <f>SUMIFS('Budget Data'!$J:$J,'Budget Data'!$C:$C,'Indirect Pool - Budget'!$A5,'Budget Data'!$G:$G,"Expense",'Budget Data'!$A:$A,'Indirect Pool - Budget'!F$2)</f>
        <v>22500</v>
      </c>
      <c r="G5" s="7">
        <f>F5/F$9</f>
        <v>0.16753536857781087</v>
      </c>
      <c r="H5" s="6">
        <f>SUMIFS('Budget Data'!$J:$J,'Budget Data'!$C:$C,'Indirect Pool - Budget'!$A5,'Budget Data'!$G:$G,"Expense",'Budget Data'!$A:$A,'Indirect Pool - Budget'!H$2)</f>
        <v>23300</v>
      </c>
      <c r="I5" s="7">
        <f>H5/H$9</f>
        <v>0.17170228445099484</v>
      </c>
      <c r="J5" s="6">
        <f>SUMIFS('Budget Data'!$J:$J,'Budget Data'!$C:$C,'Indirect Pool - Budget'!$A5,'Budget Data'!$G:$G,"Expense",'Budget Data'!$A:$A,'Indirect Pool - Budget'!J$2)</f>
        <v>25800</v>
      </c>
      <c r="K5" s="7">
        <f>J5/J$9</f>
        <v>0.1690694626474443</v>
      </c>
      <c r="L5" s="6">
        <f>SUMIFS('Budget Data'!$J:$J,'Budget Data'!$C:$C,'Indirect Pool - Budget'!$A5,'Budget Data'!$G:$G,"Expense",'Budget Data'!$A:$A,'Indirect Pool - Budget'!L$2)</f>
        <v>30900</v>
      </c>
      <c r="M5" s="7">
        <f>L5/L$9</f>
        <v>0.21222527472527472</v>
      </c>
      <c r="N5" s="6">
        <f>SUMIFS('Budget Data'!$J:$J,'Budget Data'!$C:$C,'Indirect Pool - Budget'!$A5,'Budget Data'!$G:$G,"Expense",'Budget Data'!$A:$A,'Indirect Pool - Budget'!N$2)</f>
        <v>21500</v>
      </c>
      <c r="O5" s="7">
        <f>N5/N$9</f>
        <v>0.14219576719576721</v>
      </c>
      <c r="P5" s="6">
        <f>SUMIFS('Budget Data'!$J:$J,'Budget Data'!$C:$C,'Indirect Pool - Budget'!$A5,'Budget Data'!$G:$G,"Expense",'Budget Data'!$A:$A,'Indirect Pool - Budget'!P$2)</f>
        <v>28000</v>
      </c>
      <c r="Q5" s="7">
        <f>P5/P$9</f>
        <v>0.18217306441119063</v>
      </c>
      <c r="R5" s="6">
        <f>SUMIFS('Budget Data'!$J:$J,'Budget Data'!$C:$C,'Indirect Pool - Budget'!$A5,'Budget Data'!$G:$G,"Expense",'Budget Data'!$A:$A,'Indirect Pool - Budget'!R$2)</f>
        <v>22500</v>
      </c>
      <c r="S5" s="7">
        <f>R5/R$9</f>
        <v>0.14783180026281209</v>
      </c>
      <c r="T5" s="6">
        <f>SUMIFS('Budget Data'!$J:$J,'Budget Data'!$C:$C,'Indirect Pool - Budget'!$A5,'Budget Data'!$G:$G,"Expense",'Budget Data'!$A:$A,'Indirect Pool - Budget'!T$2)</f>
        <v>34700</v>
      </c>
      <c r="U5" s="7">
        <f>T5/T$9</f>
        <v>0.2164691203992514</v>
      </c>
      <c r="V5" s="6">
        <f>SUMIFS('Budget Data'!$J:$J,'Budget Data'!$C:$C,'Indirect Pool - Budget'!$A5,'Budget Data'!$G:$G,"Expense",'Budget Data'!$A:$A,'Indirect Pool - Budget'!V$2)</f>
        <v>20400</v>
      </c>
      <c r="W5" s="7">
        <f>V5/V$9</f>
        <v>0.12303980699638119</v>
      </c>
      <c r="X5" s="6">
        <f>SUMIFS('Budget Data'!$J:$J,'Budget Data'!$C:$C,'Indirect Pool - Budget'!$A5,'Budget Data'!$G:$G,"Expense",'Budget Data'!$A:$A,'Indirect Pool - Budget'!X$2)</f>
        <v>13100</v>
      </c>
      <c r="Y5" s="7">
        <f>X5/X$9</f>
        <v>9.218859957776214E-2</v>
      </c>
      <c r="Z5" s="6">
        <f>SUMIFS('Budget Data'!$J:$J,'Budget Data'!$C:$C,'Indirect Pool - Budget'!$A5,'Budget Data'!$G:$G,"Expense",'Budget Data'!$A:$A,'Indirect Pool - Budget'!Z$2)</f>
        <v>17100</v>
      </c>
      <c r="AA5" s="7">
        <f>Z5/Z$9</f>
        <v>0.10523076923076922</v>
      </c>
    </row>
    <row r="6" spans="1:27" ht="15" customHeight="1">
      <c r="A6" s="1" t="s">
        <v>18</v>
      </c>
      <c r="B6" s="2" t="s">
        <v>19</v>
      </c>
      <c r="C6" s="2" t="s">
        <v>133</v>
      </c>
      <c r="D6" s="6">
        <f>SUMIFS('Budget Data'!$J:$J,'Budget Data'!$C:$C,'Indirect Pool - Budget'!$A6,'Budget Data'!$G:$G,"Expense",'Budget Data'!$A:$A,'Indirect Pool - Budget'!D$2)</f>
        <v>29700</v>
      </c>
      <c r="E6" s="7">
        <f>D6/D$9</f>
        <v>0.22934362934362934</v>
      </c>
      <c r="F6" s="6">
        <f>SUMIFS('Budget Data'!$J:$J,'Budget Data'!$C:$C,'Indirect Pool - Budget'!$A6,'Budget Data'!$G:$G,"Expense",'Budget Data'!$A:$A,'Indirect Pool - Budget'!F$2)</f>
        <v>35500</v>
      </c>
      <c r="G6" s="7">
        <f>F6/F$9</f>
        <v>0.26433358153387937</v>
      </c>
      <c r="H6" s="6">
        <f>SUMIFS('Budget Data'!$J:$J,'Budget Data'!$C:$C,'Indirect Pool - Budget'!$A6,'Budget Data'!$G:$G,"Expense",'Budget Data'!$A:$A,'Indirect Pool - Budget'!H$2)</f>
        <v>31900</v>
      </c>
      <c r="I6" s="7">
        <f>H6/H$9</f>
        <v>0.23507737656595432</v>
      </c>
      <c r="J6" s="6">
        <f>SUMIFS('Budget Data'!$J:$J,'Budget Data'!$C:$C,'Indirect Pool - Budget'!$A6,'Budget Data'!$G:$G,"Expense",'Budget Data'!$A:$A,'Indirect Pool - Budget'!J$2)</f>
        <v>33200</v>
      </c>
      <c r="K6" s="7">
        <f>J6/J$9</f>
        <v>0.21756225425950196</v>
      </c>
      <c r="L6" s="6">
        <f>SUMIFS('Budget Data'!$J:$J,'Budget Data'!$C:$C,'Indirect Pool - Budget'!$A6,'Budget Data'!$G:$G,"Expense",'Budget Data'!$A:$A,'Indirect Pool - Budget'!L$2)</f>
        <v>31200</v>
      </c>
      <c r="M6" s="7">
        <f>L6/L$9</f>
        <v>0.21428571428571427</v>
      </c>
      <c r="N6" s="6">
        <f>SUMIFS('Budget Data'!$J:$J,'Budget Data'!$C:$C,'Indirect Pool - Budget'!$A6,'Budget Data'!$G:$G,"Expense",'Budget Data'!$A:$A,'Indirect Pool - Budget'!N$2)</f>
        <v>41200</v>
      </c>
      <c r="O6" s="7">
        <f>N6/N$9</f>
        <v>0.2724867724867725</v>
      </c>
      <c r="P6" s="6">
        <f>SUMIFS('Budget Data'!$J:$J,'Budget Data'!$C:$C,'Indirect Pool - Budget'!$A6,'Budget Data'!$G:$G,"Expense",'Budget Data'!$A:$A,'Indirect Pool - Budget'!P$2)</f>
        <v>23600</v>
      </c>
      <c r="Q6" s="7">
        <f>P6/P$9</f>
        <v>0.15354586857514638</v>
      </c>
      <c r="R6" s="6">
        <f>SUMIFS('Budget Data'!$J:$J,'Budget Data'!$C:$C,'Indirect Pool - Budget'!$A6,'Budget Data'!$G:$G,"Expense",'Budget Data'!$A:$A,'Indirect Pool - Budget'!R$2)</f>
        <v>33700</v>
      </c>
      <c r="S6" s="7">
        <f>R6/R$9</f>
        <v>0.221419185282523</v>
      </c>
      <c r="T6" s="6">
        <f>SUMIFS('Budget Data'!$J:$J,'Budget Data'!$C:$C,'Indirect Pool - Budget'!$A6,'Budget Data'!$G:$G,"Expense",'Budget Data'!$A:$A,'Indirect Pool - Budget'!T$2)</f>
        <v>29900</v>
      </c>
      <c r="U6" s="7">
        <f>T6/T$9</f>
        <v>0.18652526512788523</v>
      </c>
      <c r="V6" s="6">
        <f>SUMIFS('Budget Data'!$J:$J,'Budget Data'!$C:$C,'Indirect Pool - Budget'!$A6,'Budget Data'!$G:$G,"Expense",'Budget Data'!$A:$A,'Indirect Pool - Budget'!V$2)</f>
        <v>36800</v>
      </c>
      <c r="W6" s="7">
        <f>V6/V$9</f>
        <v>0.22195416164053075</v>
      </c>
      <c r="X6" s="6">
        <f>SUMIFS('Budget Data'!$J:$J,'Budget Data'!$C:$C,'Indirect Pool - Budget'!$A6,'Budget Data'!$G:$G,"Expense",'Budget Data'!$A:$A,'Indirect Pool - Budget'!X$2)</f>
        <v>28800</v>
      </c>
      <c r="Y6" s="7">
        <f>X6/X$9</f>
        <v>0.20267417311752287</v>
      </c>
      <c r="Z6" s="6">
        <f>SUMIFS('Budget Data'!$J:$J,'Budget Data'!$C:$C,'Indirect Pool - Budget'!$A6,'Budget Data'!$G:$G,"Expense",'Budget Data'!$A:$A,'Indirect Pool - Budget'!Z$2)</f>
        <v>47600</v>
      </c>
      <c r="AA6" s="7">
        <f>Z6/Z$9</f>
        <v>0.2929230769230769</v>
      </c>
    </row>
    <row r="7" spans="1:27" ht="15" customHeight="1">
      <c r="A7" s="1" t="s">
        <v>20</v>
      </c>
      <c r="B7" s="2" t="s">
        <v>21</v>
      </c>
      <c r="C7" s="2" t="s">
        <v>133</v>
      </c>
      <c r="D7" s="6">
        <f>SUMIFS('Budget Data'!$J:$J,'Budget Data'!$C:$C,'Indirect Pool - Budget'!$A7,'Budget Data'!$G:$G,"Expense",'Budget Data'!$A:$A,'Indirect Pool - Budget'!D$2)</f>
        <v>30100</v>
      </c>
      <c r="E7" s="7">
        <f>D7/D$9</f>
        <v>0.23243243243243245</v>
      </c>
      <c r="F7" s="6">
        <f>SUMIFS('Budget Data'!$J:$J,'Budget Data'!$C:$C,'Indirect Pool - Budget'!$A7,'Budget Data'!$G:$G,"Expense",'Budget Data'!$A:$A,'Indirect Pool - Budget'!F$2)</f>
        <v>29000</v>
      </c>
      <c r="G7" s="7">
        <f>F7/F$9</f>
        <v>0.21593447505584512</v>
      </c>
      <c r="H7" s="6">
        <f>SUMIFS('Budget Data'!$J:$J,'Budget Data'!$C:$C,'Indirect Pool - Budget'!$A7,'Budget Data'!$G:$G,"Expense",'Budget Data'!$A:$A,'Indirect Pool - Budget'!H$2)</f>
        <v>30800</v>
      </c>
      <c r="I7" s="7">
        <f>H7/H$9</f>
        <v>0.22697126013264554</v>
      </c>
      <c r="J7" s="6">
        <f>SUMIFS('Budget Data'!$J:$J,'Budget Data'!$C:$C,'Indirect Pool - Budget'!$A7,'Budget Data'!$G:$G,"Expense",'Budget Data'!$A:$A,'Indirect Pool - Budget'!J$2)</f>
        <v>29600</v>
      </c>
      <c r="K7" s="7">
        <f>J7/J$9</f>
        <v>0.19397116644823068</v>
      </c>
      <c r="L7" s="6">
        <f>SUMIFS('Budget Data'!$J:$J,'Budget Data'!$C:$C,'Indirect Pool - Budget'!$A7,'Budget Data'!$G:$G,"Expense",'Budget Data'!$A:$A,'Indirect Pool - Budget'!L$2)</f>
        <v>29000</v>
      </c>
      <c r="M7" s="7">
        <f>L7/L$9</f>
        <v>0.19917582417582416</v>
      </c>
      <c r="N7" s="6">
        <f>SUMIFS('Budget Data'!$J:$J,'Budget Data'!$C:$C,'Indirect Pool - Budget'!$A7,'Budget Data'!$G:$G,"Expense",'Budget Data'!$A:$A,'Indirect Pool - Budget'!N$2)</f>
        <v>32600</v>
      </c>
      <c r="O7" s="7">
        <f>N7/N$9</f>
        <v>0.21560846560846561</v>
      </c>
      <c r="P7" s="6">
        <f>SUMIFS('Budget Data'!$J:$J,'Budget Data'!$C:$C,'Indirect Pool - Budget'!$A7,'Budget Data'!$G:$G,"Expense",'Budget Data'!$A:$A,'Indirect Pool - Budget'!P$2)</f>
        <v>40200</v>
      </c>
      <c r="Q7" s="7">
        <f>P7/P$9</f>
        <v>0.26154847104749512</v>
      </c>
      <c r="R7" s="6">
        <f>SUMIFS('Budget Data'!$J:$J,'Budget Data'!$C:$C,'Indirect Pool - Budget'!$A7,'Budget Data'!$G:$G,"Expense",'Budget Data'!$A:$A,'Indirect Pool - Budget'!R$2)</f>
        <v>32700</v>
      </c>
      <c r="S7" s="7">
        <f>R7/R$9</f>
        <v>0.21484888304862024</v>
      </c>
      <c r="T7" s="6">
        <f>SUMIFS('Budget Data'!$J:$J,'Budget Data'!$C:$C,'Indirect Pool - Budget'!$A7,'Budget Data'!$G:$G,"Expense",'Budget Data'!$A:$A,'Indirect Pool - Budget'!T$2)</f>
        <v>36300</v>
      </c>
      <c r="U7" s="7">
        <f>T7/T$9</f>
        <v>0.2264504054897068</v>
      </c>
      <c r="V7" s="6">
        <f>SUMIFS('Budget Data'!$J:$J,'Budget Data'!$C:$C,'Indirect Pool - Budget'!$A7,'Budget Data'!$G:$G,"Expense",'Budget Data'!$A:$A,'Indirect Pool - Budget'!V$2)</f>
        <v>36500</v>
      </c>
      <c r="W7" s="7">
        <f>V7/V$9</f>
        <v>0.22014475271411338</v>
      </c>
      <c r="X7" s="6">
        <f>SUMIFS('Budget Data'!$J:$J,'Budget Data'!$C:$C,'Indirect Pool - Budget'!$A7,'Budget Data'!$G:$G,"Expense",'Budget Data'!$A:$A,'Indirect Pool - Budget'!X$2)</f>
        <v>40600</v>
      </c>
      <c r="Y7" s="7">
        <f>X7/X$9</f>
        <v>0.2857142857142857</v>
      </c>
      <c r="Z7" s="6">
        <f>SUMIFS('Budget Data'!$J:$J,'Budget Data'!$C:$C,'Indirect Pool - Budget'!$A7,'Budget Data'!$G:$G,"Expense",'Budget Data'!$A:$A,'Indirect Pool - Budget'!Z$2)</f>
        <v>37100</v>
      </c>
      <c r="AA7" s="7">
        <f>Z7/Z$9</f>
        <v>0.22830769230769229</v>
      </c>
    </row>
    <row r="8" spans="1:27" ht="15" customHeight="1">
      <c r="A8" s="8"/>
      <c r="B8" s="8"/>
      <c r="C8" s="8"/>
      <c r="D8" s="8"/>
      <c r="E8" s="8"/>
      <c r="F8" s="8"/>
      <c r="G8" s="8"/>
      <c r="H8" s="8"/>
      <c r="I8" s="8"/>
      <c r="J8" s="8"/>
      <c r="K8" s="8"/>
      <c r="L8" s="8"/>
      <c r="M8" s="8"/>
      <c r="N8" s="8"/>
      <c r="O8" s="8"/>
      <c r="P8" s="8"/>
      <c r="Q8" s="8"/>
      <c r="R8" s="8"/>
      <c r="S8" s="8"/>
      <c r="T8" s="8"/>
      <c r="U8" s="8"/>
      <c r="V8" s="8"/>
      <c r="W8" s="8"/>
      <c r="X8" s="8"/>
      <c r="Y8" s="8"/>
      <c r="Z8" s="8"/>
      <c r="AA8" s="8"/>
    </row>
    <row r="9" spans="1:27" ht="15" customHeight="1">
      <c r="A9" s="8"/>
      <c r="B9" s="8"/>
      <c r="C9" s="8"/>
      <c r="D9" s="9">
        <f>SUM(D3:D7)</f>
        <v>129500</v>
      </c>
      <c r="E9" s="9"/>
      <c r="F9" s="9">
        <f>SUM(F3:F7)</f>
        <v>134300</v>
      </c>
      <c r="G9" s="9"/>
      <c r="H9" s="9">
        <f>SUM(H3:H7)</f>
        <v>135700</v>
      </c>
      <c r="I9" s="9"/>
      <c r="J9" s="9">
        <f>SUM(J3:J7)</f>
        <v>152600</v>
      </c>
      <c r="K9" s="9"/>
      <c r="L9" s="9">
        <f>SUM(L3:L7)</f>
        <v>145600</v>
      </c>
      <c r="M9" s="9"/>
      <c r="N9" s="9">
        <f>SUM(N3:N7)</f>
        <v>151200</v>
      </c>
      <c r="O9" s="9"/>
      <c r="P9" s="9">
        <f>SUM(P3:P7)</f>
        <v>153700</v>
      </c>
      <c r="Q9" s="9"/>
      <c r="R9" s="9">
        <f>SUM(R3:R7)</f>
        <v>152200</v>
      </c>
      <c r="S9" s="9"/>
      <c r="T9" s="9">
        <f>SUM(T3:T7)</f>
        <v>160300</v>
      </c>
      <c r="U9" s="9"/>
      <c r="V9" s="9">
        <f>SUM(V3:V7)</f>
        <v>165800</v>
      </c>
      <c r="W9" s="9"/>
      <c r="X9" s="9">
        <f>SUM(X3:X7)</f>
        <v>142100</v>
      </c>
      <c r="Y9" s="9"/>
      <c r="Z9" s="9">
        <f>SUM(Z3:Z7)</f>
        <v>162500</v>
      </c>
      <c r="AA9" s="9"/>
    </row>
    <row r="10" spans="1:27" ht="15" customHeight="1">
      <c r="A10" s="8"/>
      <c r="B10" s="8"/>
      <c r="C10" s="8"/>
      <c r="D10" s="8"/>
      <c r="E10" s="8"/>
      <c r="F10" s="8"/>
      <c r="G10" s="8"/>
      <c r="H10" s="8"/>
      <c r="I10" s="8"/>
      <c r="J10" s="8"/>
      <c r="K10" s="8"/>
      <c r="L10" s="8"/>
      <c r="M10" s="8"/>
      <c r="N10" s="8"/>
      <c r="O10" s="8"/>
      <c r="P10" s="8"/>
      <c r="Q10" s="8"/>
      <c r="R10" s="8"/>
      <c r="S10" s="8"/>
      <c r="T10" s="8"/>
      <c r="U10" s="8"/>
      <c r="V10" s="8"/>
      <c r="W10" s="8"/>
      <c r="X10" s="8"/>
      <c r="Y10" s="8"/>
      <c r="Z10" s="8"/>
      <c r="AA10" s="8"/>
    </row>
    <row r="11" spans="1:27" ht="15" customHeight="1">
      <c r="A11" s="8"/>
      <c r="B11" s="8"/>
      <c r="C11" s="8"/>
      <c r="D11" s="8"/>
      <c r="E11" s="8"/>
      <c r="F11" s="8"/>
      <c r="G11" s="8"/>
      <c r="H11" s="8"/>
      <c r="I11" s="8"/>
      <c r="J11" s="8"/>
      <c r="K11" s="8"/>
      <c r="L11" s="8"/>
      <c r="M11" s="8"/>
      <c r="N11" s="8"/>
      <c r="O11" s="8"/>
      <c r="P11" s="8"/>
      <c r="Q11" s="8"/>
      <c r="R11" s="8"/>
      <c r="S11" s="8"/>
      <c r="T11" s="8"/>
      <c r="U11" s="8"/>
      <c r="V11" s="8"/>
      <c r="W11" s="8"/>
      <c r="X11" s="8"/>
      <c r="Y11" s="8"/>
      <c r="Z11" s="8"/>
      <c r="AA11" s="8"/>
    </row>
    <row r="12" spans="1:27" ht="15" customHeight="1">
      <c r="A12" s="3" t="s">
        <v>4</v>
      </c>
      <c r="B12" s="2" t="s">
        <v>5</v>
      </c>
      <c r="C12" s="2" t="s">
        <v>131</v>
      </c>
      <c r="D12" s="6">
        <f>SUMIFS('Budget Data'!$J:$J,'Budget Data'!$C:$C,'Indirect Pool - Budget'!$A12,'Budget Data'!$G:$G,"Expense",'Budget Data'!$A:$A,'Indirect Pool - Budget'!D$2)</f>
        <v>11600</v>
      </c>
      <c r="E12" s="8"/>
      <c r="F12" s="6">
        <f>SUMIFS('Budget Data'!$J:$J,'Budget Data'!$C:$C,'Indirect Pool - Budget'!$A12,'Budget Data'!$G:$G,"Expense",'Budget Data'!$A:$A,'Indirect Pool - Budget'!F$2)</f>
        <v>12900</v>
      </c>
      <c r="G12" s="8"/>
      <c r="H12" s="6">
        <f>SUMIFS('Budget Data'!$J:$J,'Budget Data'!$C:$C,'Indirect Pool - Budget'!$A12,'Budget Data'!$G:$G,"Expense",'Budget Data'!$A:$A,'Indirect Pool - Budget'!H$2)</f>
        <v>11000</v>
      </c>
      <c r="I12" s="8"/>
      <c r="J12" s="6">
        <f>SUMIFS('Budget Data'!$J:$J,'Budget Data'!$C:$C,'Indirect Pool - Budget'!$A12,'Budget Data'!$G:$G,"Expense",'Budget Data'!$A:$A,'Indirect Pool - Budget'!J$2)</f>
        <v>11200</v>
      </c>
      <c r="K12" s="8"/>
      <c r="L12" s="6">
        <f>SUMIFS('Budget Data'!$J:$J,'Budget Data'!$C:$C,'Indirect Pool - Budget'!$A12,'Budget Data'!$G:$G,"Expense",'Budget Data'!$A:$A,'Indirect Pool - Budget'!L$2)</f>
        <v>11300</v>
      </c>
      <c r="M12" s="8"/>
      <c r="N12" s="6">
        <f>SUMIFS('Budget Data'!$J:$J,'Budget Data'!$C:$C,'Indirect Pool - Budget'!$A12,'Budget Data'!$G:$G,"Expense",'Budget Data'!$A:$A,'Indirect Pool - Budget'!N$2)</f>
        <v>11500</v>
      </c>
      <c r="O12" s="8"/>
      <c r="P12" s="6">
        <f>SUMIFS('Budget Data'!$J:$J,'Budget Data'!$C:$C,'Indirect Pool - Budget'!$A12,'Budget Data'!$G:$G,"Expense",'Budget Data'!$A:$A,'Indirect Pool - Budget'!P$2)</f>
        <v>12500</v>
      </c>
      <c r="Q12" s="8"/>
      <c r="R12" s="6">
        <f>SUMIFS('Budget Data'!$J:$J,'Budget Data'!$C:$C,'Indirect Pool - Budget'!$A12,'Budget Data'!$G:$G,"Expense",'Budget Data'!$A:$A,'Indirect Pool - Budget'!R$2)</f>
        <v>12600</v>
      </c>
      <c r="S12" s="8"/>
      <c r="T12" s="6">
        <f>SUMIFS('Budget Data'!$J:$J,'Budget Data'!$C:$C,'Indirect Pool - Budget'!$A12,'Budget Data'!$G:$G,"Expense",'Budget Data'!$A:$A,'Indirect Pool - Budget'!T$2)</f>
        <v>13600</v>
      </c>
      <c r="U12" s="8"/>
      <c r="V12" s="6">
        <f>SUMIFS('Budget Data'!$J:$J,'Budget Data'!$C:$C,'Indirect Pool - Budget'!$A12,'Budget Data'!$G:$G,"Expense",'Budget Data'!$A:$A,'Indirect Pool - Budget'!V$2)</f>
        <v>13200</v>
      </c>
      <c r="W12" s="8"/>
      <c r="X12" s="6">
        <f>SUMIFS('Budget Data'!$J:$J,'Budget Data'!$C:$C,'Indirect Pool - Budget'!$A12,'Budget Data'!$G:$G,"Expense",'Budget Data'!$A:$A,'Indirect Pool - Budget'!X$2)</f>
        <v>12100</v>
      </c>
      <c r="Y12" s="8"/>
      <c r="Z12" s="6">
        <f>SUMIFS('Budget Data'!$J:$J,'Budget Data'!$C:$C,'Indirect Pool - Budget'!$A12,'Budget Data'!$G:$G,"Expense",'Budget Data'!$A:$A,'Indirect Pool - Budget'!Z$2)</f>
        <v>12300</v>
      </c>
      <c r="AA12" s="8"/>
    </row>
    <row r="13" spans="1:27" ht="15" customHeight="1">
      <c r="A13" s="3" t="s">
        <v>6</v>
      </c>
      <c r="B13" s="2" t="s">
        <v>7</v>
      </c>
      <c r="C13" s="2" t="s">
        <v>131</v>
      </c>
      <c r="D13" s="6">
        <f>SUMIFS('Budget Data'!$J:$J,'Budget Data'!$C:$C,'Indirect Pool - Budget'!$A13,'Budget Data'!$G:$G,"Expense",'Budget Data'!$A:$A,'Indirect Pool - Budget'!D$2)</f>
        <v>14800</v>
      </c>
      <c r="E13" s="8"/>
      <c r="F13" s="6">
        <f>SUMIFS('Budget Data'!$J:$J,'Budget Data'!$C:$C,'Indirect Pool - Budget'!$A13,'Budget Data'!$G:$G,"Expense",'Budget Data'!$A:$A,'Indirect Pool - Budget'!F$2)</f>
        <v>15900</v>
      </c>
      <c r="G13" s="8"/>
      <c r="H13" s="6">
        <f>SUMIFS('Budget Data'!$J:$J,'Budget Data'!$C:$C,'Indirect Pool - Budget'!$A13,'Budget Data'!$G:$G,"Expense",'Budget Data'!$A:$A,'Indirect Pool - Budget'!H$2)</f>
        <v>16400</v>
      </c>
      <c r="I13" s="8"/>
      <c r="J13" s="6">
        <f>SUMIFS('Budget Data'!$J:$J,'Budget Data'!$C:$C,'Indirect Pool - Budget'!$A13,'Budget Data'!$G:$G,"Expense",'Budget Data'!$A:$A,'Indirect Pool - Budget'!J$2)</f>
        <v>19300</v>
      </c>
      <c r="K13" s="8"/>
      <c r="L13" s="6">
        <f>SUMIFS('Budget Data'!$J:$J,'Budget Data'!$C:$C,'Indirect Pool - Budget'!$A13,'Budget Data'!$G:$G,"Expense",'Budget Data'!$A:$A,'Indirect Pool - Budget'!L$2)</f>
        <v>16600</v>
      </c>
      <c r="M13" s="8"/>
      <c r="N13" s="6">
        <f>SUMIFS('Budget Data'!$J:$J,'Budget Data'!$C:$C,'Indirect Pool - Budget'!$A13,'Budget Data'!$G:$G,"Expense",'Budget Data'!$A:$A,'Indirect Pool - Budget'!N$2)</f>
        <v>17300</v>
      </c>
      <c r="O13" s="8"/>
      <c r="P13" s="6">
        <f>SUMIFS('Budget Data'!$J:$J,'Budget Data'!$C:$C,'Indirect Pool - Budget'!$A13,'Budget Data'!$G:$G,"Expense",'Budget Data'!$A:$A,'Indirect Pool - Budget'!P$2)</f>
        <v>18200</v>
      </c>
      <c r="Q13" s="8"/>
      <c r="R13" s="6">
        <f>SUMIFS('Budget Data'!$J:$J,'Budget Data'!$C:$C,'Indirect Pool - Budget'!$A13,'Budget Data'!$G:$G,"Expense",'Budget Data'!$A:$A,'Indirect Pool - Budget'!R$2)</f>
        <v>19000</v>
      </c>
      <c r="S13" s="8"/>
      <c r="T13" s="6">
        <f>SUMIFS('Budget Data'!$J:$J,'Budget Data'!$C:$C,'Indirect Pool - Budget'!$A13,'Budget Data'!$G:$G,"Expense",'Budget Data'!$A:$A,'Indirect Pool - Budget'!T$2)</f>
        <v>18200</v>
      </c>
      <c r="U13" s="8"/>
      <c r="V13" s="6">
        <f>SUMIFS('Budget Data'!$J:$J,'Budget Data'!$C:$C,'Indirect Pool - Budget'!$A13,'Budget Data'!$G:$G,"Expense",'Budget Data'!$A:$A,'Indirect Pool - Budget'!V$2)</f>
        <v>17500</v>
      </c>
      <c r="W13" s="8"/>
      <c r="X13" s="6">
        <f>SUMIFS('Budget Data'!$J:$J,'Budget Data'!$C:$C,'Indirect Pool - Budget'!$A13,'Budget Data'!$G:$G,"Expense",'Budget Data'!$A:$A,'Indirect Pool - Budget'!X$2)</f>
        <v>16400</v>
      </c>
      <c r="Y13" s="8"/>
      <c r="Z13" s="6">
        <f>SUMIFS('Budget Data'!$J:$J,'Budget Data'!$C:$C,'Indirect Pool - Budget'!$A13,'Budget Data'!$G:$G,"Expense",'Budget Data'!$A:$A,'Indirect Pool - Budget'!Z$2)</f>
        <v>17400</v>
      </c>
      <c r="AA13" s="8"/>
    </row>
    <row r="14" spans="1:27" ht="15" customHeight="1">
      <c r="A14" s="3" t="s">
        <v>8</v>
      </c>
      <c r="B14" s="2" t="s">
        <v>9</v>
      </c>
      <c r="C14" s="2" t="s">
        <v>131</v>
      </c>
      <c r="D14" s="6">
        <f>SUMIFS('Budget Data'!$J:$J,'Budget Data'!$C:$C,'Indirect Pool - Budget'!$A14,'Budget Data'!$G:$G,"Expense",'Budget Data'!$A:$A,'Indirect Pool - Budget'!D$2)</f>
        <v>13900</v>
      </c>
      <c r="E14" s="8"/>
      <c r="F14" s="6">
        <f>SUMIFS('Budget Data'!$J:$J,'Budget Data'!$C:$C,'Indirect Pool - Budget'!$A14,'Budget Data'!$G:$G,"Expense",'Budget Data'!$A:$A,'Indirect Pool - Budget'!F$2)</f>
        <v>15000</v>
      </c>
      <c r="G14" s="8"/>
      <c r="H14" s="6">
        <f>SUMIFS('Budget Data'!$J:$J,'Budget Data'!$C:$C,'Indirect Pool - Budget'!$A14,'Budget Data'!$G:$G,"Expense",'Budget Data'!$A:$A,'Indirect Pool - Budget'!H$2)</f>
        <v>15200</v>
      </c>
      <c r="I14" s="8"/>
      <c r="J14" s="6">
        <f>SUMIFS('Budget Data'!$J:$J,'Budget Data'!$C:$C,'Indirect Pool - Budget'!$A14,'Budget Data'!$G:$G,"Expense",'Budget Data'!$A:$A,'Indirect Pool - Budget'!J$2)</f>
        <v>15600</v>
      </c>
      <c r="K14" s="8"/>
      <c r="L14" s="6">
        <f>SUMIFS('Budget Data'!$J:$J,'Budget Data'!$C:$C,'Indirect Pool - Budget'!$A14,'Budget Data'!$G:$G,"Expense",'Budget Data'!$A:$A,'Indirect Pool - Budget'!L$2)</f>
        <v>17600</v>
      </c>
      <c r="M14" s="8"/>
      <c r="N14" s="6">
        <f>SUMIFS('Budget Data'!$J:$J,'Budget Data'!$C:$C,'Indirect Pool - Budget'!$A14,'Budget Data'!$G:$G,"Expense",'Budget Data'!$A:$A,'Indirect Pool - Budget'!N$2)</f>
        <v>15800</v>
      </c>
      <c r="O14" s="8"/>
      <c r="P14" s="6">
        <f>SUMIFS('Budget Data'!$J:$J,'Budget Data'!$C:$C,'Indirect Pool - Budget'!$A14,'Budget Data'!$G:$G,"Expense",'Budget Data'!$A:$A,'Indirect Pool - Budget'!P$2)</f>
        <v>15700</v>
      </c>
      <c r="Q14" s="8"/>
      <c r="R14" s="6">
        <f>SUMIFS('Budget Data'!$J:$J,'Budget Data'!$C:$C,'Indirect Pool - Budget'!$A14,'Budget Data'!$G:$G,"Expense",'Budget Data'!$A:$A,'Indirect Pool - Budget'!R$2)</f>
        <v>16200</v>
      </c>
      <c r="S14" s="8"/>
      <c r="T14" s="6">
        <f>SUMIFS('Budget Data'!$J:$J,'Budget Data'!$C:$C,'Indirect Pool - Budget'!$A14,'Budget Data'!$G:$G,"Expense",'Budget Data'!$A:$A,'Indirect Pool - Budget'!T$2)</f>
        <v>15900</v>
      </c>
      <c r="U14" s="8"/>
      <c r="V14" s="6">
        <f>SUMIFS('Budget Data'!$J:$J,'Budget Data'!$C:$C,'Indirect Pool - Budget'!$A14,'Budget Data'!$G:$G,"Expense",'Budget Data'!$A:$A,'Indirect Pool - Budget'!V$2)</f>
        <v>16600</v>
      </c>
      <c r="W14" s="8"/>
      <c r="X14" s="6">
        <f>SUMIFS('Budget Data'!$J:$J,'Budget Data'!$C:$C,'Indirect Pool - Budget'!$A14,'Budget Data'!$G:$G,"Expense",'Budget Data'!$A:$A,'Indirect Pool - Budget'!X$2)</f>
        <v>21800</v>
      </c>
      <c r="Y14" s="8"/>
      <c r="Z14" s="6">
        <f>SUMIFS('Budget Data'!$J:$J,'Budget Data'!$C:$C,'Indirect Pool - Budget'!$A14,'Budget Data'!$G:$G,"Expense",'Budget Data'!$A:$A,'Indirect Pool - Budget'!Z$2)</f>
        <v>22000</v>
      </c>
      <c r="AA14" s="8"/>
    </row>
    <row r="15" spans="1:27" ht="15" customHeight="1">
      <c r="A15" s="3" t="s">
        <v>10</v>
      </c>
      <c r="B15" s="2" t="s">
        <v>11</v>
      </c>
      <c r="C15" s="2" t="s">
        <v>131</v>
      </c>
      <c r="D15" s="6">
        <f>SUMIFS('Budget Data'!$J:$J,'Budget Data'!$C:$C,'Indirect Pool - Budget'!$A15,'Budget Data'!$G:$G,"Expense",'Budget Data'!$A:$A,'Indirect Pool - Budget'!D$2)</f>
        <v>15600</v>
      </c>
      <c r="E15" s="8"/>
      <c r="F15" s="6">
        <f>SUMIFS('Budget Data'!$J:$J,'Budget Data'!$C:$C,'Indirect Pool - Budget'!$A15,'Budget Data'!$G:$G,"Expense",'Budget Data'!$A:$A,'Indirect Pool - Budget'!F$2)</f>
        <v>16300</v>
      </c>
      <c r="G15" s="8"/>
      <c r="H15" s="6">
        <f>SUMIFS('Budget Data'!$J:$J,'Budget Data'!$C:$C,'Indirect Pool - Budget'!$A15,'Budget Data'!$G:$G,"Expense",'Budget Data'!$A:$A,'Indirect Pool - Budget'!H$2)</f>
        <v>15500</v>
      </c>
      <c r="I15" s="8"/>
      <c r="J15" s="6">
        <f>SUMIFS('Budget Data'!$J:$J,'Budget Data'!$C:$C,'Indirect Pool - Budget'!$A15,'Budget Data'!$G:$G,"Expense",'Budget Data'!$A:$A,'Indirect Pool - Budget'!J$2)</f>
        <v>15900</v>
      </c>
      <c r="K15" s="8"/>
      <c r="L15" s="6">
        <f>SUMIFS('Budget Data'!$J:$J,'Budget Data'!$C:$C,'Indirect Pool - Budget'!$A15,'Budget Data'!$G:$G,"Expense",'Budget Data'!$A:$A,'Indirect Pool - Budget'!L$2)</f>
        <v>15400</v>
      </c>
      <c r="M15" s="8"/>
      <c r="N15" s="6">
        <f>SUMIFS('Budget Data'!$J:$J,'Budget Data'!$C:$C,'Indirect Pool - Budget'!$A15,'Budget Data'!$G:$G,"Expense",'Budget Data'!$A:$A,'Indirect Pool - Budget'!N$2)</f>
        <v>18500</v>
      </c>
      <c r="O15" s="8"/>
      <c r="P15" s="6">
        <f>SUMIFS('Budget Data'!$J:$J,'Budget Data'!$C:$C,'Indirect Pool - Budget'!$A15,'Budget Data'!$G:$G,"Expense",'Budget Data'!$A:$A,'Indirect Pool - Budget'!P$2)</f>
        <v>16100</v>
      </c>
      <c r="Q15" s="8"/>
      <c r="R15" s="6">
        <f>SUMIFS('Budget Data'!$J:$J,'Budget Data'!$C:$C,'Indirect Pool - Budget'!$A15,'Budget Data'!$G:$G,"Expense",'Budget Data'!$A:$A,'Indirect Pool - Budget'!R$2)</f>
        <v>15900</v>
      </c>
      <c r="S15" s="8"/>
      <c r="T15" s="6">
        <f>SUMIFS('Budget Data'!$J:$J,'Budget Data'!$C:$C,'Indirect Pool - Budget'!$A15,'Budget Data'!$G:$G,"Expense",'Budget Data'!$A:$A,'Indirect Pool - Budget'!T$2)</f>
        <v>8900</v>
      </c>
      <c r="U15" s="8"/>
      <c r="V15" s="6">
        <f>SUMIFS('Budget Data'!$J:$J,'Budget Data'!$C:$C,'Indirect Pool - Budget'!$A15,'Budget Data'!$G:$G,"Expense",'Budget Data'!$A:$A,'Indirect Pool - Budget'!V$2)</f>
        <v>10200</v>
      </c>
      <c r="W15" s="8"/>
      <c r="X15" s="6">
        <f>SUMIFS('Budget Data'!$J:$J,'Budget Data'!$C:$C,'Indirect Pool - Budget'!$A15,'Budget Data'!$G:$G,"Expense",'Budget Data'!$A:$A,'Indirect Pool - Budget'!X$2)</f>
        <v>8500</v>
      </c>
      <c r="Y15" s="8"/>
      <c r="Z15" s="6">
        <f>SUMIFS('Budget Data'!$J:$J,'Budget Data'!$C:$C,'Indirect Pool - Budget'!$A15,'Budget Data'!$G:$G,"Expense",'Budget Data'!$A:$A,'Indirect Pool - Budget'!Z$2)</f>
        <v>9100</v>
      </c>
      <c r="AA15" s="8"/>
    </row>
    <row r="16" spans="1:27" ht="15" customHeight="1">
      <c r="E16" s="8"/>
      <c r="G16" s="8"/>
    </row>
    <row r="17" spans="1:26" ht="15" customHeight="1">
      <c r="D17" s="9">
        <f>SUM(D12:D15)</f>
        <v>55900</v>
      </c>
      <c r="E17" s="8"/>
      <c r="F17" s="9">
        <f>SUM(F12:F15)</f>
        <v>60100</v>
      </c>
      <c r="G17" s="8"/>
      <c r="H17" s="9">
        <f>SUM(H12:H15)</f>
        <v>58100</v>
      </c>
      <c r="J17" s="9">
        <f>SUM(J12:J15)</f>
        <v>62000</v>
      </c>
      <c r="L17" s="9">
        <f>SUM(L12:L15)</f>
        <v>60900</v>
      </c>
      <c r="N17" s="9">
        <f>SUM(N12:N15)</f>
        <v>63100</v>
      </c>
      <c r="P17" s="9">
        <f>SUM(P12:P15)</f>
        <v>62500</v>
      </c>
      <c r="R17" s="9">
        <f>SUM(R12:R15)</f>
        <v>63700</v>
      </c>
      <c r="T17" s="9">
        <f>SUM(T12:T15)</f>
        <v>56600</v>
      </c>
      <c r="V17" s="9">
        <f>SUM(V12:V15)</f>
        <v>57500</v>
      </c>
      <c r="X17" s="9">
        <f>SUM(X12:X15)</f>
        <v>58800</v>
      </c>
      <c r="Z17" s="9">
        <f>SUM(Z12:Z15)</f>
        <v>60800</v>
      </c>
    </row>
    <row r="18" spans="1:26" ht="15" customHeight="1">
      <c r="E18" s="8"/>
      <c r="G18" s="8"/>
    </row>
    <row r="19" spans="1:26" ht="15" customHeight="1">
      <c r="A19" s="3" t="s">
        <v>4</v>
      </c>
      <c r="B19" s="2" t="s">
        <v>5</v>
      </c>
      <c r="C19" s="2" t="s">
        <v>335</v>
      </c>
      <c r="D19" s="6">
        <f>-D$12*E3</f>
        <v>-2185.6370656370659</v>
      </c>
      <c r="F19" s="6">
        <f>-F$12*G3</f>
        <v>-2468.5778108711838</v>
      </c>
      <c r="H19" s="6">
        <f>-H$12*I3</f>
        <v>-2180.5453205600593</v>
      </c>
      <c r="J19" s="6">
        <f>-J$12*K3</f>
        <v>-1467.8899082568807</v>
      </c>
      <c r="L19" s="6">
        <f>-L$12*M3</f>
        <v>-2033.3791208791208</v>
      </c>
      <c r="N19" s="6">
        <f>-N$12*O3</f>
        <v>-2038.3597883597884</v>
      </c>
      <c r="P19" s="6">
        <f>-P$12*Q3</f>
        <v>-2496.7469095640859</v>
      </c>
      <c r="R19" s="6">
        <f>-R$12*S3</f>
        <v>-2342.8383705650463</v>
      </c>
      <c r="T19" s="6">
        <f>-T$12*U3</f>
        <v>-2350.0935745477232</v>
      </c>
      <c r="V19" s="6">
        <f>-V$12*W3</f>
        <v>-2276.9601930036188</v>
      </c>
      <c r="X19" s="6">
        <f>-X$12*Y3</f>
        <v>-2350.1759324419422</v>
      </c>
      <c r="Z19" s="6">
        <f>-Z$12*AA3</f>
        <v>-2172.3692307692309</v>
      </c>
    </row>
    <row r="20" spans="1:26" ht="15" customHeight="1">
      <c r="A20" s="3" t="s">
        <v>4</v>
      </c>
      <c r="B20" s="2" t="s">
        <v>5</v>
      </c>
      <c r="C20" s="2" t="s">
        <v>336</v>
      </c>
      <c r="D20" s="6">
        <f>-D$12*E4</f>
        <v>-1845.2509652509652</v>
      </c>
      <c r="F20" s="6">
        <f>-F$12*G4</f>
        <v>-2074.7580044676097</v>
      </c>
      <c r="H20" s="6">
        <f>-H$12*I4</f>
        <v>-1848.1945467943992</v>
      </c>
      <c r="J20" s="6">
        <f>-J$12*K4</f>
        <v>-3229.3577981651374</v>
      </c>
      <c r="L20" s="6">
        <f>-L$12*M4</f>
        <v>-2196.3598901098903</v>
      </c>
      <c r="N20" s="6">
        <f>-N$12*O4</f>
        <v>-2213.2936507936511</v>
      </c>
      <c r="P20" s="6">
        <f>-P$12*Q4</f>
        <v>-2537.4105400130125</v>
      </c>
      <c r="R20" s="6">
        <f>-R$12*S4</f>
        <v>-2897.5032851511169</v>
      </c>
      <c r="T20" s="6">
        <f>-T$12*U4</f>
        <v>-2689.4572676232065</v>
      </c>
      <c r="V20" s="6">
        <f>-V$12*W4</f>
        <v>-3463.2086851628469</v>
      </c>
      <c r="X20" s="6">
        <f>-X$12*Y4</f>
        <v>-2724.8416608022517</v>
      </c>
      <c r="Z20" s="6">
        <f>-Z$12*AA4</f>
        <v>-2422.1538461538462</v>
      </c>
    </row>
    <row r="21" spans="1:26" ht="15" customHeight="1">
      <c r="A21" s="3" t="s">
        <v>4</v>
      </c>
      <c r="B21" s="2" t="s">
        <v>5</v>
      </c>
      <c r="C21" s="2" t="s">
        <v>337</v>
      </c>
      <c r="D21" s="6">
        <f>-D$12*E5</f>
        <v>-2212.5096525096524</v>
      </c>
      <c r="F21" s="6">
        <f>-F$12*G5</f>
        <v>-2161.2062546537604</v>
      </c>
      <c r="H21" s="6">
        <f>-H$12*I5</f>
        <v>-1888.7251289609433</v>
      </c>
      <c r="J21" s="6">
        <f>-J$12*K5</f>
        <v>-1893.5779816513761</v>
      </c>
      <c r="L21" s="6">
        <f>-L$12*M5</f>
        <v>-2398.1456043956046</v>
      </c>
      <c r="N21" s="6">
        <f>-N$12*O5</f>
        <v>-1635.251322751323</v>
      </c>
      <c r="P21" s="6">
        <f>-P$12*Q5</f>
        <v>-2277.1633051398831</v>
      </c>
      <c r="R21" s="6">
        <f>-R$12*S5</f>
        <v>-1862.6806833114324</v>
      </c>
      <c r="T21" s="6">
        <f>-T$12*U5</f>
        <v>-2943.9800374298188</v>
      </c>
      <c r="V21" s="6">
        <f>-V$12*W5</f>
        <v>-1624.1254523522316</v>
      </c>
      <c r="X21" s="6">
        <f>-X$12*Y5</f>
        <v>-1115.482054890922</v>
      </c>
      <c r="Z21" s="6">
        <f>-Z$12*AA5</f>
        <v>-1294.3384615384614</v>
      </c>
    </row>
    <row r="22" spans="1:26" ht="15" customHeight="1">
      <c r="A22" s="3" t="s">
        <v>4</v>
      </c>
      <c r="B22" s="2" t="s">
        <v>5</v>
      </c>
      <c r="C22" s="2" t="s">
        <v>338</v>
      </c>
      <c r="D22" s="6">
        <f>-D$12*E6</f>
        <v>-2660.3861003861002</v>
      </c>
      <c r="F22" s="6">
        <f>-F$12*G6</f>
        <v>-3409.9032017870441</v>
      </c>
      <c r="H22" s="6">
        <f>-H$12*I6</f>
        <v>-2585.8511422254974</v>
      </c>
      <c r="J22" s="6">
        <f>-J$12*K6</f>
        <v>-2436.6972477064219</v>
      </c>
      <c r="L22" s="6">
        <f>-L$12*M6</f>
        <v>-2421.4285714285711</v>
      </c>
      <c r="N22" s="6">
        <f>-N$12*O6</f>
        <v>-3133.5978835978835</v>
      </c>
      <c r="P22" s="6">
        <f>-P$12*Q6</f>
        <v>-1919.3233571893297</v>
      </c>
      <c r="R22" s="6">
        <f>-R$12*S6</f>
        <v>-2789.8817345597899</v>
      </c>
      <c r="T22" s="6">
        <f>-T$12*U6</f>
        <v>-2536.7436057392392</v>
      </c>
      <c r="V22" s="6">
        <f>-V$12*W6</f>
        <v>-2929.7949336550059</v>
      </c>
      <c r="X22" s="6">
        <f>-X$12*Y6</f>
        <v>-2452.3574947220268</v>
      </c>
      <c r="Z22" s="6">
        <f>-Z$12*AA6</f>
        <v>-3602.9538461538459</v>
      </c>
    </row>
    <row r="23" spans="1:26" ht="15" customHeight="1">
      <c r="A23" s="3" t="s">
        <v>4</v>
      </c>
      <c r="B23" s="2" t="s">
        <v>5</v>
      </c>
      <c r="C23" s="2" t="s">
        <v>339</v>
      </c>
      <c r="D23" s="6">
        <f>-D$12*E7</f>
        <v>-2696.2162162162163</v>
      </c>
      <c r="F23" s="6">
        <f>-F$12*G7</f>
        <v>-2785.554728220402</v>
      </c>
      <c r="H23" s="6">
        <f>-H$12*I7</f>
        <v>-2496.6838614591011</v>
      </c>
      <c r="J23" s="6">
        <f>-J$12*K7</f>
        <v>-2172.4770642201834</v>
      </c>
      <c r="L23" s="6">
        <f>-L$12*M7</f>
        <v>-2250.6868131868132</v>
      </c>
      <c r="N23" s="6">
        <f>-N$12*O7</f>
        <v>-2479.4973544973545</v>
      </c>
      <c r="P23" s="6">
        <f>-P$12*Q7</f>
        <v>-3269.3558880936889</v>
      </c>
      <c r="R23" s="6">
        <f>-R$12*S7</f>
        <v>-2707.095926412615</v>
      </c>
      <c r="T23" s="6">
        <f>-T$12*U7</f>
        <v>-3079.7255146600123</v>
      </c>
      <c r="V23" s="6">
        <f>-V$12*W7</f>
        <v>-2905.9107358262968</v>
      </c>
      <c r="X23" s="6">
        <f>-X$12*Y7</f>
        <v>-3457.1428571428569</v>
      </c>
      <c r="Z23" s="6">
        <f>-Z$12*AA7</f>
        <v>-2808.1846153846154</v>
      </c>
    </row>
    <row r="24" spans="1:26" ht="15" customHeight="1">
      <c r="A24" s="3" t="s">
        <v>6</v>
      </c>
      <c r="B24" s="2" t="s">
        <v>7</v>
      </c>
      <c r="C24" s="2" t="s">
        <v>335</v>
      </c>
      <c r="D24" s="6">
        <f>-D$13*E3</f>
        <v>-2788.5714285714284</v>
      </c>
      <c r="F24" s="6">
        <f>-F$13*G3</f>
        <v>-3042.6656738644824</v>
      </c>
      <c r="H24" s="6">
        <f>-H$13*I3</f>
        <v>-3250.9948415622698</v>
      </c>
      <c r="J24" s="6">
        <f>-J$13*K3</f>
        <v>-2529.4888597640893</v>
      </c>
      <c r="L24" s="6">
        <f>-L$13*M3</f>
        <v>-2987.0879120879122</v>
      </c>
      <c r="N24" s="6">
        <f>-N$13*O3</f>
        <v>-3066.402116402116</v>
      </c>
      <c r="P24" s="6">
        <f>-P$13*Q3</f>
        <v>-3635.263500325309</v>
      </c>
      <c r="R24" s="6">
        <f>-R$13*S3</f>
        <v>-3532.8515111695142</v>
      </c>
      <c r="T24" s="6">
        <f>-T$13*U3</f>
        <v>-3144.9781659388645</v>
      </c>
      <c r="V24" s="6">
        <f>-V$13*W3</f>
        <v>-3018.6972255729797</v>
      </c>
      <c r="X24" s="6">
        <f>-X$13*Y3</f>
        <v>-3185.3624208304009</v>
      </c>
      <c r="Z24" s="6">
        <f>-Z$13*AA3</f>
        <v>-3073.1076923076926</v>
      </c>
    </row>
    <row r="25" spans="1:26" ht="15" customHeight="1">
      <c r="A25" s="3" t="s">
        <v>6</v>
      </c>
      <c r="B25" s="2" t="s">
        <v>7</v>
      </c>
      <c r="C25" s="2" t="s">
        <v>336</v>
      </c>
      <c r="D25" s="6">
        <f>-D$13*E4</f>
        <v>-2354.2857142857142</v>
      </c>
      <c r="F25" s="6">
        <f>-F$13*G4</f>
        <v>-2557.259865971705</v>
      </c>
      <c r="H25" s="6">
        <f>-H$13*I4</f>
        <v>-2755.4900515843769</v>
      </c>
      <c r="J25" s="6">
        <f>-J$13*K4</f>
        <v>-5564.8754914809961</v>
      </c>
      <c r="L25" s="6">
        <f>-L$13*M4</f>
        <v>-3226.5109890109889</v>
      </c>
      <c r="N25" s="6">
        <f>-N$13*O4</f>
        <v>-3329.563492063492</v>
      </c>
      <c r="P25" s="6">
        <f>-P$13*Q4</f>
        <v>-3694.4697462589461</v>
      </c>
      <c r="R25" s="6">
        <f>-R$13*S4</f>
        <v>-4369.2509855453345</v>
      </c>
      <c r="T25" s="6">
        <f>-T$13*U4</f>
        <v>-3599.1266375545852</v>
      </c>
      <c r="V25" s="6">
        <f>-V$13*W4</f>
        <v>-4591.375150784078</v>
      </c>
      <c r="X25" s="6">
        <f>-X$13*Y4</f>
        <v>-3693.1738212526388</v>
      </c>
      <c r="Z25" s="6">
        <f>-Z$13*AA4</f>
        <v>-3426.4615384615386</v>
      </c>
    </row>
    <row r="26" spans="1:26" ht="15" customHeight="1">
      <c r="A26" s="3" t="s">
        <v>6</v>
      </c>
      <c r="B26" s="2" t="s">
        <v>7</v>
      </c>
      <c r="C26" s="2" t="s">
        <v>337</v>
      </c>
      <c r="D26" s="6">
        <f>-D$13*E5</f>
        <v>-2822.8571428571427</v>
      </c>
      <c r="F26" s="6">
        <f>-F$13*G5</f>
        <v>-2663.8123603871927</v>
      </c>
      <c r="H26" s="6">
        <f>-H$13*I5</f>
        <v>-2815.9174649963152</v>
      </c>
      <c r="J26" s="6">
        <f>-J$13*K5</f>
        <v>-3263.0406290956748</v>
      </c>
      <c r="L26" s="6">
        <f>-L$13*M5</f>
        <v>-3522.9395604395604</v>
      </c>
      <c r="N26" s="6">
        <f>-N$13*O5</f>
        <v>-2459.9867724867727</v>
      </c>
      <c r="P26" s="6">
        <f>-P$13*Q5</f>
        <v>-3315.5497722836694</v>
      </c>
      <c r="R26" s="6">
        <f>-R$13*S5</f>
        <v>-2808.8042049934297</v>
      </c>
      <c r="T26" s="6">
        <f>-T$13*U5</f>
        <v>-3939.7379912663755</v>
      </c>
      <c r="V26" s="6">
        <f>-V$13*W5</f>
        <v>-2153.1966224366706</v>
      </c>
      <c r="X26" s="6">
        <f>-X$13*Y5</f>
        <v>-1511.8930330752992</v>
      </c>
      <c r="Z26" s="6">
        <f>-Z$13*AA5</f>
        <v>-1831.0153846153846</v>
      </c>
    </row>
    <row r="27" spans="1:26" ht="15" customHeight="1">
      <c r="A27" s="3" t="s">
        <v>6</v>
      </c>
      <c r="B27" s="2" t="s">
        <v>7</v>
      </c>
      <c r="C27" s="2" t="s">
        <v>338</v>
      </c>
      <c r="D27" s="6">
        <f>-D$13*E6</f>
        <v>-3394.2857142857142</v>
      </c>
      <c r="F27" s="6">
        <f>-F$13*G6</f>
        <v>-4202.903946388682</v>
      </c>
      <c r="H27" s="6">
        <f>-H$13*I6</f>
        <v>-3855.2689756816508</v>
      </c>
      <c r="J27" s="6">
        <f>-J$13*K6</f>
        <v>-4198.9515072083877</v>
      </c>
      <c r="L27" s="6">
        <f>-L$13*M6</f>
        <v>-3557.1428571428569</v>
      </c>
      <c r="N27" s="6">
        <f>-N$13*O6</f>
        <v>-4714.0211640211646</v>
      </c>
      <c r="P27" s="6">
        <f>-P$13*Q6</f>
        <v>-2794.534808067664</v>
      </c>
      <c r="R27" s="6">
        <f>-R$13*S6</f>
        <v>-4206.9645203679365</v>
      </c>
      <c r="T27" s="6">
        <f>-T$13*U6</f>
        <v>-3394.759825327511</v>
      </c>
      <c r="V27" s="6">
        <f>-V$13*W6</f>
        <v>-3884.1978287092879</v>
      </c>
      <c r="X27" s="6">
        <f>-X$13*Y6</f>
        <v>-3323.8564391273749</v>
      </c>
      <c r="Z27" s="6">
        <f>-Z$13*AA6</f>
        <v>-5096.8615384615377</v>
      </c>
    </row>
    <row r="28" spans="1:26" ht="15" customHeight="1">
      <c r="A28" s="3" t="s">
        <v>6</v>
      </c>
      <c r="B28" s="2" t="s">
        <v>7</v>
      </c>
      <c r="C28" s="2" t="s">
        <v>339</v>
      </c>
      <c r="D28" s="6">
        <f>-D$13*E7</f>
        <v>-3440</v>
      </c>
      <c r="F28" s="6">
        <f>-F$13*G7</f>
        <v>-3433.3581533879374</v>
      </c>
      <c r="H28" s="6">
        <f>-H$13*I7</f>
        <v>-3722.3286661753868</v>
      </c>
      <c r="J28" s="6">
        <f>-J$13*K7</f>
        <v>-3743.6435124508521</v>
      </c>
      <c r="L28" s="6">
        <f>-L$13*M7</f>
        <v>-3306.3186813186812</v>
      </c>
      <c r="N28" s="6">
        <f>-N$13*O7</f>
        <v>-3730.0264550264551</v>
      </c>
      <c r="P28" s="6">
        <f>-P$13*Q7</f>
        <v>-4760.1821730644115</v>
      </c>
      <c r="R28" s="6">
        <f>-R$13*S7</f>
        <v>-4082.1287779237846</v>
      </c>
      <c r="T28" s="6">
        <f>-T$13*U7</f>
        <v>-4121.3973799126634</v>
      </c>
      <c r="V28" s="6">
        <f>-V$13*W7</f>
        <v>-3852.5331724969842</v>
      </c>
      <c r="X28" s="6">
        <f>-X$13*Y7</f>
        <v>-4685.7142857142853</v>
      </c>
      <c r="Z28" s="6">
        <f>-Z$13*AA7</f>
        <v>-3972.5538461538458</v>
      </c>
    </row>
    <row r="29" spans="1:26" ht="15" customHeight="1">
      <c r="A29" s="3" t="s">
        <v>8</v>
      </c>
      <c r="B29" s="2" t="s">
        <v>9</v>
      </c>
      <c r="C29" s="2" t="s">
        <v>335</v>
      </c>
      <c r="D29" s="6">
        <f>-D$14*E3</f>
        <v>-2618.9961389961391</v>
      </c>
      <c r="F29" s="6">
        <f>-F$14*G3</f>
        <v>-2870.4393149664929</v>
      </c>
      <c r="H29" s="6">
        <f>-H$14*I3</f>
        <v>-3013.117170228445</v>
      </c>
      <c r="J29" s="6">
        <f>-J$14*K3</f>
        <v>-2044.5609436435125</v>
      </c>
      <c r="L29" s="6">
        <f>-L$14*M3</f>
        <v>-3167.032967032967</v>
      </c>
      <c r="N29" s="6">
        <f>-N$14*O3</f>
        <v>-2800.5291005291006</v>
      </c>
      <c r="P29" s="6">
        <f>-P$14*Q3</f>
        <v>-3135.9141184124919</v>
      </c>
      <c r="R29" s="6">
        <f>-R$14*S3</f>
        <v>-3012.2207621550592</v>
      </c>
      <c r="T29" s="6">
        <f>-T$14*U3</f>
        <v>-2747.5358702432941</v>
      </c>
      <c r="V29" s="6">
        <f>-V$14*W3</f>
        <v>-2863.4499396863694</v>
      </c>
      <c r="X29" s="6">
        <f>-X$14*Y3</f>
        <v>-4234.2012667135814</v>
      </c>
      <c r="Z29" s="6">
        <f>-Z$14*AA3</f>
        <v>-3885.5384615384614</v>
      </c>
    </row>
    <row r="30" spans="1:26" ht="15" customHeight="1">
      <c r="A30" s="3" t="s">
        <v>8</v>
      </c>
      <c r="B30" s="2" t="s">
        <v>9</v>
      </c>
      <c r="C30" s="2" t="s">
        <v>336</v>
      </c>
      <c r="D30" s="6">
        <f>-D$14*E4</f>
        <v>-2211.1196911196912</v>
      </c>
      <c r="F30" s="6">
        <f>-F$14*G4</f>
        <v>-2412.5093075204763</v>
      </c>
      <c r="H30" s="6">
        <f>-H$14*I4</f>
        <v>-2553.8688282977155</v>
      </c>
      <c r="J30" s="6">
        <f>-J$14*K4</f>
        <v>-4498.0340760157269</v>
      </c>
      <c r="L30" s="6">
        <f>-L$14*M4</f>
        <v>-3420.8791208791208</v>
      </c>
      <c r="N30" s="6">
        <f>-N$14*O4</f>
        <v>-3040.8730158730159</v>
      </c>
      <c r="P30" s="6">
        <f>-P$14*Q4</f>
        <v>-3186.9876382563434</v>
      </c>
      <c r="R30" s="6">
        <f>-R$14*S4</f>
        <v>-3725.3613666228644</v>
      </c>
      <c r="T30" s="6">
        <f>-T$14*U4</f>
        <v>-3144.2919525888956</v>
      </c>
      <c r="V30" s="6">
        <f>-V$14*W4</f>
        <v>-4355.2472858866104</v>
      </c>
      <c r="X30" s="6">
        <f>-X$14*Y4</f>
        <v>-4909.2188599577757</v>
      </c>
      <c r="Z30" s="6">
        <f>-Z$14*AA4</f>
        <v>-4332.3076923076924</v>
      </c>
    </row>
    <row r="31" spans="1:26" ht="15" customHeight="1">
      <c r="A31" s="3" t="s">
        <v>8</v>
      </c>
      <c r="B31" s="2" t="s">
        <v>9</v>
      </c>
      <c r="C31" s="2" t="s">
        <v>337</v>
      </c>
      <c r="D31" s="6">
        <f>-D$14*E5</f>
        <v>-2651.1969111969111</v>
      </c>
      <c r="F31" s="6">
        <f>-F$14*G5</f>
        <v>-2513.0305286671633</v>
      </c>
      <c r="H31" s="6">
        <f>-H$14*I5</f>
        <v>-2609.8747236551217</v>
      </c>
      <c r="J31" s="6">
        <f>-J$14*K5</f>
        <v>-2637.4836173001308</v>
      </c>
      <c r="L31" s="6">
        <f>-L$14*M5</f>
        <v>-3735.164835164835</v>
      </c>
      <c r="N31" s="6">
        <f>-N$14*O5</f>
        <v>-2246.6931216931221</v>
      </c>
      <c r="P31" s="6">
        <f>-P$14*Q5</f>
        <v>-2860.1171112556931</v>
      </c>
      <c r="R31" s="6">
        <f>-R$14*S5</f>
        <v>-2394.8751642575558</v>
      </c>
      <c r="T31" s="6">
        <f>-T$14*U5</f>
        <v>-3441.8590143480974</v>
      </c>
      <c r="V31" s="6">
        <f>-V$14*W5</f>
        <v>-2042.4607961399277</v>
      </c>
      <c r="X31" s="6">
        <f>-X$14*Y5</f>
        <v>-2009.7114707952146</v>
      </c>
      <c r="Z31" s="6">
        <f>-Z$14*AA5</f>
        <v>-2315.0769230769229</v>
      </c>
    </row>
    <row r="32" spans="1:26" ht="15" customHeight="1">
      <c r="A32" s="3" t="s">
        <v>8</v>
      </c>
      <c r="B32" s="2" t="s">
        <v>9</v>
      </c>
      <c r="C32" s="2" t="s">
        <v>338</v>
      </c>
      <c r="D32" s="6">
        <f>-D$14*E6</f>
        <v>-3187.8764478764479</v>
      </c>
      <c r="F32" s="6">
        <f>-F$14*G6</f>
        <v>-3965.0037230081907</v>
      </c>
      <c r="H32" s="6">
        <f>-H$14*I6</f>
        <v>-3573.1761238025056</v>
      </c>
      <c r="J32" s="6">
        <f>-J$14*K6</f>
        <v>-3393.9711664482306</v>
      </c>
      <c r="L32" s="6">
        <f>-L$14*M6</f>
        <v>-3771.4285714285711</v>
      </c>
      <c r="N32" s="6">
        <f>-N$14*O6</f>
        <v>-4305.2910052910056</v>
      </c>
      <c r="P32" s="6">
        <f>-P$14*Q6</f>
        <v>-2410.670136629798</v>
      </c>
      <c r="R32" s="6">
        <f>-R$14*S6</f>
        <v>-3586.9908015768724</v>
      </c>
      <c r="T32" s="6">
        <f>-T$14*U6</f>
        <v>-2965.7517155333753</v>
      </c>
      <c r="V32" s="6">
        <f>-V$14*W6</f>
        <v>-3684.4390832328104</v>
      </c>
      <c r="X32" s="6">
        <f>-X$14*Y6</f>
        <v>-4418.2969739619984</v>
      </c>
      <c r="Z32" s="6">
        <f>-Z$14*AA6</f>
        <v>-6444.3076923076915</v>
      </c>
    </row>
    <row r="33" spans="1:26" ht="15" customHeight="1">
      <c r="A33" s="3" t="s">
        <v>8</v>
      </c>
      <c r="B33" s="2" t="s">
        <v>9</v>
      </c>
      <c r="C33" s="2" t="s">
        <v>339</v>
      </c>
      <c r="D33" s="6">
        <f>-D$14*E7</f>
        <v>-3230.8108108108108</v>
      </c>
      <c r="F33" s="6">
        <f>-F$14*G7</f>
        <v>-3239.0171258376768</v>
      </c>
      <c r="H33" s="6">
        <f>-H$14*I7</f>
        <v>-3449.9631540162122</v>
      </c>
      <c r="J33" s="6">
        <f>-J$14*K7</f>
        <v>-3025.9501965923987</v>
      </c>
      <c r="L33" s="6">
        <f>-L$14*M7</f>
        <v>-3505.4945054945051</v>
      </c>
      <c r="N33" s="6">
        <f>-N$14*O7</f>
        <v>-3406.6137566137568</v>
      </c>
      <c r="P33" s="6">
        <f>-P$14*Q7</f>
        <v>-4106.3109954456731</v>
      </c>
      <c r="R33" s="6">
        <f>-R$14*S7</f>
        <v>-3480.5519053876478</v>
      </c>
      <c r="T33" s="6">
        <f>-T$14*U7</f>
        <v>-3600.5614472863381</v>
      </c>
      <c r="V33" s="6">
        <f>-V$14*W7</f>
        <v>-3654.402895054282</v>
      </c>
      <c r="X33" s="6">
        <f>-X$14*Y7</f>
        <v>-6228.5714285714284</v>
      </c>
      <c r="Z33" s="6">
        <f>-Z$14*AA7</f>
        <v>-5022.7692307692305</v>
      </c>
    </row>
    <row r="34" spans="1:26" ht="15" customHeight="1">
      <c r="A34" s="3" t="s">
        <v>10</v>
      </c>
      <c r="B34" s="2" t="s">
        <v>11</v>
      </c>
      <c r="C34" s="2" t="s">
        <v>335</v>
      </c>
      <c r="D34" s="6">
        <f>-D$15*E3</f>
        <v>-2939.3050193050194</v>
      </c>
      <c r="F34" s="6">
        <f>-F$15*G3</f>
        <v>-3119.2107222635887</v>
      </c>
      <c r="H34" s="6">
        <f>-H$15*I3</f>
        <v>-3072.5865880619012</v>
      </c>
      <c r="J34" s="6">
        <f>-J$15*K3</f>
        <v>-2083.8794233289645</v>
      </c>
      <c r="L34" s="6">
        <f>-L$15*M3</f>
        <v>-2771.1538461538462</v>
      </c>
      <c r="N34" s="6">
        <f>-N$15*O3</f>
        <v>-3279.100529100529</v>
      </c>
      <c r="P34" s="6">
        <f>-P$15*Q3</f>
        <v>-3215.8100195185425</v>
      </c>
      <c r="R34" s="6">
        <f>-R$15*S3</f>
        <v>-2956.438896189225</v>
      </c>
      <c r="T34" s="6">
        <f>-T$15*U3</f>
        <v>-1537.9288833437306</v>
      </c>
      <c r="V34" s="6">
        <f>-V$15*W3</f>
        <v>-1759.4692400482509</v>
      </c>
      <c r="X34" s="6">
        <f>-X$15*Y3</f>
        <v>-1650.9500351864883</v>
      </c>
      <c r="Z34" s="6">
        <f>-Z$15*AA3</f>
        <v>-1607.2</v>
      </c>
    </row>
    <row r="35" spans="1:26" ht="15" customHeight="1">
      <c r="A35" s="3" t="s">
        <v>10</v>
      </c>
      <c r="B35" s="2" t="s">
        <v>11</v>
      </c>
      <c r="C35" s="2" t="s">
        <v>336</v>
      </c>
      <c r="D35" s="6">
        <f>-D$15*E4</f>
        <v>-2481.5444015444014</v>
      </c>
      <c r="F35" s="6">
        <f>-F$15*G4</f>
        <v>-2621.5934475055842</v>
      </c>
      <c r="H35" s="6">
        <f>-H$15*I4</f>
        <v>-2604.274134119381</v>
      </c>
      <c r="J35" s="6">
        <f>-J$15*K4</f>
        <v>-4584.5347313237216</v>
      </c>
      <c r="L35" s="6">
        <f>-L$15*M4</f>
        <v>-2993.2692307692309</v>
      </c>
      <c r="N35" s="6">
        <f>-N$15*O4</f>
        <v>-3560.5158730158732</v>
      </c>
      <c r="P35" s="6">
        <f>-P$15*Q4</f>
        <v>-3268.1847755367598</v>
      </c>
      <c r="R35" s="6">
        <f>-R$15*S4</f>
        <v>-3656.3731931668854</v>
      </c>
      <c r="T35" s="6">
        <f>-T$15*U4</f>
        <v>-1760.012476606363</v>
      </c>
      <c r="V35" s="6">
        <f>-V$15*W4</f>
        <v>-2676.1158021712909</v>
      </c>
      <c r="X35" s="6">
        <f>-X$15*Y4</f>
        <v>-1914.1449683321603</v>
      </c>
      <c r="Z35" s="6">
        <f>-Z$15*AA4</f>
        <v>-1792</v>
      </c>
    </row>
    <row r="36" spans="1:26" ht="15" customHeight="1">
      <c r="A36" s="3" t="s">
        <v>10</v>
      </c>
      <c r="B36" s="2" t="s">
        <v>11</v>
      </c>
      <c r="C36" s="2" t="s">
        <v>337</v>
      </c>
      <c r="D36" s="6">
        <f>-D$15*E5</f>
        <v>-2975.4440154440153</v>
      </c>
      <c r="F36" s="6">
        <f>-F$15*G5</f>
        <v>-2730.8265078183172</v>
      </c>
      <c r="H36" s="6">
        <f>-H$15*I5</f>
        <v>-2661.3854089904198</v>
      </c>
      <c r="J36" s="6">
        <f>-J$15*K5</f>
        <v>-2688.2044560943641</v>
      </c>
      <c r="L36" s="6">
        <f>-L$15*M5</f>
        <v>-3268.2692307692305</v>
      </c>
      <c r="N36" s="6">
        <f>-N$15*O5</f>
        <v>-2630.6216931216932</v>
      </c>
      <c r="P36" s="6">
        <f>-P$15*Q5</f>
        <v>-2932.9863370201692</v>
      </c>
      <c r="R36" s="6">
        <f>-R$15*S5</f>
        <v>-2350.5256241787124</v>
      </c>
      <c r="T36" s="6">
        <f>-T$15*U5</f>
        <v>-1926.5751715533374</v>
      </c>
      <c r="V36" s="6">
        <f>-V$15*W5</f>
        <v>-1255.0060313630881</v>
      </c>
      <c r="X36" s="6">
        <f>-X$15*Y5</f>
        <v>-783.6030964109782</v>
      </c>
      <c r="Z36" s="6">
        <f>-Z$15*AA5</f>
        <v>-957.59999999999991</v>
      </c>
    </row>
    <row r="37" spans="1:26" ht="15" customHeight="1">
      <c r="A37" s="3" t="s">
        <v>10</v>
      </c>
      <c r="B37" s="2" t="s">
        <v>11</v>
      </c>
      <c r="C37" s="2" t="s">
        <v>338</v>
      </c>
      <c r="D37" s="6">
        <f>-D$15*E6</f>
        <v>-3577.7606177606176</v>
      </c>
      <c r="F37" s="6">
        <f>-F$15*G6</f>
        <v>-4308.6373790022335</v>
      </c>
      <c r="H37" s="6">
        <f>-H$15*I6</f>
        <v>-3643.6993367722921</v>
      </c>
      <c r="J37" s="6">
        <f>-J$15*K6</f>
        <v>-3459.239842726081</v>
      </c>
      <c r="L37" s="6">
        <f>-L$15*M6</f>
        <v>-3300</v>
      </c>
      <c r="N37" s="6">
        <f>-N$15*O6</f>
        <v>-5041.0052910052909</v>
      </c>
      <c r="P37" s="6">
        <f>-P$15*Q6</f>
        <v>-2472.0884840598565</v>
      </c>
      <c r="R37" s="6">
        <f>-R$15*S6</f>
        <v>-3520.5650459921158</v>
      </c>
      <c r="T37" s="6">
        <f>-T$15*U6</f>
        <v>-1660.0748596381786</v>
      </c>
      <c r="V37" s="6">
        <f>-V$15*W6</f>
        <v>-2263.9324487334138</v>
      </c>
      <c r="X37" s="6">
        <f>-X$15*Y6</f>
        <v>-1722.7304714989443</v>
      </c>
      <c r="Z37" s="6">
        <f>-Z$15*AA6</f>
        <v>-2665.6</v>
      </c>
    </row>
    <row r="38" spans="1:26" ht="15" customHeight="1">
      <c r="A38" s="3" t="s">
        <v>10</v>
      </c>
      <c r="B38" s="2" t="s">
        <v>11</v>
      </c>
      <c r="C38" s="2" t="s">
        <v>339</v>
      </c>
      <c r="D38" s="6">
        <f>-D$15*E7</f>
        <v>-3625.9459459459463</v>
      </c>
      <c r="F38" s="6">
        <f>-F$15*G7</f>
        <v>-3519.7319434102756</v>
      </c>
      <c r="H38" s="6">
        <f>-H$15*I7</f>
        <v>-3518.0545320560059</v>
      </c>
      <c r="J38" s="6">
        <f>-J$15*K7</f>
        <v>-3084.1415465268678</v>
      </c>
      <c r="L38" s="6">
        <f>-L$15*M7</f>
        <v>-3067.3076923076919</v>
      </c>
      <c r="N38" s="6">
        <f>-N$15*O7</f>
        <v>-3988.7566137566137</v>
      </c>
      <c r="P38" s="6">
        <f>-P$15*Q7</f>
        <v>-4210.9303838646711</v>
      </c>
      <c r="R38" s="6">
        <f>-R$15*S7</f>
        <v>-3416.0972404730619</v>
      </c>
      <c r="T38" s="6">
        <f>-T$15*U7</f>
        <v>-2015.4086088583904</v>
      </c>
      <c r="V38" s="6">
        <f>-V$15*W7</f>
        <v>-2245.4764776839565</v>
      </c>
      <c r="X38" s="6">
        <f>-X$15*Y7</f>
        <v>-2428.5714285714284</v>
      </c>
      <c r="Z38" s="6">
        <f>-Z$15*AA7</f>
        <v>-2077.6</v>
      </c>
    </row>
    <row r="40" spans="1:26" ht="15" customHeight="1">
      <c r="D40" s="9">
        <f>SUM(D19:D38)</f>
        <v>-55900</v>
      </c>
      <c r="F40" s="9">
        <f>SUM(F19:F38)</f>
        <v>-60100</v>
      </c>
      <c r="H40" s="9">
        <f>SUM(H19:H38)</f>
        <v>-58100.000000000007</v>
      </c>
      <c r="J40" s="9">
        <f>SUM(J19:J38)</f>
        <v>-62000</v>
      </c>
      <c r="L40" s="9">
        <f>SUM(L19:L38)</f>
        <v>-60899.999999999993</v>
      </c>
      <c r="N40" s="9">
        <f>SUM(N19:N38)</f>
        <v>-63100</v>
      </c>
      <c r="P40" s="9">
        <f>SUM(P19:P38)</f>
        <v>-62500.000000000007</v>
      </c>
      <c r="R40" s="9">
        <f>SUM(R19:R38)</f>
        <v>-63700.000000000015</v>
      </c>
      <c r="T40" s="9">
        <f>SUM(T19:T38)</f>
        <v>-56600.000000000007</v>
      </c>
      <c r="V40" s="9">
        <f>SUM(V19:V38)</f>
        <v>-57500.000000000015</v>
      </c>
      <c r="X40" s="9">
        <f>SUM(X19:X38)</f>
        <v>-58800</v>
      </c>
      <c r="Z40" s="9">
        <f>SUM(Z19:Z38)</f>
        <v>-60799.999999999993</v>
      </c>
    </row>
    <row r="42" spans="1:26" ht="15" customHeight="1">
      <c r="H42" s="8"/>
      <c r="I42" s="8"/>
    </row>
  </sheetData>
  <pageMargins left="0.7" right="0.7" top="0.75" bottom="0.75"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695"/>
  <sheetViews>
    <sheetView showGridLines="0" zoomScaleNormal="100" workbookViewId="0">
      <pane ySplit="1" topLeftCell="A2448" activePane="bottomLeft" state="frozen"/>
      <selection pane="bottomLeft" sqref="A1:XFD1048576"/>
    </sheetView>
  </sheetViews>
  <sheetFormatPr baseColWidth="10" defaultColWidth="11" defaultRowHeight="15"/>
  <cols>
    <col min="1" max="1" width="11" style="12"/>
    <col min="2" max="2" width="20.5" style="12" customWidth="1"/>
    <col min="3" max="3" width="13.1640625" style="104" customWidth="1"/>
    <col min="4" max="4" width="21" style="12" customWidth="1"/>
    <col min="5" max="5" width="19.6640625" style="12" customWidth="1"/>
    <col min="6" max="6" width="29" style="12" customWidth="1"/>
    <col min="7" max="7" width="17.33203125" style="12" customWidth="1"/>
    <col min="8" max="8" width="23.6640625" style="12" customWidth="1"/>
    <col min="9" max="16384" width="11" style="12"/>
  </cols>
  <sheetData>
    <row r="1" spans="1:11" ht="15" customHeight="1">
      <c r="A1" s="11" t="s">
        <v>25</v>
      </c>
      <c r="B1" s="11" t="s">
        <v>646</v>
      </c>
      <c r="C1" s="111" t="s">
        <v>2</v>
      </c>
      <c r="D1" s="11" t="s">
        <v>647</v>
      </c>
      <c r="E1" s="11" t="s">
        <v>26</v>
      </c>
      <c r="F1" s="11" t="s">
        <v>27</v>
      </c>
      <c r="G1" s="11" t="s">
        <v>37</v>
      </c>
      <c r="H1" s="11" t="s">
        <v>221</v>
      </c>
      <c r="I1" s="11" t="s">
        <v>648</v>
      </c>
      <c r="J1" s="11" t="s">
        <v>22</v>
      </c>
      <c r="K1" s="11" t="s">
        <v>222</v>
      </c>
    </row>
    <row r="2" spans="1:11" ht="15" customHeight="1">
      <c r="A2" s="112">
        <v>45839</v>
      </c>
      <c r="B2" s="113">
        <v>1</v>
      </c>
      <c r="C2" s="18" t="s">
        <v>4</v>
      </c>
      <c r="D2" s="113" t="str">
        <f>_xlfn.XLOOKUP($C2,'Cost Centers'!$A$2:$A$11,'Cost Centers'!$B$2:$B$11,"")</f>
        <v>Executive</v>
      </c>
      <c r="E2" s="113" t="s">
        <v>28</v>
      </c>
      <c r="F2" s="113" t="str">
        <f>_xlfn.XLOOKUP(E2,'Allocated Transactions'!D:D,'Allocated Transactions'!E:E,"")</f>
        <v>Salaries and Wages</v>
      </c>
      <c r="G2" s="113" t="s">
        <v>97</v>
      </c>
      <c r="H2" s="113"/>
      <c r="I2" s="113" t="str">
        <f>_xlfn.XLOOKUP($C2,'Cost Centers'!$A$2:$A$11,'Cost Centers'!$C$2:$C$11,"")</f>
        <v>Admin</v>
      </c>
      <c r="J2" s="23">
        <f>MROUND(SUMIFS('Allocated Transactions'!$J:$J,'Allocated Transactions'!$D:$D,$E2,'Allocated Transactions'!$C:$C,$C2,'Allocated Transactions'!$A:$A,"&gt;="&amp;$A2,'Allocated Transactions'!$A:$A,"&lt;="&amp;EOMONTH($A2,0))*0.99,100)</f>
        <v>7300</v>
      </c>
      <c r="K2" s="113" t="s">
        <v>637</v>
      </c>
    </row>
    <row r="3" spans="1:11" ht="15" customHeight="1">
      <c r="A3" s="112">
        <v>45839</v>
      </c>
      <c r="B3" s="113">
        <v>1</v>
      </c>
      <c r="C3" s="18" t="s">
        <v>4</v>
      </c>
      <c r="D3" s="113" t="str">
        <f>_xlfn.XLOOKUP($C3,'Cost Centers'!$A$2:$A$11,'Cost Centers'!$B$2:$B$11,"")</f>
        <v>Executive</v>
      </c>
      <c r="E3" s="113" t="s">
        <v>29</v>
      </c>
      <c r="F3" s="113" t="str">
        <f>_xlfn.XLOOKUP(E3,'Allocated Transactions'!D:D,'Allocated Transactions'!E:E,"")</f>
        <v>Payroll Taxes</v>
      </c>
      <c r="G3" s="113" t="s">
        <v>97</v>
      </c>
      <c r="H3" s="113"/>
      <c r="I3" s="113" t="str">
        <f>_xlfn.XLOOKUP($C3,'Cost Centers'!$A$2:$A$11,'Cost Centers'!$C$2:$C$11,"")</f>
        <v>Admin</v>
      </c>
      <c r="J3" s="23">
        <f>MROUND(SUMIFS('Allocated Transactions'!$J:$J,'Allocated Transactions'!$D:$D,$E3,'Allocated Transactions'!$C:$C,$C3,'Allocated Transactions'!$A:$A,"&gt;="&amp;$A3,'Allocated Transactions'!$A:$A,"&lt;="&amp;EOMONTH($A3,0))*0.99,100)</f>
        <v>600</v>
      </c>
      <c r="K3" s="113" t="s">
        <v>637</v>
      </c>
    </row>
    <row r="4" spans="1:11" ht="15" customHeight="1">
      <c r="A4" s="112">
        <v>45839</v>
      </c>
      <c r="B4" s="113">
        <v>1</v>
      </c>
      <c r="C4" s="18" t="s">
        <v>4</v>
      </c>
      <c r="D4" s="113" t="str">
        <f>_xlfn.XLOOKUP($C4,'Cost Centers'!$A$2:$A$11,'Cost Centers'!$B$2:$B$11,"")</f>
        <v>Executive</v>
      </c>
      <c r="E4" s="113" t="s">
        <v>30</v>
      </c>
      <c r="F4" s="113" t="str">
        <f>_xlfn.XLOOKUP(E4,'Allocated Transactions'!D:D,'Allocated Transactions'!E:E,"")</f>
        <v>Employee Benefits</v>
      </c>
      <c r="G4" s="113" t="s">
        <v>97</v>
      </c>
      <c r="H4" s="113"/>
      <c r="I4" s="113" t="str">
        <f>_xlfn.XLOOKUP($C4,'Cost Centers'!$A$2:$A$11,'Cost Centers'!$C$2:$C$11,"")</f>
        <v>Admin</v>
      </c>
      <c r="J4" s="23">
        <f>MROUND(SUMIFS('Allocated Transactions'!$J:$J,'Allocated Transactions'!$D:$D,$E4,'Allocated Transactions'!$C:$C,$C4,'Allocated Transactions'!$A:$A,"&gt;="&amp;$A4,'Allocated Transactions'!$A:$A,"&lt;="&amp;EOMONTH($A4,0))*0.99,100)</f>
        <v>1700</v>
      </c>
      <c r="K4" s="113" t="s">
        <v>637</v>
      </c>
    </row>
    <row r="5" spans="1:11" ht="15" customHeight="1">
      <c r="A5" s="112">
        <v>45839</v>
      </c>
      <c r="B5" s="113">
        <v>1</v>
      </c>
      <c r="C5" s="18" t="s">
        <v>4</v>
      </c>
      <c r="D5" s="113" t="str">
        <f>_xlfn.XLOOKUP($C5,'Cost Centers'!$A$2:$A$11,'Cost Centers'!$B$2:$B$11,"")</f>
        <v>Executive</v>
      </c>
      <c r="E5" s="113" t="s">
        <v>31</v>
      </c>
      <c r="F5" s="113" t="str">
        <f>_xlfn.XLOOKUP(E5,'Allocated Transactions'!D:D,'Allocated Transactions'!E:E,"")</f>
        <v>Retirement Contributions</v>
      </c>
      <c r="G5" s="113" t="s">
        <v>97</v>
      </c>
      <c r="H5" s="113"/>
      <c r="I5" s="113" t="str">
        <f>_xlfn.XLOOKUP($C5,'Cost Centers'!$A$2:$A$11,'Cost Centers'!$C$2:$C$11,"")</f>
        <v>Admin</v>
      </c>
      <c r="J5" s="23">
        <f>MROUND(SUMIFS('Allocated Transactions'!$J:$J,'Allocated Transactions'!$D:$D,$E5,'Allocated Transactions'!$C:$C,$C5,'Allocated Transactions'!$A:$A,"&gt;="&amp;$A5,'Allocated Transactions'!$A:$A,"&lt;="&amp;EOMONTH($A5,0))*0.99,100)</f>
        <v>200</v>
      </c>
      <c r="K5" s="113" t="s">
        <v>637</v>
      </c>
    </row>
    <row r="6" spans="1:11" ht="15" customHeight="1">
      <c r="A6" s="112">
        <v>45839</v>
      </c>
      <c r="B6" s="113">
        <v>1</v>
      </c>
      <c r="C6" s="18" t="s">
        <v>4</v>
      </c>
      <c r="D6" s="113" t="str">
        <f>_xlfn.XLOOKUP($C6,'Cost Centers'!$A$2:$A$11,'Cost Centers'!$B$2:$B$11,"")</f>
        <v>Executive</v>
      </c>
      <c r="E6" s="113" t="s">
        <v>101</v>
      </c>
      <c r="F6" s="113" t="str">
        <f>_xlfn.XLOOKUP(E6,'Allocated Transactions'!D:D,'Allocated Transactions'!E:E,"")</f>
        <v>Contract Labor / Consultants</v>
      </c>
      <c r="G6" s="113" t="s">
        <v>97</v>
      </c>
      <c r="H6" s="113"/>
      <c r="I6" s="113" t="str">
        <f>_xlfn.XLOOKUP($C6,'Cost Centers'!$A$2:$A$11,'Cost Centers'!$C$2:$C$11,"")</f>
        <v>Admin</v>
      </c>
      <c r="J6" s="23">
        <f>MROUND(SUMIFS('Allocated Transactions'!$J:$J,'Allocated Transactions'!$D:$D,$E6,'Allocated Transactions'!$C:$C,$C6,'Allocated Transactions'!$A:$A,"&gt;="&amp;$A6,'Allocated Transactions'!$A:$A,"&lt;="&amp;EOMONTH($A6,0))*0.99,100)</f>
        <v>0</v>
      </c>
      <c r="K6" s="113" t="s">
        <v>637</v>
      </c>
    </row>
    <row r="7" spans="1:11" ht="15" customHeight="1">
      <c r="A7" s="112">
        <v>45839</v>
      </c>
      <c r="B7" s="113">
        <v>1</v>
      </c>
      <c r="C7" s="18" t="s">
        <v>4</v>
      </c>
      <c r="D7" s="113" t="str">
        <f>_xlfn.XLOOKUP($C7,'Cost Centers'!$A$2:$A$11,'Cost Centers'!$B$2:$B$11,"")</f>
        <v>Executive</v>
      </c>
      <c r="E7" s="113" t="s">
        <v>32</v>
      </c>
      <c r="F7" s="113" t="str">
        <f>_xlfn.XLOOKUP(E7,'Allocated Transactions'!D:D,'Allocated Transactions'!E:E,"")</f>
        <v>Rent</v>
      </c>
      <c r="G7" s="113" t="s">
        <v>97</v>
      </c>
      <c r="H7" s="113"/>
      <c r="I7" s="113" t="str">
        <f>_xlfn.XLOOKUP($C7,'Cost Centers'!$A$2:$A$11,'Cost Centers'!$C$2:$C$11,"")</f>
        <v>Admin</v>
      </c>
      <c r="J7" s="23">
        <f>MROUND(SUMIFS('Allocated Transactions'!$J:$J,'Allocated Transactions'!$D:$D,$E7,'Allocated Transactions'!$C:$C,$C7,'Allocated Transactions'!$A:$A,"&gt;="&amp;$A7,'Allocated Transactions'!$A:$A,"&lt;="&amp;EOMONTH($A7,0))*0.99,100)</f>
        <v>600</v>
      </c>
      <c r="K7" s="113" t="s">
        <v>637</v>
      </c>
    </row>
    <row r="8" spans="1:11" ht="15" customHeight="1">
      <c r="A8" s="112">
        <v>45839</v>
      </c>
      <c r="B8" s="113">
        <v>1</v>
      </c>
      <c r="C8" s="18" t="s">
        <v>4</v>
      </c>
      <c r="D8" s="113" t="str">
        <f>_xlfn.XLOOKUP($C8,'Cost Centers'!$A$2:$A$11,'Cost Centers'!$B$2:$B$11,"")</f>
        <v>Executive</v>
      </c>
      <c r="E8" s="113" t="s">
        <v>33</v>
      </c>
      <c r="F8" s="113" t="str">
        <f>_xlfn.XLOOKUP(E8,'Allocated Transactions'!D:D,'Allocated Transactions'!E:E,"")</f>
        <v>Utilities</v>
      </c>
      <c r="G8" s="113" t="s">
        <v>97</v>
      </c>
      <c r="H8" s="113"/>
      <c r="I8" s="113" t="str">
        <f>_xlfn.XLOOKUP($C8,'Cost Centers'!$A$2:$A$11,'Cost Centers'!$C$2:$C$11,"")</f>
        <v>Admin</v>
      </c>
      <c r="J8" s="23">
        <f>MROUND(SUMIFS('Allocated Transactions'!$J:$J,'Allocated Transactions'!$D:$D,$E8,'Allocated Transactions'!$C:$C,$C8,'Allocated Transactions'!$A:$A,"&gt;="&amp;$A8,'Allocated Transactions'!$A:$A,"&lt;="&amp;EOMONTH($A8,0))*0.99,100)</f>
        <v>100</v>
      </c>
      <c r="K8" s="113" t="s">
        <v>637</v>
      </c>
    </row>
    <row r="9" spans="1:11" ht="15" customHeight="1">
      <c r="A9" s="112">
        <v>45839</v>
      </c>
      <c r="B9" s="113">
        <v>1</v>
      </c>
      <c r="C9" s="18" t="s">
        <v>4</v>
      </c>
      <c r="D9" s="113" t="str">
        <f>_xlfn.XLOOKUP($C9,'Cost Centers'!$A$2:$A$11,'Cost Centers'!$B$2:$B$11,"")</f>
        <v>Executive</v>
      </c>
      <c r="E9" s="113" t="s">
        <v>105</v>
      </c>
      <c r="F9" s="113" t="str">
        <f>_xlfn.XLOOKUP(E9,'Allocated Transactions'!D:D,'Allocated Transactions'!E:E,"")</f>
        <v>Office Supplies</v>
      </c>
      <c r="G9" s="113" t="s">
        <v>97</v>
      </c>
      <c r="H9" s="113"/>
      <c r="I9" s="113" t="str">
        <f>_xlfn.XLOOKUP($C9,'Cost Centers'!$A$2:$A$11,'Cost Centers'!$C$2:$C$11,"")</f>
        <v>Admin</v>
      </c>
      <c r="J9" s="23">
        <f>MROUND(SUMIFS('Allocated Transactions'!$J:$J,'Allocated Transactions'!$D:$D,$E9,'Allocated Transactions'!$C:$C,$C9,'Allocated Transactions'!$A:$A,"&gt;="&amp;$A9,'Allocated Transactions'!$A:$A,"&lt;="&amp;EOMONTH($A9,0))*0.99,100)</f>
        <v>700</v>
      </c>
      <c r="K9" s="113" t="s">
        <v>637</v>
      </c>
    </row>
    <row r="10" spans="1:11" ht="15" customHeight="1">
      <c r="A10" s="112">
        <v>45839</v>
      </c>
      <c r="B10" s="113">
        <v>1</v>
      </c>
      <c r="C10" s="18" t="s">
        <v>4</v>
      </c>
      <c r="D10" s="113" t="str">
        <f>_xlfn.XLOOKUP($C10,'Cost Centers'!$A$2:$A$11,'Cost Centers'!$B$2:$B$11,"")</f>
        <v>Executive</v>
      </c>
      <c r="E10" s="113" t="s">
        <v>107</v>
      </c>
      <c r="F10" s="113" t="str">
        <f>_xlfn.XLOOKUP(E10,'Allocated Transactions'!D:D,'Allocated Transactions'!E:E,"")</f>
        <v>Software and Subscriptions</v>
      </c>
      <c r="G10" s="113" t="s">
        <v>97</v>
      </c>
      <c r="H10" s="113"/>
      <c r="I10" s="113" t="str">
        <f>_xlfn.XLOOKUP($C10,'Cost Centers'!$A$2:$A$11,'Cost Centers'!$C$2:$C$11,"")</f>
        <v>Admin</v>
      </c>
      <c r="J10" s="23">
        <f>MROUND(SUMIFS('Allocated Transactions'!$J:$J,'Allocated Transactions'!$D:$D,$E10,'Allocated Transactions'!$C:$C,$C10,'Allocated Transactions'!$A:$A,"&gt;="&amp;$A10,'Allocated Transactions'!$A:$A,"&lt;="&amp;EOMONTH($A10,0))*0.99,100)</f>
        <v>0</v>
      </c>
      <c r="K10" s="113" t="s">
        <v>637</v>
      </c>
    </row>
    <row r="11" spans="1:11" ht="15" customHeight="1">
      <c r="A11" s="112">
        <v>45839</v>
      </c>
      <c r="B11" s="113">
        <v>1</v>
      </c>
      <c r="C11" s="18" t="s">
        <v>4</v>
      </c>
      <c r="D11" s="113" t="str">
        <f>_xlfn.XLOOKUP($C11,'Cost Centers'!$A$2:$A$11,'Cost Centers'!$B$2:$B$11,"")</f>
        <v>Executive</v>
      </c>
      <c r="E11" s="113" t="s">
        <v>109</v>
      </c>
      <c r="F11" s="113" t="str">
        <f>_xlfn.XLOOKUP(E11,'Allocated Transactions'!D:D,'Allocated Transactions'!E:E,"")</f>
        <v>Travel</v>
      </c>
      <c r="G11" s="113" t="s">
        <v>97</v>
      </c>
      <c r="H11" s="113"/>
      <c r="I11" s="113" t="str">
        <f>_xlfn.XLOOKUP($C11,'Cost Centers'!$A$2:$A$11,'Cost Centers'!$C$2:$C$11,"")</f>
        <v>Admin</v>
      </c>
      <c r="J11" s="23">
        <f>MROUND(SUMIFS('Allocated Transactions'!$J:$J,'Allocated Transactions'!$D:$D,$E11,'Allocated Transactions'!$C:$C,$C11,'Allocated Transactions'!$A:$A,"&gt;="&amp;$A11,'Allocated Transactions'!$A:$A,"&lt;="&amp;EOMONTH($A11,0))*0.99,100)</f>
        <v>0</v>
      </c>
      <c r="K11" s="113" t="s">
        <v>637</v>
      </c>
    </row>
    <row r="12" spans="1:11" ht="15" customHeight="1">
      <c r="A12" s="112">
        <v>45839</v>
      </c>
      <c r="B12" s="113">
        <v>1</v>
      </c>
      <c r="C12" s="18" t="s">
        <v>4</v>
      </c>
      <c r="D12" s="113" t="str">
        <f>_xlfn.XLOOKUP($C12,'Cost Centers'!$A$2:$A$11,'Cost Centers'!$B$2:$B$11,"")</f>
        <v>Executive</v>
      </c>
      <c r="E12" s="113" t="s">
        <v>111</v>
      </c>
      <c r="F12" s="113" t="str">
        <f>_xlfn.XLOOKUP(E12,'Allocated Transactions'!D:D,'Allocated Transactions'!E:E,"")</f>
        <v>Meals and Entertainment</v>
      </c>
      <c r="G12" s="113" t="s">
        <v>97</v>
      </c>
      <c r="H12" s="113"/>
      <c r="I12" s="113" t="str">
        <f>_xlfn.XLOOKUP($C12,'Cost Centers'!$A$2:$A$11,'Cost Centers'!$C$2:$C$11,"")</f>
        <v>Admin</v>
      </c>
      <c r="J12" s="23">
        <f>MROUND(SUMIFS('Allocated Transactions'!$J:$J,'Allocated Transactions'!$D:$D,$E12,'Allocated Transactions'!$C:$C,$C12,'Allocated Transactions'!$A:$A,"&gt;="&amp;$A12,'Allocated Transactions'!$A:$A,"&lt;="&amp;EOMONTH($A12,0))*0.99,100)</f>
        <v>0</v>
      </c>
      <c r="K12" s="113" t="s">
        <v>637</v>
      </c>
    </row>
    <row r="13" spans="1:11" ht="15" customHeight="1">
      <c r="A13" s="112">
        <v>45839</v>
      </c>
      <c r="B13" s="113">
        <v>1</v>
      </c>
      <c r="C13" s="18" t="s">
        <v>4</v>
      </c>
      <c r="D13" s="113" t="str">
        <f>_xlfn.XLOOKUP($C13,'Cost Centers'!$A$2:$A$11,'Cost Centers'!$B$2:$B$11,"")</f>
        <v>Executive</v>
      </c>
      <c r="E13" s="113" t="s">
        <v>113</v>
      </c>
      <c r="F13" s="113" t="str">
        <f>_xlfn.XLOOKUP(E13,'Allocated Transactions'!D:D,'Allocated Transactions'!E:E,"")</f>
        <v>Professional Fees - Legal</v>
      </c>
      <c r="G13" s="113" t="s">
        <v>97</v>
      </c>
      <c r="H13" s="113"/>
      <c r="I13" s="113" t="str">
        <f>_xlfn.XLOOKUP($C13,'Cost Centers'!$A$2:$A$11,'Cost Centers'!$C$2:$C$11,"")</f>
        <v>Admin</v>
      </c>
      <c r="J13" s="23">
        <f>MROUND(SUMIFS('Allocated Transactions'!$J:$J,'Allocated Transactions'!$D:$D,$E13,'Allocated Transactions'!$C:$C,$C13,'Allocated Transactions'!$A:$A,"&gt;="&amp;$A13,'Allocated Transactions'!$A:$A,"&lt;="&amp;EOMONTH($A13,0))*0.99,100)</f>
        <v>0</v>
      </c>
      <c r="K13" s="113" t="s">
        <v>637</v>
      </c>
    </row>
    <row r="14" spans="1:11" ht="15" customHeight="1">
      <c r="A14" s="112">
        <v>45839</v>
      </c>
      <c r="B14" s="113">
        <v>1</v>
      </c>
      <c r="C14" s="18" t="s">
        <v>4</v>
      </c>
      <c r="D14" s="113" t="str">
        <f>_xlfn.XLOOKUP($C14,'Cost Centers'!$A$2:$A$11,'Cost Centers'!$B$2:$B$11,"")</f>
        <v>Executive</v>
      </c>
      <c r="E14" s="113" t="s">
        <v>115</v>
      </c>
      <c r="F14" s="113" t="str">
        <f>_xlfn.XLOOKUP(E14,'Allocated Transactions'!D:D,'Allocated Transactions'!E:E,"")</f>
        <v>Professional Fees - Accounting/Audit</v>
      </c>
      <c r="G14" s="113" t="s">
        <v>97</v>
      </c>
      <c r="H14" s="113"/>
      <c r="I14" s="113" t="str">
        <f>_xlfn.XLOOKUP($C14,'Cost Centers'!$A$2:$A$11,'Cost Centers'!$C$2:$C$11,"")</f>
        <v>Admin</v>
      </c>
      <c r="J14" s="23">
        <f>MROUND(SUMIFS('Allocated Transactions'!$J:$J,'Allocated Transactions'!$D:$D,$E14,'Allocated Transactions'!$C:$C,$C14,'Allocated Transactions'!$A:$A,"&gt;="&amp;$A14,'Allocated Transactions'!$A:$A,"&lt;="&amp;EOMONTH($A14,0))*0.99,100)</f>
        <v>0</v>
      </c>
      <c r="K14" s="113" t="s">
        <v>637</v>
      </c>
    </row>
    <row r="15" spans="1:11" ht="15" customHeight="1">
      <c r="A15" s="112">
        <v>45839</v>
      </c>
      <c r="B15" s="113">
        <v>1</v>
      </c>
      <c r="C15" s="18" t="s">
        <v>4</v>
      </c>
      <c r="D15" s="113" t="str">
        <f>_xlfn.XLOOKUP($C15,'Cost Centers'!$A$2:$A$11,'Cost Centers'!$B$2:$B$11,"")</f>
        <v>Executive</v>
      </c>
      <c r="E15" s="113" t="s">
        <v>117</v>
      </c>
      <c r="F15" s="113" t="str">
        <f>_xlfn.XLOOKUP(E15,'Allocated Transactions'!D:D,'Allocated Transactions'!E:E,"")</f>
        <v>Insurance</v>
      </c>
      <c r="G15" s="113" t="s">
        <v>97</v>
      </c>
      <c r="H15" s="113"/>
      <c r="I15" s="113" t="str">
        <f>_xlfn.XLOOKUP($C15,'Cost Centers'!$A$2:$A$11,'Cost Centers'!$C$2:$C$11,"")</f>
        <v>Admin</v>
      </c>
      <c r="J15" s="23">
        <f>MROUND(SUMIFS('Allocated Transactions'!$J:$J,'Allocated Transactions'!$D:$D,$E15,'Allocated Transactions'!$C:$C,$C15,'Allocated Transactions'!$A:$A,"&gt;="&amp;$A15,'Allocated Transactions'!$A:$A,"&lt;="&amp;EOMONTH($A15,0))*0.99,100)</f>
        <v>400</v>
      </c>
      <c r="K15" s="113" t="s">
        <v>637</v>
      </c>
    </row>
    <row r="16" spans="1:11" ht="15" customHeight="1">
      <c r="A16" s="112">
        <v>45839</v>
      </c>
      <c r="B16" s="113">
        <v>1</v>
      </c>
      <c r="C16" s="18" t="s">
        <v>4</v>
      </c>
      <c r="D16" s="113" t="str">
        <f>_xlfn.XLOOKUP($C16,'Cost Centers'!$A$2:$A$11,'Cost Centers'!$B$2:$B$11,"")</f>
        <v>Executive</v>
      </c>
      <c r="E16" s="113" t="s">
        <v>119</v>
      </c>
      <c r="F16" s="113" t="str">
        <f>_xlfn.XLOOKUP(E16,'Allocated Transactions'!D:D,'Allocated Transactions'!E:E,"")</f>
        <v>Depreciation Expense</v>
      </c>
      <c r="G16" s="113" t="s">
        <v>97</v>
      </c>
      <c r="H16" s="113"/>
      <c r="I16" s="113" t="str">
        <f>_xlfn.XLOOKUP($C16,'Cost Centers'!$A$2:$A$11,'Cost Centers'!$C$2:$C$11,"")</f>
        <v>Admin</v>
      </c>
      <c r="J16" s="23">
        <f>MROUND(SUMIFS('Allocated Transactions'!$J:$J,'Allocated Transactions'!$D:$D,$E16,'Allocated Transactions'!$C:$C,$C16,'Allocated Transactions'!$A:$A,"&gt;="&amp;$A16,'Allocated Transactions'!$A:$A,"&lt;="&amp;EOMONTH($A16,0))*0.99,100)</f>
        <v>0</v>
      </c>
      <c r="K16" s="113" t="s">
        <v>637</v>
      </c>
    </row>
    <row r="17" spans="1:11" ht="15" customHeight="1">
      <c r="A17" s="112">
        <v>45839</v>
      </c>
      <c r="B17" s="113">
        <v>1</v>
      </c>
      <c r="C17" s="18" t="s">
        <v>4</v>
      </c>
      <c r="D17" s="113" t="str">
        <f>_xlfn.XLOOKUP($C17,'Cost Centers'!$A$2:$A$11,'Cost Centers'!$B$2:$B$11,"")</f>
        <v>Executive</v>
      </c>
      <c r="E17" s="113" t="s">
        <v>121</v>
      </c>
      <c r="F17" s="113" t="str">
        <f>_xlfn.XLOOKUP(E17,'Allocated Transactions'!D:D,'Allocated Transactions'!E:E,"")</f>
        <v>Bank Fees</v>
      </c>
      <c r="G17" s="113" t="s">
        <v>97</v>
      </c>
      <c r="H17" s="113"/>
      <c r="I17" s="113" t="str">
        <f>_xlfn.XLOOKUP($C17,'Cost Centers'!$A$2:$A$11,'Cost Centers'!$C$2:$C$11,"")</f>
        <v>Admin</v>
      </c>
      <c r="J17" s="23">
        <f>MROUND(SUMIFS('Allocated Transactions'!$J:$J,'Allocated Transactions'!$D:$D,$E17,'Allocated Transactions'!$C:$C,$C17,'Allocated Transactions'!$A:$A,"&gt;="&amp;$A17,'Allocated Transactions'!$A:$A,"&lt;="&amp;EOMONTH($A17,0))*0.99,100)</f>
        <v>0</v>
      </c>
      <c r="K17" s="113" t="s">
        <v>637</v>
      </c>
    </row>
    <row r="18" spans="1:11" ht="15" customHeight="1">
      <c r="A18" s="112">
        <v>45839</v>
      </c>
      <c r="B18" s="113">
        <v>1</v>
      </c>
      <c r="C18" s="18" t="s">
        <v>4</v>
      </c>
      <c r="D18" s="113" t="str">
        <f>_xlfn.XLOOKUP($C18,'Cost Centers'!$A$2:$A$11,'Cost Centers'!$B$2:$B$11,"")</f>
        <v>Executive</v>
      </c>
      <c r="E18" s="113" t="s">
        <v>123</v>
      </c>
      <c r="F18" s="113" t="str">
        <f>_xlfn.XLOOKUP(E18,'Allocated Transactions'!D:D,'Allocated Transactions'!E:E,"")</f>
        <v>Interest Expense</v>
      </c>
      <c r="G18" s="113" t="s">
        <v>97</v>
      </c>
      <c r="H18" s="113"/>
      <c r="I18" s="113" t="str">
        <f>_xlfn.XLOOKUP($C18,'Cost Centers'!$A$2:$A$11,'Cost Centers'!$C$2:$C$11,"")</f>
        <v>Admin</v>
      </c>
      <c r="J18" s="23">
        <f>MROUND(SUMIFS('Allocated Transactions'!$J:$J,'Allocated Transactions'!$D:$D,$E18,'Allocated Transactions'!$C:$C,$C18,'Allocated Transactions'!$A:$A,"&gt;="&amp;$A18,'Allocated Transactions'!$A:$A,"&lt;="&amp;EOMONTH($A18,0))*0.99,100)</f>
        <v>0</v>
      </c>
      <c r="K18" s="113" t="s">
        <v>637</v>
      </c>
    </row>
    <row r="19" spans="1:11" ht="15" customHeight="1">
      <c r="A19" s="112">
        <v>45839</v>
      </c>
      <c r="B19" s="113">
        <v>1</v>
      </c>
      <c r="C19" s="18" t="s">
        <v>4</v>
      </c>
      <c r="D19" s="113" t="str">
        <f>_xlfn.XLOOKUP($C19,'Cost Centers'!$A$2:$A$11,'Cost Centers'!$B$2:$B$11,"")</f>
        <v>Executive</v>
      </c>
      <c r="E19" s="113" t="s">
        <v>125</v>
      </c>
      <c r="F19" s="113" t="str">
        <f>_xlfn.XLOOKUP(E19,'Allocated Transactions'!D:D,'Allocated Transactions'!E:E,"")</f>
        <v>Miscellaneous Expense</v>
      </c>
      <c r="G19" s="113" t="s">
        <v>97</v>
      </c>
      <c r="H19" s="113"/>
      <c r="I19" s="113" t="str">
        <f>_xlfn.XLOOKUP($C19,'Cost Centers'!$A$2:$A$11,'Cost Centers'!$C$2:$C$11,"")</f>
        <v>Admin</v>
      </c>
      <c r="J19" s="23">
        <f>MROUND(SUMIFS('Allocated Transactions'!$J:$J,'Allocated Transactions'!$D:$D,$E19,'Allocated Transactions'!$C:$C,$C19,'Allocated Transactions'!$A:$A,"&gt;="&amp;$A19,'Allocated Transactions'!$A:$A,"&lt;="&amp;EOMONTH($A19,0))*0.99,100)</f>
        <v>0</v>
      </c>
      <c r="K19" s="113" t="s">
        <v>637</v>
      </c>
    </row>
    <row r="20" spans="1:11" ht="15" customHeight="1">
      <c r="A20" s="112">
        <f t="shared" ref="A20:A51" si="0">IF(E20="5000",EOMONTH(A19,0)+1,A19)</f>
        <v>45870</v>
      </c>
      <c r="B20" s="113">
        <v>1</v>
      </c>
      <c r="C20" s="18" t="s">
        <v>4</v>
      </c>
      <c r="D20" s="113" t="str">
        <f>_xlfn.XLOOKUP($C20,'Cost Centers'!$A$2:$A$11,'Cost Centers'!$B$2:$B$11,"")</f>
        <v>Executive</v>
      </c>
      <c r="E20" s="113" t="s">
        <v>28</v>
      </c>
      <c r="F20" s="113" t="str">
        <f>_xlfn.XLOOKUP(E20,'Allocated Transactions'!D:D,'Allocated Transactions'!E:E,"")</f>
        <v>Salaries and Wages</v>
      </c>
      <c r="G20" s="113" t="s">
        <v>97</v>
      </c>
      <c r="H20" s="113"/>
      <c r="I20" s="113" t="str">
        <f>_xlfn.XLOOKUP($C20,'Cost Centers'!$A$2:$A$11,'Cost Centers'!$C$2:$C$11,"")</f>
        <v>Admin</v>
      </c>
      <c r="J20" s="23">
        <f>MROUND(SUMIFS('Allocated Transactions'!$J:$J,'Allocated Transactions'!$D:$D,$E20,'Allocated Transactions'!$C:$C,$C20,'Allocated Transactions'!$A:$A,"&gt;="&amp;$A20,'Allocated Transactions'!$A:$A,"&lt;="&amp;EOMONTH($A20,0))*0.99,100)</f>
        <v>7400</v>
      </c>
      <c r="K20" s="113" t="s">
        <v>637</v>
      </c>
    </row>
    <row r="21" spans="1:11" ht="15" customHeight="1">
      <c r="A21" s="112">
        <f t="shared" si="0"/>
        <v>45870</v>
      </c>
      <c r="B21" s="113">
        <v>1</v>
      </c>
      <c r="C21" s="18" t="s">
        <v>4</v>
      </c>
      <c r="D21" s="113" t="str">
        <f>_xlfn.XLOOKUP($C21,'Cost Centers'!$A$2:$A$11,'Cost Centers'!$B$2:$B$11,"")</f>
        <v>Executive</v>
      </c>
      <c r="E21" s="113" t="s">
        <v>29</v>
      </c>
      <c r="F21" s="113" t="str">
        <f>_xlfn.XLOOKUP(E21,'Allocated Transactions'!D:D,'Allocated Transactions'!E:E,"")</f>
        <v>Payroll Taxes</v>
      </c>
      <c r="G21" s="113" t="s">
        <v>97</v>
      </c>
      <c r="H21" s="113"/>
      <c r="I21" s="113" t="str">
        <f>_xlfn.XLOOKUP($C21,'Cost Centers'!$A$2:$A$11,'Cost Centers'!$C$2:$C$11,"")</f>
        <v>Admin</v>
      </c>
      <c r="J21" s="23">
        <f>MROUND(SUMIFS('Allocated Transactions'!$J:$J,'Allocated Transactions'!$D:$D,$E21,'Allocated Transactions'!$C:$C,$C21,'Allocated Transactions'!$A:$A,"&gt;="&amp;$A21,'Allocated Transactions'!$A:$A,"&lt;="&amp;EOMONTH($A21,0))*0.99,100)</f>
        <v>600</v>
      </c>
      <c r="K21" s="113" t="s">
        <v>637</v>
      </c>
    </row>
    <row r="22" spans="1:11" ht="15" customHeight="1">
      <c r="A22" s="112">
        <f t="shared" si="0"/>
        <v>45870</v>
      </c>
      <c r="B22" s="113">
        <v>1</v>
      </c>
      <c r="C22" s="18" t="s">
        <v>4</v>
      </c>
      <c r="D22" s="113" t="str">
        <f>_xlfn.XLOOKUP($C22,'Cost Centers'!$A$2:$A$11,'Cost Centers'!$B$2:$B$11,"")</f>
        <v>Executive</v>
      </c>
      <c r="E22" s="113" t="s">
        <v>30</v>
      </c>
      <c r="F22" s="113" t="str">
        <f>_xlfn.XLOOKUP(E22,'Allocated Transactions'!D:D,'Allocated Transactions'!E:E,"")</f>
        <v>Employee Benefits</v>
      </c>
      <c r="G22" s="113" t="s">
        <v>97</v>
      </c>
      <c r="H22" s="113"/>
      <c r="I22" s="113" t="str">
        <f>_xlfn.XLOOKUP($C22,'Cost Centers'!$A$2:$A$11,'Cost Centers'!$C$2:$C$11,"")</f>
        <v>Admin</v>
      </c>
      <c r="J22" s="23">
        <f>MROUND(SUMIFS('Allocated Transactions'!$J:$J,'Allocated Transactions'!$D:$D,$E22,'Allocated Transactions'!$C:$C,$C22,'Allocated Transactions'!$A:$A,"&gt;="&amp;$A22,'Allocated Transactions'!$A:$A,"&lt;="&amp;EOMONTH($A22,0))*0.99,100)</f>
        <v>1000</v>
      </c>
      <c r="K22" s="113" t="s">
        <v>637</v>
      </c>
    </row>
    <row r="23" spans="1:11" ht="15" customHeight="1">
      <c r="A23" s="112">
        <f t="shared" si="0"/>
        <v>45870</v>
      </c>
      <c r="B23" s="113">
        <v>1</v>
      </c>
      <c r="C23" s="18" t="s">
        <v>4</v>
      </c>
      <c r="D23" s="113" t="str">
        <f>_xlfn.XLOOKUP($C23,'Cost Centers'!$A$2:$A$11,'Cost Centers'!$B$2:$B$11,"")</f>
        <v>Executive</v>
      </c>
      <c r="E23" s="113" t="s">
        <v>31</v>
      </c>
      <c r="F23" s="113" t="str">
        <f>_xlfn.XLOOKUP(E23,'Allocated Transactions'!D:D,'Allocated Transactions'!E:E,"")</f>
        <v>Retirement Contributions</v>
      </c>
      <c r="G23" s="113" t="s">
        <v>97</v>
      </c>
      <c r="H23" s="113"/>
      <c r="I23" s="113" t="str">
        <f>_xlfn.XLOOKUP($C23,'Cost Centers'!$A$2:$A$11,'Cost Centers'!$C$2:$C$11,"")</f>
        <v>Admin</v>
      </c>
      <c r="J23" s="23">
        <f>MROUND(SUMIFS('Allocated Transactions'!$J:$J,'Allocated Transactions'!$D:$D,$E23,'Allocated Transactions'!$C:$C,$C23,'Allocated Transactions'!$A:$A,"&gt;="&amp;$A23,'Allocated Transactions'!$A:$A,"&lt;="&amp;EOMONTH($A23,0))*0.99,100)</f>
        <v>200</v>
      </c>
      <c r="K23" s="113" t="s">
        <v>637</v>
      </c>
    </row>
    <row r="24" spans="1:11" ht="15" customHeight="1">
      <c r="A24" s="112">
        <f t="shared" si="0"/>
        <v>45870</v>
      </c>
      <c r="B24" s="113">
        <v>1</v>
      </c>
      <c r="C24" s="18" t="s">
        <v>4</v>
      </c>
      <c r="D24" s="113" t="str">
        <f>_xlfn.XLOOKUP($C24,'Cost Centers'!$A$2:$A$11,'Cost Centers'!$B$2:$B$11,"")</f>
        <v>Executive</v>
      </c>
      <c r="E24" s="113" t="s">
        <v>101</v>
      </c>
      <c r="F24" s="113" t="str">
        <f>_xlfn.XLOOKUP(E24,'Allocated Transactions'!D:D,'Allocated Transactions'!E:E,"")</f>
        <v>Contract Labor / Consultants</v>
      </c>
      <c r="G24" s="113" t="s">
        <v>97</v>
      </c>
      <c r="H24" s="113"/>
      <c r="I24" s="113" t="str">
        <f>_xlfn.XLOOKUP($C24,'Cost Centers'!$A$2:$A$11,'Cost Centers'!$C$2:$C$11,"")</f>
        <v>Admin</v>
      </c>
      <c r="J24" s="23">
        <f>MROUND(SUMIFS('Allocated Transactions'!$J:$J,'Allocated Transactions'!$D:$D,$E24,'Allocated Transactions'!$C:$C,$C24,'Allocated Transactions'!$A:$A,"&gt;="&amp;$A24,'Allocated Transactions'!$A:$A,"&lt;="&amp;EOMONTH($A24,0))*0.99,100)</f>
        <v>0</v>
      </c>
      <c r="K24" s="113" t="s">
        <v>637</v>
      </c>
    </row>
    <row r="25" spans="1:11" ht="15" customHeight="1">
      <c r="A25" s="112">
        <f t="shared" si="0"/>
        <v>45870</v>
      </c>
      <c r="B25" s="113">
        <v>1</v>
      </c>
      <c r="C25" s="18" t="s">
        <v>4</v>
      </c>
      <c r="D25" s="113" t="str">
        <f>_xlfn.XLOOKUP($C25,'Cost Centers'!$A$2:$A$11,'Cost Centers'!$B$2:$B$11,"")</f>
        <v>Executive</v>
      </c>
      <c r="E25" s="113" t="s">
        <v>32</v>
      </c>
      <c r="F25" s="113" t="str">
        <f>_xlfn.XLOOKUP(E25,'Allocated Transactions'!D:D,'Allocated Transactions'!E:E,"")</f>
        <v>Rent</v>
      </c>
      <c r="G25" s="113" t="s">
        <v>97</v>
      </c>
      <c r="H25" s="113"/>
      <c r="I25" s="113" t="str">
        <f>_xlfn.XLOOKUP($C25,'Cost Centers'!$A$2:$A$11,'Cost Centers'!$C$2:$C$11,"")</f>
        <v>Admin</v>
      </c>
      <c r="J25" s="23">
        <f>MROUND(SUMIFS('Allocated Transactions'!$J:$J,'Allocated Transactions'!$D:$D,$E25,'Allocated Transactions'!$C:$C,$C25,'Allocated Transactions'!$A:$A,"&gt;="&amp;$A25,'Allocated Transactions'!$A:$A,"&lt;="&amp;EOMONTH($A25,0))*0.99,100)</f>
        <v>600</v>
      </c>
      <c r="K25" s="113" t="s">
        <v>637</v>
      </c>
    </row>
    <row r="26" spans="1:11" ht="15" customHeight="1">
      <c r="A26" s="112">
        <f t="shared" si="0"/>
        <v>45870</v>
      </c>
      <c r="B26" s="113">
        <v>1</v>
      </c>
      <c r="C26" s="18" t="s">
        <v>4</v>
      </c>
      <c r="D26" s="113" t="str">
        <f>_xlfn.XLOOKUP($C26,'Cost Centers'!$A$2:$A$11,'Cost Centers'!$B$2:$B$11,"")</f>
        <v>Executive</v>
      </c>
      <c r="E26" s="113" t="s">
        <v>33</v>
      </c>
      <c r="F26" s="113" t="str">
        <f>_xlfn.XLOOKUP(E26,'Allocated Transactions'!D:D,'Allocated Transactions'!E:E,"")</f>
        <v>Utilities</v>
      </c>
      <c r="G26" s="113" t="s">
        <v>97</v>
      </c>
      <c r="H26" s="113"/>
      <c r="I26" s="113" t="str">
        <f>_xlfn.XLOOKUP($C26,'Cost Centers'!$A$2:$A$11,'Cost Centers'!$C$2:$C$11,"")</f>
        <v>Admin</v>
      </c>
      <c r="J26" s="23">
        <f>MROUND(SUMIFS('Allocated Transactions'!$J:$J,'Allocated Transactions'!$D:$D,$E26,'Allocated Transactions'!$C:$C,$C26,'Allocated Transactions'!$A:$A,"&gt;="&amp;$A26,'Allocated Transactions'!$A:$A,"&lt;="&amp;EOMONTH($A26,0))*0.99,100)</f>
        <v>100</v>
      </c>
      <c r="K26" s="113" t="s">
        <v>637</v>
      </c>
    </row>
    <row r="27" spans="1:11" ht="15" customHeight="1">
      <c r="A27" s="112">
        <f t="shared" si="0"/>
        <v>45870</v>
      </c>
      <c r="B27" s="113">
        <v>1</v>
      </c>
      <c r="C27" s="18" t="s">
        <v>4</v>
      </c>
      <c r="D27" s="113" t="str">
        <f>_xlfn.XLOOKUP($C27,'Cost Centers'!$A$2:$A$11,'Cost Centers'!$B$2:$B$11,"")</f>
        <v>Executive</v>
      </c>
      <c r="E27" s="113" t="s">
        <v>105</v>
      </c>
      <c r="F27" s="113" t="str">
        <f>_xlfn.XLOOKUP(E27,'Allocated Transactions'!D:D,'Allocated Transactions'!E:E,"")</f>
        <v>Office Supplies</v>
      </c>
      <c r="G27" s="113" t="s">
        <v>97</v>
      </c>
      <c r="H27" s="113"/>
      <c r="I27" s="113" t="str">
        <f>_xlfn.XLOOKUP($C27,'Cost Centers'!$A$2:$A$11,'Cost Centers'!$C$2:$C$11,"")</f>
        <v>Admin</v>
      </c>
      <c r="J27" s="23">
        <f>MROUND(SUMIFS('Allocated Transactions'!$J:$J,'Allocated Transactions'!$D:$D,$E27,'Allocated Transactions'!$C:$C,$C27,'Allocated Transactions'!$A:$A,"&gt;="&amp;$A27,'Allocated Transactions'!$A:$A,"&lt;="&amp;EOMONTH($A27,0))*0.99,100)</f>
        <v>0</v>
      </c>
      <c r="K27" s="113" t="s">
        <v>637</v>
      </c>
    </row>
    <row r="28" spans="1:11" ht="15" customHeight="1">
      <c r="A28" s="112">
        <f t="shared" si="0"/>
        <v>45870</v>
      </c>
      <c r="B28" s="113">
        <v>1</v>
      </c>
      <c r="C28" s="18" t="s">
        <v>4</v>
      </c>
      <c r="D28" s="113" t="str">
        <f>_xlfn.XLOOKUP($C28,'Cost Centers'!$A$2:$A$11,'Cost Centers'!$B$2:$B$11,"")</f>
        <v>Executive</v>
      </c>
      <c r="E28" s="113" t="s">
        <v>107</v>
      </c>
      <c r="F28" s="113" t="str">
        <f>_xlfn.XLOOKUP(E28,'Allocated Transactions'!D:D,'Allocated Transactions'!E:E,"")</f>
        <v>Software and Subscriptions</v>
      </c>
      <c r="G28" s="113" t="s">
        <v>97</v>
      </c>
      <c r="H28" s="113"/>
      <c r="I28" s="113" t="str">
        <f>_xlfn.XLOOKUP($C28,'Cost Centers'!$A$2:$A$11,'Cost Centers'!$C$2:$C$11,"")</f>
        <v>Admin</v>
      </c>
      <c r="J28" s="23">
        <f>MROUND(SUMIFS('Allocated Transactions'!$J:$J,'Allocated Transactions'!$D:$D,$E28,'Allocated Transactions'!$C:$C,$C28,'Allocated Transactions'!$A:$A,"&gt;="&amp;$A28,'Allocated Transactions'!$A:$A,"&lt;="&amp;EOMONTH($A28,0))*0.99,100)</f>
        <v>2600</v>
      </c>
      <c r="K28" s="113" t="s">
        <v>637</v>
      </c>
    </row>
    <row r="29" spans="1:11" ht="15" customHeight="1">
      <c r="A29" s="112">
        <f t="shared" si="0"/>
        <v>45870</v>
      </c>
      <c r="B29" s="113">
        <v>1</v>
      </c>
      <c r="C29" s="18" t="s">
        <v>4</v>
      </c>
      <c r="D29" s="113" t="str">
        <f>_xlfn.XLOOKUP($C29,'Cost Centers'!$A$2:$A$11,'Cost Centers'!$B$2:$B$11,"")</f>
        <v>Executive</v>
      </c>
      <c r="E29" s="113" t="s">
        <v>109</v>
      </c>
      <c r="F29" s="113" t="str">
        <f>_xlfn.XLOOKUP(E29,'Allocated Transactions'!D:D,'Allocated Transactions'!E:E,"")</f>
        <v>Travel</v>
      </c>
      <c r="G29" s="113" t="s">
        <v>97</v>
      </c>
      <c r="H29" s="113"/>
      <c r="I29" s="113" t="str">
        <f>_xlfn.XLOOKUP($C29,'Cost Centers'!$A$2:$A$11,'Cost Centers'!$C$2:$C$11,"")</f>
        <v>Admin</v>
      </c>
      <c r="J29" s="23">
        <f>MROUND(SUMIFS('Allocated Transactions'!$J:$J,'Allocated Transactions'!$D:$D,$E29,'Allocated Transactions'!$C:$C,$C29,'Allocated Transactions'!$A:$A,"&gt;="&amp;$A29,'Allocated Transactions'!$A:$A,"&lt;="&amp;EOMONTH($A29,0))*0.99,100)</f>
        <v>0</v>
      </c>
      <c r="K29" s="113" t="s">
        <v>637</v>
      </c>
    </row>
    <row r="30" spans="1:11" ht="15" customHeight="1">
      <c r="A30" s="112">
        <f t="shared" si="0"/>
        <v>45870</v>
      </c>
      <c r="B30" s="113">
        <v>1</v>
      </c>
      <c r="C30" s="18" t="s">
        <v>4</v>
      </c>
      <c r="D30" s="113" t="str">
        <f>_xlfn.XLOOKUP($C30,'Cost Centers'!$A$2:$A$11,'Cost Centers'!$B$2:$B$11,"")</f>
        <v>Executive</v>
      </c>
      <c r="E30" s="113" t="s">
        <v>111</v>
      </c>
      <c r="F30" s="113" t="str">
        <f>_xlfn.XLOOKUP(E30,'Allocated Transactions'!D:D,'Allocated Transactions'!E:E,"")</f>
        <v>Meals and Entertainment</v>
      </c>
      <c r="G30" s="113" t="s">
        <v>97</v>
      </c>
      <c r="H30" s="113"/>
      <c r="I30" s="113" t="str">
        <f>_xlfn.XLOOKUP($C30,'Cost Centers'!$A$2:$A$11,'Cost Centers'!$C$2:$C$11,"")</f>
        <v>Admin</v>
      </c>
      <c r="J30" s="23">
        <f>MROUND(SUMIFS('Allocated Transactions'!$J:$J,'Allocated Transactions'!$D:$D,$E30,'Allocated Transactions'!$C:$C,$C30,'Allocated Transactions'!$A:$A,"&gt;="&amp;$A30,'Allocated Transactions'!$A:$A,"&lt;="&amp;EOMONTH($A30,0))*0.99,100)</f>
        <v>0</v>
      </c>
      <c r="K30" s="113" t="s">
        <v>637</v>
      </c>
    </row>
    <row r="31" spans="1:11" ht="15" customHeight="1">
      <c r="A31" s="112">
        <f t="shared" si="0"/>
        <v>45870</v>
      </c>
      <c r="B31" s="113">
        <v>1</v>
      </c>
      <c r="C31" s="18" t="s">
        <v>4</v>
      </c>
      <c r="D31" s="113" t="str">
        <f>_xlfn.XLOOKUP($C31,'Cost Centers'!$A$2:$A$11,'Cost Centers'!$B$2:$B$11,"")</f>
        <v>Executive</v>
      </c>
      <c r="E31" s="113" t="s">
        <v>113</v>
      </c>
      <c r="F31" s="113" t="str">
        <f>_xlfn.XLOOKUP(E31,'Allocated Transactions'!D:D,'Allocated Transactions'!E:E,"")</f>
        <v>Professional Fees - Legal</v>
      </c>
      <c r="G31" s="113" t="s">
        <v>97</v>
      </c>
      <c r="H31" s="113"/>
      <c r="I31" s="113" t="str">
        <f>_xlfn.XLOOKUP($C31,'Cost Centers'!$A$2:$A$11,'Cost Centers'!$C$2:$C$11,"")</f>
        <v>Admin</v>
      </c>
      <c r="J31" s="23">
        <f>MROUND(SUMIFS('Allocated Transactions'!$J:$J,'Allocated Transactions'!$D:$D,$E31,'Allocated Transactions'!$C:$C,$C31,'Allocated Transactions'!$A:$A,"&gt;="&amp;$A31,'Allocated Transactions'!$A:$A,"&lt;="&amp;EOMONTH($A31,0))*0.99,100)</f>
        <v>0</v>
      </c>
      <c r="K31" s="113" t="s">
        <v>637</v>
      </c>
    </row>
    <row r="32" spans="1:11" ht="15" customHeight="1">
      <c r="A32" s="112">
        <f t="shared" si="0"/>
        <v>45870</v>
      </c>
      <c r="B32" s="113">
        <v>1</v>
      </c>
      <c r="C32" s="18" t="s">
        <v>4</v>
      </c>
      <c r="D32" s="113" t="str">
        <f>_xlfn.XLOOKUP($C32,'Cost Centers'!$A$2:$A$11,'Cost Centers'!$B$2:$B$11,"")</f>
        <v>Executive</v>
      </c>
      <c r="E32" s="113" t="s">
        <v>115</v>
      </c>
      <c r="F32" s="113" t="str">
        <f>_xlfn.XLOOKUP(E32,'Allocated Transactions'!D:D,'Allocated Transactions'!E:E,"")</f>
        <v>Professional Fees - Accounting/Audit</v>
      </c>
      <c r="G32" s="113" t="s">
        <v>97</v>
      </c>
      <c r="H32" s="113"/>
      <c r="I32" s="113" t="str">
        <f>_xlfn.XLOOKUP($C32,'Cost Centers'!$A$2:$A$11,'Cost Centers'!$C$2:$C$11,"")</f>
        <v>Admin</v>
      </c>
      <c r="J32" s="23">
        <f>MROUND(SUMIFS('Allocated Transactions'!$J:$J,'Allocated Transactions'!$D:$D,$E32,'Allocated Transactions'!$C:$C,$C32,'Allocated Transactions'!$A:$A,"&gt;="&amp;$A32,'Allocated Transactions'!$A:$A,"&lt;="&amp;EOMONTH($A32,0))*0.99,100)</f>
        <v>0</v>
      </c>
      <c r="K32" s="113" t="s">
        <v>637</v>
      </c>
    </row>
    <row r="33" spans="1:11" ht="15" customHeight="1">
      <c r="A33" s="112">
        <f t="shared" si="0"/>
        <v>45870</v>
      </c>
      <c r="B33" s="113">
        <v>1</v>
      </c>
      <c r="C33" s="18" t="s">
        <v>4</v>
      </c>
      <c r="D33" s="113" t="str">
        <f>_xlfn.XLOOKUP($C33,'Cost Centers'!$A$2:$A$11,'Cost Centers'!$B$2:$B$11,"")</f>
        <v>Executive</v>
      </c>
      <c r="E33" s="113" t="s">
        <v>117</v>
      </c>
      <c r="F33" s="113" t="str">
        <f>_xlfn.XLOOKUP(E33,'Allocated Transactions'!D:D,'Allocated Transactions'!E:E,"")</f>
        <v>Insurance</v>
      </c>
      <c r="G33" s="113" t="s">
        <v>97</v>
      </c>
      <c r="H33" s="113"/>
      <c r="I33" s="113" t="str">
        <f>_xlfn.XLOOKUP($C33,'Cost Centers'!$A$2:$A$11,'Cost Centers'!$C$2:$C$11,"")</f>
        <v>Admin</v>
      </c>
      <c r="J33" s="23">
        <f>MROUND(SUMIFS('Allocated Transactions'!$J:$J,'Allocated Transactions'!$D:$D,$E33,'Allocated Transactions'!$C:$C,$C33,'Allocated Transactions'!$A:$A,"&gt;="&amp;$A33,'Allocated Transactions'!$A:$A,"&lt;="&amp;EOMONTH($A33,0))*0.99,100)</f>
        <v>400</v>
      </c>
      <c r="K33" s="113" t="s">
        <v>637</v>
      </c>
    </row>
    <row r="34" spans="1:11" ht="15" customHeight="1">
      <c r="A34" s="112">
        <f t="shared" si="0"/>
        <v>45870</v>
      </c>
      <c r="B34" s="113">
        <v>1</v>
      </c>
      <c r="C34" s="18" t="s">
        <v>4</v>
      </c>
      <c r="D34" s="113" t="str">
        <f>_xlfn.XLOOKUP($C34,'Cost Centers'!$A$2:$A$11,'Cost Centers'!$B$2:$B$11,"")</f>
        <v>Executive</v>
      </c>
      <c r="E34" s="113" t="s">
        <v>119</v>
      </c>
      <c r="F34" s="113" t="str">
        <f>_xlfn.XLOOKUP(E34,'Allocated Transactions'!D:D,'Allocated Transactions'!E:E,"")</f>
        <v>Depreciation Expense</v>
      </c>
      <c r="G34" s="113" t="s">
        <v>97</v>
      </c>
      <c r="H34" s="113"/>
      <c r="I34" s="113" t="str">
        <f>_xlfn.XLOOKUP($C34,'Cost Centers'!$A$2:$A$11,'Cost Centers'!$C$2:$C$11,"")</f>
        <v>Admin</v>
      </c>
      <c r="J34" s="23">
        <f>MROUND(SUMIFS('Allocated Transactions'!$J:$J,'Allocated Transactions'!$D:$D,$E34,'Allocated Transactions'!$C:$C,$C34,'Allocated Transactions'!$A:$A,"&gt;="&amp;$A34,'Allocated Transactions'!$A:$A,"&lt;="&amp;EOMONTH($A34,0))*0.99,100)</f>
        <v>0</v>
      </c>
      <c r="K34" s="113" t="s">
        <v>637</v>
      </c>
    </row>
    <row r="35" spans="1:11" ht="15" customHeight="1">
      <c r="A35" s="112">
        <f t="shared" si="0"/>
        <v>45870</v>
      </c>
      <c r="B35" s="113">
        <v>1</v>
      </c>
      <c r="C35" s="18" t="s">
        <v>4</v>
      </c>
      <c r="D35" s="113" t="str">
        <f>_xlfn.XLOOKUP($C35,'Cost Centers'!$A$2:$A$11,'Cost Centers'!$B$2:$B$11,"")</f>
        <v>Executive</v>
      </c>
      <c r="E35" s="113" t="s">
        <v>121</v>
      </c>
      <c r="F35" s="113" t="str">
        <f>_xlfn.XLOOKUP(E35,'Allocated Transactions'!D:D,'Allocated Transactions'!E:E,"")</f>
        <v>Bank Fees</v>
      </c>
      <c r="G35" s="113" t="s">
        <v>97</v>
      </c>
      <c r="H35" s="113"/>
      <c r="I35" s="113" t="str">
        <f>_xlfn.XLOOKUP($C35,'Cost Centers'!$A$2:$A$11,'Cost Centers'!$C$2:$C$11,"")</f>
        <v>Admin</v>
      </c>
      <c r="J35" s="23">
        <f>MROUND(SUMIFS('Allocated Transactions'!$J:$J,'Allocated Transactions'!$D:$D,$E35,'Allocated Transactions'!$C:$C,$C35,'Allocated Transactions'!$A:$A,"&gt;="&amp;$A35,'Allocated Transactions'!$A:$A,"&lt;="&amp;EOMONTH($A35,0))*0.99,100)</f>
        <v>0</v>
      </c>
      <c r="K35" s="113" t="s">
        <v>637</v>
      </c>
    </row>
    <row r="36" spans="1:11" ht="15" customHeight="1">
      <c r="A36" s="112">
        <f t="shared" si="0"/>
        <v>45870</v>
      </c>
      <c r="B36" s="113">
        <v>1</v>
      </c>
      <c r="C36" s="18" t="s">
        <v>4</v>
      </c>
      <c r="D36" s="113" t="str">
        <f>_xlfn.XLOOKUP($C36,'Cost Centers'!$A$2:$A$11,'Cost Centers'!$B$2:$B$11,"")</f>
        <v>Executive</v>
      </c>
      <c r="E36" s="113" t="s">
        <v>123</v>
      </c>
      <c r="F36" s="113" t="str">
        <f>_xlfn.XLOOKUP(E36,'Allocated Transactions'!D:D,'Allocated Transactions'!E:E,"")</f>
        <v>Interest Expense</v>
      </c>
      <c r="G36" s="113" t="s">
        <v>97</v>
      </c>
      <c r="H36" s="113"/>
      <c r="I36" s="113" t="str">
        <f>_xlfn.XLOOKUP($C36,'Cost Centers'!$A$2:$A$11,'Cost Centers'!$C$2:$C$11,"")</f>
        <v>Admin</v>
      </c>
      <c r="J36" s="23">
        <f>MROUND(SUMIFS('Allocated Transactions'!$J:$J,'Allocated Transactions'!$D:$D,$E36,'Allocated Transactions'!$C:$C,$C36,'Allocated Transactions'!$A:$A,"&gt;="&amp;$A36,'Allocated Transactions'!$A:$A,"&lt;="&amp;EOMONTH($A36,0))*0.99,100)</f>
        <v>0</v>
      </c>
      <c r="K36" s="113" t="s">
        <v>637</v>
      </c>
    </row>
    <row r="37" spans="1:11" ht="15" customHeight="1">
      <c r="A37" s="112">
        <f t="shared" si="0"/>
        <v>45870</v>
      </c>
      <c r="B37" s="113">
        <v>1</v>
      </c>
      <c r="C37" s="18" t="s">
        <v>4</v>
      </c>
      <c r="D37" s="113" t="str">
        <f>_xlfn.XLOOKUP($C37,'Cost Centers'!$A$2:$A$11,'Cost Centers'!$B$2:$B$11,"")</f>
        <v>Executive</v>
      </c>
      <c r="E37" s="113" t="s">
        <v>125</v>
      </c>
      <c r="F37" s="113" t="str">
        <f>_xlfn.XLOOKUP(E37,'Allocated Transactions'!D:D,'Allocated Transactions'!E:E,"")</f>
        <v>Miscellaneous Expense</v>
      </c>
      <c r="G37" s="113" t="s">
        <v>97</v>
      </c>
      <c r="H37" s="113"/>
      <c r="I37" s="113" t="str">
        <f>_xlfn.XLOOKUP($C37,'Cost Centers'!$A$2:$A$11,'Cost Centers'!$C$2:$C$11,"")</f>
        <v>Admin</v>
      </c>
      <c r="J37" s="23">
        <f>MROUND(SUMIFS('Allocated Transactions'!$J:$J,'Allocated Transactions'!$D:$D,$E37,'Allocated Transactions'!$C:$C,$C37,'Allocated Transactions'!$A:$A,"&gt;="&amp;$A37,'Allocated Transactions'!$A:$A,"&lt;="&amp;EOMONTH($A37,0))*0.99,100)</f>
        <v>0</v>
      </c>
      <c r="K37" s="113" t="s">
        <v>637</v>
      </c>
    </row>
    <row r="38" spans="1:11" ht="15" customHeight="1">
      <c r="A38" s="112">
        <f t="shared" si="0"/>
        <v>45901</v>
      </c>
      <c r="B38" s="113">
        <v>1</v>
      </c>
      <c r="C38" s="18" t="s">
        <v>4</v>
      </c>
      <c r="D38" s="113" t="str">
        <f>_xlfn.XLOOKUP($C38,'Cost Centers'!$A$2:$A$11,'Cost Centers'!$B$2:$B$11,"")</f>
        <v>Executive</v>
      </c>
      <c r="E38" s="113" t="s">
        <v>28</v>
      </c>
      <c r="F38" s="113" t="str">
        <f>_xlfn.XLOOKUP(E38,'Allocated Transactions'!D:D,'Allocated Transactions'!E:E,"")</f>
        <v>Salaries and Wages</v>
      </c>
      <c r="G38" s="113" t="s">
        <v>97</v>
      </c>
      <c r="H38" s="113"/>
      <c r="I38" s="113" t="str">
        <f>_xlfn.XLOOKUP($C38,'Cost Centers'!$A$2:$A$11,'Cost Centers'!$C$2:$C$11,"")</f>
        <v>Admin</v>
      </c>
      <c r="J38" s="23">
        <f>MROUND(SUMIFS('Allocated Transactions'!$J:$J,'Allocated Transactions'!$D:$D,$E38,'Allocated Transactions'!$C:$C,$C38,'Allocated Transactions'!$A:$A,"&gt;="&amp;$A38,'Allocated Transactions'!$A:$A,"&lt;="&amp;EOMONTH($A38,0))*0.99,100)</f>
        <v>7600</v>
      </c>
      <c r="K38" s="113" t="s">
        <v>637</v>
      </c>
    </row>
    <row r="39" spans="1:11" ht="15" customHeight="1">
      <c r="A39" s="112">
        <f t="shared" si="0"/>
        <v>45901</v>
      </c>
      <c r="B39" s="113">
        <v>1</v>
      </c>
      <c r="C39" s="18" t="s">
        <v>4</v>
      </c>
      <c r="D39" s="113" t="str">
        <f>_xlfn.XLOOKUP($C39,'Cost Centers'!$A$2:$A$11,'Cost Centers'!$B$2:$B$11,"")</f>
        <v>Executive</v>
      </c>
      <c r="E39" s="113" t="s">
        <v>29</v>
      </c>
      <c r="F39" s="113" t="str">
        <f>_xlfn.XLOOKUP(E39,'Allocated Transactions'!D:D,'Allocated Transactions'!E:E,"")</f>
        <v>Payroll Taxes</v>
      </c>
      <c r="G39" s="113" t="s">
        <v>97</v>
      </c>
      <c r="H39" s="113"/>
      <c r="I39" s="113" t="str">
        <f>_xlfn.XLOOKUP($C39,'Cost Centers'!$A$2:$A$11,'Cost Centers'!$C$2:$C$11,"")</f>
        <v>Admin</v>
      </c>
      <c r="J39" s="23">
        <f>MROUND(SUMIFS('Allocated Transactions'!$J:$J,'Allocated Transactions'!$D:$D,$E39,'Allocated Transactions'!$C:$C,$C39,'Allocated Transactions'!$A:$A,"&gt;="&amp;$A39,'Allocated Transactions'!$A:$A,"&lt;="&amp;EOMONTH($A39,0))*0.99,100)</f>
        <v>600</v>
      </c>
      <c r="K39" s="113" t="s">
        <v>637</v>
      </c>
    </row>
    <row r="40" spans="1:11" ht="15" customHeight="1">
      <c r="A40" s="112">
        <f t="shared" si="0"/>
        <v>45901</v>
      </c>
      <c r="B40" s="113">
        <v>1</v>
      </c>
      <c r="C40" s="18" t="s">
        <v>4</v>
      </c>
      <c r="D40" s="113" t="str">
        <f>_xlfn.XLOOKUP($C40,'Cost Centers'!$A$2:$A$11,'Cost Centers'!$B$2:$B$11,"")</f>
        <v>Executive</v>
      </c>
      <c r="E40" s="113" t="s">
        <v>30</v>
      </c>
      <c r="F40" s="113" t="str">
        <f>_xlfn.XLOOKUP(E40,'Allocated Transactions'!D:D,'Allocated Transactions'!E:E,"")</f>
        <v>Employee Benefits</v>
      </c>
      <c r="G40" s="113" t="s">
        <v>97</v>
      </c>
      <c r="H40" s="113"/>
      <c r="I40" s="113" t="str">
        <f>_xlfn.XLOOKUP($C40,'Cost Centers'!$A$2:$A$11,'Cost Centers'!$C$2:$C$11,"")</f>
        <v>Admin</v>
      </c>
      <c r="J40" s="23">
        <f>MROUND(SUMIFS('Allocated Transactions'!$J:$J,'Allocated Transactions'!$D:$D,$E40,'Allocated Transactions'!$C:$C,$C40,'Allocated Transactions'!$A:$A,"&gt;="&amp;$A40,'Allocated Transactions'!$A:$A,"&lt;="&amp;EOMONTH($A40,0))*0.99,100)</f>
        <v>1500</v>
      </c>
      <c r="K40" s="113" t="s">
        <v>637</v>
      </c>
    </row>
    <row r="41" spans="1:11" ht="15" customHeight="1">
      <c r="A41" s="112">
        <f t="shared" si="0"/>
        <v>45901</v>
      </c>
      <c r="B41" s="113">
        <v>1</v>
      </c>
      <c r="C41" s="18" t="s">
        <v>4</v>
      </c>
      <c r="D41" s="113" t="str">
        <f>_xlfn.XLOOKUP($C41,'Cost Centers'!$A$2:$A$11,'Cost Centers'!$B$2:$B$11,"")</f>
        <v>Executive</v>
      </c>
      <c r="E41" s="113" t="s">
        <v>31</v>
      </c>
      <c r="F41" s="113" t="str">
        <f>_xlfn.XLOOKUP(E41,'Allocated Transactions'!D:D,'Allocated Transactions'!E:E,"")</f>
        <v>Retirement Contributions</v>
      </c>
      <c r="G41" s="113" t="s">
        <v>97</v>
      </c>
      <c r="H41" s="113"/>
      <c r="I41" s="113" t="str">
        <f>_xlfn.XLOOKUP($C41,'Cost Centers'!$A$2:$A$11,'Cost Centers'!$C$2:$C$11,"")</f>
        <v>Admin</v>
      </c>
      <c r="J41" s="23">
        <f>MROUND(SUMIFS('Allocated Transactions'!$J:$J,'Allocated Transactions'!$D:$D,$E41,'Allocated Transactions'!$C:$C,$C41,'Allocated Transactions'!$A:$A,"&gt;="&amp;$A41,'Allocated Transactions'!$A:$A,"&lt;="&amp;EOMONTH($A41,0))*0.99,100)</f>
        <v>200</v>
      </c>
      <c r="K41" s="113" t="s">
        <v>637</v>
      </c>
    </row>
    <row r="42" spans="1:11" ht="15" customHeight="1">
      <c r="A42" s="112">
        <f t="shared" si="0"/>
        <v>45901</v>
      </c>
      <c r="B42" s="113">
        <v>1</v>
      </c>
      <c r="C42" s="18" t="s">
        <v>4</v>
      </c>
      <c r="D42" s="113" t="str">
        <f>_xlfn.XLOOKUP($C42,'Cost Centers'!$A$2:$A$11,'Cost Centers'!$B$2:$B$11,"")</f>
        <v>Executive</v>
      </c>
      <c r="E42" s="113" t="s">
        <v>101</v>
      </c>
      <c r="F42" s="113" t="str">
        <f>_xlfn.XLOOKUP(E42,'Allocated Transactions'!D:D,'Allocated Transactions'!E:E,"")</f>
        <v>Contract Labor / Consultants</v>
      </c>
      <c r="G42" s="113" t="s">
        <v>97</v>
      </c>
      <c r="H42" s="113"/>
      <c r="I42" s="113" t="str">
        <f>_xlfn.XLOOKUP($C42,'Cost Centers'!$A$2:$A$11,'Cost Centers'!$C$2:$C$11,"")</f>
        <v>Admin</v>
      </c>
      <c r="J42" s="23">
        <f>MROUND(SUMIFS('Allocated Transactions'!$J:$J,'Allocated Transactions'!$D:$D,$E42,'Allocated Transactions'!$C:$C,$C42,'Allocated Transactions'!$A:$A,"&gt;="&amp;$A42,'Allocated Transactions'!$A:$A,"&lt;="&amp;EOMONTH($A42,0))*0.99,100)</f>
        <v>0</v>
      </c>
      <c r="K42" s="113" t="s">
        <v>637</v>
      </c>
    </row>
    <row r="43" spans="1:11" ht="15" customHeight="1">
      <c r="A43" s="112">
        <f t="shared" si="0"/>
        <v>45901</v>
      </c>
      <c r="B43" s="113">
        <v>1</v>
      </c>
      <c r="C43" s="18" t="s">
        <v>4</v>
      </c>
      <c r="D43" s="113" t="str">
        <f>_xlfn.XLOOKUP($C43,'Cost Centers'!$A$2:$A$11,'Cost Centers'!$B$2:$B$11,"")</f>
        <v>Executive</v>
      </c>
      <c r="E43" s="113" t="s">
        <v>32</v>
      </c>
      <c r="F43" s="113" t="str">
        <f>_xlfn.XLOOKUP(E43,'Allocated Transactions'!D:D,'Allocated Transactions'!E:E,"")</f>
        <v>Rent</v>
      </c>
      <c r="G43" s="113" t="s">
        <v>97</v>
      </c>
      <c r="H43" s="113"/>
      <c r="I43" s="113" t="str">
        <f>_xlfn.XLOOKUP($C43,'Cost Centers'!$A$2:$A$11,'Cost Centers'!$C$2:$C$11,"")</f>
        <v>Admin</v>
      </c>
      <c r="J43" s="23">
        <f>MROUND(SUMIFS('Allocated Transactions'!$J:$J,'Allocated Transactions'!$D:$D,$E43,'Allocated Transactions'!$C:$C,$C43,'Allocated Transactions'!$A:$A,"&gt;="&amp;$A43,'Allocated Transactions'!$A:$A,"&lt;="&amp;EOMONTH($A43,0))*0.99,100)</f>
        <v>600</v>
      </c>
      <c r="K43" s="113" t="s">
        <v>637</v>
      </c>
    </row>
    <row r="44" spans="1:11" ht="15" customHeight="1">
      <c r="A44" s="112">
        <f t="shared" si="0"/>
        <v>45901</v>
      </c>
      <c r="B44" s="113">
        <v>1</v>
      </c>
      <c r="C44" s="18" t="s">
        <v>4</v>
      </c>
      <c r="D44" s="113" t="str">
        <f>_xlfn.XLOOKUP($C44,'Cost Centers'!$A$2:$A$11,'Cost Centers'!$B$2:$B$11,"")</f>
        <v>Executive</v>
      </c>
      <c r="E44" s="113" t="s">
        <v>33</v>
      </c>
      <c r="F44" s="113" t="str">
        <f>_xlfn.XLOOKUP(E44,'Allocated Transactions'!D:D,'Allocated Transactions'!E:E,"")</f>
        <v>Utilities</v>
      </c>
      <c r="G44" s="113" t="s">
        <v>97</v>
      </c>
      <c r="H44" s="113"/>
      <c r="I44" s="113" t="str">
        <f>_xlfn.XLOOKUP($C44,'Cost Centers'!$A$2:$A$11,'Cost Centers'!$C$2:$C$11,"")</f>
        <v>Admin</v>
      </c>
      <c r="J44" s="23">
        <f>MROUND(SUMIFS('Allocated Transactions'!$J:$J,'Allocated Transactions'!$D:$D,$E44,'Allocated Transactions'!$C:$C,$C44,'Allocated Transactions'!$A:$A,"&gt;="&amp;$A44,'Allocated Transactions'!$A:$A,"&lt;="&amp;EOMONTH($A44,0))*0.99,100)</f>
        <v>100</v>
      </c>
      <c r="K44" s="113" t="s">
        <v>637</v>
      </c>
    </row>
    <row r="45" spans="1:11" ht="15" customHeight="1">
      <c r="A45" s="112">
        <f t="shared" si="0"/>
        <v>45901</v>
      </c>
      <c r="B45" s="113">
        <v>1</v>
      </c>
      <c r="C45" s="18" t="s">
        <v>4</v>
      </c>
      <c r="D45" s="113" t="str">
        <f>_xlfn.XLOOKUP($C45,'Cost Centers'!$A$2:$A$11,'Cost Centers'!$B$2:$B$11,"")</f>
        <v>Executive</v>
      </c>
      <c r="E45" s="113" t="s">
        <v>105</v>
      </c>
      <c r="F45" s="113" t="str">
        <f>_xlfn.XLOOKUP(E45,'Allocated Transactions'!D:D,'Allocated Transactions'!E:E,"")</f>
        <v>Office Supplies</v>
      </c>
      <c r="G45" s="113" t="s">
        <v>97</v>
      </c>
      <c r="H45" s="113"/>
      <c r="I45" s="113" t="str">
        <f>_xlfn.XLOOKUP($C45,'Cost Centers'!$A$2:$A$11,'Cost Centers'!$C$2:$C$11,"")</f>
        <v>Admin</v>
      </c>
      <c r="J45" s="23">
        <f>MROUND(SUMIFS('Allocated Transactions'!$J:$J,'Allocated Transactions'!$D:$D,$E45,'Allocated Transactions'!$C:$C,$C45,'Allocated Transactions'!$A:$A,"&gt;="&amp;$A45,'Allocated Transactions'!$A:$A,"&lt;="&amp;EOMONTH($A45,0))*0.99,100)</f>
        <v>0</v>
      </c>
      <c r="K45" s="113" t="s">
        <v>637</v>
      </c>
    </row>
    <row r="46" spans="1:11" ht="15" customHeight="1">
      <c r="A46" s="112">
        <f t="shared" si="0"/>
        <v>45901</v>
      </c>
      <c r="B46" s="113">
        <v>1</v>
      </c>
      <c r="C46" s="18" t="s">
        <v>4</v>
      </c>
      <c r="D46" s="113" t="str">
        <f>_xlfn.XLOOKUP($C46,'Cost Centers'!$A$2:$A$11,'Cost Centers'!$B$2:$B$11,"")</f>
        <v>Executive</v>
      </c>
      <c r="E46" s="113" t="s">
        <v>107</v>
      </c>
      <c r="F46" s="113" t="str">
        <f>_xlfn.XLOOKUP(E46,'Allocated Transactions'!D:D,'Allocated Transactions'!E:E,"")</f>
        <v>Software and Subscriptions</v>
      </c>
      <c r="G46" s="113" t="s">
        <v>97</v>
      </c>
      <c r="H46" s="113"/>
      <c r="I46" s="113" t="str">
        <f>_xlfn.XLOOKUP($C46,'Cost Centers'!$A$2:$A$11,'Cost Centers'!$C$2:$C$11,"")</f>
        <v>Admin</v>
      </c>
      <c r="J46" s="23">
        <f>MROUND(SUMIFS('Allocated Transactions'!$J:$J,'Allocated Transactions'!$D:$D,$E46,'Allocated Transactions'!$C:$C,$C46,'Allocated Transactions'!$A:$A,"&gt;="&amp;$A46,'Allocated Transactions'!$A:$A,"&lt;="&amp;EOMONTH($A46,0))*0.99,100)</f>
        <v>0</v>
      </c>
      <c r="K46" s="113" t="s">
        <v>637</v>
      </c>
    </row>
    <row r="47" spans="1:11" ht="15" customHeight="1">
      <c r="A47" s="112">
        <f t="shared" si="0"/>
        <v>45901</v>
      </c>
      <c r="B47" s="113">
        <v>1</v>
      </c>
      <c r="C47" s="18" t="s">
        <v>4</v>
      </c>
      <c r="D47" s="113" t="str">
        <f>_xlfn.XLOOKUP($C47,'Cost Centers'!$A$2:$A$11,'Cost Centers'!$B$2:$B$11,"")</f>
        <v>Executive</v>
      </c>
      <c r="E47" s="113" t="s">
        <v>109</v>
      </c>
      <c r="F47" s="113" t="str">
        <f>_xlfn.XLOOKUP(E47,'Allocated Transactions'!D:D,'Allocated Transactions'!E:E,"")</f>
        <v>Travel</v>
      </c>
      <c r="G47" s="113" t="s">
        <v>97</v>
      </c>
      <c r="H47" s="113"/>
      <c r="I47" s="113" t="str">
        <f>_xlfn.XLOOKUP($C47,'Cost Centers'!$A$2:$A$11,'Cost Centers'!$C$2:$C$11,"")</f>
        <v>Admin</v>
      </c>
      <c r="J47" s="23">
        <f>MROUND(SUMIFS('Allocated Transactions'!$J:$J,'Allocated Transactions'!$D:$D,$E47,'Allocated Transactions'!$C:$C,$C47,'Allocated Transactions'!$A:$A,"&gt;="&amp;$A47,'Allocated Transactions'!$A:$A,"&lt;="&amp;EOMONTH($A47,0))*0.99,100)</f>
        <v>0</v>
      </c>
      <c r="K47" s="113" t="s">
        <v>637</v>
      </c>
    </row>
    <row r="48" spans="1:11" ht="15" customHeight="1">
      <c r="A48" s="112">
        <f t="shared" si="0"/>
        <v>45901</v>
      </c>
      <c r="B48" s="113">
        <v>1</v>
      </c>
      <c r="C48" s="18" t="s">
        <v>4</v>
      </c>
      <c r="D48" s="113" t="str">
        <f>_xlfn.XLOOKUP($C48,'Cost Centers'!$A$2:$A$11,'Cost Centers'!$B$2:$B$11,"")</f>
        <v>Executive</v>
      </c>
      <c r="E48" s="113" t="s">
        <v>111</v>
      </c>
      <c r="F48" s="113" t="str">
        <f>_xlfn.XLOOKUP(E48,'Allocated Transactions'!D:D,'Allocated Transactions'!E:E,"")</f>
        <v>Meals and Entertainment</v>
      </c>
      <c r="G48" s="113" t="s">
        <v>97</v>
      </c>
      <c r="H48" s="113"/>
      <c r="I48" s="113" t="str">
        <f>_xlfn.XLOOKUP($C48,'Cost Centers'!$A$2:$A$11,'Cost Centers'!$C$2:$C$11,"")</f>
        <v>Admin</v>
      </c>
      <c r="J48" s="23">
        <f>MROUND(SUMIFS('Allocated Transactions'!$J:$J,'Allocated Transactions'!$D:$D,$E48,'Allocated Transactions'!$C:$C,$C48,'Allocated Transactions'!$A:$A,"&gt;="&amp;$A48,'Allocated Transactions'!$A:$A,"&lt;="&amp;EOMONTH($A48,0))*0.99,100)</f>
        <v>0</v>
      </c>
      <c r="K48" s="113" t="s">
        <v>637</v>
      </c>
    </row>
    <row r="49" spans="1:11" ht="15" customHeight="1">
      <c r="A49" s="112">
        <f t="shared" si="0"/>
        <v>45901</v>
      </c>
      <c r="B49" s="113">
        <v>1</v>
      </c>
      <c r="C49" s="18" t="s">
        <v>4</v>
      </c>
      <c r="D49" s="113" t="str">
        <f>_xlfn.XLOOKUP($C49,'Cost Centers'!$A$2:$A$11,'Cost Centers'!$B$2:$B$11,"")</f>
        <v>Executive</v>
      </c>
      <c r="E49" s="113" t="s">
        <v>113</v>
      </c>
      <c r="F49" s="113" t="str">
        <f>_xlfn.XLOOKUP(E49,'Allocated Transactions'!D:D,'Allocated Transactions'!E:E,"")</f>
        <v>Professional Fees - Legal</v>
      </c>
      <c r="G49" s="113" t="s">
        <v>97</v>
      </c>
      <c r="H49" s="113"/>
      <c r="I49" s="113" t="str">
        <f>_xlfn.XLOOKUP($C49,'Cost Centers'!$A$2:$A$11,'Cost Centers'!$C$2:$C$11,"")</f>
        <v>Admin</v>
      </c>
      <c r="J49" s="23">
        <f>MROUND(SUMIFS('Allocated Transactions'!$J:$J,'Allocated Transactions'!$D:$D,$E49,'Allocated Transactions'!$C:$C,$C49,'Allocated Transactions'!$A:$A,"&gt;="&amp;$A49,'Allocated Transactions'!$A:$A,"&lt;="&amp;EOMONTH($A49,0))*0.99,100)</f>
        <v>0</v>
      </c>
      <c r="K49" s="113" t="s">
        <v>637</v>
      </c>
    </row>
    <row r="50" spans="1:11" ht="15" customHeight="1">
      <c r="A50" s="112">
        <f t="shared" si="0"/>
        <v>45901</v>
      </c>
      <c r="B50" s="113">
        <v>1</v>
      </c>
      <c r="C50" s="18" t="s">
        <v>4</v>
      </c>
      <c r="D50" s="113" t="str">
        <f>_xlfn.XLOOKUP($C50,'Cost Centers'!$A$2:$A$11,'Cost Centers'!$B$2:$B$11,"")</f>
        <v>Executive</v>
      </c>
      <c r="E50" s="113" t="s">
        <v>115</v>
      </c>
      <c r="F50" s="113" t="str">
        <f>_xlfn.XLOOKUP(E50,'Allocated Transactions'!D:D,'Allocated Transactions'!E:E,"")</f>
        <v>Professional Fees - Accounting/Audit</v>
      </c>
      <c r="G50" s="113" t="s">
        <v>97</v>
      </c>
      <c r="H50" s="113"/>
      <c r="I50" s="113" t="str">
        <f>_xlfn.XLOOKUP($C50,'Cost Centers'!$A$2:$A$11,'Cost Centers'!$C$2:$C$11,"")</f>
        <v>Admin</v>
      </c>
      <c r="J50" s="23">
        <f>MROUND(SUMIFS('Allocated Transactions'!$J:$J,'Allocated Transactions'!$D:$D,$E50,'Allocated Transactions'!$C:$C,$C50,'Allocated Transactions'!$A:$A,"&gt;="&amp;$A50,'Allocated Transactions'!$A:$A,"&lt;="&amp;EOMONTH($A50,0))*0.99,100)</f>
        <v>0</v>
      </c>
      <c r="K50" s="113" t="s">
        <v>637</v>
      </c>
    </row>
    <row r="51" spans="1:11" ht="15" customHeight="1">
      <c r="A51" s="112">
        <f t="shared" si="0"/>
        <v>45901</v>
      </c>
      <c r="B51" s="113">
        <v>1</v>
      </c>
      <c r="C51" s="18" t="s">
        <v>4</v>
      </c>
      <c r="D51" s="113" t="str">
        <f>_xlfn.XLOOKUP($C51,'Cost Centers'!$A$2:$A$11,'Cost Centers'!$B$2:$B$11,"")</f>
        <v>Executive</v>
      </c>
      <c r="E51" s="113" t="s">
        <v>117</v>
      </c>
      <c r="F51" s="113" t="str">
        <f>_xlfn.XLOOKUP(E51,'Allocated Transactions'!D:D,'Allocated Transactions'!E:E,"")</f>
        <v>Insurance</v>
      </c>
      <c r="G51" s="113" t="s">
        <v>97</v>
      </c>
      <c r="H51" s="113"/>
      <c r="I51" s="113" t="str">
        <f>_xlfn.XLOOKUP($C51,'Cost Centers'!$A$2:$A$11,'Cost Centers'!$C$2:$C$11,"")</f>
        <v>Admin</v>
      </c>
      <c r="J51" s="23">
        <f>MROUND(SUMIFS('Allocated Transactions'!$J:$J,'Allocated Transactions'!$D:$D,$E51,'Allocated Transactions'!$C:$C,$C51,'Allocated Transactions'!$A:$A,"&gt;="&amp;$A51,'Allocated Transactions'!$A:$A,"&lt;="&amp;EOMONTH($A51,0))*0.99,100)</f>
        <v>400</v>
      </c>
      <c r="K51" s="113" t="s">
        <v>637</v>
      </c>
    </row>
    <row r="52" spans="1:11" ht="15" customHeight="1">
      <c r="A52" s="112">
        <f t="shared" ref="A52:A83" si="1">IF(E52="5000",EOMONTH(A51,0)+1,A51)</f>
        <v>45901</v>
      </c>
      <c r="B52" s="113">
        <v>1</v>
      </c>
      <c r="C52" s="18" t="s">
        <v>4</v>
      </c>
      <c r="D52" s="113" t="str">
        <f>_xlfn.XLOOKUP($C52,'Cost Centers'!$A$2:$A$11,'Cost Centers'!$B$2:$B$11,"")</f>
        <v>Executive</v>
      </c>
      <c r="E52" s="113" t="s">
        <v>119</v>
      </c>
      <c r="F52" s="113" t="str">
        <f>_xlfn.XLOOKUP(E52,'Allocated Transactions'!D:D,'Allocated Transactions'!E:E,"")</f>
        <v>Depreciation Expense</v>
      </c>
      <c r="G52" s="113" t="s">
        <v>97</v>
      </c>
      <c r="H52" s="113"/>
      <c r="I52" s="113" t="str">
        <f>_xlfn.XLOOKUP($C52,'Cost Centers'!$A$2:$A$11,'Cost Centers'!$C$2:$C$11,"")</f>
        <v>Admin</v>
      </c>
      <c r="J52" s="23">
        <f>MROUND(SUMIFS('Allocated Transactions'!$J:$J,'Allocated Transactions'!$D:$D,$E52,'Allocated Transactions'!$C:$C,$C52,'Allocated Transactions'!$A:$A,"&gt;="&amp;$A52,'Allocated Transactions'!$A:$A,"&lt;="&amp;EOMONTH($A52,0))*0.99,100)</f>
        <v>0</v>
      </c>
      <c r="K52" s="113" t="s">
        <v>637</v>
      </c>
    </row>
    <row r="53" spans="1:11" ht="15" customHeight="1">
      <c r="A53" s="112">
        <f t="shared" si="1"/>
        <v>45901</v>
      </c>
      <c r="B53" s="113">
        <v>1</v>
      </c>
      <c r="C53" s="18" t="s">
        <v>4</v>
      </c>
      <c r="D53" s="113" t="str">
        <f>_xlfn.XLOOKUP($C53,'Cost Centers'!$A$2:$A$11,'Cost Centers'!$B$2:$B$11,"")</f>
        <v>Executive</v>
      </c>
      <c r="E53" s="113" t="s">
        <v>121</v>
      </c>
      <c r="F53" s="113" t="str">
        <f>_xlfn.XLOOKUP(E53,'Allocated Transactions'!D:D,'Allocated Transactions'!E:E,"")</f>
        <v>Bank Fees</v>
      </c>
      <c r="G53" s="113" t="s">
        <v>97</v>
      </c>
      <c r="H53" s="113"/>
      <c r="I53" s="113" t="str">
        <f>_xlfn.XLOOKUP($C53,'Cost Centers'!$A$2:$A$11,'Cost Centers'!$C$2:$C$11,"")</f>
        <v>Admin</v>
      </c>
      <c r="J53" s="23">
        <f>MROUND(SUMIFS('Allocated Transactions'!$J:$J,'Allocated Transactions'!$D:$D,$E53,'Allocated Transactions'!$C:$C,$C53,'Allocated Transactions'!$A:$A,"&gt;="&amp;$A53,'Allocated Transactions'!$A:$A,"&lt;="&amp;EOMONTH($A53,0))*0.99,100)</f>
        <v>0</v>
      </c>
      <c r="K53" s="113" t="s">
        <v>637</v>
      </c>
    </row>
    <row r="54" spans="1:11" ht="15" customHeight="1">
      <c r="A54" s="112">
        <f t="shared" si="1"/>
        <v>45901</v>
      </c>
      <c r="B54" s="113">
        <v>1</v>
      </c>
      <c r="C54" s="18" t="s">
        <v>4</v>
      </c>
      <c r="D54" s="113" t="str">
        <f>_xlfn.XLOOKUP($C54,'Cost Centers'!$A$2:$A$11,'Cost Centers'!$B$2:$B$11,"")</f>
        <v>Executive</v>
      </c>
      <c r="E54" s="113" t="s">
        <v>123</v>
      </c>
      <c r="F54" s="113" t="str">
        <f>_xlfn.XLOOKUP(E54,'Allocated Transactions'!D:D,'Allocated Transactions'!E:E,"")</f>
        <v>Interest Expense</v>
      </c>
      <c r="G54" s="113" t="s">
        <v>97</v>
      </c>
      <c r="H54" s="113"/>
      <c r="I54" s="113" t="str">
        <f>_xlfn.XLOOKUP($C54,'Cost Centers'!$A$2:$A$11,'Cost Centers'!$C$2:$C$11,"")</f>
        <v>Admin</v>
      </c>
      <c r="J54" s="23">
        <f>MROUND(SUMIFS('Allocated Transactions'!$J:$J,'Allocated Transactions'!$D:$D,$E54,'Allocated Transactions'!$C:$C,$C54,'Allocated Transactions'!$A:$A,"&gt;="&amp;$A54,'Allocated Transactions'!$A:$A,"&lt;="&amp;EOMONTH($A54,0))*0.99,100)</f>
        <v>0</v>
      </c>
      <c r="K54" s="113" t="s">
        <v>637</v>
      </c>
    </row>
    <row r="55" spans="1:11" ht="15" customHeight="1">
      <c r="A55" s="112">
        <f t="shared" si="1"/>
        <v>45901</v>
      </c>
      <c r="B55" s="113">
        <v>1</v>
      </c>
      <c r="C55" s="18" t="s">
        <v>4</v>
      </c>
      <c r="D55" s="113" t="str">
        <f>_xlfn.XLOOKUP($C55,'Cost Centers'!$A$2:$A$11,'Cost Centers'!$B$2:$B$11,"")</f>
        <v>Executive</v>
      </c>
      <c r="E55" s="113" t="s">
        <v>125</v>
      </c>
      <c r="F55" s="113" t="str">
        <f>_xlfn.XLOOKUP(E55,'Allocated Transactions'!D:D,'Allocated Transactions'!E:E,"")</f>
        <v>Miscellaneous Expense</v>
      </c>
      <c r="G55" s="113" t="s">
        <v>97</v>
      </c>
      <c r="H55" s="113"/>
      <c r="I55" s="113" t="str">
        <f>_xlfn.XLOOKUP($C55,'Cost Centers'!$A$2:$A$11,'Cost Centers'!$C$2:$C$11,"")</f>
        <v>Admin</v>
      </c>
      <c r="J55" s="23">
        <f>MROUND(SUMIFS('Allocated Transactions'!$J:$J,'Allocated Transactions'!$D:$D,$E55,'Allocated Transactions'!$C:$C,$C55,'Allocated Transactions'!$A:$A,"&gt;="&amp;$A55,'Allocated Transactions'!$A:$A,"&lt;="&amp;EOMONTH($A55,0))*0.99,100)</f>
        <v>0</v>
      </c>
      <c r="K55" s="113" t="s">
        <v>637</v>
      </c>
    </row>
    <row r="56" spans="1:11" ht="15" customHeight="1">
      <c r="A56" s="112">
        <f t="shared" si="1"/>
        <v>45931</v>
      </c>
      <c r="B56" s="113">
        <v>1</v>
      </c>
      <c r="C56" s="18" t="s">
        <v>4</v>
      </c>
      <c r="D56" s="113" t="str">
        <f>_xlfn.XLOOKUP($C56,'Cost Centers'!$A$2:$A$11,'Cost Centers'!$B$2:$B$11,"")</f>
        <v>Executive</v>
      </c>
      <c r="E56" s="113" t="s">
        <v>28</v>
      </c>
      <c r="F56" s="113" t="str">
        <f>_xlfn.XLOOKUP(E56,'Allocated Transactions'!D:D,'Allocated Transactions'!E:E,"")</f>
        <v>Salaries and Wages</v>
      </c>
      <c r="G56" s="113" t="s">
        <v>97</v>
      </c>
      <c r="H56" s="113"/>
      <c r="I56" s="113" t="str">
        <f>_xlfn.XLOOKUP($C56,'Cost Centers'!$A$2:$A$11,'Cost Centers'!$C$2:$C$11,"")</f>
        <v>Admin</v>
      </c>
      <c r="J56" s="23">
        <f>MROUND(SUMIFS('Allocated Transactions'!$J:$J,'Allocated Transactions'!$D:$D,$E56,'Allocated Transactions'!$C:$C,$C56,'Allocated Transactions'!$A:$A,"&gt;="&amp;$A56,'Allocated Transactions'!$A:$A,"&lt;="&amp;EOMONTH($A56,0))*0.99,100)</f>
        <v>7700</v>
      </c>
      <c r="K56" s="113" t="s">
        <v>637</v>
      </c>
    </row>
    <row r="57" spans="1:11" ht="15" customHeight="1">
      <c r="A57" s="112">
        <f t="shared" si="1"/>
        <v>45931</v>
      </c>
      <c r="B57" s="113">
        <v>1</v>
      </c>
      <c r="C57" s="18" t="s">
        <v>4</v>
      </c>
      <c r="D57" s="113" t="str">
        <f>_xlfn.XLOOKUP($C57,'Cost Centers'!$A$2:$A$11,'Cost Centers'!$B$2:$B$11,"")</f>
        <v>Executive</v>
      </c>
      <c r="E57" s="113" t="s">
        <v>29</v>
      </c>
      <c r="F57" s="113" t="str">
        <f>_xlfn.XLOOKUP(E57,'Allocated Transactions'!D:D,'Allocated Transactions'!E:E,"")</f>
        <v>Payroll Taxes</v>
      </c>
      <c r="G57" s="113" t="s">
        <v>97</v>
      </c>
      <c r="H57" s="113"/>
      <c r="I57" s="113" t="str">
        <f>_xlfn.XLOOKUP($C57,'Cost Centers'!$A$2:$A$11,'Cost Centers'!$C$2:$C$11,"")</f>
        <v>Admin</v>
      </c>
      <c r="J57" s="23">
        <f>MROUND(SUMIFS('Allocated Transactions'!$J:$J,'Allocated Transactions'!$D:$D,$E57,'Allocated Transactions'!$C:$C,$C57,'Allocated Transactions'!$A:$A,"&gt;="&amp;$A57,'Allocated Transactions'!$A:$A,"&lt;="&amp;EOMONTH($A57,0))*0.99,100)</f>
        <v>600</v>
      </c>
      <c r="K57" s="113" t="s">
        <v>637</v>
      </c>
    </row>
    <row r="58" spans="1:11" ht="15" customHeight="1">
      <c r="A58" s="112">
        <f t="shared" si="1"/>
        <v>45931</v>
      </c>
      <c r="B58" s="113">
        <v>1</v>
      </c>
      <c r="C58" s="18" t="s">
        <v>4</v>
      </c>
      <c r="D58" s="113" t="str">
        <f>_xlfn.XLOOKUP($C58,'Cost Centers'!$A$2:$A$11,'Cost Centers'!$B$2:$B$11,"")</f>
        <v>Executive</v>
      </c>
      <c r="E58" s="113" t="s">
        <v>30</v>
      </c>
      <c r="F58" s="113" t="str">
        <f>_xlfn.XLOOKUP(E58,'Allocated Transactions'!D:D,'Allocated Transactions'!E:E,"")</f>
        <v>Employee Benefits</v>
      </c>
      <c r="G58" s="113" t="s">
        <v>97</v>
      </c>
      <c r="H58" s="113"/>
      <c r="I58" s="113" t="str">
        <f>_xlfn.XLOOKUP($C58,'Cost Centers'!$A$2:$A$11,'Cost Centers'!$C$2:$C$11,"")</f>
        <v>Admin</v>
      </c>
      <c r="J58" s="23">
        <f>MROUND(SUMIFS('Allocated Transactions'!$J:$J,'Allocated Transactions'!$D:$D,$E58,'Allocated Transactions'!$C:$C,$C58,'Allocated Transactions'!$A:$A,"&gt;="&amp;$A58,'Allocated Transactions'!$A:$A,"&lt;="&amp;EOMONTH($A58,0))*0.99,100)</f>
        <v>1600</v>
      </c>
      <c r="K58" s="113" t="s">
        <v>637</v>
      </c>
    </row>
    <row r="59" spans="1:11" ht="15" customHeight="1">
      <c r="A59" s="112">
        <f t="shared" si="1"/>
        <v>45931</v>
      </c>
      <c r="B59" s="113">
        <v>1</v>
      </c>
      <c r="C59" s="18" t="s">
        <v>4</v>
      </c>
      <c r="D59" s="113" t="str">
        <f>_xlfn.XLOOKUP($C59,'Cost Centers'!$A$2:$A$11,'Cost Centers'!$B$2:$B$11,"")</f>
        <v>Executive</v>
      </c>
      <c r="E59" s="113" t="s">
        <v>31</v>
      </c>
      <c r="F59" s="113" t="str">
        <f>_xlfn.XLOOKUP(E59,'Allocated Transactions'!D:D,'Allocated Transactions'!E:E,"")</f>
        <v>Retirement Contributions</v>
      </c>
      <c r="G59" s="113" t="s">
        <v>97</v>
      </c>
      <c r="H59" s="113"/>
      <c r="I59" s="113" t="str">
        <f>_xlfn.XLOOKUP($C59,'Cost Centers'!$A$2:$A$11,'Cost Centers'!$C$2:$C$11,"")</f>
        <v>Admin</v>
      </c>
      <c r="J59" s="23">
        <f>MROUND(SUMIFS('Allocated Transactions'!$J:$J,'Allocated Transactions'!$D:$D,$E59,'Allocated Transactions'!$C:$C,$C59,'Allocated Transactions'!$A:$A,"&gt;="&amp;$A59,'Allocated Transactions'!$A:$A,"&lt;="&amp;EOMONTH($A59,0))*0.99,100)</f>
        <v>200</v>
      </c>
      <c r="K59" s="113" t="s">
        <v>637</v>
      </c>
    </row>
    <row r="60" spans="1:11" ht="15" customHeight="1">
      <c r="A60" s="112">
        <f t="shared" si="1"/>
        <v>45931</v>
      </c>
      <c r="B60" s="113">
        <v>1</v>
      </c>
      <c r="C60" s="18" t="s">
        <v>4</v>
      </c>
      <c r="D60" s="113" t="str">
        <f>_xlfn.XLOOKUP($C60,'Cost Centers'!$A$2:$A$11,'Cost Centers'!$B$2:$B$11,"")</f>
        <v>Executive</v>
      </c>
      <c r="E60" s="113" t="s">
        <v>101</v>
      </c>
      <c r="F60" s="113" t="str">
        <f>_xlfn.XLOOKUP(E60,'Allocated Transactions'!D:D,'Allocated Transactions'!E:E,"")</f>
        <v>Contract Labor / Consultants</v>
      </c>
      <c r="G60" s="113" t="s">
        <v>97</v>
      </c>
      <c r="H60" s="113"/>
      <c r="I60" s="113" t="str">
        <f>_xlfn.XLOOKUP($C60,'Cost Centers'!$A$2:$A$11,'Cost Centers'!$C$2:$C$11,"")</f>
        <v>Admin</v>
      </c>
      <c r="J60" s="23">
        <f>MROUND(SUMIFS('Allocated Transactions'!$J:$J,'Allocated Transactions'!$D:$D,$E60,'Allocated Transactions'!$C:$C,$C60,'Allocated Transactions'!$A:$A,"&gt;="&amp;$A60,'Allocated Transactions'!$A:$A,"&lt;="&amp;EOMONTH($A60,0))*0.99,100)</f>
        <v>0</v>
      </c>
      <c r="K60" s="113" t="s">
        <v>637</v>
      </c>
    </row>
    <row r="61" spans="1:11" ht="15" customHeight="1">
      <c r="A61" s="112">
        <f t="shared" si="1"/>
        <v>45931</v>
      </c>
      <c r="B61" s="113">
        <v>1</v>
      </c>
      <c r="C61" s="18" t="s">
        <v>4</v>
      </c>
      <c r="D61" s="113" t="str">
        <f>_xlfn.XLOOKUP($C61,'Cost Centers'!$A$2:$A$11,'Cost Centers'!$B$2:$B$11,"")</f>
        <v>Executive</v>
      </c>
      <c r="E61" s="113" t="s">
        <v>32</v>
      </c>
      <c r="F61" s="113" t="str">
        <f>_xlfn.XLOOKUP(E61,'Allocated Transactions'!D:D,'Allocated Transactions'!E:E,"")</f>
        <v>Rent</v>
      </c>
      <c r="G61" s="113" t="s">
        <v>97</v>
      </c>
      <c r="H61" s="113"/>
      <c r="I61" s="113" t="str">
        <f>_xlfn.XLOOKUP($C61,'Cost Centers'!$A$2:$A$11,'Cost Centers'!$C$2:$C$11,"")</f>
        <v>Admin</v>
      </c>
      <c r="J61" s="23">
        <f>MROUND(SUMIFS('Allocated Transactions'!$J:$J,'Allocated Transactions'!$D:$D,$E61,'Allocated Transactions'!$C:$C,$C61,'Allocated Transactions'!$A:$A,"&gt;="&amp;$A61,'Allocated Transactions'!$A:$A,"&lt;="&amp;EOMONTH($A61,0))*0.99,100)</f>
        <v>600</v>
      </c>
      <c r="K61" s="113" t="s">
        <v>637</v>
      </c>
    </row>
    <row r="62" spans="1:11" ht="15" customHeight="1">
      <c r="A62" s="112">
        <f t="shared" si="1"/>
        <v>45931</v>
      </c>
      <c r="B62" s="113">
        <v>1</v>
      </c>
      <c r="C62" s="18" t="s">
        <v>4</v>
      </c>
      <c r="D62" s="113" t="str">
        <f>_xlfn.XLOOKUP($C62,'Cost Centers'!$A$2:$A$11,'Cost Centers'!$B$2:$B$11,"")</f>
        <v>Executive</v>
      </c>
      <c r="E62" s="113" t="s">
        <v>33</v>
      </c>
      <c r="F62" s="113" t="str">
        <f>_xlfn.XLOOKUP(E62,'Allocated Transactions'!D:D,'Allocated Transactions'!E:E,"")</f>
        <v>Utilities</v>
      </c>
      <c r="G62" s="113" t="s">
        <v>97</v>
      </c>
      <c r="H62" s="113"/>
      <c r="I62" s="113" t="str">
        <f>_xlfn.XLOOKUP($C62,'Cost Centers'!$A$2:$A$11,'Cost Centers'!$C$2:$C$11,"")</f>
        <v>Admin</v>
      </c>
      <c r="J62" s="23">
        <f>MROUND(SUMIFS('Allocated Transactions'!$J:$J,'Allocated Transactions'!$D:$D,$E62,'Allocated Transactions'!$C:$C,$C62,'Allocated Transactions'!$A:$A,"&gt;="&amp;$A62,'Allocated Transactions'!$A:$A,"&lt;="&amp;EOMONTH($A62,0))*0.99,100)</f>
        <v>100</v>
      </c>
      <c r="K62" s="113" t="s">
        <v>637</v>
      </c>
    </row>
    <row r="63" spans="1:11" ht="15" customHeight="1">
      <c r="A63" s="112">
        <f t="shared" si="1"/>
        <v>45931</v>
      </c>
      <c r="B63" s="113">
        <v>1</v>
      </c>
      <c r="C63" s="18" t="s">
        <v>4</v>
      </c>
      <c r="D63" s="113" t="str">
        <f>_xlfn.XLOOKUP($C63,'Cost Centers'!$A$2:$A$11,'Cost Centers'!$B$2:$B$11,"")</f>
        <v>Executive</v>
      </c>
      <c r="E63" s="113" t="s">
        <v>105</v>
      </c>
      <c r="F63" s="113" t="str">
        <f>_xlfn.XLOOKUP(E63,'Allocated Transactions'!D:D,'Allocated Transactions'!E:E,"")</f>
        <v>Office Supplies</v>
      </c>
      <c r="G63" s="113" t="s">
        <v>97</v>
      </c>
      <c r="H63" s="113"/>
      <c r="I63" s="113" t="str">
        <f>_xlfn.XLOOKUP($C63,'Cost Centers'!$A$2:$A$11,'Cost Centers'!$C$2:$C$11,"")</f>
        <v>Admin</v>
      </c>
      <c r="J63" s="23">
        <f>MROUND(SUMIFS('Allocated Transactions'!$J:$J,'Allocated Transactions'!$D:$D,$E63,'Allocated Transactions'!$C:$C,$C63,'Allocated Transactions'!$A:$A,"&gt;="&amp;$A63,'Allocated Transactions'!$A:$A,"&lt;="&amp;EOMONTH($A63,0))*0.99,100)</f>
        <v>0</v>
      </c>
      <c r="K63" s="113" t="s">
        <v>637</v>
      </c>
    </row>
    <row r="64" spans="1:11" ht="15" customHeight="1">
      <c r="A64" s="112">
        <f t="shared" si="1"/>
        <v>45931</v>
      </c>
      <c r="B64" s="113">
        <v>1</v>
      </c>
      <c r="C64" s="18" t="s">
        <v>4</v>
      </c>
      <c r="D64" s="113" t="str">
        <f>_xlfn.XLOOKUP($C64,'Cost Centers'!$A$2:$A$11,'Cost Centers'!$B$2:$B$11,"")</f>
        <v>Executive</v>
      </c>
      <c r="E64" s="113" t="s">
        <v>107</v>
      </c>
      <c r="F64" s="113" t="str">
        <f>_xlfn.XLOOKUP(E64,'Allocated Transactions'!D:D,'Allocated Transactions'!E:E,"")</f>
        <v>Software and Subscriptions</v>
      </c>
      <c r="G64" s="113" t="s">
        <v>97</v>
      </c>
      <c r="H64" s="113"/>
      <c r="I64" s="113" t="str">
        <f>_xlfn.XLOOKUP($C64,'Cost Centers'!$A$2:$A$11,'Cost Centers'!$C$2:$C$11,"")</f>
        <v>Admin</v>
      </c>
      <c r="J64" s="23">
        <f>MROUND(SUMIFS('Allocated Transactions'!$J:$J,'Allocated Transactions'!$D:$D,$E64,'Allocated Transactions'!$C:$C,$C64,'Allocated Transactions'!$A:$A,"&gt;="&amp;$A64,'Allocated Transactions'!$A:$A,"&lt;="&amp;EOMONTH($A64,0))*0.99,100)</f>
        <v>0</v>
      </c>
      <c r="K64" s="113" t="s">
        <v>637</v>
      </c>
    </row>
    <row r="65" spans="1:11" ht="15" customHeight="1">
      <c r="A65" s="112">
        <f t="shared" si="1"/>
        <v>45931</v>
      </c>
      <c r="B65" s="113">
        <v>1</v>
      </c>
      <c r="C65" s="18" t="s">
        <v>4</v>
      </c>
      <c r="D65" s="113" t="str">
        <f>_xlfn.XLOOKUP($C65,'Cost Centers'!$A$2:$A$11,'Cost Centers'!$B$2:$B$11,"")</f>
        <v>Executive</v>
      </c>
      <c r="E65" s="113" t="s">
        <v>109</v>
      </c>
      <c r="F65" s="113" t="str">
        <f>_xlfn.XLOOKUP(E65,'Allocated Transactions'!D:D,'Allocated Transactions'!E:E,"")</f>
        <v>Travel</v>
      </c>
      <c r="G65" s="113" t="s">
        <v>97</v>
      </c>
      <c r="H65" s="113"/>
      <c r="I65" s="113" t="str">
        <f>_xlfn.XLOOKUP($C65,'Cost Centers'!$A$2:$A$11,'Cost Centers'!$C$2:$C$11,"")</f>
        <v>Admin</v>
      </c>
      <c r="J65" s="23">
        <f>MROUND(SUMIFS('Allocated Transactions'!$J:$J,'Allocated Transactions'!$D:$D,$E65,'Allocated Transactions'!$C:$C,$C65,'Allocated Transactions'!$A:$A,"&gt;="&amp;$A65,'Allocated Transactions'!$A:$A,"&lt;="&amp;EOMONTH($A65,0))*0.99,100)</f>
        <v>0</v>
      </c>
      <c r="K65" s="113" t="s">
        <v>637</v>
      </c>
    </row>
    <row r="66" spans="1:11" ht="15" customHeight="1">
      <c r="A66" s="112">
        <f t="shared" si="1"/>
        <v>45931</v>
      </c>
      <c r="B66" s="113">
        <v>1</v>
      </c>
      <c r="C66" s="18" t="s">
        <v>4</v>
      </c>
      <c r="D66" s="113" t="str">
        <f>_xlfn.XLOOKUP($C66,'Cost Centers'!$A$2:$A$11,'Cost Centers'!$B$2:$B$11,"")</f>
        <v>Executive</v>
      </c>
      <c r="E66" s="113" t="s">
        <v>111</v>
      </c>
      <c r="F66" s="113" t="str">
        <f>_xlfn.XLOOKUP(E66,'Allocated Transactions'!D:D,'Allocated Transactions'!E:E,"")</f>
        <v>Meals and Entertainment</v>
      </c>
      <c r="G66" s="113" t="s">
        <v>97</v>
      </c>
      <c r="H66" s="113"/>
      <c r="I66" s="113" t="str">
        <f>_xlfn.XLOOKUP($C66,'Cost Centers'!$A$2:$A$11,'Cost Centers'!$C$2:$C$11,"")</f>
        <v>Admin</v>
      </c>
      <c r="J66" s="23">
        <f>MROUND(SUMIFS('Allocated Transactions'!$J:$J,'Allocated Transactions'!$D:$D,$E66,'Allocated Transactions'!$C:$C,$C66,'Allocated Transactions'!$A:$A,"&gt;="&amp;$A66,'Allocated Transactions'!$A:$A,"&lt;="&amp;EOMONTH($A66,0))*0.99,100)</f>
        <v>0</v>
      </c>
      <c r="K66" s="113" t="s">
        <v>637</v>
      </c>
    </row>
    <row r="67" spans="1:11" ht="15" customHeight="1">
      <c r="A67" s="112">
        <f t="shared" si="1"/>
        <v>45931</v>
      </c>
      <c r="B67" s="113">
        <v>1</v>
      </c>
      <c r="C67" s="18" t="s">
        <v>4</v>
      </c>
      <c r="D67" s="113" t="str">
        <f>_xlfn.XLOOKUP($C67,'Cost Centers'!$A$2:$A$11,'Cost Centers'!$B$2:$B$11,"")</f>
        <v>Executive</v>
      </c>
      <c r="E67" s="113" t="s">
        <v>113</v>
      </c>
      <c r="F67" s="113" t="str">
        <f>_xlfn.XLOOKUP(E67,'Allocated Transactions'!D:D,'Allocated Transactions'!E:E,"")</f>
        <v>Professional Fees - Legal</v>
      </c>
      <c r="G67" s="113" t="s">
        <v>97</v>
      </c>
      <c r="H67" s="113"/>
      <c r="I67" s="113" t="str">
        <f>_xlfn.XLOOKUP($C67,'Cost Centers'!$A$2:$A$11,'Cost Centers'!$C$2:$C$11,"")</f>
        <v>Admin</v>
      </c>
      <c r="J67" s="23">
        <f>MROUND(SUMIFS('Allocated Transactions'!$J:$J,'Allocated Transactions'!$D:$D,$E67,'Allocated Transactions'!$C:$C,$C67,'Allocated Transactions'!$A:$A,"&gt;="&amp;$A67,'Allocated Transactions'!$A:$A,"&lt;="&amp;EOMONTH($A67,0))*0.99,100)</f>
        <v>0</v>
      </c>
      <c r="K67" s="113" t="s">
        <v>637</v>
      </c>
    </row>
    <row r="68" spans="1:11" ht="15" customHeight="1">
      <c r="A68" s="112">
        <f t="shared" si="1"/>
        <v>45931</v>
      </c>
      <c r="B68" s="113">
        <v>1</v>
      </c>
      <c r="C68" s="18" t="s">
        <v>4</v>
      </c>
      <c r="D68" s="113" t="str">
        <f>_xlfn.XLOOKUP($C68,'Cost Centers'!$A$2:$A$11,'Cost Centers'!$B$2:$B$11,"")</f>
        <v>Executive</v>
      </c>
      <c r="E68" s="113" t="s">
        <v>115</v>
      </c>
      <c r="F68" s="113" t="str">
        <f>_xlfn.XLOOKUP(E68,'Allocated Transactions'!D:D,'Allocated Transactions'!E:E,"")</f>
        <v>Professional Fees - Accounting/Audit</v>
      </c>
      <c r="G68" s="113" t="s">
        <v>97</v>
      </c>
      <c r="H68" s="113"/>
      <c r="I68" s="113" t="str">
        <f>_xlfn.XLOOKUP($C68,'Cost Centers'!$A$2:$A$11,'Cost Centers'!$C$2:$C$11,"")</f>
        <v>Admin</v>
      </c>
      <c r="J68" s="23">
        <f>MROUND(SUMIFS('Allocated Transactions'!$J:$J,'Allocated Transactions'!$D:$D,$E68,'Allocated Transactions'!$C:$C,$C68,'Allocated Transactions'!$A:$A,"&gt;="&amp;$A68,'Allocated Transactions'!$A:$A,"&lt;="&amp;EOMONTH($A68,0))*0.99,100)</f>
        <v>0</v>
      </c>
      <c r="K68" s="113" t="s">
        <v>637</v>
      </c>
    </row>
    <row r="69" spans="1:11" ht="15" customHeight="1">
      <c r="A69" s="112">
        <f t="shared" si="1"/>
        <v>45931</v>
      </c>
      <c r="B69" s="113">
        <v>1</v>
      </c>
      <c r="C69" s="18" t="s">
        <v>4</v>
      </c>
      <c r="D69" s="113" t="str">
        <f>_xlfn.XLOOKUP($C69,'Cost Centers'!$A$2:$A$11,'Cost Centers'!$B$2:$B$11,"")</f>
        <v>Executive</v>
      </c>
      <c r="E69" s="113" t="s">
        <v>117</v>
      </c>
      <c r="F69" s="113" t="str">
        <f>_xlfn.XLOOKUP(E69,'Allocated Transactions'!D:D,'Allocated Transactions'!E:E,"")</f>
        <v>Insurance</v>
      </c>
      <c r="G69" s="113" t="s">
        <v>97</v>
      </c>
      <c r="H69" s="113"/>
      <c r="I69" s="113" t="str">
        <f>_xlfn.XLOOKUP($C69,'Cost Centers'!$A$2:$A$11,'Cost Centers'!$C$2:$C$11,"")</f>
        <v>Admin</v>
      </c>
      <c r="J69" s="23">
        <f>MROUND(SUMIFS('Allocated Transactions'!$J:$J,'Allocated Transactions'!$D:$D,$E69,'Allocated Transactions'!$C:$C,$C69,'Allocated Transactions'!$A:$A,"&gt;="&amp;$A69,'Allocated Transactions'!$A:$A,"&lt;="&amp;EOMONTH($A69,0))*0.99,100)</f>
        <v>400</v>
      </c>
      <c r="K69" s="113" t="s">
        <v>637</v>
      </c>
    </row>
    <row r="70" spans="1:11" ht="15" customHeight="1">
      <c r="A70" s="112">
        <f t="shared" si="1"/>
        <v>45931</v>
      </c>
      <c r="B70" s="113">
        <v>1</v>
      </c>
      <c r="C70" s="18" t="s">
        <v>4</v>
      </c>
      <c r="D70" s="113" t="str">
        <f>_xlfn.XLOOKUP($C70,'Cost Centers'!$A$2:$A$11,'Cost Centers'!$B$2:$B$11,"")</f>
        <v>Executive</v>
      </c>
      <c r="E70" s="113" t="s">
        <v>119</v>
      </c>
      <c r="F70" s="113" t="str">
        <f>_xlfn.XLOOKUP(E70,'Allocated Transactions'!D:D,'Allocated Transactions'!E:E,"")</f>
        <v>Depreciation Expense</v>
      </c>
      <c r="G70" s="113" t="s">
        <v>97</v>
      </c>
      <c r="H70" s="113"/>
      <c r="I70" s="113" t="str">
        <f>_xlfn.XLOOKUP($C70,'Cost Centers'!$A$2:$A$11,'Cost Centers'!$C$2:$C$11,"")</f>
        <v>Admin</v>
      </c>
      <c r="J70" s="23">
        <f>MROUND(SUMIFS('Allocated Transactions'!$J:$J,'Allocated Transactions'!$D:$D,$E70,'Allocated Transactions'!$C:$C,$C70,'Allocated Transactions'!$A:$A,"&gt;="&amp;$A70,'Allocated Transactions'!$A:$A,"&lt;="&amp;EOMONTH($A70,0))*0.99,100)</f>
        <v>0</v>
      </c>
      <c r="K70" s="113" t="s">
        <v>637</v>
      </c>
    </row>
    <row r="71" spans="1:11" ht="15" customHeight="1">
      <c r="A71" s="112">
        <f t="shared" si="1"/>
        <v>45931</v>
      </c>
      <c r="B71" s="113">
        <v>1</v>
      </c>
      <c r="C71" s="18" t="s">
        <v>4</v>
      </c>
      <c r="D71" s="113" t="str">
        <f>_xlfn.XLOOKUP($C71,'Cost Centers'!$A$2:$A$11,'Cost Centers'!$B$2:$B$11,"")</f>
        <v>Executive</v>
      </c>
      <c r="E71" s="113" t="s">
        <v>121</v>
      </c>
      <c r="F71" s="113" t="str">
        <f>_xlfn.XLOOKUP(E71,'Allocated Transactions'!D:D,'Allocated Transactions'!E:E,"")</f>
        <v>Bank Fees</v>
      </c>
      <c r="G71" s="113" t="s">
        <v>97</v>
      </c>
      <c r="H71" s="113"/>
      <c r="I71" s="113" t="str">
        <f>_xlfn.XLOOKUP($C71,'Cost Centers'!$A$2:$A$11,'Cost Centers'!$C$2:$C$11,"")</f>
        <v>Admin</v>
      </c>
      <c r="J71" s="23">
        <f>MROUND(SUMIFS('Allocated Transactions'!$J:$J,'Allocated Transactions'!$D:$D,$E71,'Allocated Transactions'!$C:$C,$C71,'Allocated Transactions'!$A:$A,"&gt;="&amp;$A71,'Allocated Transactions'!$A:$A,"&lt;="&amp;EOMONTH($A71,0))*0.99,100)</f>
        <v>0</v>
      </c>
      <c r="K71" s="113" t="s">
        <v>637</v>
      </c>
    </row>
    <row r="72" spans="1:11" ht="15" customHeight="1">
      <c r="A72" s="112">
        <f t="shared" si="1"/>
        <v>45931</v>
      </c>
      <c r="B72" s="113">
        <v>1</v>
      </c>
      <c r="C72" s="18" t="s">
        <v>4</v>
      </c>
      <c r="D72" s="113" t="str">
        <f>_xlfn.XLOOKUP($C72,'Cost Centers'!$A$2:$A$11,'Cost Centers'!$B$2:$B$11,"")</f>
        <v>Executive</v>
      </c>
      <c r="E72" s="113" t="s">
        <v>123</v>
      </c>
      <c r="F72" s="113" t="str">
        <f>_xlfn.XLOOKUP(E72,'Allocated Transactions'!D:D,'Allocated Transactions'!E:E,"")</f>
        <v>Interest Expense</v>
      </c>
      <c r="G72" s="113" t="s">
        <v>97</v>
      </c>
      <c r="H72" s="113"/>
      <c r="I72" s="113" t="str">
        <f>_xlfn.XLOOKUP($C72,'Cost Centers'!$A$2:$A$11,'Cost Centers'!$C$2:$C$11,"")</f>
        <v>Admin</v>
      </c>
      <c r="J72" s="23">
        <f>MROUND(SUMIFS('Allocated Transactions'!$J:$J,'Allocated Transactions'!$D:$D,$E72,'Allocated Transactions'!$C:$C,$C72,'Allocated Transactions'!$A:$A,"&gt;="&amp;$A72,'Allocated Transactions'!$A:$A,"&lt;="&amp;EOMONTH($A72,0))*0.99,100)</f>
        <v>0</v>
      </c>
      <c r="K72" s="113" t="s">
        <v>637</v>
      </c>
    </row>
    <row r="73" spans="1:11" ht="15" customHeight="1">
      <c r="A73" s="112">
        <f t="shared" si="1"/>
        <v>45931</v>
      </c>
      <c r="B73" s="113">
        <v>1</v>
      </c>
      <c r="C73" s="18" t="s">
        <v>4</v>
      </c>
      <c r="D73" s="113" t="str">
        <f>_xlfn.XLOOKUP($C73,'Cost Centers'!$A$2:$A$11,'Cost Centers'!$B$2:$B$11,"")</f>
        <v>Executive</v>
      </c>
      <c r="E73" s="113" t="s">
        <v>125</v>
      </c>
      <c r="F73" s="113" t="str">
        <f>_xlfn.XLOOKUP(E73,'Allocated Transactions'!D:D,'Allocated Transactions'!E:E,"")</f>
        <v>Miscellaneous Expense</v>
      </c>
      <c r="G73" s="113" t="s">
        <v>97</v>
      </c>
      <c r="H73" s="113"/>
      <c r="I73" s="113" t="str">
        <f>_xlfn.XLOOKUP($C73,'Cost Centers'!$A$2:$A$11,'Cost Centers'!$C$2:$C$11,"")</f>
        <v>Admin</v>
      </c>
      <c r="J73" s="23">
        <f>MROUND(SUMIFS('Allocated Transactions'!$J:$J,'Allocated Transactions'!$D:$D,$E73,'Allocated Transactions'!$C:$C,$C73,'Allocated Transactions'!$A:$A,"&gt;="&amp;$A73,'Allocated Transactions'!$A:$A,"&lt;="&amp;EOMONTH($A73,0))*0.99,100)</f>
        <v>0</v>
      </c>
      <c r="K73" s="113" t="s">
        <v>637</v>
      </c>
    </row>
    <row r="74" spans="1:11" ht="15" customHeight="1">
      <c r="A74" s="112">
        <f t="shared" si="1"/>
        <v>45962</v>
      </c>
      <c r="B74" s="113">
        <v>1</v>
      </c>
      <c r="C74" s="18" t="s">
        <v>4</v>
      </c>
      <c r="D74" s="113" t="str">
        <f>_xlfn.XLOOKUP($C74,'Cost Centers'!$A$2:$A$11,'Cost Centers'!$B$2:$B$11,"")</f>
        <v>Executive</v>
      </c>
      <c r="E74" s="113" t="s">
        <v>28</v>
      </c>
      <c r="F74" s="113" t="str">
        <f>_xlfn.XLOOKUP(E74,'Allocated Transactions'!D:D,'Allocated Transactions'!E:E,"")</f>
        <v>Salaries and Wages</v>
      </c>
      <c r="G74" s="113" t="s">
        <v>97</v>
      </c>
      <c r="H74" s="113"/>
      <c r="I74" s="113" t="str">
        <f>_xlfn.XLOOKUP($C74,'Cost Centers'!$A$2:$A$11,'Cost Centers'!$C$2:$C$11,"")</f>
        <v>Admin</v>
      </c>
      <c r="J74" s="23">
        <f>MROUND(SUMIFS('Allocated Transactions'!$J:$J,'Allocated Transactions'!$D:$D,$E74,'Allocated Transactions'!$C:$C,$C74,'Allocated Transactions'!$A:$A,"&gt;="&amp;$A74,'Allocated Transactions'!$A:$A,"&lt;="&amp;EOMONTH($A74,0))*0.99,100)</f>
        <v>7100</v>
      </c>
      <c r="K74" s="113" t="s">
        <v>637</v>
      </c>
    </row>
    <row r="75" spans="1:11" ht="15" customHeight="1">
      <c r="A75" s="112">
        <f t="shared" si="1"/>
        <v>45962</v>
      </c>
      <c r="B75" s="113">
        <v>1</v>
      </c>
      <c r="C75" s="18" t="s">
        <v>4</v>
      </c>
      <c r="D75" s="113" t="str">
        <f>_xlfn.XLOOKUP($C75,'Cost Centers'!$A$2:$A$11,'Cost Centers'!$B$2:$B$11,"")</f>
        <v>Executive</v>
      </c>
      <c r="E75" s="113" t="s">
        <v>29</v>
      </c>
      <c r="F75" s="113" t="str">
        <f>_xlfn.XLOOKUP(E75,'Allocated Transactions'!D:D,'Allocated Transactions'!E:E,"")</f>
        <v>Payroll Taxes</v>
      </c>
      <c r="G75" s="113" t="s">
        <v>97</v>
      </c>
      <c r="H75" s="113"/>
      <c r="I75" s="113" t="str">
        <f>_xlfn.XLOOKUP($C75,'Cost Centers'!$A$2:$A$11,'Cost Centers'!$C$2:$C$11,"")</f>
        <v>Admin</v>
      </c>
      <c r="J75" s="23">
        <f>MROUND(SUMIFS('Allocated Transactions'!$J:$J,'Allocated Transactions'!$D:$D,$E75,'Allocated Transactions'!$C:$C,$C75,'Allocated Transactions'!$A:$A,"&gt;="&amp;$A75,'Allocated Transactions'!$A:$A,"&lt;="&amp;EOMONTH($A75,0))*0.99,100)</f>
        <v>500</v>
      </c>
      <c r="K75" s="113" t="s">
        <v>637</v>
      </c>
    </row>
    <row r="76" spans="1:11" ht="15" customHeight="1">
      <c r="A76" s="112">
        <f t="shared" si="1"/>
        <v>45962</v>
      </c>
      <c r="B76" s="113">
        <v>1</v>
      </c>
      <c r="C76" s="18" t="s">
        <v>4</v>
      </c>
      <c r="D76" s="113" t="str">
        <f>_xlfn.XLOOKUP($C76,'Cost Centers'!$A$2:$A$11,'Cost Centers'!$B$2:$B$11,"")</f>
        <v>Executive</v>
      </c>
      <c r="E76" s="113" t="s">
        <v>30</v>
      </c>
      <c r="F76" s="113" t="str">
        <f>_xlfn.XLOOKUP(E76,'Allocated Transactions'!D:D,'Allocated Transactions'!E:E,"")</f>
        <v>Employee Benefits</v>
      </c>
      <c r="G76" s="113" t="s">
        <v>97</v>
      </c>
      <c r="H76" s="113"/>
      <c r="I76" s="113" t="str">
        <f>_xlfn.XLOOKUP($C76,'Cost Centers'!$A$2:$A$11,'Cost Centers'!$C$2:$C$11,"")</f>
        <v>Admin</v>
      </c>
      <c r="J76" s="23">
        <f>MROUND(SUMIFS('Allocated Transactions'!$J:$J,'Allocated Transactions'!$D:$D,$E76,'Allocated Transactions'!$C:$C,$C76,'Allocated Transactions'!$A:$A,"&gt;="&amp;$A76,'Allocated Transactions'!$A:$A,"&lt;="&amp;EOMONTH($A76,0))*0.99,100)</f>
        <v>2100</v>
      </c>
      <c r="K76" s="113" t="s">
        <v>637</v>
      </c>
    </row>
    <row r="77" spans="1:11" ht="15" customHeight="1">
      <c r="A77" s="112">
        <f t="shared" si="1"/>
        <v>45962</v>
      </c>
      <c r="B77" s="113">
        <v>1</v>
      </c>
      <c r="C77" s="18" t="s">
        <v>4</v>
      </c>
      <c r="D77" s="113" t="str">
        <f>_xlfn.XLOOKUP($C77,'Cost Centers'!$A$2:$A$11,'Cost Centers'!$B$2:$B$11,"")</f>
        <v>Executive</v>
      </c>
      <c r="E77" s="113" t="s">
        <v>31</v>
      </c>
      <c r="F77" s="113" t="str">
        <f>_xlfn.XLOOKUP(E77,'Allocated Transactions'!D:D,'Allocated Transactions'!E:E,"")</f>
        <v>Retirement Contributions</v>
      </c>
      <c r="G77" s="113" t="s">
        <v>97</v>
      </c>
      <c r="H77" s="113"/>
      <c r="I77" s="113" t="str">
        <f>_xlfn.XLOOKUP($C77,'Cost Centers'!$A$2:$A$11,'Cost Centers'!$C$2:$C$11,"")</f>
        <v>Admin</v>
      </c>
      <c r="J77" s="23">
        <f>MROUND(SUMIFS('Allocated Transactions'!$J:$J,'Allocated Transactions'!$D:$D,$E77,'Allocated Transactions'!$C:$C,$C77,'Allocated Transactions'!$A:$A,"&gt;="&amp;$A77,'Allocated Transactions'!$A:$A,"&lt;="&amp;EOMONTH($A77,0))*0.99,100)</f>
        <v>200</v>
      </c>
      <c r="K77" s="113" t="s">
        <v>637</v>
      </c>
    </row>
    <row r="78" spans="1:11" ht="15" customHeight="1">
      <c r="A78" s="112">
        <f t="shared" si="1"/>
        <v>45962</v>
      </c>
      <c r="B78" s="113">
        <v>1</v>
      </c>
      <c r="C78" s="18" t="s">
        <v>4</v>
      </c>
      <c r="D78" s="113" t="str">
        <f>_xlfn.XLOOKUP($C78,'Cost Centers'!$A$2:$A$11,'Cost Centers'!$B$2:$B$11,"")</f>
        <v>Executive</v>
      </c>
      <c r="E78" s="113" t="s">
        <v>101</v>
      </c>
      <c r="F78" s="113" t="str">
        <f>_xlfn.XLOOKUP(E78,'Allocated Transactions'!D:D,'Allocated Transactions'!E:E,"")</f>
        <v>Contract Labor / Consultants</v>
      </c>
      <c r="G78" s="113" t="s">
        <v>97</v>
      </c>
      <c r="H78" s="113"/>
      <c r="I78" s="113" t="str">
        <f>_xlfn.XLOOKUP($C78,'Cost Centers'!$A$2:$A$11,'Cost Centers'!$C$2:$C$11,"")</f>
        <v>Admin</v>
      </c>
      <c r="J78" s="23">
        <f>MROUND(SUMIFS('Allocated Transactions'!$J:$J,'Allocated Transactions'!$D:$D,$E78,'Allocated Transactions'!$C:$C,$C78,'Allocated Transactions'!$A:$A,"&gt;="&amp;$A78,'Allocated Transactions'!$A:$A,"&lt;="&amp;EOMONTH($A78,0))*0.99,100)</f>
        <v>0</v>
      </c>
      <c r="K78" s="113" t="s">
        <v>637</v>
      </c>
    </row>
    <row r="79" spans="1:11" ht="15" customHeight="1">
      <c r="A79" s="112">
        <f t="shared" si="1"/>
        <v>45962</v>
      </c>
      <c r="B79" s="113">
        <v>1</v>
      </c>
      <c r="C79" s="18" t="s">
        <v>4</v>
      </c>
      <c r="D79" s="113" t="str">
        <f>_xlfn.XLOOKUP($C79,'Cost Centers'!$A$2:$A$11,'Cost Centers'!$B$2:$B$11,"")</f>
        <v>Executive</v>
      </c>
      <c r="E79" s="113" t="s">
        <v>32</v>
      </c>
      <c r="F79" s="113" t="str">
        <f>_xlfn.XLOOKUP(E79,'Allocated Transactions'!D:D,'Allocated Transactions'!E:E,"")</f>
        <v>Rent</v>
      </c>
      <c r="G79" s="113" t="s">
        <v>97</v>
      </c>
      <c r="H79" s="113"/>
      <c r="I79" s="113" t="str">
        <f>_xlfn.XLOOKUP($C79,'Cost Centers'!$A$2:$A$11,'Cost Centers'!$C$2:$C$11,"")</f>
        <v>Admin</v>
      </c>
      <c r="J79" s="23">
        <f>MROUND(SUMIFS('Allocated Transactions'!$J:$J,'Allocated Transactions'!$D:$D,$E79,'Allocated Transactions'!$C:$C,$C79,'Allocated Transactions'!$A:$A,"&gt;="&amp;$A79,'Allocated Transactions'!$A:$A,"&lt;="&amp;EOMONTH($A79,0))*0.99,100)</f>
        <v>600</v>
      </c>
      <c r="K79" s="113" t="s">
        <v>637</v>
      </c>
    </row>
    <row r="80" spans="1:11" ht="15" customHeight="1">
      <c r="A80" s="112">
        <f t="shared" si="1"/>
        <v>45962</v>
      </c>
      <c r="B80" s="113">
        <v>1</v>
      </c>
      <c r="C80" s="18" t="s">
        <v>4</v>
      </c>
      <c r="D80" s="113" t="str">
        <f>_xlfn.XLOOKUP($C80,'Cost Centers'!$A$2:$A$11,'Cost Centers'!$B$2:$B$11,"")</f>
        <v>Executive</v>
      </c>
      <c r="E80" s="113" t="s">
        <v>33</v>
      </c>
      <c r="F80" s="113" t="str">
        <f>_xlfn.XLOOKUP(E80,'Allocated Transactions'!D:D,'Allocated Transactions'!E:E,"")</f>
        <v>Utilities</v>
      </c>
      <c r="G80" s="113" t="s">
        <v>97</v>
      </c>
      <c r="H80" s="113"/>
      <c r="I80" s="113" t="str">
        <f>_xlfn.XLOOKUP($C80,'Cost Centers'!$A$2:$A$11,'Cost Centers'!$C$2:$C$11,"")</f>
        <v>Admin</v>
      </c>
      <c r="J80" s="23">
        <f>MROUND(SUMIFS('Allocated Transactions'!$J:$J,'Allocated Transactions'!$D:$D,$E80,'Allocated Transactions'!$C:$C,$C80,'Allocated Transactions'!$A:$A,"&gt;="&amp;$A80,'Allocated Transactions'!$A:$A,"&lt;="&amp;EOMONTH($A80,0))*0.99,100)</f>
        <v>100</v>
      </c>
      <c r="K80" s="113" t="s">
        <v>637</v>
      </c>
    </row>
    <row r="81" spans="1:11" ht="15" customHeight="1">
      <c r="A81" s="112">
        <f t="shared" si="1"/>
        <v>45962</v>
      </c>
      <c r="B81" s="113">
        <v>1</v>
      </c>
      <c r="C81" s="18" t="s">
        <v>4</v>
      </c>
      <c r="D81" s="113" t="str">
        <f>_xlfn.XLOOKUP($C81,'Cost Centers'!$A$2:$A$11,'Cost Centers'!$B$2:$B$11,"")</f>
        <v>Executive</v>
      </c>
      <c r="E81" s="113" t="s">
        <v>105</v>
      </c>
      <c r="F81" s="113" t="str">
        <f>_xlfn.XLOOKUP(E81,'Allocated Transactions'!D:D,'Allocated Transactions'!E:E,"")</f>
        <v>Office Supplies</v>
      </c>
      <c r="G81" s="113" t="s">
        <v>97</v>
      </c>
      <c r="H81" s="113"/>
      <c r="I81" s="113" t="str">
        <f>_xlfn.XLOOKUP($C81,'Cost Centers'!$A$2:$A$11,'Cost Centers'!$C$2:$C$11,"")</f>
        <v>Admin</v>
      </c>
      <c r="J81" s="23">
        <f>MROUND(SUMIFS('Allocated Transactions'!$J:$J,'Allocated Transactions'!$D:$D,$E81,'Allocated Transactions'!$C:$C,$C81,'Allocated Transactions'!$A:$A,"&gt;="&amp;$A81,'Allocated Transactions'!$A:$A,"&lt;="&amp;EOMONTH($A81,0))*0.99,100)</f>
        <v>300</v>
      </c>
      <c r="K81" s="113" t="s">
        <v>637</v>
      </c>
    </row>
    <row r="82" spans="1:11" ht="15" customHeight="1">
      <c r="A82" s="112">
        <f t="shared" si="1"/>
        <v>45962</v>
      </c>
      <c r="B82" s="113">
        <v>1</v>
      </c>
      <c r="C82" s="18" t="s">
        <v>4</v>
      </c>
      <c r="D82" s="113" t="str">
        <f>_xlfn.XLOOKUP($C82,'Cost Centers'!$A$2:$A$11,'Cost Centers'!$B$2:$B$11,"")</f>
        <v>Executive</v>
      </c>
      <c r="E82" s="113" t="s">
        <v>107</v>
      </c>
      <c r="F82" s="113" t="str">
        <f>_xlfn.XLOOKUP(E82,'Allocated Transactions'!D:D,'Allocated Transactions'!E:E,"")</f>
        <v>Software and Subscriptions</v>
      </c>
      <c r="G82" s="113" t="s">
        <v>97</v>
      </c>
      <c r="H82" s="113"/>
      <c r="I82" s="113" t="str">
        <f>_xlfn.XLOOKUP($C82,'Cost Centers'!$A$2:$A$11,'Cost Centers'!$C$2:$C$11,"")</f>
        <v>Admin</v>
      </c>
      <c r="J82" s="23">
        <f>MROUND(SUMIFS('Allocated Transactions'!$J:$J,'Allocated Transactions'!$D:$D,$E82,'Allocated Transactions'!$C:$C,$C82,'Allocated Transactions'!$A:$A,"&gt;="&amp;$A82,'Allocated Transactions'!$A:$A,"&lt;="&amp;EOMONTH($A82,0))*0.99,100)</f>
        <v>0</v>
      </c>
      <c r="K82" s="113" t="s">
        <v>637</v>
      </c>
    </row>
    <row r="83" spans="1:11" ht="15" customHeight="1">
      <c r="A83" s="112">
        <f t="shared" si="1"/>
        <v>45962</v>
      </c>
      <c r="B83" s="113">
        <v>1</v>
      </c>
      <c r="C83" s="18" t="s">
        <v>4</v>
      </c>
      <c r="D83" s="113" t="str">
        <f>_xlfn.XLOOKUP($C83,'Cost Centers'!$A$2:$A$11,'Cost Centers'!$B$2:$B$11,"")</f>
        <v>Executive</v>
      </c>
      <c r="E83" s="113" t="s">
        <v>109</v>
      </c>
      <c r="F83" s="113" t="str">
        <f>_xlfn.XLOOKUP(E83,'Allocated Transactions'!D:D,'Allocated Transactions'!E:E,"")</f>
        <v>Travel</v>
      </c>
      <c r="G83" s="113" t="s">
        <v>97</v>
      </c>
      <c r="H83" s="113"/>
      <c r="I83" s="113" t="str">
        <f>_xlfn.XLOOKUP($C83,'Cost Centers'!$A$2:$A$11,'Cost Centers'!$C$2:$C$11,"")</f>
        <v>Admin</v>
      </c>
      <c r="J83" s="23">
        <f>MROUND(SUMIFS('Allocated Transactions'!$J:$J,'Allocated Transactions'!$D:$D,$E83,'Allocated Transactions'!$C:$C,$C83,'Allocated Transactions'!$A:$A,"&gt;="&amp;$A83,'Allocated Transactions'!$A:$A,"&lt;="&amp;EOMONTH($A83,0))*0.99,100)</f>
        <v>0</v>
      </c>
      <c r="K83" s="113" t="s">
        <v>637</v>
      </c>
    </row>
    <row r="84" spans="1:11" ht="15" customHeight="1">
      <c r="A84" s="112">
        <f t="shared" ref="A84:A115" si="2">IF(E84="5000",EOMONTH(A83,0)+1,A83)</f>
        <v>45962</v>
      </c>
      <c r="B84" s="113">
        <v>1</v>
      </c>
      <c r="C84" s="18" t="s">
        <v>4</v>
      </c>
      <c r="D84" s="113" t="str">
        <f>_xlfn.XLOOKUP($C84,'Cost Centers'!$A$2:$A$11,'Cost Centers'!$B$2:$B$11,"")</f>
        <v>Executive</v>
      </c>
      <c r="E84" s="113" t="s">
        <v>111</v>
      </c>
      <c r="F84" s="113" t="str">
        <f>_xlfn.XLOOKUP(E84,'Allocated Transactions'!D:D,'Allocated Transactions'!E:E,"")</f>
        <v>Meals and Entertainment</v>
      </c>
      <c r="G84" s="113" t="s">
        <v>97</v>
      </c>
      <c r="H84" s="113"/>
      <c r="I84" s="113" t="str">
        <f>_xlfn.XLOOKUP($C84,'Cost Centers'!$A$2:$A$11,'Cost Centers'!$C$2:$C$11,"")</f>
        <v>Admin</v>
      </c>
      <c r="J84" s="23">
        <f>MROUND(SUMIFS('Allocated Transactions'!$J:$J,'Allocated Transactions'!$D:$D,$E84,'Allocated Transactions'!$C:$C,$C84,'Allocated Transactions'!$A:$A,"&gt;="&amp;$A84,'Allocated Transactions'!$A:$A,"&lt;="&amp;EOMONTH($A84,0))*0.99,100)</f>
        <v>0</v>
      </c>
      <c r="K84" s="113" t="s">
        <v>637</v>
      </c>
    </row>
    <row r="85" spans="1:11" ht="15" customHeight="1">
      <c r="A85" s="112">
        <f t="shared" si="2"/>
        <v>45962</v>
      </c>
      <c r="B85" s="113">
        <v>1</v>
      </c>
      <c r="C85" s="18" t="s">
        <v>4</v>
      </c>
      <c r="D85" s="113" t="str">
        <f>_xlfn.XLOOKUP($C85,'Cost Centers'!$A$2:$A$11,'Cost Centers'!$B$2:$B$11,"")</f>
        <v>Executive</v>
      </c>
      <c r="E85" s="113" t="s">
        <v>113</v>
      </c>
      <c r="F85" s="113" t="str">
        <f>_xlfn.XLOOKUP(E85,'Allocated Transactions'!D:D,'Allocated Transactions'!E:E,"")</f>
        <v>Professional Fees - Legal</v>
      </c>
      <c r="G85" s="113" t="s">
        <v>97</v>
      </c>
      <c r="H85" s="113"/>
      <c r="I85" s="113" t="str">
        <f>_xlfn.XLOOKUP($C85,'Cost Centers'!$A$2:$A$11,'Cost Centers'!$C$2:$C$11,"")</f>
        <v>Admin</v>
      </c>
      <c r="J85" s="23">
        <f>MROUND(SUMIFS('Allocated Transactions'!$J:$J,'Allocated Transactions'!$D:$D,$E85,'Allocated Transactions'!$C:$C,$C85,'Allocated Transactions'!$A:$A,"&gt;="&amp;$A85,'Allocated Transactions'!$A:$A,"&lt;="&amp;EOMONTH($A85,0))*0.99,100)</f>
        <v>0</v>
      </c>
      <c r="K85" s="113" t="s">
        <v>637</v>
      </c>
    </row>
    <row r="86" spans="1:11" ht="15" customHeight="1">
      <c r="A86" s="112">
        <f t="shared" si="2"/>
        <v>45962</v>
      </c>
      <c r="B86" s="113">
        <v>1</v>
      </c>
      <c r="C86" s="18" t="s">
        <v>4</v>
      </c>
      <c r="D86" s="113" t="str">
        <f>_xlfn.XLOOKUP($C86,'Cost Centers'!$A$2:$A$11,'Cost Centers'!$B$2:$B$11,"")</f>
        <v>Executive</v>
      </c>
      <c r="E86" s="113" t="s">
        <v>115</v>
      </c>
      <c r="F86" s="113" t="str">
        <f>_xlfn.XLOOKUP(E86,'Allocated Transactions'!D:D,'Allocated Transactions'!E:E,"")</f>
        <v>Professional Fees - Accounting/Audit</v>
      </c>
      <c r="G86" s="113" t="s">
        <v>97</v>
      </c>
      <c r="H86" s="113"/>
      <c r="I86" s="113" t="str">
        <f>_xlfn.XLOOKUP($C86,'Cost Centers'!$A$2:$A$11,'Cost Centers'!$C$2:$C$11,"")</f>
        <v>Admin</v>
      </c>
      <c r="J86" s="23">
        <f>MROUND(SUMIFS('Allocated Transactions'!$J:$J,'Allocated Transactions'!$D:$D,$E86,'Allocated Transactions'!$C:$C,$C86,'Allocated Transactions'!$A:$A,"&gt;="&amp;$A86,'Allocated Transactions'!$A:$A,"&lt;="&amp;EOMONTH($A86,0))*0.99,100)</f>
        <v>0</v>
      </c>
      <c r="K86" s="113" t="s">
        <v>637</v>
      </c>
    </row>
    <row r="87" spans="1:11" ht="15" customHeight="1">
      <c r="A87" s="112">
        <f t="shared" si="2"/>
        <v>45962</v>
      </c>
      <c r="B87" s="113">
        <v>1</v>
      </c>
      <c r="C87" s="18" t="s">
        <v>4</v>
      </c>
      <c r="D87" s="113" t="str">
        <f>_xlfn.XLOOKUP($C87,'Cost Centers'!$A$2:$A$11,'Cost Centers'!$B$2:$B$11,"")</f>
        <v>Executive</v>
      </c>
      <c r="E87" s="113" t="s">
        <v>117</v>
      </c>
      <c r="F87" s="113" t="str">
        <f>_xlfn.XLOOKUP(E87,'Allocated Transactions'!D:D,'Allocated Transactions'!E:E,"")</f>
        <v>Insurance</v>
      </c>
      <c r="G87" s="113" t="s">
        <v>97</v>
      </c>
      <c r="H87" s="113"/>
      <c r="I87" s="113" t="str">
        <f>_xlfn.XLOOKUP($C87,'Cost Centers'!$A$2:$A$11,'Cost Centers'!$C$2:$C$11,"")</f>
        <v>Admin</v>
      </c>
      <c r="J87" s="23">
        <f>MROUND(SUMIFS('Allocated Transactions'!$J:$J,'Allocated Transactions'!$D:$D,$E87,'Allocated Transactions'!$C:$C,$C87,'Allocated Transactions'!$A:$A,"&gt;="&amp;$A87,'Allocated Transactions'!$A:$A,"&lt;="&amp;EOMONTH($A87,0))*0.99,100)</f>
        <v>400</v>
      </c>
      <c r="K87" s="113" t="s">
        <v>637</v>
      </c>
    </row>
    <row r="88" spans="1:11" ht="15" customHeight="1">
      <c r="A88" s="112">
        <f t="shared" si="2"/>
        <v>45962</v>
      </c>
      <c r="B88" s="113">
        <v>1</v>
      </c>
      <c r="C88" s="18" t="s">
        <v>4</v>
      </c>
      <c r="D88" s="113" t="str">
        <f>_xlfn.XLOOKUP($C88,'Cost Centers'!$A$2:$A$11,'Cost Centers'!$B$2:$B$11,"")</f>
        <v>Executive</v>
      </c>
      <c r="E88" s="113" t="s">
        <v>119</v>
      </c>
      <c r="F88" s="113" t="str">
        <f>_xlfn.XLOOKUP(E88,'Allocated Transactions'!D:D,'Allocated Transactions'!E:E,"")</f>
        <v>Depreciation Expense</v>
      </c>
      <c r="G88" s="113" t="s">
        <v>97</v>
      </c>
      <c r="H88" s="113"/>
      <c r="I88" s="113" t="str">
        <f>_xlfn.XLOOKUP($C88,'Cost Centers'!$A$2:$A$11,'Cost Centers'!$C$2:$C$11,"")</f>
        <v>Admin</v>
      </c>
      <c r="J88" s="23">
        <f>MROUND(SUMIFS('Allocated Transactions'!$J:$J,'Allocated Transactions'!$D:$D,$E88,'Allocated Transactions'!$C:$C,$C88,'Allocated Transactions'!$A:$A,"&gt;="&amp;$A88,'Allocated Transactions'!$A:$A,"&lt;="&amp;EOMONTH($A88,0))*0.99,100)</f>
        <v>0</v>
      </c>
      <c r="K88" s="113" t="s">
        <v>637</v>
      </c>
    </row>
    <row r="89" spans="1:11" ht="15" customHeight="1">
      <c r="A89" s="112">
        <f t="shared" si="2"/>
        <v>45962</v>
      </c>
      <c r="B89" s="113">
        <v>1</v>
      </c>
      <c r="C89" s="18" t="s">
        <v>4</v>
      </c>
      <c r="D89" s="113" t="str">
        <f>_xlfn.XLOOKUP($C89,'Cost Centers'!$A$2:$A$11,'Cost Centers'!$B$2:$B$11,"")</f>
        <v>Executive</v>
      </c>
      <c r="E89" s="113" t="s">
        <v>121</v>
      </c>
      <c r="F89" s="113" t="str">
        <f>_xlfn.XLOOKUP(E89,'Allocated Transactions'!D:D,'Allocated Transactions'!E:E,"")</f>
        <v>Bank Fees</v>
      </c>
      <c r="G89" s="113" t="s">
        <v>97</v>
      </c>
      <c r="H89" s="113"/>
      <c r="I89" s="113" t="str">
        <f>_xlfn.XLOOKUP($C89,'Cost Centers'!$A$2:$A$11,'Cost Centers'!$C$2:$C$11,"")</f>
        <v>Admin</v>
      </c>
      <c r="J89" s="23">
        <f>MROUND(SUMIFS('Allocated Transactions'!$J:$J,'Allocated Transactions'!$D:$D,$E89,'Allocated Transactions'!$C:$C,$C89,'Allocated Transactions'!$A:$A,"&gt;="&amp;$A89,'Allocated Transactions'!$A:$A,"&lt;="&amp;EOMONTH($A89,0))*0.99,100)</f>
        <v>0</v>
      </c>
      <c r="K89" s="113" t="s">
        <v>637</v>
      </c>
    </row>
    <row r="90" spans="1:11" ht="15" customHeight="1">
      <c r="A90" s="112">
        <f t="shared" si="2"/>
        <v>45962</v>
      </c>
      <c r="B90" s="113">
        <v>1</v>
      </c>
      <c r="C90" s="18" t="s">
        <v>4</v>
      </c>
      <c r="D90" s="113" t="str">
        <f>_xlfn.XLOOKUP($C90,'Cost Centers'!$A$2:$A$11,'Cost Centers'!$B$2:$B$11,"")</f>
        <v>Executive</v>
      </c>
      <c r="E90" s="113" t="s">
        <v>123</v>
      </c>
      <c r="F90" s="113" t="str">
        <f>_xlfn.XLOOKUP(E90,'Allocated Transactions'!D:D,'Allocated Transactions'!E:E,"")</f>
        <v>Interest Expense</v>
      </c>
      <c r="G90" s="113" t="s">
        <v>97</v>
      </c>
      <c r="H90" s="113"/>
      <c r="I90" s="113" t="str">
        <f>_xlfn.XLOOKUP($C90,'Cost Centers'!$A$2:$A$11,'Cost Centers'!$C$2:$C$11,"")</f>
        <v>Admin</v>
      </c>
      <c r="J90" s="23">
        <f>MROUND(SUMIFS('Allocated Transactions'!$J:$J,'Allocated Transactions'!$D:$D,$E90,'Allocated Transactions'!$C:$C,$C90,'Allocated Transactions'!$A:$A,"&gt;="&amp;$A90,'Allocated Transactions'!$A:$A,"&lt;="&amp;EOMONTH($A90,0))*0.99,100)</f>
        <v>0</v>
      </c>
      <c r="K90" s="113" t="s">
        <v>637</v>
      </c>
    </row>
    <row r="91" spans="1:11" ht="15" customHeight="1">
      <c r="A91" s="112">
        <f t="shared" si="2"/>
        <v>45962</v>
      </c>
      <c r="B91" s="113">
        <v>1</v>
      </c>
      <c r="C91" s="18" t="s">
        <v>4</v>
      </c>
      <c r="D91" s="113" t="str">
        <f>_xlfn.XLOOKUP($C91,'Cost Centers'!$A$2:$A$11,'Cost Centers'!$B$2:$B$11,"")</f>
        <v>Executive</v>
      </c>
      <c r="E91" s="113" t="s">
        <v>125</v>
      </c>
      <c r="F91" s="113" t="str">
        <f>_xlfn.XLOOKUP(E91,'Allocated Transactions'!D:D,'Allocated Transactions'!E:E,"")</f>
        <v>Miscellaneous Expense</v>
      </c>
      <c r="G91" s="113" t="s">
        <v>97</v>
      </c>
      <c r="H91" s="113"/>
      <c r="I91" s="113" t="str">
        <f>_xlfn.XLOOKUP($C91,'Cost Centers'!$A$2:$A$11,'Cost Centers'!$C$2:$C$11,"")</f>
        <v>Admin</v>
      </c>
      <c r="J91" s="23">
        <f>MROUND(SUMIFS('Allocated Transactions'!$J:$J,'Allocated Transactions'!$D:$D,$E91,'Allocated Transactions'!$C:$C,$C91,'Allocated Transactions'!$A:$A,"&gt;="&amp;$A91,'Allocated Transactions'!$A:$A,"&lt;="&amp;EOMONTH($A91,0))*0.99,100)</f>
        <v>0</v>
      </c>
      <c r="K91" s="113" t="s">
        <v>637</v>
      </c>
    </row>
    <row r="92" spans="1:11" ht="15" customHeight="1">
      <c r="A92" s="112">
        <f t="shared" si="2"/>
        <v>45992</v>
      </c>
      <c r="B92" s="113">
        <v>1</v>
      </c>
      <c r="C92" s="18" t="s">
        <v>4</v>
      </c>
      <c r="D92" s="113" t="str">
        <f>_xlfn.XLOOKUP($C92,'Cost Centers'!$A$2:$A$11,'Cost Centers'!$B$2:$B$11,"")</f>
        <v>Executive</v>
      </c>
      <c r="E92" s="113" t="s">
        <v>28</v>
      </c>
      <c r="F92" s="113" t="str">
        <f>_xlfn.XLOOKUP(E92,'Allocated Transactions'!D:D,'Allocated Transactions'!E:E,"")</f>
        <v>Salaries and Wages</v>
      </c>
      <c r="G92" s="113" t="s">
        <v>97</v>
      </c>
      <c r="H92" s="113"/>
      <c r="I92" s="113" t="str">
        <f>_xlfn.XLOOKUP($C92,'Cost Centers'!$A$2:$A$11,'Cost Centers'!$C$2:$C$11,"")</f>
        <v>Admin</v>
      </c>
      <c r="J92" s="23">
        <f>MROUND(SUMIFS('Allocated Transactions'!$J:$J,'Allocated Transactions'!$D:$D,$E92,'Allocated Transactions'!$C:$C,$C92,'Allocated Transactions'!$A:$A,"&gt;="&amp;$A92,'Allocated Transactions'!$A:$A,"&lt;="&amp;EOMONTH($A92,0))*0.99,100)</f>
        <v>7200</v>
      </c>
      <c r="K92" s="113" t="s">
        <v>637</v>
      </c>
    </row>
    <row r="93" spans="1:11" ht="15" customHeight="1">
      <c r="A93" s="112">
        <f t="shared" si="2"/>
        <v>45992</v>
      </c>
      <c r="B93" s="113">
        <v>1</v>
      </c>
      <c r="C93" s="18" t="s">
        <v>4</v>
      </c>
      <c r="D93" s="113" t="str">
        <f>_xlfn.XLOOKUP($C93,'Cost Centers'!$A$2:$A$11,'Cost Centers'!$B$2:$B$11,"")</f>
        <v>Executive</v>
      </c>
      <c r="E93" s="113" t="s">
        <v>29</v>
      </c>
      <c r="F93" s="113" t="str">
        <f>_xlfn.XLOOKUP(E93,'Allocated Transactions'!D:D,'Allocated Transactions'!E:E,"")</f>
        <v>Payroll Taxes</v>
      </c>
      <c r="G93" s="113" t="s">
        <v>97</v>
      </c>
      <c r="H93" s="113"/>
      <c r="I93" s="113" t="str">
        <f>_xlfn.XLOOKUP($C93,'Cost Centers'!$A$2:$A$11,'Cost Centers'!$C$2:$C$11,"")</f>
        <v>Admin</v>
      </c>
      <c r="J93" s="23">
        <f>MROUND(SUMIFS('Allocated Transactions'!$J:$J,'Allocated Transactions'!$D:$D,$E93,'Allocated Transactions'!$C:$C,$C93,'Allocated Transactions'!$A:$A,"&gt;="&amp;$A93,'Allocated Transactions'!$A:$A,"&lt;="&amp;EOMONTH($A93,0))*0.99,100)</f>
        <v>600</v>
      </c>
      <c r="K93" s="113" t="s">
        <v>637</v>
      </c>
    </row>
    <row r="94" spans="1:11" ht="15" customHeight="1">
      <c r="A94" s="112">
        <f t="shared" si="2"/>
        <v>45992</v>
      </c>
      <c r="B94" s="113">
        <v>1</v>
      </c>
      <c r="C94" s="18" t="s">
        <v>4</v>
      </c>
      <c r="D94" s="113" t="str">
        <f>_xlfn.XLOOKUP($C94,'Cost Centers'!$A$2:$A$11,'Cost Centers'!$B$2:$B$11,"")</f>
        <v>Executive</v>
      </c>
      <c r="E94" s="113" t="s">
        <v>30</v>
      </c>
      <c r="F94" s="113" t="str">
        <f>_xlfn.XLOOKUP(E94,'Allocated Transactions'!D:D,'Allocated Transactions'!E:E,"")</f>
        <v>Employee Benefits</v>
      </c>
      <c r="G94" s="113" t="s">
        <v>97</v>
      </c>
      <c r="H94" s="113"/>
      <c r="I94" s="113" t="str">
        <f>_xlfn.XLOOKUP($C94,'Cost Centers'!$A$2:$A$11,'Cost Centers'!$C$2:$C$11,"")</f>
        <v>Admin</v>
      </c>
      <c r="J94" s="23">
        <f>MROUND(SUMIFS('Allocated Transactions'!$J:$J,'Allocated Transactions'!$D:$D,$E94,'Allocated Transactions'!$C:$C,$C94,'Allocated Transactions'!$A:$A,"&gt;="&amp;$A94,'Allocated Transactions'!$A:$A,"&lt;="&amp;EOMONTH($A94,0))*0.99,100)</f>
        <v>2400</v>
      </c>
      <c r="K94" s="113" t="s">
        <v>637</v>
      </c>
    </row>
    <row r="95" spans="1:11" ht="15" customHeight="1">
      <c r="A95" s="112">
        <f t="shared" si="2"/>
        <v>45992</v>
      </c>
      <c r="B95" s="113">
        <v>1</v>
      </c>
      <c r="C95" s="18" t="s">
        <v>4</v>
      </c>
      <c r="D95" s="113" t="str">
        <f>_xlfn.XLOOKUP($C95,'Cost Centers'!$A$2:$A$11,'Cost Centers'!$B$2:$B$11,"")</f>
        <v>Executive</v>
      </c>
      <c r="E95" s="113" t="s">
        <v>31</v>
      </c>
      <c r="F95" s="113" t="str">
        <f>_xlfn.XLOOKUP(E95,'Allocated Transactions'!D:D,'Allocated Transactions'!E:E,"")</f>
        <v>Retirement Contributions</v>
      </c>
      <c r="G95" s="113" t="s">
        <v>97</v>
      </c>
      <c r="H95" s="113"/>
      <c r="I95" s="113" t="str">
        <f>_xlfn.XLOOKUP($C95,'Cost Centers'!$A$2:$A$11,'Cost Centers'!$C$2:$C$11,"")</f>
        <v>Admin</v>
      </c>
      <c r="J95" s="23">
        <f>MROUND(SUMIFS('Allocated Transactions'!$J:$J,'Allocated Transactions'!$D:$D,$E95,'Allocated Transactions'!$C:$C,$C95,'Allocated Transactions'!$A:$A,"&gt;="&amp;$A95,'Allocated Transactions'!$A:$A,"&lt;="&amp;EOMONTH($A95,0))*0.99,100)</f>
        <v>200</v>
      </c>
      <c r="K95" s="113" t="s">
        <v>637</v>
      </c>
    </row>
    <row r="96" spans="1:11" ht="15" customHeight="1">
      <c r="A96" s="112">
        <f t="shared" si="2"/>
        <v>45992</v>
      </c>
      <c r="B96" s="113">
        <v>1</v>
      </c>
      <c r="C96" s="18" t="s">
        <v>4</v>
      </c>
      <c r="D96" s="113" t="str">
        <f>_xlfn.XLOOKUP($C96,'Cost Centers'!$A$2:$A$11,'Cost Centers'!$B$2:$B$11,"")</f>
        <v>Executive</v>
      </c>
      <c r="E96" s="113" t="s">
        <v>101</v>
      </c>
      <c r="F96" s="113" t="str">
        <f>_xlfn.XLOOKUP(E96,'Allocated Transactions'!D:D,'Allocated Transactions'!E:E,"")</f>
        <v>Contract Labor / Consultants</v>
      </c>
      <c r="G96" s="113" t="s">
        <v>97</v>
      </c>
      <c r="H96" s="113"/>
      <c r="I96" s="113" t="str">
        <f>_xlfn.XLOOKUP($C96,'Cost Centers'!$A$2:$A$11,'Cost Centers'!$C$2:$C$11,"")</f>
        <v>Admin</v>
      </c>
      <c r="J96" s="23">
        <f>MROUND(SUMIFS('Allocated Transactions'!$J:$J,'Allocated Transactions'!$D:$D,$E96,'Allocated Transactions'!$C:$C,$C96,'Allocated Transactions'!$A:$A,"&gt;="&amp;$A96,'Allocated Transactions'!$A:$A,"&lt;="&amp;EOMONTH($A96,0))*0.99,100)</f>
        <v>0</v>
      </c>
      <c r="K96" s="113" t="s">
        <v>637</v>
      </c>
    </row>
    <row r="97" spans="1:11" ht="15" customHeight="1">
      <c r="A97" s="112">
        <f t="shared" si="2"/>
        <v>45992</v>
      </c>
      <c r="B97" s="113">
        <v>1</v>
      </c>
      <c r="C97" s="18" t="s">
        <v>4</v>
      </c>
      <c r="D97" s="113" t="str">
        <f>_xlfn.XLOOKUP($C97,'Cost Centers'!$A$2:$A$11,'Cost Centers'!$B$2:$B$11,"")</f>
        <v>Executive</v>
      </c>
      <c r="E97" s="113" t="s">
        <v>32</v>
      </c>
      <c r="F97" s="113" t="str">
        <f>_xlfn.XLOOKUP(E97,'Allocated Transactions'!D:D,'Allocated Transactions'!E:E,"")</f>
        <v>Rent</v>
      </c>
      <c r="G97" s="113" t="s">
        <v>97</v>
      </c>
      <c r="H97" s="113"/>
      <c r="I97" s="113" t="str">
        <f>_xlfn.XLOOKUP($C97,'Cost Centers'!$A$2:$A$11,'Cost Centers'!$C$2:$C$11,"")</f>
        <v>Admin</v>
      </c>
      <c r="J97" s="23">
        <f>MROUND(SUMIFS('Allocated Transactions'!$J:$J,'Allocated Transactions'!$D:$D,$E97,'Allocated Transactions'!$C:$C,$C97,'Allocated Transactions'!$A:$A,"&gt;="&amp;$A97,'Allocated Transactions'!$A:$A,"&lt;="&amp;EOMONTH($A97,0))*0.99,100)</f>
        <v>600</v>
      </c>
      <c r="K97" s="113" t="s">
        <v>637</v>
      </c>
    </row>
    <row r="98" spans="1:11" ht="15" customHeight="1">
      <c r="A98" s="112">
        <f t="shared" si="2"/>
        <v>45992</v>
      </c>
      <c r="B98" s="113">
        <v>1</v>
      </c>
      <c r="C98" s="18" t="s">
        <v>4</v>
      </c>
      <c r="D98" s="113" t="str">
        <f>_xlfn.XLOOKUP($C98,'Cost Centers'!$A$2:$A$11,'Cost Centers'!$B$2:$B$11,"")</f>
        <v>Executive</v>
      </c>
      <c r="E98" s="113" t="s">
        <v>33</v>
      </c>
      <c r="F98" s="113" t="str">
        <f>_xlfn.XLOOKUP(E98,'Allocated Transactions'!D:D,'Allocated Transactions'!E:E,"")</f>
        <v>Utilities</v>
      </c>
      <c r="G98" s="113" t="s">
        <v>97</v>
      </c>
      <c r="H98" s="113"/>
      <c r="I98" s="113" t="str">
        <f>_xlfn.XLOOKUP($C98,'Cost Centers'!$A$2:$A$11,'Cost Centers'!$C$2:$C$11,"")</f>
        <v>Admin</v>
      </c>
      <c r="J98" s="23">
        <f>MROUND(SUMIFS('Allocated Transactions'!$J:$J,'Allocated Transactions'!$D:$D,$E98,'Allocated Transactions'!$C:$C,$C98,'Allocated Transactions'!$A:$A,"&gt;="&amp;$A98,'Allocated Transactions'!$A:$A,"&lt;="&amp;EOMONTH($A98,0))*0.99,100)</f>
        <v>100</v>
      </c>
      <c r="K98" s="113" t="s">
        <v>637</v>
      </c>
    </row>
    <row r="99" spans="1:11" ht="15" customHeight="1">
      <c r="A99" s="112">
        <f t="shared" si="2"/>
        <v>45992</v>
      </c>
      <c r="B99" s="113">
        <v>1</v>
      </c>
      <c r="C99" s="18" t="s">
        <v>4</v>
      </c>
      <c r="D99" s="113" t="str">
        <f>_xlfn.XLOOKUP($C99,'Cost Centers'!$A$2:$A$11,'Cost Centers'!$B$2:$B$11,"")</f>
        <v>Executive</v>
      </c>
      <c r="E99" s="113" t="s">
        <v>105</v>
      </c>
      <c r="F99" s="113" t="str">
        <f>_xlfn.XLOOKUP(E99,'Allocated Transactions'!D:D,'Allocated Transactions'!E:E,"")</f>
        <v>Office Supplies</v>
      </c>
      <c r="G99" s="113" t="s">
        <v>97</v>
      </c>
      <c r="H99" s="113"/>
      <c r="I99" s="113" t="str">
        <f>_xlfn.XLOOKUP($C99,'Cost Centers'!$A$2:$A$11,'Cost Centers'!$C$2:$C$11,"")</f>
        <v>Admin</v>
      </c>
      <c r="J99" s="23">
        <f>MROUND(SUMIFS('Allocated Transactions'!$J:$J,'Allocated Transactions'!$D:$D,$E99,'Allocated Transactions'!$C:$C,$C99,'Allocated Transactions'!$A:$A,"&gt;="&amp;$A99,'Allocated Transactions'!$A:$A,"&lt;="&amp;EOMONTH($A99,0))*0.99,100)</f>
        <v>0</v>
      </c>
      <c r="K99" s="113" t="s">
        <v>637</v>
      </c>
    </row>
    <row r="100" spans="1:11" ht="15" customHeight="1">
      <c r="A100" s="112">
        <f t="shared" si="2"/>
        <v>45992</v>
      </c>
      <c r="B100" s="113">
        <v>1</v>
      </c>
      <c r="C100" s="18" t="s">
        <v>4</v>
      </c>
      <c r="D100" s="113" t="str">
        <f>_xlfn.XLOOKUP($C100,'Cost Centers'!$A$2:$A$11,'Cost Centers'!$B$2:$B$11,"")</f>
        <v>Executive</v>
      </c>
      <c r="E100" s="113" t="s">
        <v>107</v>
      </c>
      <c r="F100" s="113" t="str">
        <f>_xlfn.XLOOKUP(E100,'Allocated Transactions'!D:D,'Allocated Transactions'!E:E,"")</f>
        <v>Software and Subscriptions</v>
      </c>
      <c r="G100" s="113" t="s">
        <v>97</v>
      </c>
      <c r="H100" s="113"/>
      <c r="I100" s="113" t="str">
        <f>_xlfn.XLOOKUP($C100,'Cost Centers'!$A$2:$A$11,'Cost Centers'!$C$2:$C$11,"")</f>
        <v>Admin</v>
      </c>
      <c r="J100" s="23">
        <f>MROUND(SUMIFS('Allocated Transactions'!$J:$J,'Allocated Transactions'!$D:$D,$E100,'Allocated Transactions'!$C:$C,$C100,'Allocated Transactions'!$A:$A,"&gt;="&amp;$A100,'Allocated Transactions'!$A:$A,"&lt;="&amp;EOMONTH($A100,0))*0.99,100)</f>
        <v>0</v>
      </c>
      <c r="K100" s="113" t="s">
        <v>637</v>
      </c>
    </row>
    <row r="101" spans="1:11" ht="15" customHeight="1">
      <c r="A101" s="112">
        <f t="shared" si="2"/>
        <v>45992</v>
      </c>
      <c r="B101" s="113">
        <v>1</v>
      </c>
      <c r="C101" s="18" t="s">
        <v>4</v>
      </c>
      <c r="D101" s="113" t="str">
        <f>_xlfn.XLOOKUP($C101,'Cost Centers'!$A$2:$A$11,'Cost Centers'!$B$2:$B$11,"")</f>
        <v>Executive</v>
      </c>
      <c r="E101" s="113" t="s">
        <v>109</v>
      </c>
      <c r="F101" s="113" t="str">
        <f>_xlfn.XLOOKUP(E101,'Allocated Transactions'!D:D,'Allocated Transactions'!E:E,"")</f>
        <v>Travel</v>
      </c>
      <c r="G101" s="113" t="s">
        <v>97</v>
      </c>
      <c r="H101" s="113"/>
      <c r="I101" s="113" t="str">
        <f>_xlfn.XLOOKUP($C101,'Cost Centers'!$A$2:$A$11,'Cost Centers'!$C$2:$C$11,"")</f>
        <v>Admin</v>
      </c>
      <c r="J101" s="23">
        <f>MROUND(SUMIFS('Allocated Transactions'!$J:$J,'Allocated Transactions'!$D:$D,$E101,'Allocated Transactions'!$C:$C,$C101,'Allocated Transactions'!$A:$A,"&gt;="&amp;$A101,'Allocated Transactions'!$A:$A,"&lt;="&amp;EOMONTH($A101,0))*0.99,100)</f>
        <v>0</v>
      </c>
      <c r="K101" s="113" t="s">
        <v>637</v>
      </c>
    </row>
    <row r="102" spans="1:11" ht="15" customHeight="1">
      <c r="A102" s="112">
        <f t="shared" si="2"/>
        <v>45992</v>
      </c>
      <c r="B102" s="113">
        <v>1</v>
      </c>
      <c r="C102" s="18" t="s">
        <v>4</v>
      </c>
      <c r="D102" s="113" t="str">
        <f>_xlfn.XLOOKUP($C102,'Cost Centers'!$A$2:$A$11,'Cost Centers'!$B$2:$B$11,"")</f>
        <v>Executive</v>
      </c>
      <c r="E102" s="113" t="s">
        <v>111</v>
      </c>
      <c r="F102" s="113" t="str">
        <f>_xlfn.XLOOKUP(E102,'Allocated Transactions'!D:D,'Allocated Transactions'!E:E,"")</f>
        <v>Meals and Entertainment</v>
      </c>
      <c r="G102" s="113" t="s">
        <v>97</v>
      </c>
      <c r="H102" s="113"/>
      <c r="I102" s="113" t="str">
        <f>_xlfn.XLOOKUP($C102,'Cost Centers'!$A$2:$A$11,'Cost Centers'!$C$2:$C$11,"")</f>
        <v>Admin</v>
      </c>
      <c r="J102" s="23">
        <f>MROUND(SUMIFS('Allocated Transactions'!$J:$J,'Allocated Transactions'!$D:$D,$E102,'Allocated Transactions'!$C:$C,$C102,'Allocated Transactions'!$A:$A,"&gt;="&amp;$A102,'Allocated Transactions'!$A:$A,"&lt;="&amp;EOMONTH($A102,0))*0.99,100)</f>
        <v>0</v>
      </c>
      <c r="K102" s="113" t="s">
        <v>637</v>
      </c>
    </row>
    <row r="103" spans="1:11" ht="15" customHeight="1">
      <c r="A103" s="112">
        <f t="shared" si="2"/>
        <v>45992</v>
      </c>
      <c r="B103" s="113">
        <v>1</v>
      </c>
      <c r="C103" s="18" t="s">
        <v>4</v>
      </c>
      <c r="D103" s="113" t="str">
        <f>_xlfn.XLOOKUP($C103,'Cost Centers'!$A$2:$A$11,'Cost Centers'!$B$2:$B$11,"")</f>
        <v>Executive</v>
      </c>
      <c r="E103" s="113" t="s">
        <v>113</v>
      </c>
      <c r="F103" s="113" t="str">
        <f>_xlfn.XLOOKUP(E103,'Allocated Transactions'!D:D,'Allocated Transactions'!E:E,"")</f>
        <v>Professional Fees - Legal</v>
      </c>
      <c r="G103" s="113" t="s">
        <v>97</v>
      </c>
      <c r="H103" s="113"/>
      <c r="I103" s="113" t="str">
        <f>_xlfn.XLOOKUP($C103,'Cost Centers'!$A$2:$A$11,'Cost Centers'!$C$2:$C$11,"")</f>
        <v>Admin</v>
      </c>
      <c r="J103" s="23">
        <f>MROUND(SUMIFS('Allocated Transactions'!$J:$J,'Allocated Transactions'!$D:$D,$E103,'Allocated Transactions'!$C:$C,$C103,'Allocated Transactions'!$A:$A,"&gt;="&amp;$A103,'Allocated Transactions'!$A:$A,"&lt;="&amp;EOMONTH($A103,0))*0.99,100)</f>
        <v>0</v>
      </c>
      <c r="K103" s="113" t="s">
        <v>637</v>
      </c>
    </row>
    <row r="104" spans="1:11" ht="15" customHeight="1">
      <c r="A104" s="112">
        <f t="shared" si="2"/>
        <v>45992</v>
      </c>
      <c r="B104" s="113">
        <v>1</v>
      </c>
      <c r="C104" s="18" t="s">
        <v>4</v>
      </c>
      <c r="D104" s="113" t="str">
        <f>_xlfn.XLOOKUP($C104,'Cost Centers'!$A$2:$A$11,'Cost Centers'!$B$2:$B$11,"")</f>
        <v>Executive</v>
      </c>
      <c r="E104" s="113" t="s">
        <v>115</v>
      </c>
      <c r="F104" s="113" t="str">
        <f>_xlfn.XLOOKUP(E104,'Allocated Transactions'!D:D,'Allocated Transactions'!E:E,"")</f>
        <v>Professional Fees - Accounting/Audit</v>
      </c>
      <c r="G104" s="113" t="s">
        <v>97</v>
      </c>
      <c r="H104" s="113"/>
      <c r="I104" s="113" t="str">
        <f>_xlfn.XLOOKUP($C104,'Cost Centers'!$A$2:$A$11,'Cost Centers'!$C$2:$C$11,"")</f>
        <v>Admin</v>
      </c>
      <c r="J104" s="23">
        <f>MROUND(SUMIFS('Allocated Transactions'!$J:$J,'Allocated Transactions'!$D:$D,$E104,'Allocated Transactions'!$C:$C,$C104,'Allocated Transactions'!$A:$A,"&gt;="&amp;$A104,'Allocated Transactions'!$A:$A,"&lt;="&amp;EOMONTH($A104,0))*0.99,100)</f>
        <v>0</v>
      </c>
      <c r="K104" s="113" t="s">
        <v>637</v>
      </c>
    </row>
    <row r="105" spans="1:11" ht="15" customHeight="1">
      <c r="A105" s="112">
        <f t="shared" si="2"/>
        <v>45992</v>
      </c>
      <c r="B105" s="113">
        <v>1</v>
      </c>
      <c r="C105" s="18" t="s">
        <v>4</v>
      </c>
      <c r="D105" s="113" t="str">
        <f>_xlfn.XLOOKUP($C105,'Cost Centers'!$A$2:$A$11,'Cost Centers'!$B$2:$B$11,"")</f>
        <v>Executive</v>
      </c>
      <c r="E105" s="113" t="s">
        <v>117</v>
      </c>
      <c r="F105" s="113" t="str">
        <f>_xlfn.XLOOKUP(E105,'Allocated Transactions'!D:D,'Allocated Transactions'!E:E,"")</f>
        <v>Insurance</v>
      </c>
      <c r="G105" s="113" t="s">
        <v>97</v>
      </c>
      <c r="H105" s="113"/>
      <c r="I105" s="113" t="str">
        <f>_xlfn.XLOOKUP($C105,'Cost Centers'!$A$2:$A$11,'Cost Centers'!$C$2:$C$11,"")</f>
        <v>Admin</v>
      </c>
      <c r="J105" s="23">
        <f>MROUND(SUMIFS('Allocated Transactions'!$J:$J,'Allocated Transactions'!$D:$D,$E105,'Allocated Transactions'!$C:$C,$C105,'Allocated Transactions'!$A:$A,"&gt;="&amp;$A105,'Allocated Transactions'!$A:$A,"&lt;="&amp;EOMONTH($A105,0))*0.99,100)</f>
        <v>400</v>
      </c>
      <c r="K105" s="113" t="s">
        <v>637</v>
      </c>
    </row>
    <row r="106" spans="1:11" ht="15" customHeight="1">
      <c r="A106" s="112">
        <f t="shared" si="2"/>
        <v>45992</v>
      </c>
      <c r="B106" s="113">
        <v>1</v>
      </c>
      <c r="C106" s="18" t="s">
        <v>4</v>
      </c>
      <c r="D106" s="113" t="str">
        <f>_xlfn.XLOOKUP($C106,'Cost Centers'!$A$2:$A$11,'Cost Centers'!$B$2:$B$11,"")</f>
        <v>Executive</v>
      </c>
      <c r="E106" s="113" t="s">
        <v>119</v>
      </c>
      <c r="F106" s="113" t="str">
        <f>_xlfn.XLOOKUP(E106,'Allocated Transactions'!D:D,'Allocated Transactions'!E:E,"")</f>
        <v>Depreciation Expense</v>
      </c>
      <c r="G106" s="113" t="s">
        <v>97</v>
      </c>
      <c r="H106" s="113"/>
      <c r="I106" s="113" t="str">
        <f>_xlfn.XLOOKUP($C106,'Cost Centers'!$A$2:$A$11,'Cost Centers'!$C$2:$C$11,"")</f>
        <v>Admin</v>
      </c>
      <c r="J106" s="23">
        <f>MROUND(SUMIFS('Allocated Transactions'!$J:$J,'Allocated Transactions'!$D:$D,$E106,'Allocated Transactions'!$C:$C,$C106,'Allocated Transactions'!$A:$A,"&gt;="&amp;$A106,'Allocated Transactions'!$A:$A,"&lt;="&amp;EOMONTH($A106,0))*0.99,100)</f>
        <v>0</v>
      </c>
      <c r="K106" s="113" t="s">
        <v>637</v>
      </c>
    </row>
    <row r="107" spans="1:11" ht="15" customHeight="1">
      <c r="A107" s="112">
        <f t="shared" si="2"/>
        <v>45992</v>
      </c>
      <c r="B107" s="113">
        <v>1</v>
      </c>
      <c r="C107" s="18" t="s">
        <v>4</v>
      </c>
      <c r="D107" s="113" t="str">
        <f>_xlfn.XLOOKUP($C107,'Cost Centers'!$A$2:$A$11,'Cost Centers'!$B$2:$B$11,"")</f>
        <v>Executive</v>
      </c>
      <c r="E107" s="113" t="s">
        <v>121</v>
      </c>
      <c r="F107" s="113" t="str">
        <f>_xlfn.XLOOKUP(E107,'Allocated Transactions'!D:D,'Allocated Transactions'!E:E,"")</f>
        <v>Bank Fees</v>
      </c>
      <c r="G107" s="113" t="s">
        <v>97</v>
      </c>
      <c r="H107" s="113"/>
      <c r="I107" s="113" t="str">
        <f>_xlfn.XLOOKUP($C107,'Cost Centers'!$A$2:$A$11,'Cost Centers'!$C$2:$C$11,"")</f>
        <v>Admin</v>
      </c>
      <c r="J107" s="23">
        <f>MROUND(SUMIFS('Allocated Transactions'!$J:$J,'Allocated Transactions'!$D:$D,$E107,'Allocated Transactions'!$C:$C,$C107,'Allocated Transactions'!$A:$A,"&gt;="&amp;$A107,'Allocated Transactions'!$A:$A,"&lt;="&amp;EOMONTH($A107,0))*0.99,100)</f>
        <v>0</v>
      </c>
      <c r="K107" s="113" t="s">
        <v>637</v>
      </c>
    </row>
    <row r="108" spans="1:11" ht="15" customHeight="1">
      <c r="A108" s="112">
        <f t="shared" si="2"/>
        <v>45992</v>
      </c>
      <c r="B108" s="113">
        <v>1</v>
      </c>
      <c r="C108" s="18" t="s">
        <v>4</v>
      </c>
      <c r="D108" s="113" t="str">
        <f>_xlfn.XLOOKUP($C108,'Cost Centers'!$A$2:$A$11,'Cost Centers'!$B$2:$B$11,"")</f>
        <v>Executive</v>
      </c>
      <c r="E108" s="113" t="s">
        <v>123</v>
      </c>
      <c r="F108" s="113" t="str">
        <f>_xlfn.XLOOKUP(E108,'Allocated Transactions'!D:D,'Allocated Transactions'!E:E,"")</f>
        <v>Interest Expense</v>
      </c>
      <c r="G108" s="113" t="s">
        <v>97</v>
      </c>
      <c r="H108" s="113"/>
      <c r="I108" s="113" t="str">
        <f>_xlfn.XLOOKUP($C108,'Cost Centers'!$A$2:$A$11,'Cost Centers'!$C$2:$C$11,"")</f>
        <v>Admin</v>
      </c>
      <c r="J108" s="23">
        <f>MROUND(SUMIFS('Allocated Transactions'!$J:$J,'Allocated Transactions'!$D:$D,$E108,'Allocated Transactions'!$C:$C,$C108,'Allocated Transactions'!$A:$A,"&gt;="&amp;$A108,'Allocated Transactions'!$A:$A,"&lt;="&amp;EOMONTH($A108,0))*0.99,100)</f>
        <v>0</v>
      </c>
      <c r="K108" s="113" t="s">
        <v>637</v>
      </c>
    </row>
    <row r="109" spans="1:11" ht="15" customHeight="1">
      <c r="A109" s="112">
        <f t="shared" si="2"/>
        <v>45992</v>
      </c>
      <c r="B109" s="113">
        <v>1</v>
      </c>
      <c r="C109" s="18" t="s">
        <v>4</v>
      </c>
      <c r="D109" s="113" t="str">
        <f>_xlfn.XLOOKUP($C109,'Cost Centers'!$A$2:$A$11,'Cost Centers'!$B$2:$B$11,"")</f>
        <v>Executive</v>
      </c>
      <c r="E109" s="113" t="s">
        <v>125</v>
      </c>
      <c r="F109" s="113" t="str">
        <f>_xlfn.XLOOKUP(E109,'Allocated Transactions'!D:D,'Allocated Transactions'!E:E,"")</f>
        <v>Miscellaneous Expense</v>
      </c>
      <c r="G109" s="113" t="s">
        <v>97</v>
      </c>
      <c r="H109" s="113"/>
      <c r="I109" s="113" t="str">
        <f>_xlfn.XLOOKUP($C109,'Cost Centers'!$A$2:$A$11,'Cost Centers'!$C$2:$C$11,"")</f>
        <v>Admin</v>
      </c>
      <c r="J109" s="23">
        <f>MROUND(SUMIFS('Allocated Transactions'!$J:$J,'Allocated Transactions'!$D:$D,$E109,'Allocated Transactions'!$C:$C,$C109,'Allocated Transactions'!$A:$A,"&gt;="&amp;$A109,'Allocated Transactions'!$A:$A,"&lt;="&amp;EOMONTH($A109,0))*0.99,100)</f>
        <v>0</v>
      </c>
      <c r="K109" s="113" t="s">
        <v>637</v>
      </c>
    </row>
    <row r="110" spans="1:11" ht="15" customHeight="1">
      <c r="A110" s="112">
        <f t="shared" si="2"/>
        <v>46023</v>
      </c>
      <c r="B110" s="113">
        <v>1</v>
      </c>
      <c r="C110" s="18" t="s">
        <v>4</v>
      </c>
      <c r="D110" s="113" t="str">
        <f>_xlfn.XLOOKUP($C110,'Cost Centers'!$A$2:$A$11,'Cost Centers'!$B$2:$B$11,"")</f>
        <v>Executive</v>
      </c>
      <c r="E110" s="113" t="s">
        <v>28</v>
      </c>
      <c r="F110" s="113" t="str">
        <f>_xlfn.XLOOKUP(E110,'Allocated Transactions'!D:D,'Allocated Transactions'!E:E,"")</f>
        <v>Salaries and Wages</v>
      </c>
      <c r="G110" s="113" t="s">
        <v>97</v>
      </c>
      <c r="H110" s="113"/>
      <c r="I110" s="113" t="str">
        <f>_xlfn.XLOOKUP($C110,'Cost Centers'!$A$2:$A$11,'Cost Centers'!$C$2:$C$11,"")</f>
        <v>Admin</v>
      </c>
      <c r="J110" s="23">
        <f>MROUND(SUMIFS('Allocated Transactions'!$J:$J,'Allocated Transactions'!$D:$D,$E110,'Allocated Transactions'!$C:$C,$C110,'Allocated Transactions'!$A:$A,"&gt;="&amp;$A110,'Allocated Transactions'!$A:$A,"&lt;="&amp;EOMONTH($A110,0))*0.99,100)</f>
        <v>7500</v>
      </c>
      <c r="K110" s="113" t="s">
        <v>637</v>
      </c>
    </row>
    <row r="111" spans="1:11" ht="15" customHeight="1">
      <c r="A111" s="112">
        <f t="shared" si="2"/>
        <v>46023</v>
      </c>
      <c r="B111" s="113">
        <v>1</v>
      </c>
      <c r="C111" s="18" t="s">
        <v>4</v>
      </c>
      <c r="D111" s="113" t="str">
        <f>_xlfn.XLOOKUP($C111,'Cost Centers'!$A$2:$A$11,'Cost Centers'!$B$2:$B$11,"")</f>
        <v>Executive</v>
      </c>
      <c r="E111" s="113" t="s">
        <v>29</v>
      </c>
      <c r="F111" s="113" t="str">
        <f>_xlfn.XLOOKUP(E111,'Allocated Transactions'!D:D,'Allocated Transactions'!E:E,"")</f>
        <v>Payroll Taxes</v>
      </c>
      <c r="G111" s="113" t="s">
        <v>97</v>
      </c>
      <c r="H111" s="113"/>
      <c r="I111" s="113" t="str">
        <f>_xlfn.XLOOKUP($C111,'Cost Centers'!$A$2:$A$11,'Cost Centers'!$C$2:$C$11,"")</f>
        <v>Admin</v>
      </c>
      <c r="J111" s="23">
        <f>MROUND(SUMIFS('Allocated Transactions'!$J:$J,'Allocated Transactions'!$D:$D,$E111,'Allocated Transactions'!$C:$C,$C111,'Allocated Transactions'!$A:$A,"&gt;="&amp;$A111,'Allocated Transactions'!$A:$A,"&lt;="&amp;EOMONTH($A111,0))*0.99,100)</f>
        <v>600</v>
      </c>
      <c r="K111" s="113" t="s">
        <v>637</v>
      </c>
    </row>
    <row r="112" spans="1:11" ht="15" customHeight="1">
      <c r="A112" s="112">
        <f t="shared" si="2"/>
        <v>46023</v>
      </c>
      <c r="B112" s="113">
        <v>1</v>
      </c>
      <c r="C112" s="18" t="s">
        <v>4</v>
      </c>
      <c r="D112" s="113" t="str">
        <f>_xlfn.XLOOKUP($C112,'Cost Centers'!$A$2:$A$11,'Cost Centers'!$B$2:$B$11,"")</f>
        <v>Executive</v>
      </c>
      <c r="E112" s="113" t="s">
        <v>30</v>
      </c>
      <c r="F112" s="113" t="str">
        <f>_xlfn.XLOOKUP(E112,'Allocated Transactions'!D:D,'Allocated Transactions'!E:E,"")</f>
        <v>Employee Benefits</v>
      </c>
      <c r="G112" s="113" t="s">
        <v>97</v>
      </c>
      <c r="H112" s="113"/>
      <c r="I112" s="113" t="str">
        <f>_xlfn.XLOOKUP($C112,'Cost Centers'!$A$2:$A$11,'Cost Centers'!$C$2:$C$11,"")</f>
        <v>Admin</v>
      </c>
      <c r="J112" s="23">
        <f>MROUND(SUMIFS('Allocated Transactions'!$J:$J,'Allocated Transactions'!$D:$D,$E112,'Allocated Transactions'!$C:$C,$C112,'Allocated Transactions'!$A:$A,"&gt;="&amp;$A112,'Allocated Transactions'!$A:$A,"&lt;="&amp;EOMONTH($A112,0))*0.99,100)</f>
        <v>3100</v>
      </c>
      <c r="K112" s="113" t="s">
        <v>637</v>
      </c>
    </row>
    <row r="113" spans="1:11" ht="15" customHeight="1">
      <c r="A113" s="112">
        <f t="shared" si="2"/>
        <v>46023</v>
      </c>
      <c r="B113" s="113">
        <v>1</v>
      </c>
      <c r="C113" s="18" t="s">
        <v>4</v>
      </c>
      <c r="D113" s="113" t="str">
        <f>_xlfn.XLOOKUP($C113,'Cost Centers'!$A$2:$A$11,'Cost Centers'!$B$2:$B$11,"")</f>
        <v>Executive</v>
      </c>
      <c r="E113" s="113" t="s">
        <v>31</v>
      </c>
      <c r="F113" s="113" t="str">
        <f>_xlfn.XLOOKUP(E113,'Allocated Transactions'!D:D,'Allocated Transactions'!E:E,"")</f>
        <v>Retirement Contributions</v>
      </c>
      <c r="G113" s="113" t="s">
        <v>97</v>
      </c>
      <c r="H113" s="113"/>
      <c r="I113" s="113" t="str">
        <f>_xlfn.XLOOKUP($C113,'Cost Centers'!$A$2:$A$11,'Cost Centers'!$C$2:$C$11,"")</f>
        <v>Admin</v>
      </c>
      <c r="J113" s="23">
        <f>MROUND(SUMIFS('Allocated Transactions'!$J:$J,'Allocated Transactions'!$D:$D,$E113,'Allocated Transactions'!$C:$C,$C113,'Allocated Transactions'!$A:$A,"&gt;="&amp;$A113,'Allocated Transactions'!$A:$A,"&lt;="&amp;EOMONTH($A113,0))*0.99,100)</f>
        <v>200</v>
      </c>
      <c r="K113" s="113" t="s">
        <v>637</v>
      </c>
    </row>
    <row r="114" spans="1:11" ht="15" customHeight="1">
      <c r="A114" s="112">
        <f t="shared" si="2"/>
        <v>46023</v>
      </c>
      <c r="B114" s="113">
        <v>1</v>
      </c>
      <c r="C114" s="18" t="s">
        <v>4</v>
      </c>
      <c r="D114" s="113" t="str">
        <f>_xlfn.XLOOKUP($C114,'Cost Centers'!$A$2:$A$11,'Cost Centers'!$B$2:$B$11,"")</f>
        <v>Executive</v>
      </c>
      <c r="E114" s="113" t="s">
        <v>101</v>
      </c>
      <c r="F114" s="113" t="str">
        <f>_xlfn.XLOOKUP(E114,'Allocated Transactions'!D:D,'Allocated Transactions'!E:E,"")</f>
        <v>Contract Labor / Consultants</v>
      </c>
      <c r="G114" s="113" t="s">
        <v>97</v>
      </c>
      <c r="H114" s="113"/>
      <c r="I114" s="113" t="str">
        <f>_xlfn.XLOOKUP($C114,'Cost Centers'!$A$2:$A$11,'Cost Centers'!$C$2:$C$11,"")</f>
        <v>Admin</v>
      </c>
      <c r="J114" s="23">
        <f>MROUND(SUMIFS('Allocated Transactions'!$J:$J,'Allocated Transactions'!$D:$D,$E114,'Allocated Transactions'!$C:$C,$C114,'Allocated Transactions'!$A:$A,"&gt;="&amp;$A114,'Allocated Transactions'!$A:$A,"&lt;="&amp;EOMONTH($A114,0))*0.99,100)</f>
        <v>0</v>
      </c>
      <c r="K114" s="113" t="s">
        <v>637</v>
      </c>
    </row>
    <row r="115" spans="1:11" ht="15" customHeight="1">
      <c r="A115" s="112">
        <f t="shared" si="2"/>
        <v>46023</v>
      </c>
      <c r="B115" s="113">
        <v>1</v>
      </c>
      <c r="C115" s="18" t="s">
        <v>4</v>
      </c>
      <c r="D115" s="113" t="str">
        <f>_xlfn.XLOOKUP($C115,'Cost Centers'!$A$2:$A$11,'Cost Centers'!$B$2:$B$11,"")</f>
        <v>Executive</v>
      </c>
      <c r="E115" s="113" t="s">
        <v>32</v>
      </c>
      <c r="F115" s="113" t="str">
        <f>_xlfn.XLOOKUP(E115,'Allocated Transactions'!D:D,'Allocated Transactions'!E:E,"")</f>
        <v>Rent</v>
      </c>
      <c r="G115" s="113" t="s">
        <v>97</v>
      </c>
      <c r="H115" s="113"/>
      <c r="I115" s="113" t="str">
        <f>_xlfn.XLOOKUP($C115,'Cost Centers'!$A$2:$A$11,'Cost Centers'!$C$2:$C$11,"")</f>
        <v>Admin</v>
      </c>
      <c r="J115" s="23">
        <f>MROUND(SUMIFS('Allocated Transactions'!$J:$J,'Allocated Transactions'!$D:$D,$E115,'Allocated Transactions'!$C:$C,$C115,'Allocated Transactions'!$A:$A,"&gt;="&amp;$A115,'Allocated Transactions'!$A:$A,"&lt;="&amp;EOMONTH($A115,0))*0.99,100)</f>
        <v>600</v>
      </c>
      <c r="K115" s="113" t="s">
        <v>637</v>
      </c>
    </row>
    <row r="116" spans="1:11" ht="15" customHeight="1">
      <c r="A116" s="112">
        <f t="shared" ref="A116:A147" si="3">IF(E116="5000",EOMONTH(A115,0)+1,A115)</f>
        <v>46023</v>
      </c>
      <c r="B116" s="113">
        <v>1</v>
      </c>
      <c r="C116" s="18" t="s">
        <v>4</v>
      </c>
      <c r="D116" s="113" t="str">
        <f>_xlfn.XLOOKUP($C116,'Cost Centers'!$A$2:$A$11,'Cost Centers'!$B$2:$B$11,"")</f>
        <v>Executive</v>
      </c>
      <c r="E116" s="113" t="s">
        <v>33</v>
      </c>
      <c r="F116" s="113" t="str">
        <f>_xlfn.XLOOKUP(E116,'Allocated Transactions'!D:D,'Allocated Transactions'!E:E,"")</f>
        <v>Utilities</v>
      </c>
      <c r="G116" s="113" t="s">
        <v>97</v>
      </c>
      <c r="H116" s="113"/>
      <c r="I116" s="113" t="str">
        <f>_xlfn.XLOOKUP($C116,'Cost Centers'!$A$2:$A$11,'Cost Centers'!$C$2:$C$11,"")</f>
        <v>Admin</v>
      </c>
      <c r="J116" s="23">
        <f>MROUND(SUMIFS('Allocated Transactions'!$J:$J,'Allocated Transactions'!$D:$D,$E116,'Allocated Transactions'!$C:$C,$C116,'Allocated Transactions'!$A:$A,"&gt;="&amp;$A116,'Allocated Transactions'!$A:$A,"&lt;="&amp;EOMONTH($A116,0))*0.99,100)</f>
        <v>100</v>
      </c>
      <c r="K116" s="113" t="s">
        <v>637</v>
      </c>
    </row>
    <row r="117" spans="1:11" ht="15" customHeight="1">
      <c r="A117" s="112">
        <f t="shared" si="3"/>
        <v>46023</v>
      </c>
      <c r="B117" s="113">
        <v>1</v>
      </c>
      <c r="C117" s="18" t="s">
        <v>4</v>
      </c>
      <c r="D117" s="113" t="str">
        <f>_xlfn.XLOOKUP($C117,'Cost Centers'!$A$2:$A$11,'Cost Centers'!$B$2:$B$11,"")</f>
        <v>Executive</v>
      </c>
      <c r="E117" s="113" t="s">
        <v>105</v>
      </c>
      <c r="F117" s="113" t="str">
        <f>_xlfn.XLOOKUP(E117,'Allocated Transactions'!D:D,'Allocated Transactions'!E:E,"")</f>
        <v>Office Supplies</v>
      </c>
      <c r="G117" s="113" t="s">
        <v>97</v>
      </c>
      <c r="H117" s="113"/>
      <c r="I117" s="113" t="str">
        <f>_xlfn.XLOOKUP($C117,'Cost Centers'!$A$2:$A$11,'Cost Centers'!$C$2:$C$11,"")</f>
        <v>Admin</v>
      </c>
      <c r="J117" s="23">
        <f>MROUND(SUMIFS('Allocated Transactions'!$J:$J,'Allocated Transactions'!$D:$D,$E117,'Allocated Transactions'!$C:$C,$C117,'Allocated Transactions'!$A:$A,"&gt;="&amp;$A117,'Allocated Transactions'!$A:$A,"&lt;="&amp;EOMONTH($A117,0))*0.99,100)</f>
        <v>0</v>
      </c>
      <c r="K117" s="113" t="s">
        <v>637</v>
      </c>
    </row>
    <row r="118" spans="1:11" ht="15" customHeight="1">
      <c r="A118" s="112">
        <f t="shared" si="3"/>
        <v>46023</v>
      </c>
      <c r="B118" s="113">
        <v>1</v>
      </c>
      <c r="C118" s="18" t="s">
        <v>4</v>
      </c>
      <c r="D118" s="113" t="str">
        <f>_xlfn.XLOOKUP($C118,'Cost Centers'!$A$2:$A$11,'Cost Centers'!$B$2:$B$11,"")</f>
        <v>Executive</v>
      </c>
      <c r="E118" s="113" t="s">
        <v>107</v>
      </c>
      <c r="F118" s="113" t="str">
        <f>_xlfn.XLOOKUP(E118,'Allocated Transactions'!D:D,'Allocated Transactions'!E:E,"")</f>
        <v>Software and Subscriptions</v>
      </c>
      <c r="G118" s="113" t="s">
        <v>97</v>
      </c>
      <c r="H118" s="113"/>
      <c r="I118" s="113" t="str">
        <f>_xlfn.XLOOKUP($C118,'Cost Centers'!$A$2:$A$11,'Cost Centers'!$C$2:$C$11,"")</f>
        <v>Admin</v>
      </c>
      <c r="J118" s="23">
        <f>MROUND(SUMIFS('Allocated Transactions'!$J:$J,'Allocated Transactions'!$D:$D,$E118,'Allocated Transactions'!$C:$C,$C118,'Allocated Transactions'!$A:$A,"&gt;="&amp;$A118,'Allocated Transactions'!$A:$A,"&lt;="&amp;EOMONTH($A118,0))*0.99,100)</f>
        <v>0</v>
      </c>
      <c r="K118" s="113" t="s">
        <v>637</v>
      </c>
    </row>
    <row r="119" spans="1:11" ht="15" customHeight="1">
      <c r="A119" s="112">
        <f t="shared" si="3"/>
        <v>46023</v>
      </c>
      <c r="B119" s="113">
        <v>1</v>
      </c>
      <c r="C119" s="18" t="s">
        <v>4</v>
      </c>
      <c r="D119" s="113" t="str">
        <f>_xlfn.XLOOKUP($C119,'Cost Centers'!$A$2:$A$11,'Cost Centers'!$B$2:$B$11,"")</f>
        <v>Executive</v>
      </c>
      <c r="E119" s="113" t="s">
        <v>109</v>
      </c>
      <c r="F119" s="113" t="str">
        <f>_xlfn.XLOOKUP(E119,'Allocated Transactions'!D:D,'Allocated Transactions'!E:E,"")</f>
        <v>Travel</v>
      </c>
      <c r="G119" s="113" t="s">
        <v>97</v>
      </c>
      <c r="H119" s="113"/>
      <c r="I119" s="113" t="str">
        <f>_xlfn.XLOOKUP($C119,'Cost Centers'!$A$2:$A$11,'Cost Centers'!$C$2:$C$11,"")</f>
        <v>Admin</v>
      </c>
      <c r="J119" s="23">
        <f>MROUND(SUMIFS('Allocated Transactions'!$J:$J,'Allocated Transactions'!$D:$D,$E119,'Allocated Transactions'!$C:$C,$C119,'Allocated Transactions'!$A:$A,"&gt;="&amp;$A119,'Allocated Transactions'!$A:$A,"&lt;="&amp;EOMONTH($A119,0))*0.99,100)</f>
        <v>0</v>
      </c>
      <c r="K119" s="113" t="s">
        <v>637</v>
      </c>
    </row>
    <row r="120" spans="1:11" ht="15" customHeight="1">
      <c r="A120" s="112">
        <f t="shared" si="3"/>
        <v>46023</v>
      </c>
      <c r="B120" s="113">
        <v>1</v>
      </c>
      <c r="C120" s="18" t="s">
        <v>4</v>
      </c>
      <c r="D120" s="113" t="str">
        <f>_xlfn.XLOOKUP($C120,'Cost Centers'!$A$2:$A$11,'Cost Centers'!$B$2:$B$11,"")</f>
        <v>Executive</v>
      </c>
      <c r="E120" s="113" t="s">
        <v>111</v>
      </c>
      <c r="F120" s="113" t="str">
        <f>_xlfn.XLOOKUP(E120,'Allocated Transactions'!D:D,'Allocated Transactions'!E:E,"")</f>
        <v>Meals and Entertainment</v>
      </c>
      <c r="G120" s="113" t="s">
        <v>97</v>
      </c>
      <c r="H120" s="113"/>
      <c r="I120" s="113" t="str">
        <f>_xlfn.XLOOKUP($C120,'Cost Centers'!$A$2:$A$11,'Cost Centers'!$C$2:$C$11,"")</f>
        <v>Admin</v>
      </c>
      <c r="J120" s="23">
        <f>MROUND(SUMIFS('Allocated Transactions'!$J:$J,'Allocated Transactions'!$D:$D,$E120,'Allocated Transactions'!$C:$C,$C120,'Allocated Transactions'!$A:$A,"&gt;="&amp;$A120,'Allocated Transactions'!$A:$A,"&lt;="&amp;EOMONTH($A120,0))*0.99,100)</f>
        <v>0</v>
      </c>
      <c r="K120" s="113" t="s">
        <v>637</v>
      </c>
    </row>
    <row r="121" spans="1:11" ht="15" customHeight="1">
      <c r="A121" s="112">
        <f t="shared" si="3"/>
        <v>46023</v>
      </c>
      <c r="B121" s="113">
        <v>1</v>
      </c>
      <c r="C121" s="18" t="s">
        <v>4</v>
      </c>
      <c r="D121" s="113" t="str">
        <f>_xlfn.XLOOKUP($C121,'Cost Centers'!$A$2:$A$11,'Cost Centers'!$B$2:$B$11,"")</f>
        <v>Executive</v>
      </c>
      <c r="E121" s="113" t="s">
        <v>113</v>
      </c>
      <c r="F121" s="113" t="str">
        <f>_xlfn.XLOOKUP(E121,'Allocated Transactions'!D:D,'Allocated Transactions'!E:E,"")</f>
        <v>Professional Fees - Legal</v>
      </c>
      <c r="G121" s="113" t="s">
        <v>97</v>
      </c>
      <c r="H121" s="113"/>
      <c r="I121" s="113" t="str">
        <f>_xlfn.XLOOKUP($C121,'Cost Centers'!$A$2:$A$11,'Cost Centers'!$C$2:$C$11,"")</f>
        <v>Admin</v>
      </c>
      <c r="J121" s="23">
        <f>MROUND(SUMIFS('Allocated Transactions'!$J:$J,'Allocated Transactions'!$D:$D,$E121,'Allocated Transactions'!$C:$C,$C121,'Allocated Transactions'!$A:$A,"&gt;="&amp;$A121,'Allocated Transactions'!$A:$A,"&lt;="&amp;EOMONTH($A121,0))*0.99,100)</f>
        <v>0</v>
      </c>
      <c r="K121" s="113" t="s">
        <v>637</v>
      </c>
    </row>
    <row r="122" spans="1:11" ht="15" customHeight="1">
      <c r="A122" s="112">
        <f t="shared" si="3"/>
        <v>46023</v>
      </c>
      <c r="B122" s="113">
        <v>1</v>
      </c>
      <c r="C122" s="18" t="s">
        <v>4</v>
      </c>
      <c r="D122" s="113" t="str">
        <f>_xlfn.XLOOKUP($C122,'Cost Centers'!$A$2:$A$11,'Cost Centers'!$B$2:$B$11,"")</f>
        <v>Executive</v>
      </c>
      <c r="E122" s="113" t="s">
        <v>115</v>
      </c>
      <c r="F122" s="113" t="str">
        <f>_xlfn.XLOOKUP(E122,'Allocated Transactions'!D:D,'Allocated Transactions'!E:E,"")</f>
        <v>Professional Fees - Accounting/Audit</v>
      </c>
      <c r="G122" s="113" t="s">
        <v>97</v>
      </c>
      <c r="H122" s="113"/>
      <c r="I122" s="113" t="str">
        <f>_xlfn.XLOOKUP($C122,'Cost Centers'!$A$2:$A$11,'Cost Centers'!$C$2:$C$11,"")</f>
        <v>Admin</v>
      </c>
      <c r="J122" s="23">
        <f>MROUND(SUMIFS('Allocated Transactions'!$J:$J,'Allocated Transactions'!$D:$D,$E122,'Allocated Transactions'!$C:$C,$C122,'Allocated Transactions'!$A:$A,"&gt;="&amp;$A122,'Allocated Transactions'!$A:$A,"&lt;="&amp;EOMONTH($A122,0))*0.99,100)</f>
        <v>0</v>
      </c>
      <c r="K122" s="113" t="s">
        <v>637</v>
      </c>
    </row>
    <row r="123" spans="1:11" ht="15" customHeight="1">
      <c r="A123" s="112">
        <f t="shared" si="3"/>
        <v>46023</v>
      </c>
      <c r="B123" s="113">
        <v>1</v>
      </c>
      <c r="C123" s="18" t="s">
        <v>4</v>
      </c>
      <c r="D123" s="113" t="str">
        <f>_xlfn.XLOOKUP($C123,'Cost Centers'!$A$2:$A$11,'Cost Centers'!$B$2:$B$11,"")</f>
        <v>Executive</v>
      </c>
      <c r="E123" s="113" t="s">
        <v>117</v>
      </c>
      <c r="F123" s="113" t="str">
        <f>_xlfn.XLOOKUP(E123,'Allocated Transactions'!D:D,'Allocated Transactions'!E:E,"")</f>
        <v>Insurance</v>
      </c>
      <c r="G123" s="113" t="s">
        <v>97</v>
      </c>
      <c r="H123" s="113"/>
      <c r="I123" s="113" t="str">
        <f>_xlfn.XLOOKUP($C123,'Cost Centers'!$A$2:$A$11,'Cost Centers'!$C$2:$C$11,"")</f>
        <v>Admin</v>
      </c>
      <c r="J123" s="23">
        <f>MROUND(SUMIFS('Allocated Transactions'!$J:$J,'Allocated Transactions'!$D:$D,$E123,'Allocated Transactions'!$C:$C,$C123,'Allocated Transactions'!$A:$A,"&gt;="&amp;$A123,'Allocated Transactions'!$A:$A,"&lt;="&amp;EOMONTH($A123,0))*0.99,100)</f>
        <v>400</v>
      </c>
      <c r="K123" s="113" t="s">
        <v>637</v>
      </c>
    </row>
    <row r="124" spans="1:11" ht="15" customHeight="1">
      <c r="A124" s="112">
        <f t="shared" si="3"/>
        <v>46023</v>
      </c>
      <c r="B124" s="113">
        <v>1</v>
      </c>
      <c r="C124" s="18" t="s">
        <v>4</v>
      </c>
      <c r="D124" s="113" t="str">
        <f>_xlfn.XLOOKUP($C124,'Cost Centers'!$A$2:$A$11,'Cost Centers'!$B$2:$B$11,"")</f>
        <v>Executive</v>
      </c>
      <c r="E124" s="113" t="s">
        <v>119</v>
      </c>
      <c r="F124" s="113" t="str">
        <f>_xlfn.XLOOKUP(E124,'Allocated Transactions'!D:D,'Allocated Transactions'!E:E,"")</f>
        <v>Depreciation Expense</v>
      </c>
      <c r="G124" s="113" t="s">
        <v>97</v>
      </c>
      <c r="H124" s="113"/>
      <c r="I124" s="113" t="str">
        <f>_xlfn.XLOOKUP($C124,'Cost Centers'!$A$2:$A$11,'Cost Centers'!$C$2:$C$11,"")</f>
        <v>Admin</v>
      </c>
      <c r="J124" s="23">
        <f>MROUND(SUMIFS('Allocated Transactions'!$J:$J,'Allocated Transactions'!$D:$D,$E124,'Allocated Transactions'!$C:$C,$C124,'Allocated Transactions'!$A:$A,"&gt;="&amp;$A124,'Allocated Transactions'!$A:$A,"&lt;="&amp;EOMONTH($A124,0))*0.99,100)</f>
        <v>0</v>
      </c>
      <c r="K124" s="113" t="s">
        <v>637</v>
      </c>
    </row>
    <row r="125" spans="1:11" ht="15" customHeight="1">
      <c r="A125" s="112">
        <f t="shared" si="3"/>
        <v>46023</v>
      </c>
      <c r="B125" s="113">
        <v>1</v>
      </c>
      <c r="C125" s="18" t="s">
        <v>4</v>
      </c>
      <c r="D125" s="113" t="str">
        <f>_xlfn.XLOOKUP($C125,'Cost Centers'!$A$2:$A$11,'Cost Centers'!$B$2:$B$11,"")</f>
        <v>Executive</v>
      </c>
      <c r="E125" s="113" t="s">
        <v>121</v>
      </c>
      <c r="F125" s="113" t="str">
        <f>_xlfn.XLOOKUP(E125,'Allocated Transactions'!D:D,'Allocated Transactions'!E:E,"")</f>
        <v>Bank Fees</v>
      </c>
      <c r="G125" s="113" t="s">
        <v>97</v>
      </c>
      <c r="H125" s="113"/>
      <c r="I125" s="113" t="str">
        <f>_xlfn.XLOOKUP($C125,'Cost Centers'!$A$2:$A$11,'Cost Centers'!$C$2:$C$11,"")</f>
        <v>Admin</v>
      </c>
      <c r="J125" s="23">
        <f>MROUND(SUMIFS('Allocated Transactions'!$J:$J,'Allocated Transactions'!$D:$D,$E125,'Allocated Transactions'!$C:$C,$C125,'Allocated Transactions'!$A:$A,"&gt;="&amp;$A125,'Allocated Transactions'!$A:$A,"&lt;="&amp;EOMONTH($A125,0))*0.99,100)</f>
        <v>0</v>
      </c>
      <c r="K125" s="113" t="s">
        <v>637</v>
      </c>
    </row>
    <row r="126" spans="1:11" ht="15" customHeight="1">
      <c r="A126" s="112">
        <f t="shared" si="3"/>
        <v>46023</v>
      </c>
      <c r="B126" s="113">
        <v>1</v>
      </c>
      <c r="C126" s="18" t="s">
        <v>4</v>
      </c>
      <c r="D126" s="113" t="str">
        <f>_xlfn.XLOOKUP($C126,'Cost Centers'!$A$2:$A$11,'Cost Centers'!$B$2:$B$11,"")</f>
        <v>Executive</v>
      </c>
      <c r="E126" s="113" t="s">
        <v>123</v>
      </c>
      <c r="F126" s="113" t="str">
        <f>_xlfn.XLOOKUP(E126,'Allocated Transactions'!D:D,'Allocated Transactions'!E:E,"")</f>
        <v>Interest Expense</v>
      </c>
      <c r="G126" s="113" t="s">
        <v>97</v>
      </c>
      <c r="H126" s="113"/>
      <c r="I126" s="113" t="str">
        <f>_xlfn.XLOOKUP($C126,'Cost Centers'!$A$2:$A$11,'Cost Centers'!$C$2:$C$11,"")</f>
        <v>Admin</v>
      </c>
      <c r="J126" s="23">
        <f>MROUND(SUMIFS('Allocated Transactions'!$J:$J,'Allocated Transactions'!$D:$D,$E126,'Allocated Transactions'!$C:$C,$C126,'Allocated Transactions'!$A:$A,"&gt;="&amp;$A126,'Allocated Transactions'!$A:$A,"&lt;="&amp;EOMONTH($A126,0))*0.99,100)</f>
        <v>0</v>
      </c>
      <c r="K126" s="113" t="s">
        <v>637</v>
      </c>
    </row>
    <row r="127" spans="1:11" ht="15" customHeight="1">
      <c r="A127" s="112">
        <f t="shared" si="3"/>
        <v>46023</v>
      </c>
      <c r="B127" s="113">
        <v>1</v>
      </c>
      <c r="C127" s="18" t="s">
        <v>4</v>
      </c>
      <c r="D127" s="113" t="str">
        <f>_xlfn.XLOOKUP($C127,'Cost Centers'!$A$2:$A$11,'Cost Centers'!$B$2:$B$11,"")</f>
        <v>Executive</v>
      </c>
      <c r="E127" s="113" t="s">
        <v>125</v>
      </c>
      <c r="F127" s="113" t="str">
        <f>_xlfn.XLOOKUP(E127,'Allocated Transactions'!D:D,'Allocated Transactions'!E:E,"")</f>
        <v>Miscellaneous Expense</v>
      </c>
      <c r="G127" s="113" t="s">
        <v>97</v>
      </c>
      <c r="H127" s="113"/>
      <c r="I127" s="113" t="str">
        <f>_xlfn.XLOOKUP($C127,'Cost Centers'!$A$2:$A$11,'Cost Centers'!$C$2:$C$11,"")</f>
        <v>Admin</v>
      </c>
      <c r="J127" s="23">
        <f>MROUND(SUMIFS('Allocated Transactions'!$J:$J,'Allocated Transactions'!$D:$D,$E127,'Allocated Transactions'!$C:$C,$C127,'Allocated Transactions'!$A:$A,"&gt;="&amp;$A127,'Allocated Transactions'!$A:$A,"&lt;="&amp;EOMONTH($A127,0))*0.99,100)</f>
        <v>0</v>
      </c>
      <c r="K127" s="113" t="s">
        <v>637</v>
      </c>
    </row>
    <row r="128" spans="1:11" ht="15" customHeight="1">
      <c r="A128" s="112">
        <f t="shared" si="3"/>
        <v>46054</v>
      </c>
      <c r="B128" s="113">
        <v>1</v>
      </c>
      <c r="C128" s="18" t="s">
        <v>4</v>
      </c>
      <c r="D128" s="113" t="str">
        <f>_xlfn.XLOOKUP($C128,'Cost Centers'!$A$2:$A$11,'Cost Centers'!$B$2:$B$11,"")</f>
        <v>Executive</v>
      </c>
      <c r="E128" s="113" t="s">
        <v>28</v>
      </c>
      <c r="F128" s="113" t="str">
        <f>_xlfn.XLOOKUP(E128,'Allocated Transactions'!D:D,'Allocated Transactions'!E:E,"")</f>
        <v>Salaries and Wages</v>
      </c>
      <c r="G128" s="113" t="s">
        <v>97</v>
      </c>
      <c r="H128" s="113"/>
      <c r="I128" s="113" t="str">
        <f>_xlfn.XLOOKUP($C128,'Cost Centers'!$A$2:$A$11,'Cost Centers'!$C$2:$C$11,"")</f>
        <v>Admin</v>
      </c>
      <c r="J128" s="23">
        <f>MROUND(SUMIFS('Allocated Transactions'!$J:$J,'Allocated Transactions'!$D:$D,$E128,'Allocated Transactions'!$C:$C,$C128,'Allocated Transactions'!$A:$A,"&gt;="&amp;$A128,'Allocated Transactions'!$A:$A,"&lt;="&amp;EOMONTH($A128,0))*0.99,100)</f>
        <v>7400</v>
      </c>
      <c r="K128" s="113" t="s">
        <v>637</v>
      </c>
    </row>
    <row r="129" spans="1:11" ht="15" customHeight="1">
      <c r="A129" s="112">
        <f t="shared" si="3"/>
        <v>46054</v>
      </c>
      <c r="B129" s="113">
        <v>1</v>
      </c>
      <c r="C129" s="18" t="s">
        <v>4</v>
      </c>
      <c r="D129" s="113" t="str">
        <f>_xlfn.XLOOKUP($C129,'Cost Centers'!$A$2:$A$11,'Cost Centers'!$B$2:$B$11,"")</f>
        <v>Executive</v>
      </c>
      <c r="E129" s="113" t="s">
        <v>29</v>
      </c>
      <c r="F129" s="113" t="str">
        <f>_xlfn.XLOOKUP(E129,'Allocated Transactions'!D:D,'Allocated Transactions'!E:E,"")</f>
        <v>Payroll Taxes</v>
      </c>
      <c r="G129" s="113" t="s">
        <v>97</v>
      </c>
      <c r="H129" s="113"/>
      <c r="I129" s="113" t="str">
        <f>_xlfn.XLOOKUP($C129,'Cost Centers'!$A$2:$A$11,'Cost Centers'!$C$2:$C$11,"")</f>
        <v>Admin</v>
      </c>
      <c r="J129" s="23">
        <f>MROUND(SUMIFS('Allocated Transactions'!$J:$J,'Allocated Transactions'!$D:$D,$E129,'Allocated Transactions'!$C:$C,$C129,'Allocated Transactions'!$A:$A,"&gt;="&amp;$A129,'Allocated Transactions'!$A:$A,"&lt;="&amp;EOMONTH($A129,0))*0.99,100)</f>
        <v>600</v>
      </c>
      <c r="K129" s="113" t="s">
        <v>637</v>
      </c>
    </row>
    <row r="130" spans="1:11" ht="15" customHeight="1">
      <c r="A130" s="112">
        <f t="shared" si="3"/>
        <v>46054</v>
      </c>
      <c r="B130" s="113">
        <v>1</v>
      </c>
      <c r="C130" s="18" t="s">
        <v>4</v>
      </c>
      <c r="D130" s="113" t="str">
        <f>_xlfn.XLOOKUP($C130,'Cost Centers'!$A$2:$A$11,'Cost Centers'!$B$2:$B$11,"")</f>
        <v>Executive</v>
      </c>
      <c r="E130" s="113" t="s">
        <v>30</v>
      </c>
      <c r="F130" s="113" t="str">
        <f>_xlfn.XLOOKUP(E130,'Allocated Transactions'!D:D,'Allocated Transactions'!E:E,"")</f>
        <v>Employee Benefits</v>
      </c>
      <c r="G130" s="113" t="s">
        <v>97</v>
      </c>
      <c r="H130" s="113"/>
      <c r="I130" s="113" t="str">
        <f>_xlfn.XLOOKUP($C130,'Cost Centers'!$A$2:$A$11,'Cost Centers'!$C$2:$C$11,"")</f>
        <v>Admin</v>
      </c>
      <c r="J130" s="23">
        <f>MROUND(SUMIFS('Allocated Transactions'!$J:$J,'Allocated Transactions'!$D:$D,$E130,'Allocated Transactions'!$C:$C,$C130,'Allocated Transactions'!$A:$A,"&gt;="&amp;$A130,'Allocated Transactions'!$A:$A,"&lt;="&amp;EOMONTH($A130,0))*0.99,100)</f>
        <v>3300</v>
      </c>
      <c r="K130" s="113" t="s">
        <v>637</v>
      </c>
    </row>
    <row r="131" spans="1:11" ht="15" customHeight="1">
      <c r="A131" s="112">
        <f t="shared" si="3"/>
        <v>46054</v>
      </c>
      <c r="B131" s="113">
        <v>1</v>
      </c>
      <c r="C131" s="18" t="s">
        <v>4</v>
      </c>
      <c r="D131" s="113" t="str">
        <f>_xlfn.XLOOKUP($C131,'Cost Centers'!$A$2:$A$11,'Cost Centers'!$B$2:$B$11,"")</f>
        <v>Executive</v>
      </c>
      <c r="E131" s="113" t="s">
        <v>31</v>
      </c>
      <c r="F131" s="113" t="str">
        <f>_xlfn.XLOOKUP(E131,'Allocated Transactions'!D:D,'Allocated Transactions'!E:E,"")</f>
        <v>Retirement Contributions</v>
      </c>
      <c r="G131" s="113" t="s">
        <v>97</v>
      </c>
      <c r="H131" s="113"/>
      <c r="I131" s="113" t="str">
        <f>_xlfn.XLOOKUP($C131,'Cost Centers'!$A$2:$A$11,'Cost Centers'!$C$2:$C$11,"")</f>
        <v>Admin</v>
      </c>
      <c r="J131" s="23">
        <f>MROUND(SUMIFS('Allocated Transactions'!$J:$J,'Allocated Transactions'!$D:$D,$E131,'Allocated Transactions'!$C:$C,$C131,'Allocated Transactions'!$A:$A,"&gt;="&amp;$A131,'Allocated Transactions'!$A:$A,"&lt;="&amp;EOMONTH($A131,0))*0.99,100)</f>
        <v>200</v>
      </c>
      <c r="K131" s="113" t="s">
        <v>637</v>
      </c>
    </row>
    <row r="132" spans="1:11" ht="15" customHeight="1">
      <c r="A132" s="112">
        <f t="shared" si="3"/>
        <v>46054</v>
      </c>
      <c r="B132" s="113">
        <v>1</v>
      </c>
      <c r="C132" s="18" t="s">
        <v>4</v>
      </c>
      <c r="D132" s="113" t="str">
        <f>_xlfn.XLOOKUP($C132,'Cost Centers'!$A$2:$A$11,'Cost Centers'!$B$2:$B$11,"")</f>
        <v>Executive</v>
      </c>
      <c r="E132" s="113" t="s">
        <v>101</v>
      </c>
      <c r="F132" s="113" t="str">
        <f>_xlfn.XLOOKUP(E132,'Allocated Transactions'!D:D,'Allocated Transactions'!E:E,"")</f>
        <v>Contract Labor / Consultants</v>
      </c>
      <c r="G132" s="113" t="s">
        <v>97</v>
      </c>
      <c r="H132" s="113"/>
      <c r="I132" s="113" t="str">
        <f>_xlfn.XLOOKUP($C132,'Cost Centers'!$A$2:$A$11,'Cost Centers'!$C$2:$C$11,"")</f>
        <v>Admin</v>
      </c>
      <c r="J132" s="23">
        <f>MROUND(SUMIFS('Allocated Transactions'!$J:$J,'Allocated Transactions'!$D:$D,$E132,'Allocated Transactions'!$C:$C,$C132,'Allocated Transactions'!$A:$A,"&gt;="&amp;$A132,'Allocated Transactions'!$A:$A,"&lt;="&amp;EOMONTH($A132,0))*0.99,100)</f>
        <v>0</v>
      </c>
      <c r="K132" s="113" t="s">
        <v>637</v>
      </c>
    </row>
    <row r="133" spans="1:11" ht="15" customHeight="1">
      <c r="A133" s="112">
        <f t="shared" si="3"/>
        <v>46054</v>
      </c>
      <c r="B133" s="113">
        <v>1</v>
      </c>
      <c r="C133" s="18" t="s">
        <v>4</v>
      </c>
      <c r="D133" s="113" t="str">
        <f>_xlfn.XLOOKUP($C133,'Cost Centers'!$A$2:$A$11,'Cost Centers'!$B$2:$B$11,"")</f>
        <v>Executive</v>
      </c>
      <c r="E133" s="113" t="s">
        <v>32</v>
      </c>
      <c r="F133" s="113" t="str">
        <f>_xlfn.XLOOKUP(E133,'Allocated Transactions'!D:D,'Allocated Transactions'!E:E,"")</f>
        <v>Rent</v>
      </c>
      <c r="G133" s="113" t="s">
        <v>97</v>
      </c>
      <c r="H133" s="113"/>
      <c r="I133" s="113" t="str">
        <f>_xlfn.XLOOKUP($C133,'Cost Centers'!$A$2:$A$11,'Cost Centers'!$C$2:$C$11,"")</f>
        <v>Admin</v>
      </c>
      <c r="J133" s="23">
        <f>MROUND(SUMIFS('Allocated Transactions'!$J:$J,'Allocated Transactions'!$D:$D,$E133,'Allocated Transactions'!$C:$C,$C133,'Allocated Transactions'!$A:$A,"&gt;="&amp;$A133,'Allocated Transactions'!$A:$A,"&lt;="&amp;EOMONTH($A133,0))*0.99,100)</f>
        <v>600</v>
      </c>
      <c r="K133" s="113" t="s">
        <v>637</v>
      </c>
    </row>
    <row r="134" spans="1:11" ht="15" customHeight="1">
      <c r="A134" s="112">
        <f t="shared" si="3"/>
        <v>46054</v>
      </c>
      <c r="B134" s="113">
        <v>1</v>
      </c>
      <c r="C134" s="18" t="s">
        <v>4</v>
      </c>
      <c r="D134" s="113" t="str">
        <f>_xlfn.XLOOKUP($C134,'Cost Centers'!$A$2:$A$11,'Cost Centers'!$B$2:$B$11,"")</f>
        <v>Executive</v>
      </c>
      <c r="E134" s="113" t="s">
        <v>33</v>
      </c>
      <c r="F134" s="113" t="str">
        <f>_xlfn.XLOOKUP(E134,'Allocated Transactions'!D:D,'Allocated Transactions'!E:E,"")</f>
        <v>Utilities</v>
      </c>
      <c r="G134" s="113" t="s">
        <v>97</v>
      </c>
      <c r="H134" s="113"/>
      <c r="I134" s="113" t="str">
        <f>_xlfn.XLOOKUP($C134,'Cost Centers'!$A$2:$A$11,'Cost Centers'!$C$2:$C$11,"")</f>
        <v>Admin</v>
      </c>
      <c r="J134" s="23">
        <f>MROUND(SUMIFS('Allocated Transactions'!$J:$J,'Allocated Transactions'!$D:$D,$E134,'Allocated Transactions'!$C:$C,$C134,'Allocated Transactions'!$A:$A,"&gt;="&amp;$A134,'Allocated Transactions'!$A:$A,"&lt;="&amp;EOMONTH($A134,0))*0.99,100)</f>
        <v>100</v>
      </c>
      <c r="K134" s="113" t="s">
        <v>637</v>
      </c>
    </row>
    <row r="135" spans="1:11" ht="15" customHeight="1">
      <c r="A135" s="112">
        <f t="shared" si="3"/>
        <v>46054</v>
      </c>
      <c r="B135" s="113">
        <v>1</v>
      </c>
      <c r="C135" s="18" t="s">
        <v>4</v>
      </c>
      <c r="D135" s="113" t="str">
        <f>_xlfn.XLOOKUP($C135,'Cost Centers'!$A$2:$A$11,'Cost Centers'!$B$2:$B$11,"")</f>
        <v>Executive</v>
      </c>
      <c r="E135" s="113" t="s">
        <v>105</v>
      </c>
      <c r="F135" s="113" t="str">
        <f>_xlfn.XLOOKUP(E135,'Allocated Transactions'!D:D,'Allocated Transactions'!E:E,"")</f>
        <v>Office Supplies</v>
      </c>
      <c r="G135" s="113" t="s">
        <v>97</v>
      </c>
      <c r="H135" s="113"/>
      <c r="I135" s="113" t="str">
        <f>_xlfn.XLOOKUP($C135,'Cost Centers'!$A$2:$A$11,'Cost Centers'!$C$2:$C$11,"")</f>
        <v>Admin</v>
      </c>
      <c r="J135" s="23">
        <f>MROUND(SUMIFS('Allocated Transactions'!$J:$J,'Allocated Transactions'!$D:$D,$E135,'Allocated Transactions'!$C:$C,$C135,'Allocated Transactions'!$A:$A,"&gt;="&amp;$A135,'Allocated Transactions'!$A:$A,"&lt;="&amp;EOMONTH($A135,0))*0.99,100)</f>
        <v>0</v>
      </c>
      <c r="K135" s="113" t="s">
        <v>637</v>
      </c>
    </row>
    <row r="136" spans="1:11" ht="15" customHeight="1">
      <c r="A136" s="112">
        <f t="shared" si="3"/>
        <v>46054</v>
      </c>
      <c r="B136" s="113">
        <v>1</v>
      </c>
      <c r="C136" s="18" t="s">
        <v>4</v>
      </c>
      <c r="D136" s="113" t="str">
        <f>_xlfn.XLOOKUP($C136,'Cost Centers'!$A$2:$A$11,'Cost Centers'!$B$2:$B$11,"")</f>
        <v>Executive</v>
      </c>
      <c r="E136" s="113" t="s">
        <v>107</v>
      </c>
      <c r="F136" s="113" t="str">
        <f>_xlfn.XLOOKUP(E136,'Allocated Transactions'!D:D,'Allocated Transactions'!E:E,"")</f>
        <v>Software and Subscriptions</v>
      </c>
      <c r="G136" s="113" t="s">
        <v>97</v>
      </c>
      <c r="H136" s="113"/>
      <c r="I136" s="113" t="str">
        <f>_xlfn.XLOOKUP($C136,'Cost Centers'!$A$2:$A$11,'Cost Centers'!$C$2:$C$11,"")</f>
        <v>Admin</v>
      </c>
      <c r="J136" s="23">
        <f>MROUND(SUMIFS('Allocated Transactions'!$J:$J,'Allocated Transactions'!$D:$D,$E136,'Allocated Transactions'!$C:$C,$C136,'Allocated Transactions'!$A:$A,"&gt;="&amp;$A136,'Allocated Transactions'!$A:$A,"&lt;="&amp;EOMONTH($A136,0))*0.99,100)</f>
        <v>0</v>
      </c>
      <c r="K136" s="113" t="s">
        <v>637</v>
      </c>
    </row>
    <row r="137" spans="1:11" ht="15" customHeight="1">
      <c r="A137" s="112">
        <f t="shared" si="3"/>
        <v>46054</v>
      </c>
      <c r="B137" s="113">
        <v>1</v>
      </c>
      <c r="C137" s="18" t="s">
        <v>4</v>
      </c>
      <c r="D137" s="113" t="str">
        <f>_xlfn.XLOOKUP($C137,'Cost Centers'!$A$2:$A$11,'Cost Centers'!$B$2:$B$11,"")</f>
        <v>Executive</v>
      </c>
      <c r="E137" s="113" t="s">
        <v>109</v>
      </c>
      <c r="F137" s="113" t="str">
        <f>_xlfn.XLOOKUP(E137,'Allocated Transactions'!D:D,'Allocated Transactions'!E:E,"")</f>
        <v>Travel</v>
      </c>
      <c r="G137" s="113" t="s">
        <v>97</v>
      </c>
      <c r="H137" s="113"/>
      <c r="I137" s="113" t="str">
        <f>_xlfn.XLOOKUP($C137,'Cost Centers'!$A$2:$A$11,'Cost Centers'!$C$2:$C$11,"")</f>
        <v>Admin</v>
      </c>
      <c r="J137" s="23">
        <f>MROUND(SUMIFS('Allocated Transactions'!$J:$J,'Allocated Transactions'!$D:$D,$E137,'Allocated Transactions'!$C:$C,$C137,'Allocated Transactions'!$A:$A,"&gt;="&amp;$A137,'Allocated Transactions'!$A:$A,"&lt;="&amp;EOMONTH($A137,0))*0.99,100)</f>
        <v>0</v>
      </c>
      <c r="K137" s="113" t="s">
        <v>637</v>
      </c>
    </row>
    <row r="138" spans="1:11" ht="15" customHeight="1">
      <c r="A138" s="112">
        <f t="shared" si="3"/>
        <v>46054</v>
      </c>
      <c r="B138" s="113">
        <v>1</v>
      </c>
      <c r="C138" s="18" t="s">
        <v>4</v>
      </c>
      <c r="D138" s="113" t="str">
        <f>_xlfn.XLOOKUP($C138,'Cost Centers'!$A$2:$A$11,'Cost Centers'!$B$2:$B$11,"")</f>
        <v>Executive</v>
      </c>
      <c r="E138" s="113" t="s">
        <v>111</v>
      </c>
      <c r="F138" s="113" t="str">
        <f>_xlfn.XLOOKUP(E138,'Allocated Transactions'!D:D,'Allocated Transactions'!E:E,"")</f>
        <v>Meals and Entertainment</v>
      </c>
      <c r="G138" s="113" t="s">
        <v>97</v>
      </c>
      <c r="H138" s="113"/>
      <c r="I138" s="113" t="str">
        <f>_xlfn.XLOOKUP($C138,'Cost Centers'!$A$2:$A$11,'Cost Centers'!$C$2:$C$11,"")</f>
        <v>Admin</v>
      </c>
      <c r="J138" s="23">
        <f>MROUND(SUMIFS('Allocated Transactions'!$J:$J,'Allocated Transactions'!$D:$D,$E138,'Allocated Transactions'!$C:$C,$C138,'Allocated Transactions'!$A:$A,"&gt;="&amp;$A138,'Allocated Transactions'!$A:$A,"&lt;="&amp;EOMONTH($A138,0))*0.99,100)</f>
        <v>0</v>
      </c>
      <c r="K138" s="113" t="s">
        <v>637</v>
      </c>
    </row>
    <row r="139" spans="1:11" ht="15" customHeight="1">
      <c r="A139" s="112">
        <f t="shared" si="3"/>
        <v>46054</v>
      </c>
      <c r="B139" s="113">
        <v>1</v>
      </c>
      <c r="C139" s="18" t="s">
        <v>4</v>
      </c>
      <c r="D139" s="113" t="str">
        <f>_xlfn.XLOOKUP($C139,'Cost Centers'!$A$2:$A$11,'Cost Centers'!$B$2:$B$11,"")</f>
        <v>Executive</v>
      </c>
      <c r="E139" s="113" t="s">
        <v>113</v>
      </c>
      <c r="F139" s="113" t="str">
        <f>_xlfn.XLOOKUP(E139,'Allocated Transactions'!D:D,'Allocated Transactions'!E:E,"")</f>
        <v>Professional Fees - Legal</v>
      </c>
      <c r="G139" s="113" t="s">
        <v>97</v>
      </c>
      <c r="H139" s="113"/>
      <c r="I139" s="113" t="str">
        <f>_xlfn.XLOOKUP($C139,'Cost Centers'!$A$2:$A$11,'Cost Centers'!$C$2:$C$11,"")</f>
        <v>Admin</v>
      </c>
      <c r="J139" s="23">
        <f>MROUND(SUMIFS('Allocated Transactions'!$J:$J,'Allocated Transactions'!$D:$D,$E139,'Allocated Transactions'!$C:$C,$C139,'Allocated Transactions'!$A:$A,"&gt;="&amp;$A139,'Allocated Transactions'!$A:$A,"&lt;="&amp;EOMONTH($A139,0))*0.99,100)</f>
        <v>0</v>
      </c>
      <c r="K139" s="113" t="s">
        <v>637</v>
      </c>
    </row>
    <row r="140" spans="1:11" ht="15" customHeight="1">
      <c r="A140" s="112">
        <f t="shared" si="3"/>
        <v>46054</v>
      </c>
      <c r="B140" s="113">
        <v>1</v>
      </c>
      <c r="C140" s="18" t="s">
        <v>4</v>
      </c>
      <c r="D140" s="113" t="str">
        <f>_xlfn.XLOOKUP($C140,'Cost Centers'!$A$2:$A$11,'Cost Centers'!$B$2:$B$11,"")</f>
        <v>Executive</v>
      </c>
      <c r="E140" s="113" t="s">
        <v>115</v>
      </c>
      <c r="F140" s="113" t="str">
        <f>_xlfn.XLOOKUP(E140,'Allocated Transactions'!D:D,'Allocated Transactions'!E:E,"")</f>
        <v>Professional Fees - Accounting/Audit</v>
      </c>
      <c r="G140" s="113" t="s">
        <v>97</v>
      </c>
      <c r="H140" s="113"/>
      <c r="I140" s="113" t="str">
        <f>_xlfn.XLOOKUP($C140,'Cost Centers'!$A$2:$A$11,'Cost Centers'!$C$2:$C$11,"")</f>
        <v>Admin</v>
      </c>
      <c r="J140" s="23">
        <f>MROUND(SUMIFS('Allocated Transactions'!$J:$J,'Allocated Transactions'!$D:$D,$E140,'Allocated Transactions'!$C:$C,$C140,'Allocated Transactions'!$A:$A,"&gt;="&amp;$A140,'Allocated Transactions'!$A:$A,"&lt;="&amp;EOMONTH($A140,0))*0.99,100)</f>
        <v>0</v>
      </c>
      <c r="K140" s="113" t="s">
        <v>637</v>
      </c>
    </row>
    <row r="141" spans="1:11" ht="15" customHeight="1">
      <c r="A141" s="112">
        <f t="shared" si="3"/>
        <v>46054</v>
      </c>
      <c r="B141" s="113">
        <v>1</v>
      </c>
      <c r="C141" s="18" t="s">
        <v>4</v>
      </c>
      <c r="D141" s="113" t="str">
        <f>_xlfn.XLOOKUP($C141,'Cost Centers'!$A$2:$A$11,'Cost Centers'!$B$2:$B$11,"")</f>
        <v>Executive</v>
      </c>
      <c r="E141" s="113" t="s">
        <v>117</v>
      </c>
      <c r="F141" s="113" t="str">
        <f>_xlfn.XLOOKUP(E141,'Allocated Transactions'!D:D,'Allocated Transactions'!E:E,"")</f>
        <v>Insurance</v>
      </c>
      <c r="G141" s="113" t="s">
        <v>97</v>
      </c>
      <c r="H141" s="113"/>
      <c r="I141" s="113" t="str">
        <f>_xlfn.XLOOKUP($C141,'Cost Centers'!$A$2:$A$11,'Cost Centers'!$C$2:$C$11,"")</f>
        <v>Admin</v>
      </c>
      <c r="J141" s="23">
        <f>MROUND(SUMIFS('Allocated Transactions'!$J:$J,'Allocated Transactions'!$D:$D,$E141,'Allocated Transactions'!$C:$C,$C141,'Allocated Transactions'!$A:$A,"&gt;="&amp;$A141,'Allocated Transactions'!$A:$A,"&lt;="&amp;EOMONTH($A141,0))*0.99,100)</f>
        <v>400</v>
      </c>
      <c r="K141" s="113" t="s">
        <v>637</v>
      </c>
    </row>
    <row r="142" spans="1:11" ht="15" customHeight="1">
      <c r="A142" s="112">
        <f t="shared" si="3"/>
        <v>46054</v>
      </c>
      <c r="B142" s="113">
        <v>1</v>
      </c>
      <c r="C142" s="18" t="s">
        <v>4</v>
      </c>
      <c r="D142" s="113" t="str">
        <f>_xlfn.XLOOKUP($C142,'Cost Centers'!$A$2:$A$11,'Cost Centers'!$B$2:$B$11,"")</f>
        <v>Executive</v>
      </c>
      <c r="E142" s="113" t="s">
        <v>119</v>
      </c>
      <c r="F142" s="113" t="str">
        <f>_xlfn.XLOOKUP(E142,'Allocated Transactions'!D:D,'Allocated Transactions'!E:E,"")</f>
        <v>Depreciation Expense</v>
      </c>
      <c r="G142" s="113" t="s">
        <v>97</v>
      </c>
      <c r="H142" s="113"/>
      <c r="I142" s="113" t="str">
        <f>_xlfn.XLOOKUP($C142,'Cost Centers'!$A$2:$A$11,'Cost Centers'!$C$2:$C$11,"")</f>
        <v>Admin</v>
      </c>
      <c r="J142" s="23">
        <f>MROUND(SUMIFS('Allocated Transactions'!$J:$J,'Allocated Transactions'!$D:$D,$E142,'Allocated Transactions'!$C:$C,$C142,'Allocated Transactions'!$A:$A,"&gt;="&amp;$A142,'Allocated Transactions'!$A:$A,"&lt;="&amp;EOMONTH($A142,0))*0.99,100)</f>
        <v>0</v>
      </c>
      <c r="K142" s="113" t="s">
        <v>637</v>
      </c>
    </row>
    <row r="143" spans="1:11" ht="15" customHeight="1">
      <c r="A143" s="112">
        <f t="shared" si="3"/>
        <v>46054</v>
      </c>
      <c r="B143" s="113">
        <v>1</v>
      </c>
      <c r="C143" s="18" t="s">
        <v>4</v>
      </c>
      <c r="D143" s="113" t="str">
        <f>_xlfn.XLOOKUP($C143,'Cost Centers'!$A$2:$A$11,'Cost Centers'!$B$2:$B$11,"")</f>
        <v>Executive</v>
      </c>
      <c r="E143" s="113" t="s">
        <v>121</v>
      </c>
      <c r="F143" s="113" t="str">
        <f>_xlfn.XLOOKUP(E143,'Allocated Transactions'!D:D,'Allocated Transactions'!E:E,"")</f>
        <v>Bank Fees</v>
      </c>
      <c r="G143" s="113" t="s">
        <v>97</v>
      </c>
      <c r="H143" s="113"/>
      <c r="I143" s="113" t="str">
        <f>_xlfn.XLOOKUP($C143,'Cost Centers'!$A$2:$A$11,'Cost Centers'!$C$2:$C$11,"")</f>
        <v>Admin</v>
      </c>
      <c r="J143" s="23">
        <f>MROUND(SUMIFS('Allocated Transactions'!$J:$J,'Allocated Transactions'!$D:$D,$E143,'Allocated Transactions'!$C:$C,$C143,'Allocated Transactions'!$A:$A,"&gt;="&amp;$A143,'Allocated Transactions'!$A:$A,"&lt;="&amp;EOMONTH($A143,0))*0.99,100)</f>
        <v>0</v>
      </c>
      <c r="K143" s="113" t="s">
        <v>637</v>
      </c>
    </row>
    <row r="144" spans="1:11" ht="15" customHeight="1">
      <c r="A144" s="112">
        <f t="shared" si="3"/>
        <v>46054</v>
      </c>
      <c r="B144" s="113">
        <v>1</v>
      </c>
      <c r="C144" s="18" t="s">
        <v>4</v>
      </c>
      <c r="D144" s="113" t="str">
        <f>_xlfn.XLOOKUP($C144,'Cost Centers'!$A$2:$A$11,'Cost Centers'!$B$2:$B$11,"")</f>
        <v>Executive</v>
      </c>
      <c r="E144" s="113" t="s">
        <v>123</v>
      </c>
      <c r="F144" s="113" t="str">
        <f>_xlfn.XLOOKUP(E144,'Allocated Transactions'!D:D,'Allocated Transactions'!E:E,"")</f>
        <v>Interest Expense</v>
      </c>
      <c r="G144" s="113" t="s">
        <v>97</v>
      </c>
      <c r="H144" s="113"/>
      <c r="I144" s="113" t="str">
        <f>_xlfn.XLOOKUP($C144,'Cost Centers'!$A$2:$A$11,'Cost Centers'!$C$2:$C$11,"")</f>
        <v>Admin</v>
      </c>
      <c r="J144" s="23">
        <f>MROUND(SUMIFS('Allocated Transactions'!$J:$J,'Allocated Transactions'!$D:$D,$E144,'Allocated Transactions'!$C:$C,$C144,'Allocated Transactions'!$A:$A,"&gt;="&amp;$A144,'Allocated Transactions'!$A:$A,"&lt;="&amp;EOMONTH($A144,0))*0.99,100)</f>
        <v>0</v>
      </c>
      <c r="K144" s="113" t="s">
        <v>637</v>
      </c>
    </row>
    <row r="145" spans="1:11" ht="15" customHeight="1">
      <c r="A145" s="112">
        <f t="shared" si="3"/>
        <v>46054</v>
      </c>
      <c r="B145" s="113">
        <v>1</v>
      </c>
      <c r="C145" s="18" t="s">
        <v>4</v>
      </c>
      <c r="D145" s="113" t="str">
        <f>_xlfn.XLOOKUP($C145,'Cost Centers'!$A$2:$A$11,'Cost Centers'!$B$2:$B$11,"")</f>
        <v>Executive</v>
      </c>
      <c r="E145" s="113" t="s">
        <v>125</v>
      </c>
      <c r="F145" s="113" t="str">
        <f>_xlfn.XLOOKUP(E145,'Allocated Transactions'!D:D,'Allocated Transactions'!E:E,"")</f>
        <v>Miscellaneous Expense</v>
      </c>
      <c r="G145" s="113" t="s">
        <v>97</v>
      </c>
      <c r="H145" s="113"/>
      <c r="I145" s="113" t="str">
        <f>_xlfn.XLOOKUP($C145,'Cost Centers'!$A$2:$A$11,'Cost Centers'!$C$2:$C$11,"")</f>
        <v>Admin</v>
      </c>
      <c r="J145" s="23">
        <f>MROUND(SUMIFS('Allocated Transactions'!$J:$J,'Allocated Transactions'!$D:$D,$E145,'Allocated Transactions'!$C:$C,$C145,'Allocated Transactions'!$A:$A,"&gt;="&amp;$A145,'Allocated Transactions'!$A:$A,"&lt;="&amp;EOMONTH($A145,0))*0.99,100)</f>
        <v>0</v>
      </c>
      <c r="K145" s="113" t="s">
        <v>637</v>
      </c>
    </row>
    <row r="146" spans="1:11" ht="15" customHeight="1">
      <c r="A146" s="112">
        <f t="shared" si="3"/>
        <v>46082</v>
      </c>
      <c r="B146" s="113">
        <v>1</v>
      </c>
      <c r="C146" s="18" t="s">
        <v>4</v>
      </c>
      <c r="D146" s="113" t="str">
        <f>_xlfn.XLOOKUP($C146,'Cost Centers'!$A$2:$A$11,'Cost Centers'!$B$2:$B$11,"")</f>
        <v>Executive</v>
      </c>
      <c r="E146" s="113" t="s">
        <v>28</v>
      </c>
      <c r="F146" s="113" t="str">
        <f>_xlfn.XLOOKUP(E146,'Allocated Transactions'!D:D,'Allocated Transactions'!E:E,"")</f>
        <v>Salaries and Wages</v>
      </c>
      <c r="G146" s="113" t="s">
        <v>97</v>
      </c>
      <c r="H146" s="113"/>
      <c r="I146" s="113" t="str">
        <f>_xlfn.XLOOKUP($C146,'Cost Centers'!$A$2:$A$11,'Cost Centers'!$C$2:$C$11,"")</f>
        <v>Admin</v>
      </c>
      <c r="J146" s="23">
        <f>MROUND(SUMIFS('Allocated Transactions'!$J:$J,'Allocated Transactions'!$D:$D,$E146,'Allocated Transactions'!$C:$C,$C146,'Allocated Transactions'!$A:$A,"&gt;="&amp;$A146,'Allocated Transactions'!$A:$A,"&lt;="&amp;EOMONTH($A146,0))*0.99,100)</f>
        <v>7200</v>
      </c>
      <c r="K146" s="113" t="s">
        <v>637</v>
      </c>
    </row>
    <row r="147" spans="1:11" ht="15" customHeight="1">
      <c r="A147" s="112">
        <f t="shared" si="3"/>
        <v>46082</v>
      </c>
      <c r="B147" s="113">
        <v>1</v>
      </c>
      <c r="C147" s="18" t="s">
        <v>4</v>
      </c>
      <c r="D147" s="113" t="str">
        <f>_xlfn.XLOOKUP($C147,'Cost Centers'!$A$2:$A$11,'Cost Centers'!$B$2:$B$11,"")</f>
        <v>Executive</v>
      </c>
      <c r="E147" s="113" t="s">
        <v>29</v>
      </c>
      <c r="F147" s="113" t="str">
        <f>_xlfn.XLOOKUP(E147,'Allocated Transactions'!D:D,'Allocated Transactions'!E:E,"")</f>
        <v>Payroll Taxes</v>
      </c>
      <c r="G147" s="113" t="s">
        <v>97</v>
      </c>
      <c r="H147" s="113"/>
      <c r="I147" s="113" t="str">
        <f>_xlfn.XLOOKUP($C147,'Cost Centers'!$A$2:$A$11,'Cost Centers'!$C$2:$C$11,"")</f>
        <v>Admin</v>
      </c>
      <c r="J147" s="23">
        <f>MROUND(SUMIFS('Allocated Transactions'!$J:$J,'Allocated Transactions'!$D:$D,$E147,'Allocated Transactions'!$C:$C,$C147,'Allocated Transactions'!$A:$A,"&gt;="&amp;$A147,'Allocated Transactions'!$A:$A,"&lt;="&amp;EOMONTH($A147,0))*0.99,100)</f>
        <v>600</v>
      </c>
      <c r="K147" s="113" t="s">
        <v>637</v>
      </c>
    </row>
    <row r="148" spans="1:11" ht="15" customHeight="1">
      <c r="A148" s="112">
        <f t="shared" ref="A148:A179" si="4">IF(E148="5000",EOMONTH(A147,0)+1,A147)</f>
        <v>46082</v>
      </c>
      <c r="B148" s="113">
        <v>1</v>
      </c>
      <c r="C148" s="18" t="s">
        <v>4</v>
      </c>
      <c r="D148" s="113" t="str">
        <f>_xlfn.XLOOKUP($C148,'Cost Centers'!$A$2:$A$11,'Cost Centers'!$B$2:$B$11,"")</f>
        <v>Executive</v>
      </c>
      <c r="E148" s="113" t="s">
        <v>30</v>
      </c>
      <c r="F148" s="113" t="str">
        <f>_xlfn.XLOOKUP(E148,'Allocated Transactions'!D:D,'Allocated Transactions'!E:E,"")</f>
        <v>Employee Benefits</v>
      </c>
      <c r="G148" s="113" t="s">
        <v>97</v>
      </c>
      <c r="H148" s="113"/>
      <c r="I148" s="113" t="str">
        <f>_xlfn.XLOOKUP($C148,'Cost Centers'!$A$2:$A$11,'Cost Centers'!$C$2:$C$11,"")</f>
        <v>Admin</v>
      </c>
      <c r="J148" s="23">
        <f>MROUND(SUMIFS('Allocated Transactions'!$J:$J,'Allocated Transactions'!$D:$D,$E148,'Allocated Transactions'!$C:$C,$C148,'Allocated Transactions'!$A:$A,"&gt;="&amp;$A148,'Allocated Transactions'!$A:$A,"&lt;="&amp;EOMONTH($A148,0))*0.99,100)</f>
        <v>3500</v>
      </c>
      <c r="K148" s="113" t="s">
        <v>637</v>
      </c>
    </row>
    <row r="149" spans="1:11" ht="15" customHeight="1">
      <c r="A149" s="112">
        <f t="shared" si="4"/>
        <v>46082</v>
      </c>
      <c r="B149" s="113">
        <v>1</v>
      </c>
      <c r="C149" s="18" t="s">
        <v>4</v>
      </c>
      <c r="D149" s="113" t="str">
        <f>_xlfn.XLOOKUP($C149,'Cost Centers'!$A$2:$A$11,'Cost Centers'!$B$2:$B$11,"")</f>
        <v>Executive</v>
      </c>
      <c r="E149" s="113" t="s">
        <v>31</v>
      </c>
      <c r="F149" s="113" t="str">
        <f>_xlfn.XLOOKUP(E149,'Allocated Transactions'!D:D,'Allocated Transactions'!E:E,"")</f>
        <v>Retirement Contributions</v>
      </c>
      <c r="G149" s="113" t="s">
        <v>97</v>
      </c>
      <c r="H149" s="113"/>
      <c r="I149" s="113" t="str">
        <f>_xlfn.XLOOKUP($C149,'Cost Centers'!$A$2:$A$11,'Cost Centers'!$C$2:$C$11,"")</f>
        <v>Admin</v>
      </c>
      <c r="J149" s="23">
        <f>MROUND(SUMIFS('Allocated Transactions'!$J:$J,'Allocated Transactions'!$D:$D,$E149,'Allocated Transactions'!$C:$C,$C149,'Allocated Transactions'!$A:$A,"&gt;="&amp;$A149,'Allocated Transactions'!$A:$A,"&lt;="&amp;EOMONTH($A149,0))*0.99,100)</f>
        <v>200</v>
      </c>
      <c r="K149" s="113" t="s">
        <v>637</v>
      </c>
    </row>
    <row r="150" spans="1:11" ht="15" customHeight="1">
      <c r="A150" s="112">
        <f t="shared" si="4"/>
        <v>46082</v>
      </c>
      <c r="B150" s="113">
        <v>1</v>
      </c>
      <c r="C150" s="18" t="s">
        <v>4</v>
      </c>
      <c r="D150" s="113" t="str">
        <f>_xlfn.XLOOKUP($C150,'Cost Centers'!$A$2:$A$11,'Cost Centers'!$B$2:$B$11,"")</f>
        <v>Executive</v>
      </c>
      <c r="E150" s="113" t="s">
        <v>101</v>
      </c>
      <c r="F150" s="113" t="str">
        <f>_xlfn.XLOOKUP(E150,'Allocated Transactions'!D:D,'Allocated Transactions'!E:E,"")</f>
        <v>Contract Labor / Consultants</v>
      </c>
      <c r="G150" s="113" t="s">
        <v>97</v>
      </c>
      <c r="H150" s="113"/>
      <c r="I150" s="113" t="str">
        <f>_xlfn.XLOOKUP($C150,'Cost Centers'!$A$2:$A$11,'Cost Centers'!$C$2:$C$11,"")</f>
        <v>Admin</v>
      </c>
      <c r="J150" s="23">
        <f>MROUND(SUMIFS('Allocated Transactions'!$J:$J,'Allocated Transactions'!$D:$D,$E150,'Allocated Transactions'!$C:$C,$C150,'Allocated Transactions'!$A:$A,"&gt;="&amp;$A150,'Allocated Transactions'!$A:$A,"&lt;="&amp;EOMONTH($A150,0))*0.99,100)</f>
        <v>0</v>
      </c>
      <c r="K150" s="113" t="s">
        <v>637</v>
      </c>
    </row>
    <row r="151" spans="1:11" ht="15" customHeight="1">
      <c r="A151" s="112">
        <f t="shared" si="4"/>
        <v>46082</v>
      </c>
      <c r="B151" s="113">
        <v>1</v>
      </c>
      <c r="C151" s="18" t="s">
        <v>4</v>
      </c>
      <c r="D151" s="113" t="str">
        <f>_xlfn.XLOOKUP($C151,'Cost Centers'!$A$2:$A$11,'Cost Centers'!$B$2:$B$11,"")</f>
        <v>Executive</v>
      </c>
      <c r="E151" s="113" t="s">
        <v>32</v>
      </c>
      <c r="F151" s="113" t="str">
        <f>_xlfn.XLOOKUP(E151,'Allocated Transactions'!D:D,'Allocated Transactions'!E:E,"")</f>
        <v>Rent</v>
      </c>
      <c r="G151" s="113" t="s">
        <v>97</v>
      </c>
      <c r="H151" s="113"/>
      <c r="I151" s="113" t="str">
        <f>_xlfn.XLOOKUP($C151,'Cost Centers'!$A$2:$A$11,'Cost Centers'!$C$2:$C$11,"")</f>
        <v>Admin</v>
      </c>
      <c r="J151" s="23">
        <f>MROUND(SUMIFS('Allocated Transactions'!$J:$J,'Allocated Transactions'!$D:$D,$E151,'Allocated Transactions'!$C:$C,$C151,'Allocated Transactions'!$A:$A,"&gt;="&amp;$A151,'Allocated Transactions'!$A:$A,"&lt;="&amp;EOMONTH($A151,0))*0.99,100)</f>
        <v>600</v>
      </c>
      <c r="K151" s="113" t="s">
        <v>637</v>
      </c>
    </row>
    <row r="152" spans="1:11" ht="15" customHeight="1">
      <c r="A152" s="112">
        <f t="shared" si="4"/>
        <v>46082</v>
      </c>
      <c r="B152" s="113">
        <v>1</v>
      </c>
      <c r="C152" s="18" t="s">
        <v>4</v>
      </c>
      <c r="D152" s="113" t="str">
        <f>_xlfn.XLOOKUP($C152,'Cost Centers'!$A$2:$A$11,'Cost Centers'!$B$2:$B$11,"")</f>
        <v>Executive</v>
      </c>
      <c r="E152" s="113" t="s">
        <v>33</v>
      </c>
      <c r="F152" s="113" t="str">
        <f>_xlfn.XLOOKUP(E152,'Allocated Transactions'!D:D,'Allocated Transactions'!E:E,"")</f>
        <v>Utilities</v>
      </c>
      <c r="G152" s="113" t="s">
        <v>97</v>
      </c>
      <c r="H152" s="113"/>
      <c r="I152" s="113" t="str">
        <f>_xlfn.XLOOKUP($C152,'Cost Centers'!$A$2:$A$11,'Cost Centers'!$C$2:$C$11,"")</f>
        <v>Admin</v>
      </c>
      <c r="J152" s="23">
        <f>MROUND(SUMIFS('Allocated Transactions'!$J:$J,'Allocated Transactions'!$D:$D,$E152,'Allocated Transactions'!$C:$C,$C152,'Allocated Transactions'!$A:$A,"&gt;="&amp;$A152,'Allocated Transactions'!$A:$A,"&lt;="&amp;EOMONTH($A152,0))*0.99,100)</f>
        <v>100</v>
      </c>
      <c r="K152" s="113" t="s">
        <v>637</v>
      </c>
    </row>
    <row r="153" spans="1:11" ht="15" customHeight="1">
      <c r="A153" s="112">
        <f t="shared" si="4"/>
        <v>46082</v>
      </c>
      <c r="B153" s="113">
        <v>1</v>
      </c>
      <c r="C153" s="18" t="s">
        <v>4</v>
      </c>
      <c r="D153" s="113" t="str">
        <f>_xlfn.XLOOKUP($C153,'Cost Centers'!$A$2:$A$11,'Cost Centers'!$B$2:$B$11,"")</f>
        <v>Executive</v>
      </c>
      <c r="E153" s="113" t="s">
        <v>105</v>
      </c>
      <c r="F153" s="113" t="str">
        <f>_xlfn.XLOOKUP(E153,'Allocated Transactions'!D:D,'Allocated Transactions'!E:E,"")</f>
        <v>Office Supplies</v>
      </c>
      <c r="G153" s="113" t="s">
        <v>97</v>
      </c>
      <c r="H153" s="113"/>
      <c r="I153" s="113" t="str">
        <f>_xlfn.XLOOKUP($C153,'Cost Centers'!$A$2:$A$11,'Cost Centers'!$C$2:$C$11,"")</f>
        <v>Admin</v>
      </c>
      <c r="J153" s="23">
        <f>MROUND(SUMIFS('Allocated Transactions'!$J:$J,'Allocated Transactions'!$D:$D,$E153,'Allocated Transactions'!$C:$C,$C153,'Allocated Transactions'!$A:$A,"&gt;="&amp;$A153,'Allocated Transactions'!$A:$A,"&lt;="&amp;EOMONTH($A153,0))*0.99,100)</f>
        <v>900</v>
      </c>
      <c r="K153" s="113" t="s">
        <v>637</v>
      </c>
    </row>
    <row r="154" spans="1:11" ht="15" customHeight="1">
      <c r="A154" s="112">
        <f t="shared" si="4"/>
        <v>46082</v>
      </c>
      <c r="B154" s="113">
        <v>1</v>
      </c>
      <c r="C154" s="18" t="s">
        <v>4</v>
      </c>
      <c r="D154" s="113" t="str">
        <f>_xlfn.XLOOKUP($C154,'Cost Centers'!$A$2:$A$11,'Cost Centers'!$B$2:$B$11,"")</f>
        <v>Executive</v>
      </c>
      <c r="E154" s="113" t="s">
        <v>107</v>
      </c>
      <c r="F154" s="113" t="str">
        <f>_xlfn.XLOOKUP(E154,'Allocated Transactions'!D:D,'Allocated Transactions'!E:E,"")</f>
        <v>Software and Subscriptions</v>
      </c>
      <c r="G154" s="113" t="s">
        <v>97</v>
      </c>
      <c r="H154" s="113"/>
      <c r="I154" s="113" t="str">
        <f>_xlfn.XLOOKUP($C154,'Cost Centers'!$A$2:$A$11,'Cost Centers'!$C$2:$C$11,"")</f>
        <v>Admin</v>
      </c>
      <c r="J154" s="23">
        <f>MROUND(SUMIFS('Allocated Transactions'!$J:$J,'Allocated Transactions'!$D:$D,$E154,'Allocated Transactions'!$C:$C,$C154,'Allocated Transactions'!$A:$A,"&gt;="&amp;$A154,'Allocated Transactions'!$A:$A,"&lt;="&amp;EOMONTH($A154,0))*0.99,100)</f>
        <v>0</v>
      </c>
      <c r="K154" s="113" t="s">
        <v>637</v>
      </c>
    </row>
    <row r="155" spans="1:11" ht="15" customHeight="1">
      <c r="A155" s="112">
        <f t="shared" si="4"/>
        <v>46082</v>
      </c>
      <c r="B155" s="113">
        <v>1</v>
      </c>
      <c r="C155" s="18" t="s">
        <v>4</v>
      </c>
      <c r="D155" s="113" t="str">
        <f>_xlfn.XLOOKUP($C155,'Cost Centers'!$A$2:$A$11,'Cost Centers'!$B$2:$B$11,"")</f>
        <v>Executive</v>
      </c>
      <c r="E155" s="113" t="s">
        <v>109</v>
      </c>
      <c r="F155" s="113" t="str">
        <f>_xlfn.XLOOKUP(E155,'Allocated Transactions'!D:D,'Allocated Transactions'!E:E,"")</f>
        <v>Travel</v>
      </c>
      <c r="G155" s="113" t="s">
        <v>97</v>
      </c>
      <c r="H155" s="113"/>
      <c r="I155" s="113" t="str">
        <f>_xlfn.XLOOKUP($C155,'Cost Centers'!$A$2:$A$11,'Cost Centers'!$C$2:$C$11,"")</f>
        <v>Admin</v>
      </c>
      <c r="J155" s="23">
        <f>MROUND(SUMIFS('Allocated Transactions'!$J:$J,'Allocated Transactions'!$D:$D,$E155,'Allocated Transactions'!$C:$C,$C155,'Allocated Transactions'!$A:$A,"&gt;="&amp;$A155,'Allocated Transactions'!$A:$A,"&lt;="&amp;EOMONTH($A155,0))*0.99,100)</f>
        <v>0</v>
      </c>
      <c r="K155" s="113" t="s">
        <v>637</v>
      </c>
    </row>
    <row r="156" spans="1:11" ht="15" customHeight="1">
      <c r="A156" s="112">
        <f t="shared" si="4"/>
        <v>46082</v>
      </c>
      <c r="B156" s="113">
        <v>1</v>
      </c>
      <c r="C156" s="18" t="s">
        <v>4</v>
      </c>
      <c r="D156" s="113" t="str">
        <f>_xlfn.XLOOKUP($C156,'Cost Centers'!$A$2:$A$11,'Cost Centers'!$B$2:$B$11,"")</f>
        <v>Executive</v>
      </c>
      <c r="E156" s="113" t="s">
        <v>111</v>
      </c>
      <c r="F156" s="113" t="str">
        <f>_xlfn.XLOOKUP(E156,'Allocated Transactions'!D:D,'Allocated Transactions'!E:E,"")</f>
        <v>Meals and Entertainment</v>
      </c>
      <c r="G156" s="113" t="s">
        <v>97</v>
      </c>
      <c r="H156" s="113"/>
      <c r="I156" s="113" t="str">
        <f>_xlfn.XLOOKUP($C156,'Cost Centers'!$A$2:$A$11,'Cost Centers'!$C$2:$C$11,"")</f>
        <v>Admin</v>
      </c>
      <c r="J156" s="23">
        <f>MROUND(SUMIFS('Allocated Transactions'!$J:$J,'Allocated Transactions'!$D:$D,$E156,'Allocated Transactions'!$C:$C,$C156,'Allocated Transactions'!$A:$A,"&gt;="&amp;$A156,'Allocated Transactions'!$A:$A,"&lt;="&amp;EOMONTH($A156,0))*0.99,100)</f>
        <v>0</v>
      </c>
      <c r="K156" s="113" t="s">
        <v>637</v>
      </c>
    </row>
    <row r="157" spans="1:11" ht="15" customHeight="1">
      <c r="A157" s="112">
        <f t="shared" si="4"/>
        <v>46082</v>
      </c>
      <c r="B157" s="113">
        <v>1</v>
      </c>
      <c r="C157" s="18" t="s">
        <v>4</v>
      </c>
      <c r="D157" s="113" t="str">
        <f>_xlfn.XLOOKUP($C157,'Cost Centers'!$A$2:$A$11,'Cost Centers'!$B$2:$B$11,"")</f>
        <v>Executive</v>
      </c>
      <c r="E157" s="113" t="s">
        <v>113</v>
      </c>
      <c r="F157" s="113" t="str">
        <f>_xlfn.XLOOKUP(E157,'Allocated Transactions'!D:D,'Allocated Transactions'!E:E,"")</f>
        <v>Professional Fees - Legal</v>
      </c>
      <c r="G157" s="113" t="s">
        <v>97</v>
      </c>
      <c r="H157" s="113"/>
      <c r="I157" s="113" t="str">
        <f>_xlfn.XLOOKUP($C157,'Cost Centers'!$A$2:$A$11,'Cost Centers'!$C$2:$C$11,"")</f>
        <v>Admin</v>
      </c>
      <c r="J157" s="23">
        <f>MROUND(SUMIFS('Allocated Transactions'!$J:$J,'Allocated Transactions'!$D:$D,$E157,'Allocated Transactions'!$C:$C,$C157,'Allocated Transactions'!$A:$A,"&gt;="&amp;$A157,'Allocated Transactions'!$A:$A,"&lt;="&amp;EOMONTH($A157,0))*0.99,100)</f>
        <v>0</v>
      </c>
      <c r="K157" s="113" t="s">
        <v>637</v>
      </c>
    </row>
    <row r="158" spans="1:11" ht="15" customHeight="1">
      <c r="A158" s="112">
        <f t="shared" si="4"/>
        <v>46082</v>
      </c>
      <c r="B158" s="113">
        <v>1</v>
      </c>
      <c r="C158" s="18" t="s">
        <v>4</v>
      </c>
      <c r="D158" s="113" t="str">
        <f>_xlfn.XLOOKUP($C158,'Cost Centers'!$A$2:$A$11,'Cost Centers'!$B$2:$B$11,"")</f>
        <v>Executive</v>
      </c>
      <c r="E158" s="113" t="s">
        <v>115</v>
      </c>
      <c r="F158" s="113" t="str">
        <f>_xlfn.XLOOKUP(E158,'Allocated Transactions'!D:D,'Allocated Transactions'!E:E,"")</f>
        <v>Professional Fees - Accounting/Audit</v>
      </c>
      <c r="G158" s="113" t="s">
        <v>97</v>
      </c>
      <c r="H158" s="113"/>
      <c r="I158" s="113" t="str">
        <f>_xlfn.XLOOKUP($C158,'Cost Centers'!$A$2:$A$11,'Cost Centers'!$C$2:$C$11,"")</f>
        <v>Admin</v>
      </c>
      <c r="J158" s="23">
        <f>MROUND(SUMIFS('Allocated Transactions'!$J:$J,'Allocated Transactions'!$D:$D,$E158,'Allocated Transactions'!$C:$C,$C158,'Allocated Transactions'!$A:$A,"&gt;="&amp;$A158,'Allocated Transactions'!$A:$A,"&lt;="&amp;EOMONTH($A158,0))*0.99,100)</f>
        <v>0</v>
      </c>
      <c r="K158" s="113" t="s">
        <v>637</v>
      </c>
    </row>
    <row r="159" spans="1:11" ht="15" customHeight="1">
      <c r="A159" s="112">
        <f t="shared" si="4"/>
        <v>46082</v>
      </c>
      <c r="B159" s="113">
        <v>1</v>
      </c>
      <c r="C159" s="18" t="s">
        <v>4</v>
      </c>
      <c r="D159" s="113" t="str">
        <f>_xlfn.XLOOKUP($C159,'Cost Centers'!$A$2:$A$11,'Cost Centers'!$B$2:$B$11,"")</f>
        <v>Executive</v>
      </c>
      <c r="E159" s="113" t="s">
        <v>117</v>
      </c>
      <c r="F159" s="113" t="str">
        <f>_xlfn.XLOOKUP(E159,'Allocated Transactions'!D:D,'Allocated Transactions'!E:E,"")</f>
        <v>Insurance</v>
      </c>
      <c r="G159" s="113" t="s">
        <v>97</v>
      </c>
      <c r="H159" s="113"/>
      <c r="I159" s="113" t="str">
        <f>_xlfn.XLOOKUP($C159,'Cost Centers'!$A$2:$A$11,'Cost Centers'!$C$2:$C$11,"")</f>
        <v>Admin</v>
      </c>
      <c r="J159" s="23">
        <f>MROUND(SUMIFS('Allocated Transactions'!$J:$J,'Allocated Transactions'!$D:$D,$E159,'Allocated Transactions'!$C:$C,$C159,'Allocated Transactions'!$A:$A,"&gt;="&amp;$A159,'Allocated Transactions'!$A:$A,"&lt;="&amp;EOMONTH($A159,0))*0.99,100)</f>
        <v>500</v>
      </c>
      <c r="K159" s="113" t="s">
        <v>637</v>
      </c>
    </row>
    <row r="160" spans="1:11" ht="15" customHeight="1">
      <c r="A160" s="112">
        <f t="shared" si="4"/>
        <v>46082</v>
      </c>
      <c r="B160" s="113">
        <v>1</v>
      </c>
      <c r="C160" s="18" t="s">
        <v>4</v>
      </c>
      <c r="D160" s="113" t="str">
        <f>_xlfn.XLOOKUP($C160,'Cost Centers'!$A$2:$A$11,'Cost Centers'!$B$2:$B$11,"")</f>
        <v>Executive</v>
      </c>
      <c r="E160" s="113" t="s">
        <v>119</v>
      </c>
      <c r="F160" s="113" t="str">
        <f>_xlfn.XLOOKUP(E160,'Allocated Transactions'!D:D,'Allocated Transactions'!E:E,"")</f>
        <v>Depreciation Expense</v>
      </c>
      <c r="G160" s="113" t="s">
        <v>97</v>
      </c>
      <c r="H160" s="113"/>
      <c r="I160" s="113" t="str">
        <f>_xlfn.XLOOKUP($C160,'Cost Centers'!$A$2:$A$11,'Cost Centers'!$C$2:$C$11,"")</f>
        <v>Admin</v>
      </c>
      <c r="J160" s="23">
        <f>MROUND(SUMIFS('Allocated Transactions'!$J:$J,'Allocated Transactions'!$D:$D,$E160,'Allocated Transactions'!$C:$C,$C160,'Allocated Transactions'!$A:$A,"&gt;="&amp;$A160,'Allocated Transactions'!$A:$A,"&lt;="&amp;EOMONTH($A160,0))*0.99,100)</f>
        <v>0</v>
      </c>
      <c r="K160" s="113" t="s">
        <v>637</v>
      </c>
    </row>
    <row r="161" spans="1:11" ht="15" customHeight="1">
      <c r="A161" s="112">
        <f t="shared" si="4"/>
        <v>46082</v>
      </c>
      <c r="B161" s="113">
        <v>1</v>
      </c>
      <c r="C161" s="18" t="s">
        <v>4</v>
      </c>
      <c r="D161" s="113" t="str">
        <f>_xlfn.XLOOKUP($C161,'Cost Centers'!$A$2:$A$11,'Cost Centers'!$B$2:$B$11,"")</f>
        <v>Executive</v>
      </c>
      <c r="E161" s="113" t="s">
        <v>121</v>
      </c>
      <c r="F161" s="113" t="str">
        <f>_xlfn.XLOOKUP(E161,'Allocated Transactions'!D:D,'Allocated Transactions'!E:E,"")</f>
        <v>Bank Fees</v>
      </c>
      <c r="G161" s="113" t="s">
        <v>97</v>
      </c>
      <c r="H161" s="113"/>
      <c r="I161" s="113" t="str">
        <f>_xlfn.XLOOKUP($C161,'Cost Centers'!$A$2:$A$11,'Cost Centers'!$C$2:$C$11,"")</f>
        <v>Admin</v>
      </c>
      <c r="J161" s="23">
        <f>MROUND(SUMIFS('Allocated Transactions'!$J:$J,'Allocated Transactions'!$D:$D,$E161,'Allocated Transactions'!$C:$C,$C161,'Allocated Transactions'!$A:$A,"&gt;="&amp;$A161,'Allocated Transactions'!$A:$A,"&lt;="&amp;EOMONTH($A161,0))*0.99,100)</f>
        <v>0</v>
      </c>
      <c r="K161" s="113" t="s">
        <v>637</v>
      </c>
    </row>
    <row r="162" spans="1:11" ht="15" customHeight="1">
      <c r="A162" s="112">
        <f t="shared" si="4"/>
        <v>46082</v>
      </c>
      <c r="B162" s="113">
        <v>1</v>
      </c>
      <c r="C162" s="18" t="s">
        <v>4</v>
      </c>
      <c r="D162" s="113" t="str">
        <f>_xlfn.XLOOKUP($C162,'Cost Centers'!$A$2:$A$11,'Cost Centers'!$B$2:$B$11,"")</f>
        <v>Executive</v>
      </c>
      <c r="E162" s="113" t="s">
        <v>123</v>
      </c>
      <c r="F162" s="113" t="str">
        <f>_xlfn.XLOOKUP(E162,'Allocated Transactions'!D:D,'Allocated Transactions'!E:E,"")</f>
        <v>Interest Expense</v>
      </c>
      <c r="G162" s="113" t="s">
        <v>97</v>
      </c>
      <c r="H162" s="113"/>
      <c r="I162" s="113" t="str">
        <f>_xlfn.XLOOKUP($C162,'Cost Centers'!$A$2:$A$11,'Cost Centers'!$C$2:$C$11,"")</f>
        <v>Admin</v>
      </c>
      <c r="J162" s="23">
        <f>MROUND(SUMIFS('Allocated Transactions'!$J:$J,'Allocated Transactions'!$D:$D,$E162,'Allocated Transactions'!$C:$C,$C162,'Allocated Transactions'!$A:$A,"&gt;="&amp;$A162,'Allocated Transactions'!$A:$A,"&lt;="&amp;EOMONTH($A162,0))*0.99,100)</f>
        <v>0</v>
      </c>
      <c r="K162" s="113" t="s">
        <v>637</v>
      </c>
    </row>
    <row r="163" spans="1:11" ht="15" customHeight="1">
      <c r="A163" s="112">
        <f t="shared" si="4"/>
        <v>46082</v>
      </c>
      <c r="B163" s="113">
        <v>1</v>
      </c>
      <c r="C163" s="18" t="s">
        <v>4</v>
      </c>
      <c r="D163" s="113" t="str">
        <f>_xlfn.XLOOKUP($C163,'Cost Centers'!$A$2:$A$11,'Cost Centers'!$B$2:$B$11,"")</f>
        <v>Executive</v>
      </c>
      <c r="E163" s="113" t="s">
        <v>125</v>
      </c>
      <c r="F163" s="113" t="str">
        <f>_xlfn.XLOOKUP(E163,'Allocated Transactions'!D:D,'Allocated Transactions'!E:E,"")</f>
        <v>Miscellaneous Expense</v>
      </c>
      <c r="G163" s="113" t="s">
        <v>97</v>
      </c>
      <c r="H163" s="113"/>
      <c r="I163" s="113" t="str">
        <f>_xlfn.XLOOKUP($C163,'Cost Centers'!$A$2:$A$11,'Cost Centers'!$C$2:$C$11,"")</f>
        <v>Admin</v>
      </c>
      <c r="J163" s="23">
        <f>MROUND(SUMIFS('Allocated Transactions'!$J:$J,'Allocated Transactions'!$D:$D,$E163,'Allocated Transactions'!$C:$C,$C163,'Allocated Transactions'!$A:$A,"&gt;="&amp;$A163,'Allocated Transactions'!$A:$A,"&lt;="&amp;EOMONTH($A163,0))*0.99,100)</f>
        <v>0</v>
      </c>
      <c r="K163" s="113" t="s">
        <v>637</v>
      </c>
    </row>
    <row r="164" spans="1:11" ht="15" customHeight="1">
      <c r="A164" s="112">
        <f t="shared" si="4"/>
        <v>46113</v>
      </c>
      <c r="B164" s="113">
        <v>1</v>
      </c>
      <c r="C164" s="18" t="s">
        <v>4</v>
      </c>
      <c r="D164" s="113" t="str">
        <f>_xlfn.XLOOKUP($C164,'Cost Centers'!$A$2:$A$11,'Cost Centers'!$B$2:$B$11,"")</f>
        <v>Executive</v>
      </c>
      <c r="E164" s="113" t="s">
        <v>28</v>
      </c>
      <c r="F164" s="113" t="str">
        <f>_xlfn.XLOOKUP(E164,'Allocated Transactions'!D:D,'Allocated Transactions'!E:E,"")</f>
        <v>Salaries and Wages</v>
      </c>
      <c r="G164" s="113" t="s">
        <v>97</v>
      </c>
      <c r="H164" s="113"/>
      <c r="I164" s="113" t="str">
        <f>_xlfn.XLOOKUP($C164,'Cost Centers'!$A$2:$A$11,'Cost Centers'!$C$2:$C$11,"")</f>
        <v>Admin</v>
      </c>
      <c r="J164" s="23">
        <f>MROUND(SUMIFS('Allocated Transactions'!$J:$J,'Allocated Transactions'!$D:$D,$E164,'Allocated Transactions'!$C:$C,$C164,'Allocated Transactions'!$A:$A,"&gt;="&amp;$A164,'Allocated Transactions'!$A:$A,"&lt;="&amp;EOMONTH($A164,0))*0.99,100)</f>
        <v>7300</v>
      </c>
      <c r="K164" s="113" t="s">
        <v>637</v>
      </c>
    </row>
    <row r="165" spans="1:11" ht="15" customHeight="1">
      <c r="A165" s="112">
        <f t="shared" si="4"/>
        <v>46113</v>
      </c>
      <c r="B165" s="113">
        <v>1</v>
      </c>
      <c r="C165" s="18" t="s">
        <v>4</v>
      </c>
      <c r="D165" s="113" t="str">
        <f>_xlfn.XLOOKUP($C165,'Cost Centers'!$A$2:$A$11,'Cost Centers'!$B$2:$B$11,"")</f>
        <v>Executive</v>
      </c>
      <c r="E165" s="113" t="s">
        <v>29</v>
      </c>
      <c r="F165" s="113" t="str">
        <f>_xlfn.XLOOKUP(E165,'Allocated Transactions'!D:D,'Allocated Transactions'!E:E,"")</f>
        <v>Payroll Taxes</v>
      </c>
      <c r="G165" s="113" t="s">
        <v>97</v>
      </c>
      <c r="H165" s="113"/>
      <c r="I165" s="113" t="str">
        <f>_xlfn.XLOOKUP($C165,'Cost Centers'!$A$2:$A$11,'Cost Centers'!$C$2:$C$11,"")</f>
        <v>Admin</v>
      </c>
      <c r="J165" s="23">
        <f>MROUND(SUMIFS('Allocated Transactions'!$J:$J,'Allocated Transactions'!$D:$D,$E165,'Allocated Transactions'!$C:$C,$C165,'Allocated Transactions'!$A:$A,"&gt;="&amp;$A165,'Allocated Transactions'!$A:$A,"&lt;="&amp;EOMONTH($A165,0))*0.99,100)</f>
        <v>600</v>
      </c>
      <c r="K165" s="113" t="s">
        <v>637</v>
      </c>
    </row>
    <row r="166" spans="1:11" ht="15" customHeight="1">
      <c r="A166" s="112">
        <f t="shared" si="4"/>
        <v>46113</v>
      </c>
      <c r="B166" s="113">
        <v>1</v>
      </c>
      <c r="C166" s="18" t="s">
        <v>4</v>
      </c>
      <c r="D166" s="113" t="str">
        <f>_xlfn.XLOOKUP($C166,'Cost Centers'!$A$2:$A$11,'Cost Centers'!$B$2:$B$11,"")</f>
        <v>Executive</v>
      </c>
      <c r="E166" s="113" t="s">
        <v>30</v>
      </c>
      <c r="F166" s="113" t="str">
        <f>_xlfn.XLOOKUP(E166,'Allocated Transactions'!D:D,'Allocated Transactions'!E:E,"")</f>
        <v>Employee Benefits</v>
      </c>
      <c r="G166" s="113" t="s">
        <v>97</v>
      </c>
      <c r="H166" s="113"/>
      <c r="I166" s="113" t="str">
        <f>_xlfn.XLOOKUP($C166,'Cost Centers'!$A$2:$A$11,'Cost Centers'!$C$2:$C$11,"")</f>
        <v>Admin</v>
      </c>
      <c r="J166" s="23">
        <f>MROUND(SUMIFS('Allocated Transactions'!$J:$J,'Allocated Transactions'!$D:$D,$E166,'Allocated Transactions'!$C:$C,$C166,'Allocated Transactions'!$A:$A,"&gt;="&amp;$A166,'Allocated Transactions'!$A:$A,"&lt;="&amp;EOMONTH($A166,0))*0.99,100)</f>
        <v>4000</v>
      </c>
      <c r="K166" s="113" t="s">
        <v>637</v>
      </c>
    </row>
    <row r="167" spans="1:11" ht="15" customHeight="1">
      <c r="A167" s="112">
        <f t="shared" si="4"/>
        <v>46113</v>
      </c>
      <c r="B167" s="113">
        <v>1</v>
      </c>
      <c r="C167" s="18" t="s">
        <v>4</v>
      </c>
      <c r="D167" s="113" t="str">
        <f>_xlfn.XLOOKUP($C167,'Cost Centers'!$A$2:$A$11,'Cost Centers'!$B$2:$B$11,"")</f>
        <v>Executive</v>
      </c>
      <c r="E167" s="113" t="s">
        <v>31</v>
      </c>
      <c r="F167" s="113" t="str">
        <f>_xlfn.XLOOKUP(E167,'Allocated Transactions'!D:D,'Allocated Transactions'!E:E,"")</f>
        <v>Retirement Contributions</v>
      </c>
      <c r="G167" s="113" t="s">
        <v>97</v>
      </c>
      <c r="H167" s="113"/>
      <c r="I167" s="113" t="str">
        <f>_xlfn.XLOOKUP($C167,'Cost Centers'!$A$2:$A$11,'Cost Centers'!$C$2:$C$11,"")</f>
        <v>Admin</v>
      </c>
      <c r="J167" s="23">
        <f>MROUND(SUMIFS('Allocated Transactions'!$J:$J,'Allocated Transactions'!$D:$D,$E167,'Allocated Transactions'!$C:$C,$C167,'Allocated Transactions'!$A:$A,"&gt;="&amp;$A167,'Allocated Transactions'!$A:$A,"&lt;="&amp;EOMONTH($A167,0))*0.99,100)</f>
        <v>200</v>
      </c>
      <c r="K167" s="113" t="s">
        <v>637</v>
      </c>
    </row>
    <row r="168" spans="1:11" ht="15" customHeight="1">
      <c r="A168" s="112">
        <f t="shared" si="4"/>
        <v>46113</v>
      </c>
      <c r="B168" s="113">
        <v>1</v>
      </c>
      <c r="C168" s="18" t="s">
        <v>4</v>
      </c>
      <c r="D168" s="113" t="str">
        <f>_xlfn.XLOOKUP($C168,'Cost Centers'!$A$2:$A$11,'Cost Centers'!$B$2:$B$11,"")</f>
        <v>Executive</v>
      </c>
      <c r="E168" s="113" t="s">
        <v>101</v>
      </c>
      <c r="F168" s="113" t="str">
        <f>_xlfn.XLOOKUP(E168,'Allocated Transactions'!D:D,'Allocated Transactions'!E:E,"")</f>
        <v>Contract Labor / Consultants</v>
      </c>
      <c r="G168" s="113" t="s">
        <v>97</v>
      </c>
      <c r="H168" s="113"/>
      <c r="I168" s="113" t="str">
        <f>_xlfn.XLOOKUP($C168,'Cost Centers'!$A$2:$A$11,'Cost Centers'!$C$2:$C$11,"")</f>
        <v>Admin</v>
      </c>
      <c r="J168" s="23">
        <f>MROUND(SUMIFS('Allocated Transactions'!$J:$J,'Allocated Transactions'!$D:$D,$E168,'Allocated Transactions'!$C:$C,$C168,'Allocated Transactions'!$A:$A,"&gt;="&amp;$A168,'Allocated Transactions'!$A:$A,"&lt;="&amp;EOMONTH($A168,0))*0.99,100)</f>
        <v>0</v>
      </c>
      <c r="K168" s="113" t="s">
        <v>637</v>
      </c>
    </row>
    <row r="169" spans="1:11" ht="15" customHeight="1">
      <c r="A169" s="112">
        <f t="shared" si="4"/>
        <v>46113</v>
      </c>
      <c r="B169" s="113">
        <v>1</v>
      </c>
      <c r="C169" s="18" t="s">
        <v>4</v>
      </c>
      <c r="D169" s="113" t="str">
        <f>_xlfn.XLOOKUP($C169,'Cost Centers'!$A$2:$A$11,'Cost Centers'!$B$2:$B$11,"")</f>
        <v>Executive</v>
      </c>
      <c r="E169" s="113" t="s">
        <v>32</v>
      </c>
      <c r="F169" s="113" t="str">
        <f>_xlfn.XLOOKUP(E169,'Allocated Transactions'!D:D,'Allocated Transactions'!E:E,"")</f>
        <v>Rent</v>
      </c>
      <c r="G169" s="113" t="s">
        <v>97</v>
      </c>
      <c r="H169" s="113"/>
      <c r="I169" s="113" t="str">
        <f>_xlfn.XLOOKUP($C169,'Cost Centers'!$A$2:$A$11,'Cost Centers'!$C$2:$C$11,"")</f>
        <v>Admin</v>
      </c>
      <c r="J169" s="23">
        <f>MROUND(SUMIFS('Allocated Transactions'!$J:$J,'Allocated Transactions'!$D:$D,$E169,'Allocated Transactions'!$C:$C,$C169,'Allocated Transactions'!$A:$A,"&gt;="&amp;$A169,'Allocated Transactions'!$A:$A,"&lt;="&amp;EOMONTH($A169,0))*0.99,100)</f>
        <v>600</v>
      </c>
      <c r="K169" s="113" t="s">
        <v>637</v>
      </c>
    </row>
    <row r="170" spans="1:11" ht="15" customHeight="1">
      <c r="A170" s="112">
        <f t="shared" si="4"/>
        <v>46113</v>
      </c>
      <c r="B170" s="113">
        <v>1</v>
      </c>
      <c r="C170" s="18" t="s">
        <v>4</v>
      </c>
      <c r="D170" s="113" t="str">
        <f>_xlfn.XLOOKUP($C170,'Cost Centers'!$A$2:$A$11,'Cost Centers'!$B$2:$B$11,"")</f>
        <v>Executive</v>
      </c>
      <c r="E170" s="113" t="s">
        <v>33</v>
      </c>
      <c r="F170" s="113" t="str">
        <f>_xlfn.XLOOKUP(E170,'Allocated Transactions'!D:D,'Allocated Transactions'!E:E,"")</f>
        <v>Utilities</v>
      </c>
      <c r="G170" s="113" t="s">
        <v>97</v>
      </c>
      <c r="H170" s="113"/>
      <c r="I170" s="113" t="str">
        <f>_xlfn.XLOOKUP($C170,'Cost Centers'!$A$2:$A$11,'Cost Centers'!$C$2:$C$11,"")</f>
        <v>Admin</v>
      </c>
      <c r="J170" s="23">
        <f>MROUND(SUMIFS('Allocated Transactions'!$J:$J,'Allocated Transactions'!$D:$D,$E170,'Allocated Transactions'!$C:$C,$C170,'Allocated Transactions'!$A:$A,"&gt;="&amp;$A170,'Allocated Transactions'!$A:$A,"&lt;="&amp;EOMONTH($A170,0))*0.99,100)</f>
        <v>0</v>
      </c>
      <c r="K170" s="113" t="s">
        <v>637</v>
      </c>
    </row>
    <row r="171" spans="1:11" ht="15" customHeight="1">
      <c r="A171" s="112">
        <f t="shared" si="4"/>
        <v>46113</v>
      </c>
      <c r="B171" s="113">
        <v>1</v>
      </c>
      <c r="C171" s="18" t="s">
        <v>4</v>
      </c>
      <c r="D171" s="113" t="str">
        <f>_xlfn.XLOOKUP($C171,'Cost Centers'!$A$2:$A$11,'Cost Centers'!$B$2:$B$11,"")</f>
        <v>Executive</v>
      </c>
      <c r="E171" s="113" t="s">
        <v>105</v>
      </c>
      <c r="F171" s="113" t="str">
        <f>_xlfn.XLOOKUP(E171,'Allocated Transactions'!D:D,'Allocated Transactions'!E:E,"")</f>
        <v>Office Supplies</v>
      </c>
      <c r="G171" s="113" t="s">
        <v>97</v>
      </c>
      <c r="H171" s="113"/>
      <c r="I171" s="113" t="str">
        <f>_xlfn.XLOOKUP($C171,'Cost Centers'!$A$2:$A$11,'Cost Centers'!$C$2:$C$11,"")</f>
        <v>Admin</v>
      </c>
      <c r="J171" s="23">
        <f>MROUND(SUMIFS('Allocated Transactions'!$J:$J,'Allocated Transactions'!$D:$D,$E171,'Allocated Transactions'!$C:$C,$C171,'Allocated Transactions'!$A:$A,"&gt;="&amp;$A171,'Allocated Transactions'!$A:$A,"&lt;="&amp;EOMONTH($A171,0))*0.99,100)</f>
        <v>0</v>
      </c>
      <c r="K171" s="113" t="s">
        <v>637</v>
      </c>
    </row>
    <row r="172" spans="1:11" ht="15" customHeight="1">
      <c r="A172" s="112">
        <f t="shared" si="4"/>
        <v>46113</v>
      </c>
      <c r="B172" s="113">
        <v>1</v>
      </c>
      <c r="C172" s="18" t="s">
        <v>4</v>
      </c>
      <c r="D172" s="113" t="str">
        <f>_xlfn.XLOOKUP($C172,'Cost Centers'!$A$2:$A$11,'Cost Centers'!$B$2:$B$11,"")</f>
        <v>Executive</v>
      </c>
      <c r="E172" s="113" t="s">
        <v>107</v>
      </c>
      <c r="F172" s="113" t="str">
        <f>_xlfn.XLOOKUP(E172,'Allocated Transactions'!D:D,'Allocated Transactions'!E:E,"")</f>
        <v>Software and Subscriptions</v>
      </c>
      <c r="G172" s="113" t="s">
        <v>97</v>
      </c>
      <c r="H172" s="113"/>
      <c r="I172" s="113" t="str">
        <f>_xlfn.XLOOKUP($C172,'Cost Centers'!$A$2:$A$11,'Cost Centers'!$C$2:$C$11,"")</f>
        <v>Admin</v>
      </c>
      <c r="J172" s="23">
        <f>MROUND(SUMIFS('Allocated Transactions'!$J:$J,'Allocated Transactions'!$D:$D,$E172,'Allocated Transactions'!$C:$C,$C172,'Allocated Transactions'!$A:$A,"&gt;="&amp;$A172,'Allocated Transactions'!$A:$A,"&lt;="&amp;EOMONTH($A172,0))*0.99,100)</f>
        <v>0</v>
      </c>
      <c r="K172" s="113" t="s">
        <v>637</v>
      </c>
    </row>
    <row r="173" spans="1:11" ht="15" customHeight="1">
      <c r="A173" s="112">
        <f t="shared" si="4"/>
        <v>46113</v>
      </c>
      <c r="B173" s="113">
        <v>1</v>
      </c>
      <c r="C173" s="18" t="s">
        <v>4</v>
      </c>
      <c r="D173" s="113" t="str">
        <f>_xlfn.XLOOKUP($C173,'Cost Centers'!$A$2:$A$11,'Cost Centers'!$B$2:$B$11,"")</f>
        <v>Executive</v>
      </c>
      <c r="E173" s="113" t="s">
        <v>109</v>
      </c>
      <c r="F173" s="113" t="str">
        <f>_xlfn.XLOOKUP(E173,'Allocated Transactions'!D:D,'Allocated Transactions'!E:E,"")</f>
        <v>Travel</v>
      </c>
      <c r="G173" s="113" t="s">
        <v>97</v>
      </c>
      <c r="H173" s="113"/>
      <c r="I173" s="113" t="str">
        <f>_xlfn.XLOOKUP($C173,'Cost Centers'!$A$2:$A$11,'Cost Centers'!$C$2:$C$11,"")</f>
        <v>Admin</v>
      </c>
      <c r="J173" s="23">
        <f>MROUND(SUMIFS('Allocated Transactions'!$J:$J,'Allocated Transactions'!$D:$D,$E173,'Allocated Transactions'!$C:$C,$C173,'Allocated Transactions'!$A:$A,"&gt;="&amp;$A173,'Allocated Transactions'!$A:$A,"&lt;="&amp;EOMONTH($A173,0))*0.99,100)</f>
        <v>0</v>
      </c>
      <c r="K173" s="113" t="s">
        <v>637</v>
      </c>
    </row>
    <row r="174" spans="1:11" ht="15" customHeight="1">
      <c r="A174" s="112">
        <f t="shared" si="4"/>
        <v>46113</v>
      </c>
      <c r="B174" s="113">
        <v>1</v>
      </c>
      <c r="C174" s="18" t="s">
        <v>4</v>
      </c>
      <c r="D174" s="113" t="str">
        <f>_xlfn.XLOOKUP($C174,'Cost Centers'!$A$2:$A$11,'Cost Centers'!$B$2:$B$11,"")</f>
        <v>Executive</v>
      </c>
      <c r="E174" s="113" t="s">
        <v>111</v>
      </c>
      <c r="F174" s="113" t="str">
        <f>_xlfn.XLOOKUP(E174,'Allocated Transactions'!D:D,'Allocated Transactions'!E:E,"")</f>
        <v>Meals and Entertainment</v>
      </c>
      <c r="G174" s="113" t="s">
        <v>97</v>
      </c>
      <c r="H174" s="113"/>
      <c r="I174" s="113" t="str">
        <f>_xlfn.XLOOKUP($C174,'Cost Centers'!$A$2:$A$11,'Cost Centers'!$C$2:$C$11,"")</f>
        <v>Admin</v>
      </c>
      <c r="J174" s="23">
        <f>MROUND(SUMIFS('Allocated Transactions'!$J:$J,'Allocated Transactions'!$D:$D,$E174,'Allocated Transactions'!$C:$C,$C174,'Allocated Transactions'!$A:$A,"&gt;="&amp;$A174,'Allocated Transactions'!$A:$A,"&lt;="&amp;EOMONTH($A174,0))*0.99,100)</f>
        <v>0</v>
      </c>
      <c r="K174" s="113" t="s">
        <v>637</v>
      </c>
    </row>
    <row r="175" spans="1:11" ht="15" customHeight="1">
      <c r="A175" s="112">
        <f t="shared" si="4"/>
        <v>46113</v>
      </c>
      <c r="B175" s="113">
        <v>1</v>
      </c>
      <c r="C175" s="18" t="s">
        <v>4</v>
      </c>
      <c r="D175" s="113" t="str">
        <f>_xlfn.XLOOKUP($C175,'Cost Centers'!$A$2:$A$11,'Cost Centers'!$B$2:$B$11,"")</f>
        <v>Executive</v>
      </c>
      <c r="E175" s="113" t="s">
        <v>113</v>
      </c>
      <c r="F175" s="113" t="str">
        <f>_xlfn.XLOOKUP(E175,'Allocated Transactions'!D:D,'Allocated Transactions'!E:E,"")</f>
        <v>Professional Fees - Legal</v>
      </c>
      <c r="G175" s="113" t="s">
        <v>97</v>
      </c>
      <c r="H175" s="113"/>
      <c r="I175" s="113" t="str">
        <f>_xlfn.XLOOKUP($C175,'Cost Centers'!$A$2:$A$11,'Cost Centers'!$C$2:$C$11,"")</f>
        <v>Admin</v>
      </c>
      <c r="J175" s="23">
        <f>MROUND(SUMIFS('Allocated Transactions'!$J:$J,'Allocated Transactions'!$D:$D,$E175,'Allocated Transactions'!$C:$C,$C175,'Allocated Transactions'!$A:$A,"&gt;="&amp;$A175,'Allocated Transactions'!$A:$A,"&lt;="&amp;EOMONTH($A175,0))*0.99,100)</f>
        <v>0</v>
      </c>
      <c r="K175" s="113" t="s">
        <v>637</v>
      </c>
    </row>
    <row r="176" spans="1:11" ht="15" customHeight="1">
      <c r="A176" s="112">
        <f t="shared" si="4"/>
        <v>46113</v>
      </c>
      <c r="B176" s="113">
        <v>1</v>
      </c>
      <c r="C176" s="18" t="s">
        <v>4</v>
      </c>
      <c r="D176" s="113" t="str">
        <f>_xlfn.XLOOKUP($C176,'Cost Centers'!$A$2:$A$11,'Cost Centers'!$B$2:$B$11,"")</f>
        <v>Executive</v>
      </c>
      <c r="E176" s="113" t="s">
        <v>115</v>
      </c>
      <c r="F176" s="113" t="str">
        <f>_xlfn.XLOOKUP(E176,'Allocated Transactions'!D:D,'Allocated Transactions'!E:E,"")</f>
        <v>Professional Fees - Accounting/Audit</v>
      </c>
      <c r="G176" s="113" t="s">
        <v>97</v>
      </c>
      <c r="H176" s="113"/>
      <c r="I176" s="113" t="str">
        <f>_xlfn.XLOOKUP($C176,'Cost Centers'!$A$2:$A$11,'Cost Centers'!$C$2:$C$11,"")</f>
        <v>Admin</v>
      </c>
      <c r="J176" s="23">
        <f>MROUND(SUMIFS('Allocated Transactions'!$J:$J,'Allocated Transactions'!$D:$D,$E176,'Allocated Transactions'!$C:$C,$C176,'Allocated Transactions'!$A:$A,"&gt;="&amp;$A176,'Allocated Transactions'!$A:$A,"&lt;="&amp;EOMONTH($A176,0))*0.99,100)</f>
        <v>0</v>
      </c>
      <c r="K176" s="113" t="s">
        <v>637</v>
      </c>
    </row>
    <row r="177" spans="1:11" ht="15" customHeight="1">
      <c r="A177" s="112">
        <f t="shared" si="4"/>
        <v>46113</v>
      </c>
      <c r="B177" s="113">
        <v>1</v>
      </c>
      <c r="C177" s="18" t="s">
        <v>4</v>
      </c>
      <c r="D177" s="113" t="str">
        <f>_xlfn.XLOOKUP($C177,'Cost Centers'!$A$2:$A$11,'Cost Centers'!$B$2:$B$11,"")</f>
        <v>Executive</v>
      </c>
      <c r="E177" s="113" t="s">
        <v>117</v>
      </c>
      <c r="F177" s="113" t="str">
        <f>_xlfn.XLOOKUP(E177,'Allocated Transactions'!D:D,'Allocated Transactions'!E:E,"")</f>
        <v>Insurance</v>
      </c>
      <c r="G177" s="113" t="s">
        <v>97</v>
      </c>
      <c r="H177" s="113"/>
      <c r="I177" s="113" t="str">
        <f>_xlfn.XLOOKUP($C177,'Cost Centers'!$A$2:$A$11,'Cost Centers'!$C$2:$C$11,"")</f>
        <v>Admin</v>
      </c>
      <c r="J177" s="23">
        <f>MROUND(SUMIFS('Allocated Transactions'!$J:$J,'Allocated Transactions'!$D:$D,$E177,'Allocated Transactions'!$C:$C,$C177,'Allocated Transactions'!$A:$A,"&gt;="&amp;$A177,'Allocated Transactions'!$A:$A,"&lt;="&amp;EOMONTH($A177,0))*0.99,100)</f>
        <v>500</v>
      </c>
      <c r="K177" s="113" t="s">
        <v>637</v>
      </c>
    </row>
    <row r="178" spans="1:11" ht="15" customHeight="1">
      <c r="A178" s="112">
        <f t="shared" si="4"/>
        <v>46113</v>
      </c>
      <c r="B178" s="113">
        <v>1</v>
      </c>
      <c r="C178" s="18" t="s">
        <v>4</v>
      </c>
      <c r="D178" s="113" t="str">
        <f>_xlfn.XLOOKUP($C178,'Cost Centers'!$A$2:$A$11,'Cost Centers'!$B$2:$B$11,"")</f>
        <v>Executive</v>
      </c>
      <c r="E178" s="113" t="s">
        <v>119</v>
      </c>
      <c r="F178" s="113" t="str">
        <f>_xlfn.XLOOKUP(E178,'Allocated Transactions'!D:D,'Allocated Transactions'!E:E,"")</f>
        <v>Depreciation Expense</v>
      </c>
      <c r="G178" s="113" t="s">
        <v>97</v>
      </c>
      <c r="H178" s="113"/>
      <c r="I178" s="113" t="str">
        <f>_xlfn.XLOOKUP($C178,'Cost Centers'!$A$2:$A$11,'Cost Centers'!$C$2:$C$11,"")</f>
        <v>Admin</v>
      </c>
      <c r="J178" s="23">
        <f>MROUND(SUMIFS('Allocated Transactions'!$J:$J,'Allocated Transactions'!$D:$D,$E178,'Allocated Transactions'!$C:$C,$C178,'Allocated Transactions'!$A:$A,"&gt;="&amp;$A178,'Allocated Transactions'!$A:$A,"&lt;="&amp;EOMONTH($A178,0))*0.99,100)</f>
        <v>0</v>
      </c>
      <c r="K178" s="113" t="s">
        <v>637</v>
      </c>
    </row>
    <row r="179" spans="1:11" ht="15" customHeight="1">
      <c r="A179" s="112">
        <f t="shared" si="4"/>
        <v>46113</v>
      </c>
      <c r="B179" s="113">
        <v>1</v>
      </c>
      <c r="C179" s="18" t="s">
        <v>4</v>
      </c>
      <c r="D179" s="113" t="str">
        <f>_xlfn.XLOOKUP($C179,'Cost Centers'!$A$2:$A$11,'Cost Centers'!$B$2:$B$11,"")</f>
        <v>Executive</v>
      </c>
      <c r="E179" s="113" t="s">
        <v>121</v>
      </c>
      <c r="F179" s="113" t="str">
        <f>_xlfn.XLOOKUP(E179,'Allocated Transactions'!D:D,'Allocated Transactions'!E:E,"")</f>
        <v>Bank Fees</v>
      </c>
      <c r="G179" s="113" t="s">
        <v>97</v>
      </c>
      <c r="H179" s="113"/>
      <c r="I179" s="113" t="str">
        <f>_xlfn.XLOOKUP($C179,'Cost Centers'!$A$2:$A$11,'Cost Centers'!$C$2:$C$11,"")</f>
        <v>Admin</v>
      </c>
      <c r="J179" s="23">
        <f>MROUND(SUMIFS('Allocated Transactions'!$J:$J,'Allocated Transactions'!$D:$D,$E179,'Allocated Transactions'!$C:$C,$C179,'Allocated Transactions'!$A:$A,"&gt;="&amp;$A179,'Allocated Transactions'!$A:$A,"&lt;="&amp;EOMONTH($A179,0))*0.99,100)</f>
        <v>0</v>
      </c>
      <c r="K179" s="113" t="s">
        <v>637</v>
      </c>
    </row>
    <row r="180" spans="1:11" ht="15" customHeight="1">
      <c r="A180" s="112">
        <f t="shared" ref="A180:A216" si="5">IF(E180="5000",EOMONTH(A179,0)+1,A179)</f>
        <v>46113</v>
      </c>
      <c r="B180" s="113">
        <v>1</v>
      </c>
      <c r="C180" s="18" t="s">
        <v>4</v>
      </c>
      <c r="D180" s="113" t="str">
        <f>_xlfn.XLOOKUP($C180,'Cost Centers'!$A$2:$A$11,'Cost Centers'!$B$2:$B$11,"")</f>
        <v>Executive</v>
      </c>
      <c r="E180" s="113" t="s">
        <v>123</v>
      </c>
      <c r="F180" s="113" t="str">
        <f>_xlfn.XLOOKUP(E180,'Allocated Transactions'!D:D,'Allocated Transactions'!E:E,"")</f>
        <v>Interest Expense</v>
      </c>
      <c r="G180" s="113" t="s">
        <v>97</v>
      </c>
      <c r="H180" s="113"/>
      <c r="I180" s="113" t="str">
        <f>_xlfn.XLOOKUP($C180,'Cost Centers'!$A$2:$A$11,'Cost Centers'!$C$2:$C$11,"")</f>
        <v>Admin</v>
      </c>
      <c r="J180" s="23">
        <f>MROUND(SUMIFS('Allocated Transactions'!$J:$J,'Allocated Transactions'!$D:$D,$E180,'Allocated Transactions'!$C:$C,$C180,'Allocated Transactions'!$A:$A,"&gt;="&amp;$A180,'Allocated Transactions'!$A:$A,"&lt;="&amp;EOMONTH($A180,0))*0.99,100)</f>
        <v>0</v>
      </c>
      <c r="K180" s="113" t="s">
        <v>637</v>
      </c>
    </row>
    <row r="181" spans="1:11" ht="15" customHeight="1">
      <c r="A181" s="112">
        <f t="shared" si="5"/>
        <v>46113</v>
      </c>
      <c r="B181" s="113">
        <v>1</v>
      </c>
      <c r="C181" s="18" t="s">
        <v>4</v>
      </c>
      <c r="D181" s="113" t="str">
        <f>_xlfn.XLOOKUP($C181,'Cost Centers'!$A$2:$A$11,'Cost Centers'!$B$2:$B$11,"")</f>
        <v>Executive</v>
      </c>
      <c r="E181" s="113" t="s">
        <v>125</v>
      </c>
      <c r="F181" s="113" t="str">
        <f>_xlfn.XLOOKUP(E181,'Allocated Transactions'!D:D,'Allocated Transactions'!E:E,"")</f>
        <v>Miscellaneous Expense</v>
      </c>
      <c r="G181" s="113" t="s">
        <v>97</v>
      </c>
      <c r="H181" s="113"/>
      <c r="I181" s="113" t="str">
        <f>_xlfn.XLOOKUP($C181,'Cost Centers'!$A$2:$A$11,'Cost Centers'!$C$2:$C$11,"")</f>
        <v>Admin</v>
      </c>
      <c r="J181" s="23">
        <f>MROUND(SUMIFS('Allocated Transactions'!$J:$J,'Allocated Transactions'!$D:$D,$E181,'Allocated Transactions'!$C:$C,$C181,'Allocated Transactions'!$A:$A,"&gt;="&amp;$A181,'Allocated Transactions'!$A:$A,"&lt;="&amp;EOMONTH($A181,0))*0.99,100)</f>
        <v>0</v>
      </c>
      <c r="K181" s="113" t="s">
        <v>637</v>
      </c>
    </row>
    <row r="182" spans="1:11" ht="15" customHeight="1">
      <c r="A182" s="112">
        <f t="shared" si="5"/>
        <v>46143</v>
      </c>
      <c r="B182" s="113">
        <v>1</v>
      </c>
      <c r="C182" s="18" t="s">
        <v>4</v>
      </c>
      <c r="D182" s="113" t="str">
        <f>_xlfn.XLOOKUP($C182,'Cost Centers'!$A$2:$A$11,'Cost Centers'!$B$2:$B$11,"")</f>
        <v>Executive</v>
      </c>
      <c r="E182" s="113" t="s">
        <v>28</v>
      </c>
      <c r="F182" s="113" t="str">
        <f>_xlfn.XLOOKUP(E182,'Allocated Transactions'!D:D,'Allocated Transactions'!E:E,"")</f>
        <v>Salaries and Wages</v>
      </c>
      <c r="G182" s="113" t="s">
        <v>97</v>
      </c>
      <c r="H182" s="113"/>
      <c r="I182" s="113" t="str">
        <f>_xlfn.XLOOKUP($C182,'Cost Centers'!$A$2:$A$11,'Cost Centers'!$C$2:$C$11,"")</f>
        <v>Admin</v>
      </c>
      <c r="J182" s="23">
        <f>MROUND(SUMIFS('Allocated Transactions'!$J:$J,'Allocated Transactions'!$D:$D,$E182,'Allocated Transactions'!$C:$C,$C182,'Allocated Transactions'!$A:$A,"&gt;="&amp;$A182,'Allocated Transactions'!$A:$A,"&lt;="&amp;EOMONTH($A182,0))*0.99,100)</f>
        <v>6800</v>
      </c>
      <c r="K182" s="113" t="s">
        <v>637</v>
      </c>
    </row>
    <row r="183" spans="1:11" ht="15" customHeight="1">
      <c r="A183" s="112">
        <f t="shared" si="5"/>
        <v>46143</v>
      </c>
      <c r="B183" s="113">
        <v>1</v>
      </c>
      <c r="C183" s="18" t="s">
        <v>4</v>
      </c>
      <c r="D183" s="113" t="str">
        <f>_xlfn.XLOOKUP($C183,'Cost Centers'!$A$2:$A$11,'Cost Centers'!$B$2:$B$11,"")</f>
        <v>Executive</v>
      </c>
      <c r="E183" s="113" t="s">
        <v>29</v>
      </c>
      <c r="F183" s="113" t="str">
        <f>_xlfn.XLOOKUP(E183,'Allocated Transactions'!D:D,'Allocated Transactions'!E:E,"")</f>
        <v>Payroll Taxes</v>
      </c>
      <c r="G183" s="113" t="s">
        <v>97</v>
      </c>
      <c r="H183" s="113"/>
      <c r="I183" s="113" t="str">
        <f>_xlfn.XLOOKUP($C183,'Cost Centers'!$A$2:$A$11,'Cost Centers'!$C$2:$C$11,"")</f>
        <v>Admin</v>
      </c>
      <c r="J183" s="23">
        <f>MROUND(SUMIFS('Allocated Transactions'!$J:$J,'Allocated Transactions'!$D:$D,$E183,'Allocated Transactions'!$C:$C,$C183,'Allocated Transactions'!$A:$A,"&gt;="&amp;$A183,'Allocated Transactions'!$A:$A,"&lt;="&amp;EOMONTH($A183,0))*0.99,100)</f>
        <v>500</v>
      </c>
      <c r="K183" s="113" t="s">
        <v>637</v>
      </c>
    </row>
    <row r="184" spans="1:11" ht="15" customHeight="1">
      <c r="A184" s="112">
        <f t="shared" si="5"/>
        <v>46143</v>
      </c>
      <c r="B184" s="113">
        <v>1</v>
      </c>
      <c r="C184" s="18" t="s">
        <v>4</v>
      </c>
      <c r="D184" s="113" t="str">
        <f>_xlfn.XLOOKUP($C184,'Cost Centers'!$A$2:$A$11,'Cost Centers'!$B$2:$B$11,"")</f>
        <v>Executive</v>
      </c>
      <c r="E184" s="113" t="s">
        <v>30</v>
      </c>
      <c r="F184" s="113" t="str">
        <f>_xlfn.XLOOKUP(E184,'Allocated Transactions'!D:D,'Allocated Transactions'!E:E,"")</f>
        <v>Employee Benefits</v>
      </c>
      <c r="G184" s="113" t="s">
        <v>97</v>
      </c>
      <c r="H184" s="113"/>
      <c r="I184" s="113" t="str">
        <f>_xlfn.XLOOKUP($C184,'Cost Centers'!$A$2:$A$11,'Cost Centers'!$C$2:$C$11,"")</f>
        <v>Admin</v>
      </c>
      <c r="J184" s="23">
        <f>MROUND(SUMIFS('Allocated Transactions'!$J:$J,'Allocated Transactions'!$D:$D,$E184,'Allocated Transactions'!$C:$C,$C184,'Allocated Transactions'!$A:$A,"&gt;="&amp;$A184,'Allocated Transactions'!$A:$A,"&lt;="&amp;EOMONTH($A184,0))*0.99,100)</f>
        <v>3500</v>
      </c>
      <c r="K184" s="113" t="s">
        <v>637</v>
      </c>
    </row>
    <row r="185" spans="1:11" ht="15" customHeight="1">
      <c r="A185" s="112">
        <f t="shared" si="5"/>
        <v>46143</v>
      </c>
      <c r="B185" s="113">
        <v>1</v>
      </c>
      <c r="C185" s="18" t="s">
        <v>4</v>
      </c>
      <c r="D185" s="113" t="str">
        <f>_xlfn.XLOOKUP($C185,'Cost Centers'!$A$2:$A$11,'Cost Centers'!$B$2:$B$11,"")</f>
        <v>Executive</v>
      </c>
      <c r="E185" s="113" t="s">
        <v>31</v>
      </c>
      <c r="F185" s="113" t="str">
        <f>_xlfn.XLOOKUP(E185,'Allocated Transactions'!D:D,'Allocated Transactions'!E:E,"")</f>
        <v>Retirement Contributions</v>
      </c>
      <c r="G185" s="113" t="s">
        <v>97</v>
      </c>
      <c r="H185" s="113"/>
      <c r="I185" s="113" t="str">
        <f>_xlfn.XLOOKUP($C185,'Cost Centers'!$A$2:$A$11,'Cost Centers'!$C$2:$C$11,"")</f>
        <v>Admin</v>
      </c>
      <c r="J185" s="23">
        <f>MROUND(SUMIFS('Allocated Transactions'!$J:$J,'Allocated Transactions'!$D:$D,$E185,'Allocated Transactions'!$C:$C,$C185,'Allocated Transactions'!$A:$A,"&gt;="&amp;$A185,'Allocated Transactions'!$A:$A,"&lt;="&amp;EOMONTH($A185,0))*0.99,100)</f>
        <v>200</v>
      </c>
      <c r="K185" s="113" t="s">
        <v>637</v>
      </c>
    </row>
    <row r="186" spans="1:11" ht="15" customHeight="1">
      <c r="A186" s="112">
        <f t="shared" si="5"/>
        <v>46143</v>
      </c>
      <c r="B186" s="113">
        <v>1</v>
      </c>
      <c r="C186" s="18" t="s">
        <v>4</v>
      </c>
      <c r="D186" s="113" t="str">
        <f>_xlfn.XLOOKUP($C186,'Cost Centers'!$A$2:$A$11,'Cost Centers'!$B$2:$B$11,"")</f>
        <v>Executive</v>
      </c>
      <c r="E186" s="113" t="s">
        <v>101</v>
      </c>
      <c r="F186" s="113" t="str">
        <f>_xlfn.XLOOKUP(E186,'Allocated Transactions'!D:D,'Allocated Transactions'!E:E,"")</f>
        <v>Contract Labor / Consultants</v>
      </c>
      <c r="G186" s="113" t="s">
        <v>97</v>
      </c>
      <c r="H186" s="113"/>
      <c r="I186" s="113" t="str">
        <f>_xlfn.XLOOKUP($C186,'Cost Centers'!$A$2:$A$11,'Cost Centers'!$C$2:$C$11,"")</f>
        <v>Admin</v>
      </c>
      <c r="J186" s="23">
        <f>MROUND(SUMIFS('Allocated Transactions'!$J:$J,'Allocated Transactions'!$D:$D,$E186,'Allocated Transactions'!$C:$C,$C186,'Allocated Transactions'!$A:$A,"&gt;="&amp;$A186,'Allocated Transactions'!$A:$A,"&lt;="&amp;EOMONTH($A186,0))*0.99,100)</f>
        <v>0</v>
      </c>
      <c r="K186" s="113" t="s">
        <v>637</v>
      </c>
    </row>
    <row r="187" spans="1:11" ht="15" customHeight="1">
      <c r="A187" s="112">
        <f t="shared" si="5"/>
        <v>46143</v>
      </c>
      <c r="B187" s="113">
        <v>1</v>
      </c>
      <c r="C187" s="18" t="s">
        <v>4</v>
      </c>
      <c r="D187" s="113" t="str">
        <f>_xlfn.XLOOKUP($C187,'Cost Centers'!$A$2:$A$11,'Cost Centers'!$B$2:$B$11,"")</f>
        <v>Executive</v>
      </c>
      <c r="E187" s="113" t="s">
        <v>32</v>
      </c>
      <c r="F187" s="113" t="str">
        <f>_xlfn.XLOOKUP(E187,'Allocated Transactions'!D:D,'Allocated Transactions'!E:E,"")</f>
        <v>Rent</v>
      </c>
      <c r="G187" s="113" t="s">
        <v>97</v>
      </c>
      <c r="H187" s="113"/>
      <c r="I187" s="113" t="str">
        <f>_xlfn.XLOOKUP($C187,'Cost Centers'!$A$2:$A$11,'Cost Centers'!$C$2:$C$11,"")</f>
        <v>Admin</v>
      </c>
      <c r="J187" s="23">
        <f>MROUND(SUMIFS('Allocated Transactions'!$J:$J,'Allocated Transactions'!$D:$D,$E187,'Allocated Transactions'!$C:$C,$C187,'Allocated Transactions'!$A:$A,"&gt;="&amp;$A187,'Allocated Transactions'!$A:$A,"&lt;="&amp;EOMONTH($A187,0))*0.99,100)</f>
        <v>600</v>
      </c>
      <c r="K187" s="113" t="s">
        <v>637</v>
      </c>
    </row>
    <row r="188" spans="1:11" ht="15" customHeight="1">
      <c r="A188" s="112">
        <f t="shared" si="5"/>
        <v>46143</v>
      </c>
      <c r="B188" s="113">
        <v>1</v>
      </c>
      <c r="C188" s="18" t="s">
        <v>4</v>
      </c>
      <c r="D188" s="113" t="str">
        <f>_xlfn.XLOOKUP($C188,'Cost Centers'!$A$2:$A$11,'Cost Centers'!$B$2:$B$11,"")</f>
        <v>Executive</v>
      </c>
      <c r="E188" s="113" t="s">
        <v>33</v>
      </c>
      <c r="F188" s="113" t="str">
        <f>_xlfn.XLOOKUP(E188,'Allocated Transactions'!D:D,'Allocated Transactions'!E:E,"")</f>
        <v>Utilities</v>
      </c>
      <c r="G188" s="113" t="s">
        <v>97</v>
      </c>
      <c r="H188" s="113"/>
      <c r="I188" s="113" t="str">
        <f>_xlfn.XLOOKUP($C188,'Cost Centers'!$A$2:$A$11,'Cost Centers'!$C$2:$C$11,"")</f>
        <v>Admin</v>
      </c>
      <c r="J188" s="23">
        <f>MROUND(SUMIFS('Allocated Transactions'!$J:$J,'Allocated Transactions'!$D:$D,$E188,'Allocated Transactions'!$C:$C,$C188,'Allocated Transactions'!$A:$A,"&gt;="&amp;$A188,'Allocated Transactions'!$A:$A,"&lt;="&amp;EOMONTH($A188,0))*0.99,100)</f>
        <v>100</v>
      </c>
      <c r="K188" s="113" t="s">
        <v>637</v>
      </c>
    </row>
    <row r="189" spans="1:11" ht="15" customHeight="1">
      <c r="A189" s="112">
        <f t="shared" si="5"/>
        <v>46143</v>
      </c>
      <c r="B189" s="113">
        <v>1</v>
      </c>
      <c r="C189" s="18" t="s">
        <v>4</v>
      </c>
      <c r="D189" s="113" t="str">
        <f>_xlfn.XLOOKUP($C189,'Cost Centers'!$A$2:$A$11,'Cost Centers'!$B$2:$B$11,"")</f>
        <v>Executive</v>
      </c>
      <c r="E189" s="113" t="s">
        <v>105</v>
      </c>
      <c r="F189" s="113" t="str">
        <f>_xlfn.XLOOKUP(E189,'Allocated Transactions'!D:D,'Allocated Transactions'!E:E,"")</f>
        <v>Office Supplies</v>
      </c>
      <c r="G189" s="113" t="s">
        <v>97</v>
      </c>
      <c r="H189" s="113"/>
      <c r="I189" s="113" t="str">
        <f>_xlfn.XLOOKUP($C189,'Cost Centers'!$A$2:$A$11,'Cost Centers'!$C$2:$C$11,"")</f>
        <v>Admin</v>
      </c>
      <c r="J189" s="23">
        <f>MROUND(SUMIFS('Allocated Transactions'!$J:$J,'Allocated Transactions'!$D:$D,$E189,'Allocated Transactions'!$C:$C,$C189,'Allocated Transactions'!$A:$A,"&gt;="&amp;$A189,'Allocated Transactions'!$A:$A,"&lt;="&amp;EOMONTH($A189,0))*0.99,100)</f>
        <v>0</v>
      </c>
      <c r="K189" s="113" t="s">
        <v>637</v>
      </c>
    </row>
    <row r="190" spans="1:11" ht="15" customHeight="1">
      <c r="A190" s="112">
        <f t="shared" si="5"/>
        <v>46143</v>
      </c>
      <c r="B190" s="113">
        <v>1</v>
      </c>
      <c r="C190" s="18" t="s">
        <v>4</v>
      </c>
      <c r="D190" s="113" t="str">
        <f>_xlfn.XLOOKUP($C190,'Cost Centers'!$A$2:$A$11,'Cost Centers'!$B$2:$B$11,"")</f>
        <v>Executive</v>
      </c>
      <c r="E190" s="113" t="s">
        <v>107</v>
      </c>
      <c r="F190" s="113" t="str">
        <f>_xlfn.XLOOKUP(E190,'Allocated Transactions'!D:D,'Allocated Transactions'!E:E,"")</f>
        <v>Software and Subscriptions</v>
      </c>
      <c r="G190" s="113" t="s">
        <v>97</v>
      </c>
      <c r="H190" s="113"/>
      <c r="I190" s="113" t="str">
        <f>_xlfn.XLOOKUP($C190,'Cost Centers'!$A$2:$A$11,'Cost Centers'!$C$2:$C$11,"")</f>
        <v>Admin</v>
      </c>
      <c r="J190" s="23">
        <f>MROUND(SUMIFS('Allocated Transactions'!$J:$J,'Allocated Transactions'!$D:$D,$E190,'Allocated Transactions'!$C:$C,$C190,'Allocated Transactions'!$A:$A,"&gt;="&amp;$A190,'Allocated Transactions'!$A:$A,"&lt;="&amp;EOMONTH($A190,0))*0.99,100)</f>
        <v>0</v>
      </c>
      <c r="K190" s="113" t="s">
        <v>637</v>
      </c>
    </row>
    <row r="191" spans="1:11" ht="15" customHeight="1">
      <c r="A191" s="112">
        <f t="shared" si="5"/>
        <v>46143</v>
      </c>
      <c r="B191" s="113">
        <v>1</v>
      </c>
      <c r="C191" s="18" t="s">
        <v>4</v>
      </c>
      <c r="D191" s="113" t="str">
        <f>_xlfn.XLOOKUP($C191,'Cost Centers'!$A$2:$A$11,'Cost Centers'!$B$2:$B$11,"")</f>
        <v>Executive</v>
      </c>
      <c r="E191" s="113" t="s">
        <v>109</v>
      </c>
      <c r="F191" s="113" t="str">
        <f>_xlfn.XLOOKUP(E191,'Allocated Transactions'!D:D,'Allocated Transactions'!E:E,"")</f>
        <v>Travel</v>
      </c>
      <c r="G191" s="113" t="s">
        <v>97</v>
      </c>
      <c r="H191" s="113"/>
      <c r="I191" s="113" t="str">
        <f>_xlfn.XLOOKUP($C191,'Cost Centers'!$A$2:$A$11,'Cost Centers'!$C$2:$C$11,"")</f>
        <v>Admin</v>
      </c>
      <c r="J191" s="23">
        <f>MROUND(SUMIFS('Allocated Transactions'!$J:$J,'Allocated Transactions'!$D:$D,$E191,'Allocated Transactions'!$C:$C,$C191,'Allocated Transactions'!$A:$A,"&gt;="&amp;$A191,'Allocated Transactions'!$A:$A,"&lt;="&amp;EOMONTH($A191,0))*0.99,100)</f>
        <v>0</v>
      </c>
      <c r="K191" s="113" t="s">
        <v>637</v>
      </c>
    </row>
    <row r="192" spans="1:11" ht="15" customHeight="1">
      <c r="A192" s="112">
        <f t="shared" si="5"/>
        <v>46143</v>
      </c>
      <c r="B192" s="113">
        <v>1</v>
      </c>
      <c r="C192" s="18" t="s">
        <v>4</v>
      </c>
      <c r="D192" s="113" t="str">
        <f>_xlfn.XLOOKUP($C192,'Cost Centers'!$A$2:$A$11,'Cost Centers'!$B$2:$B$11,"")</f>
        <v>Executive</v>
      </c>
      <c r="E192" s="113" t="s">
        <v>111</v>
      </c>
      <c r="F192" s="113" t="str">
        <f>_xlfn.XLOOKUP(E192,'Allocated Transactions'!D:D,'Allocated Transactions'!E:E,"")</f>
        <v>Meals and Entertainment</v>
      </c>
      <c r="G192" s="113" t="s">
        <v>97</v>
      </c>
      <c r="H192" s="113"/>
      <c r="I192" s="113" t="str">
        <f>_xlfn.XLOOKUP($C192,'Cost Centers'!$A$2:$A$11,'Cost Centers'!$C$2:$C$11,"")</f>
        <v>Admin</v>
      </c>
      <c r="J192" s="23">
        <f>MROUND(SUMIFS('Allocated Transactions'!$J:$J,'Allocated Transactions'!$D:$D,$E192,'Allocated Transactions'!$C:$C,$C192,'Allocated Transactions'!$A:$A,"&gt;="&amp;$A192,'Allocated Transactions'!$A:$A,"&lt;="&amp;EOMONTH($A192,0))*0.99,100)</f>
        <v>0</v>
      </c>
      <c r="K192" s="113" t="s">
        <v>637</v>
      </c>
    </row>
    <row r="193" spans="1:11" ht="15" customHeight="1">
      <c r="A193" s="112">
        <f t="shared" si="5"/>
        <v>46143</v>
      </c>
      <c r="B193" s="113">
        <v>1</v>
      </c>
      <c r="C193" s="18" t="s">
        <v>4</v>
      </c>
      <c r="D193" s="113" t="str">
        <f>_xlfn.XLOOKUP($C193,'Cost Centers'!$A$2:$A$11,'Cost Centers'!$B$2:$B$11,"")</f>
        <v>Executive</v>
      </c>
      <c r="E193" s="113" t="s">
        <v>113</v>
      </c>
      <c r="F193" s="113" t="str">
        <f>_xlfn.XLOOKUP(E193,'Allocated Transactions'!D:D,'Allocated Transactions'!E:E,"")</f>
        <v>Professional Fees - Legal</v>
      </c>
      <c r="G193" s="113" t="s">
        <v>97</v>
      </c>
      <c r="H193" s="113"/>
      <c r="I193" s="113" t="str">
        <f>_xlfn.XLOOKUP($C193,'Cost Centers'!$A$2:$A$11,'Cost Centers'!$C$2:$C$11,"")</f>
        <v>Admin</v>
      </c>
      <c r="J193" s="23">
        <f>MROUND(SUMIFS('Allocated Transactions'!$J:$J,'Allocated Transactions'!$D:$D,$E193,'Allocated Transactions'!$C:$C,$C193,'Allocated Transactions'!$A:$A,"&gt;="&amp;$A193,'Allocated Transactions'!$A:$A,"&lt;="&amp;EOMONTH($A193,0))*0.99,100)</f>
        <v>0</v>
      </c>
      <c r="K193" s="113" t="s">
        <v>637</v>
      </c>
    </row>
    <row r="194" spans="1:11" ht="15" customHeight="1">
      <c r="A194" s="112">
        <f t="shared" si="5"/>
        <v>46143</v>
      </c>
      <c r="B194" s="113">
        <v>1</v>
      </c>
      <c r="C194" s="18" t="s">
        <v>4</v>
      </c>
      <c r="D194" s="113" t="str">
        <f>_xlfn.XLOOKUP($C194,'Cost Centers'!$A$2:$A$11,'Cost Centers'!$B$2:$B$11,"")</f>
        <v>Executive</v>
      </c>
      <c r="E194" s="113" t="s">
        <v>115</v>
      </c>
      <c r="F194" s="113" t="str">
        <f>_xlfn.XLOOKUP(E194,'Allocated Transactions'!D:D,'Allocated Transactions'!E:E,"")</f>
        <v>Professional Fees - Accounting/Audit</v>
      </c>
      <c r="G194" s="113" t="s">
        <v>97</v>
      </c>
      <c r="H194" s="113"/>
      <c r="I194" s="113" t="str">
        <f>_xlfn.XLOOKUP($C194,'Cost Centers'!$A$2:$A$11,'Cost Centers'!$C$2:$C$11,"")</f>
        <v>Admin</v>
      </c>
      <c r="J194" s="23">
        <f>MROUND(SUMIFS('Allocated Transactions'!$J:$J,'Allocated Transactions'!$D:$D,$E194,'Allocated Transactions'!$C:$C,$C194,'Allocated Transactions'!$A:$A,"&gt;="&amp;$A194,'Allocated Transactions'!$A:$A,"&lt;="&amp;EOMONTH($A194,0))*0.99,100)</f>
        <v>0</v>
      </c>
      <c r="K194" s="113" t="s">
        <v>637</v>
      </c>
    </row>
    <row r="195" spans="1:11" ht="15" customHeight="1">
      <c r="A195" s="112">
        <f t="shared" si="5"/>
        <v>46143</v>
      </c>
      <c r="B195" s="113">
        <v>1</v>
      </c>
      <c r="C195" s="18" t="s">
        <v>4</v>
      </c>
      <c r="D195" s="113" t="str">
        <f>_xlfn.XLOOKUP($C195,'Cost Centers'!$A$2:$A$11,'Cost Centers'!$B$2:$B$11,"")</f>
        <v>Executive</v>
      </c>
      <c r="E195" s="113" t="s">
        <v>117</v>
      </c>
      <c r="F195" s="113" t="str">
        <f>_xlfn.XLOOKUP(E195,'Allocated Transactions'!D:D,'Allocated Transactions'!E:E,"")</f>
        <v>Insurance</v>
      </c>
      <c r="G195" s="113" t="s">
        <v>97</v>
      </c>
      <c r="H195" s="113"/>
      <c r="I195" s="113" t="str">
        <f>_xlfn.XLOOKUP($C195,'Cost Centers'!$A$2:$A$11,'Cost Centers'!$C$2:$C$11,"")</f>
        <v>Admin</v>
      </c>
      <c r="J195" s="23">
        <f>MROUND(SUMIFS('Allocated Transactions'!$J:$J,'Allocated Transactions'!$D:$D,$E195,'Allocated Transactions'!$C:$C,$C195,'Allocated Transactions'!$A:$A,"&gt;="&amp;$A195,'Allocated Transactions'!$A:$A,"&lt;="&amp;EOMONTH($A195,0))*0.99,100)</f>
        <v>400</v>
      </c>
      <c r="K195" s="113" t="s">
        <v>637</v>
      </c>
    </row>
    <row r="196" spans="1:11" ht="15" customHeight="1">
      <c r="A196" s="112">
        <f t="shared" si="5"/>
        <v>46143</v>
      </c>
      <c r="B196" s="113">
        <v>1</v>
      </c>
      <c r="C196" s="18" t="s">
        <v>4</v>
      </c>
      <c r="D196" s="113" t="str">
        <f>_xlfn.XLOOKUP($C196,'Cost Centers'!$A$2:$A$11,'Cost Centers'!$B$2:$B$11,"")</f>
        <v>Executive</v>
      </c>
      <c r="E196" s="113" t="s">
        <v>119</v>
      </c>
      <c r="F196" s="113" t="str">
        <f>_xlfn.XLOOKUP(E196,'Allocated Transactions'!D:D,'Allocated Transactions'!E:E,"")</f>
        <v>Depreciation Expense</v>
      </c>
      <c r="G196" s="113" t="s">
        <v>97</v>
      </c>
      <c r="H196" s="113"/>
      <c r="I196" s="113" t="str">
        <f>_xlfn.XLOOKUP($C196,'Cost Centers'!$A$2:$A$11,'Cost Centers'!$C$2:$C$11,"")</f>
        <v>Admin</v>
      </c>
      <c r="J196" s="23">
        <f>MROUND(SUMIFS('Allocated Transactions'!$J:$J,'Allocated Transactions'!$D:$D,$E196,'Allocated Transactions'!$C:$C,$C196,'Allocated Transactions'!$A:$A,"&gt;="&amp;$A196,'Allocated Transactions'!$A:$A,"&lt;="&amp;EOMONTH($A196,0))*0.99,100)</f>
        <v>0</v>
      </c>
      <c r="K196" s="113" t="s">
        <v>637</v>
      </c>
    </row>
    <row r="197" spans="1:11" ht="15" customHeight="1">
      <c r="A197" s="112">
        <f t="shared" si="5"/>
        <v>46143</v>
      </c>
      <c r="B197" s="113">
        <v>1</v>
      </c>
      <c r="C197" s="18" t="s">
        <v>4</v>
      </c>
      <c r="D197" s="113" t="str">
        <f>_xlfn.XLOOKUP($C197,'Cost Centers'!$A$2:$A$11,'Cost Centers'!$B$2:$B$11,"")</f>
        <v>Executive</v>
      </c>
      <c r="E197" s="113" t="s">
        <v>121</v>
      </c>
      <c r="F197" s="113" t="str">
        <f>_xlfn.XLOOKUP(E197,'Allocated Transactions'!D:D,'Allocated Transactions'!E:E,"")</f>
        <v>Bank Fees</v>
      </c>
      <c r="G197" s="113" t="s">
        <v>97</v>
      </c>
      <c r="H197" s="113"/>
      <c r="I197" s="113" t="str">
        <f>_xlfn.XLOOKUP($C197,'Cost Centers'!$A$2:$A$11,'Cost Centers'!$C$2:$C$11,"")</f>
        <v>Admin</v>
      </c>
      <c r="J197" s="23">
        <f>MROUND(SUMIFS('Allocated Transactions'!$J:$J,'Allocated Transactions'!$D:$D,$E197,'Allocated Transactions'!$C:$C,$C197,'Allocated Transactions'!$A:$A,"&gt;="&amp;$A197,'Allocated Transactions'!$A:$A,"&lt;="&amp;EOMONTH($A197,0))*0.99,100)</f>
        <v>0</v>
      </c>
      <c r="K197" s="113" t="s">
        <v>637</v>
      </c>
    </row>
    <row r="198" spans="1:11" ht="15" customHeight="1">
      <c r="A198" s="112">
        <f t="shared" si="5"/>
        <v>46143</v>
      </c>
      <c r="B198" s="113">
        <v>1</v>
      </c>
      <c r="C198" s="18" t="s">
        <v>4</v>
      </c>
      <c r="D198" s="113" t="str">
        <f>_xlfn.XLOOKUP($C198,'Cost Centers'!$A$2:$A$11,'Cost Centers'!$B$2:$B$11,"")</f>
        <v>Executive</v>
      </c>
      <c r="E198" s="113" t="s">
        <v>123</v>
      </c>
      <c r="F198" s="113" t="str">
        <f>_xlfn.XLOOKUP(E198,'Allocated Transactions'!D:D,'Allocated Transactions'!E:E,"")</f>
        <v>Interest Expense</v>
      </c>
      <c r="G198" s="113" t="s">
        <v>97</v>
      </c>
      <c r="H198" s="113"/>
      <c r="I198" s="113" t="str">
        <f>_xlfn.XLOOKUP($C198,'Cost Centers'!$A$2:$A$11,'Cost Centers'!$C$2:$C$11,"")</f>
        <v>Admin</v>
      </c>
      <c r="J198" s="23">
        <f>MROUND(SUMIFS('Allocated Transactions'!$J:$J,'Allocated Transactions'!$D:$D,$E198,'Allocated Transactions'!$C:$C,$C198,'Allocated Transactions'!$A:$A,"&gt;="&amp;$A198,'Allocated Transactions'!$A:$A,"&lt;="&amp;EOMONTH($A198,0))*0.99,100)</f>
        <v>0</v>
      </c>
      <c r="K198" s="113" t="s">
        <v>637</v>
      </c>
    </row>
    <row r="199" spans="1:11" ht="15" customHeight="1">
      <c r="A199" s="112">
        <f t="shared" si="5"/>
        <v>46143</v>
      </c>
      <c r="B199" s="113">
        <v>1</v>
      </c>
      <c r="C199" s="18" t="s">
        <v>4</v>
      </c>
      <c r="D199" s="113" t="str">
        <f>_xlfn.XLOOKUP($C199,'Cost Centers'!$A$2:$A$11,'Cost Centers'!$B$2:$B$11,"")</f>
        <v>Executive</v>
      </c>
      <c r="E199" s="113" t="s">
        <v>125</v>
      </c>
      <c r="F199" s="113" t="str">
        <f>_xlfn.XLOOKUP(E199,'Allocated Transactions'!D:D,'Allocated Transactions'!E:E,"")</f>
        <v>Miscellaneous Expense</v>
      </c>
      <c r="G199" s="113" t="s">
        <v>97</v>
      </c>
      <c r="H199" s="113"/>
      <c r="I199" s="113" t="str">
        <f>_xlfn.XLOOKUP($C199,'Cost Centers'!$A$2:$A$11,'Cost Centers'!$C$2:$C$11,"")</f>
        <v>Admin</v>
      </c>
      <c r="J199" s="23">
        <f>MROUND(SUMIFS('Allocated Transactions'!$J:$J,'Allocated Transactions'!$D:$D,$E199,'Allocated Transactions'!$C:$C,$C199,'Allocated Transactions'!$A:$A,"&gt;="&amp;$A199,'Allocated Transactions'!$A:$A,"&lt;="&amp;EOMONTH($A199,0))*0.99,100)</f>
        <v>0</v>
      </c>
      <c r="K199" s="113" t="s">
        <v>637</v>
      </c>
    </row>
    <row r="200" spans="1:11" ht="15" customHeight="1">
      <c r="A200" s="112">
        <f t="shared" si="5"/>
        <v>46174</v>
      </c>
      <c r="B200" s="113">
        <v>1</v>
      </c>
      <c r="C200" s="18" t="s">
        <v>4</v>
      </c>
      <c r="D200" s="113" t="str">
        <f>_xlfn.XLOOKUP($C200,'Cost Centers'!$A$2:$A$11,'Cost Centers'!$B$2:$B$11,"")</f>
        <v>Executive</v>
      </c>
      <c r="E200" s="113" t="s">
        <v>28</v>
      </c>
      <c r="F200" s="113" t="str">
        <f>_xlfn.XLOOKUP(E200,'Allocated Transactions'!D:D,'Allocated Transactions'!E:E,"")</f>
        <v>Salaries and Wages</v>
      </c>
      <c r="G200" s="113" t="s">
        <v>97</v>
      </c>
      <c r="H200" s="113"/>
      <c r="I200" s="113" t="str">
        <f>_xlfn.XLOOKUP($C200,'Cost Centers'!$A$2:$A$11,'Cost Centers'!$C$2:$C$11,"")</f>
        <v>Admin</v>
      </c>
      <c r="J200" s="23">
        <f>MROUND(SUMIFS('Allocated Transactions'!$J:$J,'Allocated Transactions'!$D:$D,$E200,'Allocated Transactions'!$C:$C,$C200,'Allocated Transactions'!$A:$A,"&gt;="&amp;$A200,'Allocated Transactions'!$A:$A,"&lt;="&amp;EOMONTH($A200,0))*0.99,100)</f>
        <v>7100</v>
      </c>
      <c r="K200" s="113" t="s">
        <v>637</v>
      </c>
    </row>
    <row r="201" spans="1:11" ht="15" customHeight="1">
      <c r="A201" s="112">
        <f t="shared" si="5"/>
        <v>46174</v>
      </c>
      <c r="B201" s="113">
        <v>1</v>
      </c>
      <c r="C201" s="18" t="s">
        <v>4</v>
      </c>
      <c r="D201" s="113" t="str">
        <f>_xlfn.XLOOKUP($C201,'Cost Centers'!$A$2:$A$11,'Cost Centers'!$B$2:$B$11,"")</f>
        <v>Executive</v>
      </c>
      <c r="E201" s="113" t="s">
        <v>29</v>
      </c>
      <c r="F201" s="113" t="str">
        <f>_xlfn.XLOOKUP(E201,'Allocated Transactions'!D:D,'Allocated Transactions'!E:E,"")</f>
        <v>Payroll Taxes</v>
      </c>
      <c r="G201" s="113" t="s">
        <v>97</v>
      </c>
      <c r="H201" s="113"/>
      <c r="I201" s="113" t="str">
        <f>_xlfn.XLOOKUP($C201,'Cost Centers'!$A$2:$A$11,'Cost Centers'!$C$2:$C$11,"")</f>
        <v>Admin</v>
      </c>
      <c r="J201" s="23">
        <f>MROUND(SUMIFS('Allocated Transactions'!$J:$J,'Allocated Transactions'!$D:$D,$E201,'Allocated Transactions'!$C:$C,$C201,'Allocated Transactions'!$A:$A,"&gt;="&amp;$A201,'Allocated Transactions'!$A:$A,"&lt;="&amp;EOMONTH($A201,0))*0.99,100)</f>
        <v>500</v>
      </c>
      <c r="K201" s="113" t="s">
        <v>637</v>
      </c>
    </row>
    <row r="202" spans="1:11" ht="15" customHeight="1">
      <c r="A202" s="112">
        <f t="shared" si="5"/>
        <v>46174</v>
      </c>
      <c r="B202" s="113">
        <v>1</v>
      </c>
      <c r="C202" s="18" t="s">
        <v>4</v>
      </c>
      <c r="D202" s="113" t="str">
        <f>_xlfn.XLOOKUP($C202,'Cost Centers'!$A$2:$A$11,'Cost Centers'!$B$2:$B$11,"")</f>
        <v>Executive</v>
      </c>
      <c r="E202" s="113" t="s">
        <v>30</v>
      </c>
      <c r="F202" s="113" t="str">
        <f>_xlfn.XLOOKUP(E202,'Allocated Transactions'!D:D,'Allocated Transactions'!E:E,"")</f>
        <v>Employee Benefits</v>
      </c>
      <c r="G202" s="113" t="s">
        <v>97</v>
      </c>
      <c r="H202" s="113"/>
      <c r="I202" s="113" t="str">
        <f>_xlfn.XLOOKUP($C202,'Cost Centers'!$A$2:$A$11,'Cost Centers'!$C$2:$C$11,"")</f>
        <v>Admin</v>
      </c>
      <c r="J202" s="23">
        <f>MROUND(SUMIFS('Allocated Transactions'!$J:$J,'Allocated Transactions'!$D:$D,$E202,'Allocated Transactions'!$C:$C,$C202,'Allocated Transactions'!$A:$A,"&gt;="&amp;$A202,'Allocated Transactions'!$A:$A,"&lt;="&amp;EOMONTH($A202,0))*0.99,100)</f>
        <v>3400</v>
      </c>
      <c r="K202" s="113" t="s">
        <v>637</v>
      </c>
    </row>
    <row r="203" spans="1:11" ht="15" customHeight="1">
      <c r="A203" s="112">
        <f t="shared" si="5"/>
        <v>46174</v>
      </c>
      <c r="B203" s="113">
        <v>1</v>
      </c>
      <c r="C203" s="18" t="s">
        <v>4</v>
      </c>
      <c r="D203" s="113" t="str">
        <f>_xlfn.XLOOKUP($C203,'Cost Centers'!$A$2:$A$11,'Cost Centers'!$B$2:$B$11,"")</f>
        <v>Executive</v>
      </c>
      <c r="E203" s="113" t="s">
        <v>31</v>
      </c>
      <c r="F203" s="113" t="str">
        <f>_xlfn.XLOOKUP(E203,'Allocated Transactions'!D:D,'Allocated Transactions'!E:E,"")</f>
        <v>Retirement Contributions</v>
      </c>
      <c r="G203" s="113" t="s">
        <v>97</v>
      </c>
      <c r="H203" s="113"/>
      <c r="I203" s="113" t="str">
        <f>_xlfn.XLOOKUP($C203,'Cost Centers'!$A$2:$A$11,'Cost Centers'!$C$2:$C$11,"")</f>
        <v>Admin</v>
      </c>
      <c r="J203" s="23">
        <f>MROUND(SUMIFS('Allocated Transactions'!$J:$J,'Allocated Transactions'!$D:$D,$E203,'Allocated Transactions'!$C:$C,$C203,'Allocated Transactions'!$A:$A,"&gt;="&amp;$A203,'Allocated Transactions'!$A:$A,"&lt;="&amp;EOMONTH($A203,0))*0.99,100)</f>
        <v>200</v>
      </c>
      <c r="K203" s="113" t="s">
        <v>637</v>
      </c>
    </row>
    <row r="204" spans="1:11" ht="15" customHeight="1">
      <c r="A204" s="112">
        <f t="shared" si="5"/>
        <v>46174</v>
      </c>
      <c r="B204" s="113">
        <v>1</v>
      </c>
      <c r="C204" s="18" t="s">
        <v>4</v>
      </c>
      <c r="D204" s="113" t="str">
        <f>_xlfn.XLOOKUP($C204,'Cost Centers'!$A$2:$A$11,'Cost Centers'!$B$2:$B$11,"")</f>
        <v>Executive</v>
      </c>
      <c r="E204" s="113" t="s">
        <v>101</v>
      </c>
      <c r="F204" s="113" t="str">
        <f>_xlfn.XLOOKUP(E204,'Allocated Transactions'!D:D,'Allocated Transactions'!E:E,"")</f>
        <v>Contract Labor / Consultants</v>
      </c>
      <c r="G204" s="113" t="s">
        <v>97</v>
      </c>
      <c r="H204" s="113"/>
      <c r="I204" s="113" t="str">
        <f>_xlfn.XLOOKUP($C204,'Cost Centers'!$A$2:$A$11,'Cost Centers'!$C$2:$C$11,"")</f>
        <v>Admin</v>
      </c>
      <c r="J204" s="23">
        <f>MROUND(SUMIFS('Allocated Transactions'!$J:$J,'Allocated Transactions'!$D:$D,$E204,'Allocated Transactions'!$C:$C,$C204,'Allocated Transactions'!$A:$A,"&gt;="&amp;$A204,'Allocated Transactions'!$A:$A,"&lt;="&amp;EOMONTH($A204,0))*0.99,100)</f>
        <v>0</v>
      </c>
      <c r="K204" s="113" t="s">
        <v>637</v>
      </c>
    </row>
    <row r="205" spans="1:11" ht="15" customHeight="1">
      <c r="A205" s="112">
        <f t="shared" si="5"/>
        <v>46174</v>
      </c>
      <c r="B205" s="113">
        <v>1</v>
      </c>
      <c r="C205" s="18" t="s">
        <v>4</v>
      </c>
      <c r="D205" s="113" t="str">
        <f>_xlfn.XLOOKUP($C205,'Cost Centers'!$A$2:$A$11,'Cost Centers'!$B$2:$B$11,"")</f>
        <v>Executive</v>
      </c>
      <c r="E205" s="113" t="s">
        <v>32</v>
      </c>
      <c r="F205" s="113" t="str">
        <f>_xlfn.XLOOKUP(E205,'Allocated Transactions'!D:D,'Allocated Transactions'!E:E,"")</f>
        <v>Rent</v>
      </c>
      <c r="G205" s="113" t="s">
        <v>97</v>
      </c>
      <c r="H205" s="113"/>
      <c r="I205" s="113" t="str">
        <f>_xlfn.XLOOKUP($C205,'Cost Centers'!$A$2:$A$11,'Cost Centers'!$C$2:$C$11,"")</f>
        <v>Admin</v>
      </c>
      <c r="J205" s="23">
        <f>MROUND(SUMIFS('Allocated Transactions'!$J:$J,'Allocated Transactions'!$D:$D,$E205,'Allocated Transactions'!$C:$C,$C205,'Allocated Transactions'!$A:$A,"&gt;="&amp;$A205,'Allocated Transactions'!$A:$A,"&lt;="&amp;EOMONTH($A205,0))*0.99,100)</f>
        <v>600</v>
      </c>
      <c r="K205" s="113" t="s">
        <v>637</v>
      </c>
    </row>
    <row r="206" spans="1:11" ht="15" customHeight="1">
      <c r="A206" s="112">
        <f t="shared" si="5"/>
        <v>46174</v>
      </c>
      <c r="B206" s="113">
        <v>1</v>
      </c>
      <c r="C206" s="18" t="s">
        <v>4</v>
      </c>
      <c r="D206" s="113" t="str">
        <f>_xlfn.XLOOKUP($C206,'Cost Centers'!$A$2:$A$11,'Cost Centers'!$B$2:$B$11,"")</f>
        <v>Executive</v>
      </c>
      <c r="E206" s="113" t="s">
        <v>33</v>
      </c>
      <c r="F206" s="113" t="str">
        <f>_xlfn.XLOOKUP(E206,'Allocated Transactions'!D:D,'Allocated Transactions'!E:E,"")</f>
        <v>Utilities</v>
      </c>
      <c r="G206" s="113" t="s">
        <v>97</v>
      </c>
      <c r="H206" s="113"/>
      <c r="I206" s="113" t="str">
        <f>_xlfn.XLOOKUP($C206,'Cost Centers'!$A$2:$A$11,'Cost Centers'!$C$2:$C$11,"")</f>
        <v>Admin</v>
      </c>
      <c r="J206" s="23">
        <f>MROUND(SUMIFS('Allocated Transactions'!$J:$J,'Allocated Transactions'!$D:$D,$E206,'Allocated Transactions'!$C:$C,$C206,'Allocated Transactions'!$A:$A,"&gt;="&amp;$A206,'Allocated Transactions'!$A:$A,"&lt;="&amp;EOMONTH($A206,0))*0.99,100)</f>
        <v>100</v>
      </c>
      <c r="K206" s="113" t="s">
        <v>637</v>
      </c>
    </row>
    <row r="207" spans="1:11" ht="15" customHeight="1">
      <c r="A207" s="112">
        <f t="shared" si="5"/>
        <v>46174</v>
      </c>
      <c r="B207" s="113">
        <v>1</v>
      </c>
      <c r="C207" s="18" t="s">
        <v>4</v>
      </c>
      <c r="D207" s="113" t="str">
        <f>_xlfn.XLOOKUP($C207,'Cost Centers'!$A$2:$A$11,'Cost Centers'!$B$2:$B$11,"")</f>
        <v>Executive</v>
      </c>
      <c r="E207" s="113" t="s">
        <v>105</v>
      </c>
      <c r="F207" s="113" t="str">
        <f>_xlfn.XLOOKUP(E207,'Allocated Transactions'!D:D,'Allocated Transactions'!E:E,"")</f>
        <v>Office Supplies</v>
      </c>
      <c r="G207" s="113" t="s">
        <v>97</v>
      </c>
      <c r="H207" s="113"/>
      <c r="I207" s="113" t="str">
        <f>_xlfn.XLOOKUP($C207,'Cost Centers'!$A$2:$A$11,'Cost Centers'!$C$2:$C$11,"")</f>
        <v>Admin</v>
      </c>
      <c r="J207" s="23">
        <f>MROUND(SUMIFS('Allocated Transactions'!$J:$J,'Allocated Transactions'!$D:$D,$E207,'Allocated Transactions'!$C:$C,$C207,'Allocated Transactions'!$A:$A,"&gt;="&amp;$A207,'Allocated Transactions'!$A:$A,"&lt;="&amp;EOMONTH($A207,0))*0.99,100)</f>
        <v>0</v>
      </c>
      <c r="K207" s="113" t="s">
        <v>637</v>
      </c>
    </row>
    <row r="208" spans="1:11" ht="15" customHeight="1">
      <c r="A208" s="112">
        <f t="shared" si="5"/>
        <v>46174</v>
      </c>
      <c r="B208" s="113">
        <v>1</v>
      </c>
      <c r="C208" s="18" t="s">
        <v>4</v>
      </c>
      <c r="D208" s="113" t="str">
        <f>_xlfn.XLOOKUP($C208,'Cost Centers'!$A$2:$A$11,'Cost Centers'!$B$2:$B$11,"")</f>
        <v>Executive</v>
      </c>
      <c r="E208" s="113" t="s">
        <v>107</v>
      </c>
      <c r="F208" s="113" t="str">
        <f>_xlfn.XLOOKUP(E208,'Allocated Transactions'!D:D,'Allocated Transactions'!E:E,"")</f>
        <v>Software and Subscriptions</v>
      </c>
      <c r="G208" s="113" t="s">
        <v>97</v>
      </c>
      <c r="H208" s="113"/>
      <c r="I208" s="113" t="str">
        <f>_xlfn.XLOOKUP($C208,'Cost Centers'!$A$2:$A$11,'Cost Centers'!$C$2:$C$11,"")</f>
        <v>Admin</v>
      </c>
      <c r="J208" s="23">
        <f>MROUND(SUMIFS('Allocated Transactions'!$J:$J,'Allocated Transactions'!$D:$D,$E208,'Allocated Transactions'!$C:$C,$C208,'Allocated Transactions'!$A:$A,"&gt;="&amp;$A208,'Allocated Transactions'!$A:$A,"&lt;="&amp;EOMONTH($A208,0))*0.99,100)</f>
        <v>0</v>
      </c>
      <c r="K208" s="113" t="s">
        <v>637</v>
      </c>
    </row>
    <row r="209" spans="1:11" ht="15" customHeight="1">
      <c r="A209" s="112">
        <f t="shared" si="5"/>
        <v>46174</v>
      </c>
      <c r="B209" s="113">
        <v>1</v>
      </c>
      <c r="C209" s="18" t="s">
        <v>4</v>
      </c>
      <c r="D209" s="113" t="str">
        <f>_xlfn.XLOOKUP($C209,'Cost Centers'!$A$2:$A$11,'Cost Centers'!$B$2:$B$11,"")</f>
        <v>Executive</v>
      </c>
      <c r="E209" s="113" t="s">
        <v>109</v>
      </c>
      <c r="F209" s="113" t="str">
        <f>_xlfn.XLOOKUP(E209,'Allocated Transactions'!D:D,'Allocated Transactions'!E:E,"")</f>
        <v>Travel</v>
      </c>
      <c r="G209" s="113" t="s">
        <v>97</v>
      </c>
      <c r="H209" s="113"/>
      <c r="I209" s="113" t="str">
        <f>_xlfn.XLOOKUP($C209,'Cost Centers'!$A$2:$A$11,'Cost Centers'!$C$2:$C$11,"")</f>
        <v>Admin</v>
      </c>
      <c r="J209" s="23">
        <f>MROUND(SUMIFS('Allocated Transactions'!$J:$J,'Allocated Transactions'!$D:$D,$E209,'Allocated Transactions'!$C:$C,$C209,'Allocated Transactions'!$A:$A,"&gt;="&amp;$A209,'Allocated Transactions'!$A:$A,"&lt;="&amp;EOMONTH($A209,0))*0.99,100)</f>
        <v>0</v>
      </c>
      <c r="K209" s="113" t="s">
        <v>637</v>
      </c>
    </row>
    <row r="210" spans="1:11" ht="15" customHeight="1">
      <c r="A210" s="112">
        <f t="shared" si="5"/>
        <v>46174</v>
      </c>
      <c r="B210" s="113">
        <v>1</v>
      </c>
      <c r="C210" s="18" t="s">
        <v>4</v>
      </c>
      <c r="D210" s="113" t="str">
        <f>_xlfn.XLOOKUP($C210,'Cost Centers'!$A$2:$A$11,'Cost Centers'!$B$2:$B$11,"")</f>
        <v>Executive</v>
      </c>
      <c r="E210" s="113" t="s">
        <v>111</v>
      </c>
      <c r="F210" s="113" t="str">
        <f>_xlfn.XLOOKUP(E210,'Allocated Transactions'!D:D,'Allocated Transactions'!E:E,"")</f>
        <v>Meals and Entertainment</v>
      </c>
      <c r="G210" s="113" t="s">
        <v>97</v>
      </c>
      <c r="H210" s="113"/>
      <c r="I210" s="113" t="str">
        <f>_xlfn.XLOOKUP($C210,'Cost Centers'!$A$2:$A$11,'Cost Centers'!$C$2:$C$11,"")</f>
        <v>Admin</v>
      </c>
      <c r="J210" s="23">
        <f>MROUND(SUMIFS('Allocated Transactions'!$J:$J,'Allocated Transactions'!$D:$D,$E210,'Allocated Transactions'!$C:$C,$C210,'Allocated Transactions'!$A:$A,"&gt;="&amp;$A210,'Allocated Transactions'!$A:$A,"&lt;="&amp;EOMONTH($A210,0))*0.99,100)</f>
        <v>0</v>
      </c>
      <c r="K210" s="113" t="s">
        <v>637</v>
      </c>
    </row>
    <row r="211" spans="1:11" ht="15" customHeight="1">
      <c r="A211" s="112">
        <f t="shared" si="5"/>
        <v>46174</v>
      </c>
      <c r="B211" s="113">
        <v>1</v>
      </c>
      <c r="C211" s="18" t="s">
        <v>4</v>
      </c>
      <c r="D211" s="113" t="str">
        <f>_xlfn.XLOOKUP($C211,'Cost Centers'!$A$2:$A$11,'Cost Centers'!$B$2:$B$11,"")</f>
        <v>Executive</v>
      </c>
      <c r="E211" s="113" t="s">
        <v>113</v>
      </c>
      <c r="F211" s="113" t="str">
        <f>_xlfn.XLOOKUP(E211,'Allocated Transactions'!D:D,'Allocated Transactions'!E:E,"")</f>
        <v>Professional Fees - Legal</v>
      </c>
      <c r="G211" s="113" t="s">
        <v>97</v>
      </c>
      <c r="H211" s="113"/>
      <c r="I211" s="113" t="str">
        <f>_xlfn.XLOOKUP($C211,'Cost Centers'!$A$2:$A$11,'Cost Centers'!$C$2:$C$11,"")</f>
        <v>Admin</v>
      </c>
      <c r="J211" s="23">
        <f>MROUND(SUMIFS('Allocated Transactions'!$J:$J,'Allocated Transactions'!$D:$D,$E211,'Allocated Transactions'!$C:$C,$C211,'Allocated Transactions'!$A:$A,"&gt;="&amp;$A211,'Allocated Transactions'!$A:$A,"&lt;="&amp;EOMONTH($A211,0))*0.99,100)</f>
        <v>0</v>
      </c>
      <c r="K211" s="113" t="s">
        <v>637</v>
      </c>
    </row>
    <row r="212" spans="1:11" ht="15" customHeight="1">
      <c r="A212" s="112">
        <f t="shared" si="5"/>
        <v>46174</v>
      </c>
      <c r="B212" s="113">
        <v>1</v>
      </c>
      <c r="C212" s="18" t="s">
        <v>4</v>
      </c>
      <c r="D212" s="113" t="str">
        <f>_xlfn.XLOOKUP($C212,'Cost Centers'!$A$2:$A$11,'Cost Centers'!$B$2:$B$11,"")</f>
        <v>Executive</v>
      </c>
      <c r="E212" s="113" t="s">
        <v>115</v>
      </c>
      <c r="F212" s="113" t="str">
        <f>_xlfn.XLOOKUP(E212,'Allocated Transactions'!D:D,'Allocated Transactions'!E:E,"")</f>
        <v>Professional Fees - Accounting/Audit</v>
      </c>
      <c r="G212" s="113" t="s">
        <v>97</v>
      </c>
      <c r="H212" s="113"/>
      <c r="I212" s="113" t="str">
        <f>_xlfn.XLOOKUP($C212,'Cost Centers'!$A$2:$A$11,'Cost Centers'!$C$2:$C$11,"")</f>
        <v>Admin</v>
      </c>
      <c r="J212" s="23">
        <f>MROUND(SUMIFS('Allocated Transactions'!$J:$J,'Allocated Transactions'!$D:$D,$E212,'Allocated Transactions'!$C:$C,$C212,'Allocated Transactions'!$A:$A,"&gt;="&amp;$A212,'Allocated Transactions'!$A:$A,"&lt;="&amp;EOMONTH($A212,0))*0.99,100)</f>
        <v>0</v>
      </c>
      <c r="K212" s="113" t="s">
        <v>637</v>
      </c>
    </row>
    <row r="213" spans="1:11" ht="15" customHeight="1">
      <c r="A213" s="112">
        <f t="shared" si="5"/>
        <v>46174</v>
      </c>
      <c r="B213" s="113">
        <v>1</v>
      </c>
      <c r="C213" s="18" t="s">
        <v>4</v>
      </c>
      <c r="D213" s="113" t="str">
        <f>_xlfn.XLOOKUP($C213,'Cost Centers'!$A$2:$A$11,'Cost Centers'!$B$2:$B$11,"")</f>
        <v>Executive</v>
      </c>
      <c r="E213" s="113" t="s">
        <v>117</v>
      </c>
      <c r="F213" s="113" t="str">
        <f>_xlfn.XLOOKUP(E213,'Allocated Transactions'!D:D,'Allocated Transactions'!E:E,"")</f>
        <v>Insurance</v>
      </c>
      <c r="G213" s="113" t="s">
        <v>97</v>
      </c>
      <c r="H213" s="113"/>
      <c r="I213" s="113" t="str">
        <f>_xlfn.XLOOKUP($C213,'Cost Centers'!$A$2:$A$11,'Cost Centers'!$C$2:$C$11,"")</f>
        <v>Admin</v>
      </c>
      <c r="J213" s="23">
        <f>MROUND(SUMIFS('Allocated Transactions'!$J:$J,'Allocated Transactions'!$D:$D,$E213,'Allocated Transactions'!$C:$C,$C213,'Allocated Transactions'!$A:$A,"&gt;="&amp;$A213,'Allocated Transactions'!$A:$A,"&lt;="&amp;EOMONTH($A213,0))*0.99,100)</f>
        <v>400</v>
      </c>
      <c r="K213" s="113" t="s">
        <v>637</v>
      </c>
    </row>
    <row r="214" spans="1:11" ht="15" customHeight="1">
      <c r="A214" s="112">
        <f t="shared" si="5"/>
        <v>46174</v>
      </c>
      <c r="B214" s="113">
        <v>1</v>
      </c>
      <c r="C214" s="18" t="s">
        <v>4</v>
      </c>
      <c r="D214" s="113" t="str">
        <f>_xlfn.XLOOKUP($C214,'Cost Centers'!$A$2:$A$11,'Cost Centers'!$B$2:$B$11,"")</f>
        <v>Executive</v>
      </c>
      <c r="E214" s="113" t="s">
        <v>119</v>
      </c>
      <c r="F214" s="113" t="str">
        <f>_xlfn.XLOOKUP(E214,'Allocated Transactions'!D:D,'Allocated Transactions'!E:E,"")</f>
        <v>Depreciation Expense</v>
      </c>
      <c r="G214" s="113" t="s">
        <v>97</v>
      </c>
      <c r="H214" s="113"/>
      <c r="I214" s="113" t="str">
        <f>_xlfn.XLOOKUP($C214,'Cost Centers'!$A$2:$A$11,'Cost Centers'!$C$2:$C$11,"")</f>
        <v>Admin</v>
      </c>
      <c r="J214" s="23">
        <f>MROUND(SUMIFS('Allocated Transactions'!$J:$J,'Allocated Transactions'!$D:$D,$E214,'Allocated Transactions'!$C:$C,$C214,'Allocated Transactions'!$A:$A,"&gt;="&amp;$A214,'Allocated Transactions'!$A:$A,"&lt;="&amp;EOMONTH($A214,0))*0.99,100)</f>
        <v>0</v>
      </c>
      <c r="K214" s="113" t="s">
        <v>637</v>
      </c>
    </row>
    <row r="215" spans="1:11" ht="15" customHeight="1">
      <c r="A215" s="112">
        <f t="shared" si="5"/>
        <v>46174</v>
      </c>
      <c r="B215" s="113">
        <v>1</v>
      </c>
      <c r="C215" s="18" t="s">
        <v>4</v>
      </c>
      <c r="D215" s="113" t="str">
        <f>_xlfn.XLOOKUP($C215,'Cost Centers'!$A$2:$A$11,'Cost Centers'!$B$2:$B$11,"")</f>
        <v>Executive</v>
      </c>
      <c r="E215" s="113" t="s">
        <v>121</v>
      </c>
      <c r="F215" s="113" t="str">
        <f>_xlfn.XLOOKUP(E215,'Allocated Transactions'!D:D,'Allocated Transactions'!E:E,"")</f>
        <v>Bank Fees</v>
      </c>
      <c r="G215" s="113" t="s">
        <v>97</v>
      </c>
      <c r="H215" s="113"/>
      <c r="I215" s="113" t="str">
        <f>_xlfn.XLOOKUP($C215,'Cost Centers'!$A$2:$A$11,'Cost Centers'!$C$2:$C$11,"")</f>
        <v>Admin</v>
      </c>
      <c r="J215" s="23">
        <f>MROUND(SUMIFS('Allocated Transactions'!$J:$J,'Allocated Transactions'!$D:$D,$E215,'Allocated Transactions'!$C:$C,$C215,'Allocated Transactions'!$A:$A,"&gt;="&amp;$A215,'Allocated Transactions'!$A:$A,"&lt;="&amp;EOMONTH($A215,0))*0.99,100)</f>
        <v>0</v>
      </c>
      <c r="K215" s="113" t="s">
        <v>637</v>
      </c>
    </row>
    <row r="216" spans="1:11" ht="15" customHeight="1">
      <c r="A216" s="112">
        <f t="shared" si="5"/>
        <v>46174</v>
      </c>
      <c r="B216" s="113">
        <v>1</v>
      </c>
      <c r="C216" s="18" t="s">
        <v>4</v>
      </c>
      <c r="D216" s="113" t="str">
        <f>_xlfn.XLOOKUP($C216,'Cost Centers'!$A$2:$A$11,'Cost Centers'!$B$2:$B$11,"")</f>
        <v>Executive</v>
      </c>
      <c r="E216" s="113" t="s">
        <v>123</v>
      </c>
      <c r="F216" s="113" t="str">
        <f>_xlfn.XLOOKUP(E216,'Allocated Transactions'!D:D,'Allocated Transactions'!E:E,"")</f>
        <v>Interest Expense</v>
      </c>
      <c r="G216" s="113" t="s">
        <v>97</v>
      </c>
      <c r="H216" s="113"/>
      <c r="I216" s="113" t="str">
        <f>_xlfn.XLOOKUP($C216,'Cost Centers'!$A$2:$A$11,'Cost Centers'!$C$2:$C$11,"")</f>
        <v>Admin</v>
      </c>
      <c r="J216" s="23">
        <f>MROUND(SUMIFS('Allocated Transactions'!$J:$J,'Allocated Transactions'!$D:$D,$E216,'Allocated Transactions'!$C:$C,$C216,'Allocated Transactions'!$A:$A,"&gt;="&amp;$A216,'Allocated Transactions'!$A:$A,"&lt;="&amp;EOMONTH($A216,0))*0.99,100)</f>
        <v>0</v>
      </c>
      <c r="K216" s="113" t="s">
        <v>637</v>
      </c>
    </row>
    <row r="217" spans="1:11" ht="15" customHeight="1">
      <c r="A217" s="112">
        <f t="shared" ref="A217:A280" si="6">IF(C217&lt;&gt;C216,DATE(2025,7,1),IF(E217="5000",EOMONTH(A216,0)+1,A216))</f>
        <v>46174</v>
      </c>
      <c r="B217" s="113">
        <v>1</v>
      </c>
      <c r="C217" s="18" t="s">
        <v>4</v>
      </c>
      <c r="D217" s="113" t="str">
        <f>_xlfn.XLOOKUP($C217,'Cost Centers'!$A$2:$A$11,'Cost Centers'!$B$2:$B$11,"")</f>
        <v>Executive</v>
      </c>
      <c r="E217" s="113" t="s">
        <v>125</v>
      </c>
      <c r="F217" s="113" t="str">
        <f>_xlfn.XLOOKUP(E217,'Allocated Transactions'!D:D,'Allocated Transactions'!E:E,"")</f>
        <v>Miscellaneous Expense</v>
      </c>
      <c r="G217" s="113" t="s">
        <v>97</v>
      </c>
      <c r="H217" s="113"/>
      <c r="I217" s="113" t="str">
        <f>_xlfn.XLOOKUP($C217,'Cost Centers'!$A$2:$A$11,'Cost Centers'!$C$2:$C$11,"")</f>
        <v>Admin</v>
      </c>
      <c r="J217" s="23">
        <f>MROUND(SUMIFS('Allocated Transactions'!$J:$J,'Allocated Transactions'!$D:$D,$E217,'Allocated Transactions'!$C:$C,$C217,'Allocated Transactions'!$A:$A,"&gt;="&amp;$A217,'Allocated Transactions'!$A:$A,"&lt;="&amp;EOMONTH($A217,0))*0.99,100)</f>
        <v>0</v>
      </c>
      <c r="K217" s="113" t="s">
        <v>637</v>
      </c>
    </row>
    <row r="218" spans="1:11" ht="15" customHeight="1">
      <c r="A218" s="112">
        <f t="shared" si="6"/>
        <v>45839</v>
      </c>
      <c r="B218" s="113">
        <v>2</v>
      </c>
      <c r="C218" s="18" t="s">
        <v>46</v>
      </c>
      <c r="D218" s="113" t="str">
        <f>_xlfn.XLOOKUP($C218,'Cost Centers'!$A$2:$A$11,'Cost Centers'!$B$2:$B$11,"")</f>
        <v>M &amp; G</v>
      </c>
      <c r="E218" s="113" t="s">
        <v>28</v>
      </c>
      <c r="F218" s="113" t="str">
        <f>_xlfn.XLOOKUP(E218,'Allocated Transactions'!D:D,'Allocated Transactions'!E:E,"")</f>
        <v>Salaries and Wages</v>
      </c>
      <c r="G218" s="113" t="s">
        <v>97</v>
      </c>
      <c r="H218" s="113"/>
      <c r="I218" s="113" t="str">
        <f>_xlfn.XLOOKUP($C218,'Cost Centers'!$A$2:$A$11,'Cost Centers'!$C$2:$C$11,"")</f>
        <v>Admin</v>
      </c>
      <c r="J218" s="23">
        <f>MROUND(SUMIFS('Allocated Transactions'!$J:$J,'Allocated Transactions'!$D:$D,$E218,'Allocated Transactions'!$C:$C,$C218,'Allocated Transactions'!$A:$A,"&gt;="&amp;$A218,'Allocated Transactions'!$A:$A,"&lt;="&amp;EOMONTH($A218,0))*0.99,100)</f>
        <v>0</v>
      </c>
      <c r="K218" s="113" t="s">
        <v>637</v>
      </c>
    </row>
    <row r="219" spans="1:11" ht="15" customHeight="1">
      <c r="A219" s="112">
        <f t="shared" si="6"/>
        <v>45839</v>
      </c>
      <c r="B219" s="113">
        <v>2</v>
      </c>
      <c r="C219" s="18" t="str">
        <f t="shared" ref="C219:C235" si="7">C218</f>
        <v>1020</v>
      </c>
      <c r="D219" s="113" t="str">
        <f>_xlfn.XLOOKUP($C219,'Cost Centers'!$A$2:$A$11,'Cost Centers'!$B$2:$B$11,"")</f>
        <v>M &amp; G</v>
      </c>
      <c r="E219" s="113" t="s">
        <v>29</v>
      </c>
      <c r="F219" s="113" t="str">
        <f>_xlfn.XLOOKUP(E219,'Allocated Transactions'!D:D,'Allocated Transactions'!E:E,"")</f>
        <v>Payroll Taxes</v>
      </c>
      <c r="G219" s="113" t="s">
        <v>97</v>
      </c>
      <c r="H219" s="113"/>
      <c r="I219" s="113" t="str">
        <f>_xlfn.XLOOKUP($C219,'Cost Centers'!$A$2:$A$11,'Cost Centers'!$C$2:$C$11,"")</f>
        <v>Admin</v>
      </c>
      <c r="J219" s="23">
        <f>MROUND(SUMIFS('Allocated Transactions'!$J:$J,'Allocated Transactions'!$D:$D,$E219,'Allocated Transactions'!$C:$C,$C219,'Allocated Transactions'!$A:$A,"&gt;="&amp;$A219,'Allocated Transactions'!$A:$A,"&lt;="&amp;EOMONTH($A219,0))*0.99,100)</f>
        <v>0</v>
      </c>
      <c r="K219" s="113" t="s">
        <v>637</v>
      </c>
    </row>
    <row r="220" spans="1:11" ht="15" customHeight="1">
      <c r="A220" s="112">
        <f t="shared" si="6"/>
        <v>45839</v>
      </c>
      <c r="B220" s="113">
        <v>2</v>
      </c>
      <c r="C220" s="18" t="str">
        <f t="shared" si="7"/>
        <v>1020</v>
      </c>
      <c r="D220" s="113" t="str">
        <f>_xlfn.XLOOKUP($C220,'Cost Centers'!$A$2:$A$11,'Cost Centers'!$B$2:$B$11,"")</f>
        <v>M &amp; G</v>
      </c>
      <c r="E220" s="113" t="s">
        <v>30</v>
      </c>
      <c r="F220" s="113" t="str">
        <f>_xlfn.XLOOKUP(E220,'Allocated Transactions'!D:D,'Allocated Transactions'!E:E,"")</f>
        <v>Employee Benefits</v>
      </c>
      <c r="G220" s="113" t="s">
        <v>97</v>
      </c>
      <c r="H220" s="113"/>
      <c r="I220" s="113" t="str">
        <f>_xlfn.XLOOKUP($C220,'Cost Centers'!$A$2:$A$11,'Cost Centers'!$C$2:$C$11,"")</f>
        <v>Admin</v>
      </c>
      <c r="J220" s="23">
        <f>MROUND(SUMIFS('Allocated Transactions'!$J:$J,'Allocated Transactions'!$D:$D,$E220,'Allocated Transactions'!$C:$C,$C220,'Allocated Transactions'!$A:$A,"&gt;="&amp;$A220,'Allocated Transactions'!$A:$A,"&lt;="&amp;EOMONTH($A220,0))*0.99,100)</f>
        <v>0</v>
      </c>
      <c r="K220" s="113" t="s">
        <v>637</v>
      </c>
    </row>
    <row r="221" spans="1:11" ht="15" customHeight="1">
      <c r="A221" s="112">
        <f t="shared" si="6"/>
        <v>45839</v>
      </c>
      <c r="B221" s="113">
        <v>2</v>
      </c>
      <c r="C221" s="18" t="str">
        <f t="shared" si="7"/>
        <v>1020</v>
      </c>
      <c r="D221" s="113" t="str">
        <f>_xlfn.XLOOKUP($C221,'Cost Centers'!$A$2:$A$11,'Cost Centers'!$B$2:$B$11,"")</f>
        <v>M &amp; G</v>
      </c>
      <c r="E221" s="113" t="s">
        <v>31</v>
      </c>
      <c r="F221" s="113" t="str">
        <f>_xlfn.XLOOKUP(E221,'Allocated Transactions'!D:D,'Allocated Transactions'!E:E,"")</f>
        <v>Retirement Contributions</v>
      </c>
      <c r="G221" s="113" t="s">
        <v>97</v>
      </c>
      <c r="H221" s="113"/>
      <c r="I221" s="113" t="str">
        <f>_xlfn.XLOOKUP($C221,'Cost Centers'!$A$2:$A$11,'Cost Centers'!$C$2:$C$11,"")</f>
        <v>Admin</v>
      </c>
      <c r="J221" s="23">
        <f>MROUND(SUMIFS('Allocated Transactions'!$J:$J,'Allocated Transactions'!$D:$D,$E221,'Allocated Transactions'!$C:$C,$C221,'Allocated Transactions'!$A:$A,"&gt;="&amp;$A221,'Allocated Transactions'!$A:$A,"&lt;="&amp;EOMONTH($A221,0))*0.99,100)</f>
        <v>0</v>
      </c>
      <c r="K221" s="113" t="s">
        <v>637</v>
      </c>
    </row>
    <row r="222" spans="1:11" ht="15" customHeight="1">
      <c r="A222" s="112">
        <f t="shared" si="6"/>
        <v>45839</v>
      </c>
      <c r="B222" s="113">
        <v>2</v>
      </c>
      <c r="C222" s="18" t="str">
        <f t="shared" si="7"/>
        <v>1020</v>
      </c>
      <c r="D222" s="113" t="str">
        <f>_xlfn.XLOOKUP($C222,'Cost Centers'!$A$2:$A$11,'Cost Centers'!$B$2:$B$11,"")</f>
        <v>M &amp; G</v>
      </c>
      <c r="E222" s="113" t="s">
        <v>101</v>
      </c>
      <c r="F222" s="113" t="str">
        <f>_xlfn.XLOOKUP(E222,'Allocated Transactions'!D:D,'Allocated Transactions'!E:E,"")</f>
        <v>Contract Labor / Consultants</v>
      </c>
      <c r="G222" s="113" t="s">
        <v>97</v>
      </c>
      <c r="H222" s="113"/>
      <c r="I222" s="113" t="str">
        <f>_xlfn.XLOOKUP($C222,'Cost Centers'!$A$2:$A$11,'Cost Centers'!$C$2:$C$11,"")</f>
        <v>Admin</v>
      </c>
      <c r="J222" s="23">
        <f>MROUND(SUMIFS('Allocated Transactions'!$J:$J,'Allocated Transactions'!$D:$D,$E222,'Allocated Transactions'!$C:$C,$C222,'Allocated Transactions'!$A:$A,"&gt;="&amp;$A222,'Allocated Transactions'!$A:$A,"&lt;="&amp;EOMONTH($A222,0))*0.99,100)</f>
        <v>0</v>
      </c>
      <c r="K222" s="113" t="s">
        <v>637</v>
      </c>
    </row>
    <row r="223" spans="1:11" ht="15" customHeight="1">
      <c r="A223" s="112">
        <f t="shared" si="6"/>
        <v>45839</v>
      </c>
      <c r="B223" s="113">
        <v>2</v>
      </c>
      <c r="C223" s="18" t="str">
        <f t="shared" si="7"/>
        <v>1020</v>
      </c>
      <c r="D223" s="113" t="str">
        <f>_xlfn.XLOOKUP($C223,'Cost Centers'!$A$2:$A$11,'Cost Centers'!$B$2:$B$11,"")</f>
        <v>M &amp; G</v>
      </c>
      <c r="E223" s="113" t="s">
        <v>32</v>
      </c>
      <c r="F223" s="113" t="str">
        <f>_xlfn.XLOOKUP(E223,'Allocated Transactions'!D:D,'Allocated Transactions'!E:E,"")</f>
        <v>Rent</v>
      </c>
      <c r="G223" s="113" t="s">
        <v>97</v>
      </c>
      <c r="H223" s="113"/>
      <c r="I223" s="113" t="str">
        <f>_xlfn.XLOOKUP($C223,'Cost Centers'!$A$2:$A$11,'Cost Centers'!$C$2:$C$11,"")</f>
        <v>Admin</v>
      </c>
      <c r="J223" s="23">
        <f>MROUND(SUMIFS('Allocated Transactions'!$J:$J,'Allocated Transactions'!$D:$D,$E223,'Allocated Transactions'!$C:$C,$C223,'Allocated Transactions'!$A:$A,"&gt;="&amp;$A223,'Allocated Transactions'!$A:$A,"&lt;="&amp;EOMONTH($A223,0))*0.99,100)</f>
        <v>0</v>
      </c>
      <c r="K223" s="113" t="s">
        <v>637</v>
      </c>
    </row>
    <row r="224" spans="1:11" ht="15" customHeight="1">
      <c r="A224" s="112">
        <f t="shared" si="6"/>
        <v>45839</v>
      </c>
      <c r="B224" s="113">
        <v>2</v>
      </c>
      <c r="C224" s="18" t="str">
        <f t="shared" si="7"/>
        <v>1020</v>
      </c>
      <c r="D224" s="113" t="str">
        <f>_xlfn.XLOOKUP($C224,'Cost Centers'!$A$2:$A$11,'Cost Centers'!$B$2:$B$11,"")</f>
        <v>M &amp; G</v>
      </c>
      <c r="E224" s="113" t="s">
        <v>33</v>
      </c>
      <c r="F224" s="113" t="str">
        <f>_xlfn.XLOOKUP(E224,'Allocated Transactions'!D:D,'Allocated Transactions'!E:E,"")</f>
        <v>Utilities</v>
      </c>
      <c r="G224" s="113" t="s">
        <v>97</v>
      </c>
      <c r="H224" s="113"/>
      <c r="I224" s="113" t="str">
        <f>_xlfn.XLOOKUP($C224,'Cost Centers'!$A$2:$A$11,'Cost Centers'!$C$2:$C$11,"")</f>
        <v>Admin</v>
      </c>
      <c r="J224" s="23">
        <f>MROUND(SUMIFS('Allocated Transactions'!$J:$J,'Allocated Transactions'!$D:$D,$E224,'Allocated Transactions'!$C:$C,$C224,'Allocated Transactions'!$A:$A,"&gt;="&amp;$A224,'Allocated Transactions'!$A:$A,"&lt;="&amp;EOMONTH($A224,0))*0.99,100)</f>
        <v>0</v>
      </c>
      <c r="K224" s="113" t="s">
        <v>637</v>
      </c>
    </row>
    <row r="225" spans="1:11" ht="15" customHeight="1">
      <c r="A225" s="112">
        <f t="shared" si="6"/>
        <v>45839</v>
      </c>
      <c r="B225" s="113">
        <v>2</v>
      </c>
      <c r="C225" s="18" t="str">
        <f t="shared" si="7"/>
        <v>1020</v>
      </c>
      <c r="D225" s="113" t="str">
        <f>_xlfn.XLOOKUP($C225,'Cost Centers'!$A$2:$A$11,'Cost Centers'!$B$2:$B$11,"")</f>
        <v>M &amp; G</v>
      </c>
      <c r="E225" s="113" t="s">
        <v>105</v>
      </c>
      <c r="F225" s="113" t="str">
        <f>_xlfn.XLOOKUP(E225,'Allocated Transactions'!D:D,'Allocated Transactions'!E:E,"")</f>
        <v>Office Supplies</v>
      </c>
      <c r="G225" s="113" t="s">
        <v>97</v>
      </c>
      <c r="H225" s="113"/>
      <c r="I225" s="113" t="str">
        <f>_xlfn.XLOOKUP($C225,'Cost Centers'!$A$2:$A$11,'Cost Centers'!$C$2:$C$11,"")</f>
        <v>Admin</v>
      </c>
      <c r="J225" s="23">
        <f>MROUND(SUMIFS('Allocated Transactions'!$J:$J,'Allocated Transactions'!$D:$D,$E225,'Allocated Transactions'!$C:$C,$C225,'Allocated Transactions'!$A:$A,"&gt;="&amp;$A225,'Allocated Transactions'!$A:$A,"&lt;="&amp;EOMONTH($A225,0))*0.99,100)</f>
        <v>1000</v>
      </c>
      <c r="K225" s="113" t="s">
        <v>637</v>
      </c>
    </row>
    <row r="226" spans="1:11" ht="15" customHeight="1">
      <c r="A226" s="112">
        <f t="shared" si="6"/>
        <v>45839</v>
      </c>
      <c r="B226" s="113">
        <v>2</v>
      </c>
      <c r="C226" s="18" t="str">
        <f t="shared" si="7"/>
        <v>1020</v>
      </c>
      <c r="D226" s="113" t="str">
        <f>_xlfn.XLOOKUP($C226,'Cost Centers'!$A$2:$A$11,'Cost Centers'!$B$2:$B$11,"")</f>
        <v>M &amp; G</v>
      </c>
      <c r="E226" s="113" t="s">
        <v>107</v>
      </c>
      <c r="F226" s="113" t="str">
        <f>_xlfn.XLOOKUP(E226,'Allocated Transactions'!D:D,'Allocated Transactions'!E:E,"")</f>
        <v>Software and Subscriptions</v>
      </c>
      <c r="G226" s="113" t="s">
        <v>97</v>
      </c>
      <c r="H226" s="113"/>
      <c r="I226" s="113" t="str">
        <f>_xlfn.XLOOKUP($C226,'Cost Centers'!$A$2:$A$11,'Cost Centers'!$C$2:$C$11,"")</f>
        <v>Admin</v>
      </c>
      <c r="J226" s="23">
        <f>MROUND(SUMIFS('Allocated Transactions'!$J:$J,'Allocated Transactions'!$D:$D,$E226,'Allocated Transactions'!$C:$C,$C226,'Allocated Transactions'!$A:$A,"&gt;="&amp;$A226,'Allocated Transactions'!$A:$A,"&lt;="&amp;EOMONTH($A226,0))*0.99,100)</f>
        <v>0</v>
      </c>
      <c r="K226" s="113" t="s">
        <v>637</v>
      </c>
    </row>
    <row r="227" spans="1:11" ht="15" customHeight="1">
      <c r="A227" s="112">
        <f t="shared" si="6"/>
        <v>45839</v>
      </c>
      <c r="B227" s="113">
        <v>2</v>
      </c>
      <c r="C227" s="18" t="str">
        <f t="shared" si="7"/>
        <v>1020</v>
      </c>
      <c r="D227" s="113" t="str">
        <f>_xlfn.XLOOKUP($C227,'Cost Centers'!$A$2:$A$11,'Cost Centers'!$B$2:$B$11,"")</f>
        <v>M &amp; G</v>
      </c>
      <c r="E227" s="113" t="s">
        <v>109</v>
      </c>
      <c r="F227" s="113" t="str">
        <f>_xlfn.XLOOKUP(E227,'Allocated Transactions'!D:D,'Allocated Transactions'!E:E,"")</f>
        <v>Travel</v>
      </c>
      <c r="G227" s="113" t="s">
        <v>97</v>
      </c>
      <c r="H227" s="113"/>
      <c r="I227" s="113" t="str">
        <f>_xlfn.XLOOKUP($C227,'Cost Centers'!$A$2:$A$11,'Cost Centers'!$C$2:$C$11,"")</f>
        <v>Admin</v>
      </c>
      <c r="J227" s="23">
        <f>MROUND(SUMIFS('Allocated Transactions'!$J:$J,'Allocated Transactions'!$D:$D,$E227,'Allocated Transactions'!$C:$C,$C227,'Allocated Transactions'!$A:$A,"&gt;="&amp;$A227,'Allocated Transactions'!$A:$A,"&lt;="&amp;EOMONTH($A227,0))*0.99,100)</f>
        <v>0</v>
      </c>
      <c r="K227" s="113" t="s">
        <v>637</v>
      </c>
    </row>
    <row r="228" spans="1:11" ht="15" customHeight="1">
      <c r="A228" s="112">
        <f t="shared" si="6"/>
        <v>45839</v>
      </c>
      <c r="B228" s="113">
        <v>2</v>
      </c>
      <c r="C228" s="18" t="str">
        <f t="shared" si="7"/>
        <v>1020</v>
      </c>
      <c r="D228" s="113" t="str">
        <f>_xlfn.XLOOKUP($C228,'Cost Centers'!$A$2:$A$11,'Cost Centers'!$B$2:$B$11,"")</f>
        <v>M &amp; G</v>
      </c>
      <c r="E228" s="113" t="s">
        <v>111</v>
      </c>
      <c r="F228" s="113" t="str">
        <f>_xlfn.XLOOKUP(E228,'Allocated Transactions'!D:D,'Allocated Transactions'!E:E,"")</f>
        <v>Meals and Entertainment</v>
      </c>
      <c r="G228" s="113" t="s">
        <v>97</v>
      </c>
      <c r="H228" s="113"/>
      <c r="I228" s="113" t="str">
        <f>_xlfn.XLOOKUP($C228,'Cost Centers'!$A$2:$A$11,'Cost Centers'!$C$2:$C$11,"")</f>
        <v>Admin</v>
      </c>
      <c r="J228" s="23">
        <f>MROUND(SUMIFS('Allocated Transactions'!$J:$J,'Allocated Transactions'!$D:$D,$E228,'Allocated Transactions'!$C:$C,$C228,'Allocated Transactions'!$A:$A,"&gt;="&amp;$A228,'Allocated Transactions'!$A:$A,"&lt;="&amp;EOMONTH($A228,0))*0.99,100)</f>
        <v>0</v>
      </c>
      <c r="K228" s="113" t="s">
        <v>637</v>
      </c>
    </row>
    <row r="229" spans="1:11" ht="15" customHeight="1">
      <c r="A229" s="112">
        <f t="shared" si="6"/>
        <v>45839</v>
      </c>
      <c r="B229" s="113">
        <v>2</v>
      </c>
      <c r="C229" s="18" t="str">
        <f t="shared" si="7"/>
        <v>1020</v>
      </c>
      <c r="D229" s="113" t="str">
        <f>_xlfn.XLOOKUP($C229,'Cost Centers'!$A$2:$A$11,'Cost Centers'!$B$2:$B$11,"")</f>
        <v>M &amp; G</v>
      </c>
      <c r="E229" s="113" t="s">
        <v>113</v>
      </c>
      <c r="F229" s="113" t="str">
        <f>_xlfn.XLOOKUP(E229,'Allocated Transactions'!D:D,'Allocated Transactions'!E:E,"")</f>
        <v>Professional Fees - Legal</v>
      </c>
      <c r="G229" s="113" t="s">
        <v>97</v>
      </c>
      <c r="H229" s="113"/>
      <c r="I229" s="113" t="str">
        <f>_xlfn.XLOOKUP($C229,'Cost Centers'!$A$2:$A$11,'Cost Centers'!$C$2:$C$11,"")</f>
        <v>Admin</v>
      </c>
      <c r="J229" s="23">
        <f>MROUND(SUMIFS('Allocated Transactions'!$J:$J,'Allocated Transactions'!$D:$D,$E229,'Allocated Transactions'!$C:$C,$C229,'Allocated Transactions'!$A:$A,"&gt;="&amp;$A229,'Allocated Transactions'!$A:$A,"&lt;="&amp;EOMONTH($A229,0))*0.99,100)</f>
        <v>0</v>
      </c>
      <c r="K229" s="113" t="s">
        <v>637</v>
      </c>
    </row>
    <row r="230" spans="1:11" ht="15" customHeight="1">
      <c r="A230" s="112">
        <f t="shared" si="6"/>
        <v>45839</v>
      </c>
      <c r="B230" s="113">
        <v>2</v>
      </c>
      <c r="C230" s="18" t="str">
        <f t="shared" si="7"/>
        <v>1020</v>
      </c>
      <c r="D230" s="113" t="str">
        <f>_xlfn.XLOOKUP($C230,'Cost Centers'!$A$2:$A$11,'Cost Centers'!$B$2:$B$11,"")</f>
        <v>M &amp; G</v>
      </c>
      <c r="E230" s="113" t="s">
        <v>115</v>
      </c>
      <c r="F230" s="113" t="str">
        <f>_xlfn.XLOOKUP(E230,'Allocated Transactions'!D:D,'Allocated Transactions'!E:E,"")</f>
        <v>Professional Fees - Accounting/Audit</v>
      </c>
      <c r="G230" s="113" t="s">
        <v>97</v>
      </c>
      <c r="H230" s="113"/>
      <c r="I230" s="113" t="str">
        <f>_xlfn.XLOOKUP($C230,'Cost Centers'!$A$2:$A$11,'Cost Centers'!$C$2:$C$11,"")</f>
        <v>Admin</v>
      </c>
      <c r="J230" s="23">
        <f>MROUND(SUMIFS('Allocated Transactions'!$J:$J,'Allocated Transactions'!$D:$D,$E230,'Allocated Transactions'!$C:$C,$C230,'Allocated Transactions'!$A:$A,"&gt;="&amp;$A230,'Allocated Transactions'!$A:$A,"&lt;="&amp;EOMONTH($A230,0))*0.99,100)</f>
        <v>0</v>
      </c>
      <c r="K230" s="113" t="s">
        <v>637</v>
      </c>
    </row>
    <row r="231" spans="1:11" ht="15" customHeight="1">
      <c r="A231" s="112">
        <f t="shared" si="6"/>
        <v>45839</v>
      </c>
      <c r="B231" s="113">
        <v>2</v>
      </c>
      <c r="C231" s="18" t="str">
        <f t="shared" si="7"/>
        <v>1020</v>
      </c>
      <c r="D231" s="113" t="str">
        <f>_xlfn.XLOOKUP($C231,'Cost Centers'!$A$2:$A$11,'Cost Centers'!$B$2:$B$11,"")</f>
        <v>M &amp; G</v>
      </c>
      <c r="E231" s="113" t="s">
        <v>117</v>
      </c>
      <c r="F231" s="113" t="str">
        <f>_xlfn.XLOOKUP(E231,'Allocated Transactions'!D:D,'Allocated Transactions'!E:E,"")</f>
        <v>Insurance</v>
      </c>
      <c r="G231" s="113" t="s">
        <v>97</v>
      </c>
      <c r="H231" s="113"/>
      <c r="I231" s="113" t="str">
        <f>_xlfn.XLOOKUP($C231,'Cost Centers'!$A$2:$A$11,'Cost Centers'!$C$2:$C$11,"")</f>
        <v>Admin</v>
      </c>
      <c r="J231" s="23">
        <f>MROUND(SUMIFS('Allocated Transactions'!$J:$J,'Allocated Transactions'!$D:$D,$E231,'Allocated Transactions'!$C:$C,$C231,'Allocated Transactions'!$A:$A,"&gt;="&amp;$A231,'Allocated Transactions'!$A:$A,"&lt;="&amp;EOMONTH($A231,0))*0.99,100)</f>
        <v>0</v>
      </c>
      <c r="K231" s="113" t="s">
        <v>637</v>
      </c>
    </row>
    <row r="232" spans="1:11" ht="15" customHeight="1">
      <c r="A232" s="112">
        <f t="shared" si="6"/>
        <v>45839</v>
      </c>
      <c r="B232" s="113">
        <v>2</v>
      </c>
      <c r="C232" s="18" t="str">
        <f t="shared" si="7"/>
        <v>1020</v>
      </c>
      <c r="D232" s="113" t="str">
        <f>_xlfn.XLOOKUP($C232,'Cost Centers'!$A$2:$A$11,'Cost Centers'!$B$2:$B$11,"")</f>
        <v>M &amp; G</v>
      </c>
      <c r="E232" s="113" t="s">
        <v>119</v>
      </c>
      <c r="F232" s="113" t="str">
        <f>_xlfn.XLOOKUP(E232,'Allocated Transactions'!D:D,'Allocated Transactions'!E:E,"")</f>
        <v>Depreciation Expense</v>
      </c>
      <c r="G232" s="113" t="s">
        <v>97</v>
      </c>
      <c r="H232" s="113"/>
      <c r="I232" s="113" t="str">
        <f>_xlfn.XLOOKUP($C232,'Cost Centers'!$A$2:$A$11,'Cost Centers'!$C$2:$C$11,"")</f>
        <v>Admin</v>
      </c>
      <c r="J232" s="23">
        <f>MROUND(SUMIFS('Allocated Transactions'!$J:$J,'Allocated Transactions'!$D:$D,$E232,'Allocated Transactions'!$C:$C,$C232,'Allocated Transactions'!$A:$A,"&gt;="&amp;$A232,'Allocated Transactions'!$A:$A,"&lt;="&amp;EOMONTH($A232,0))*0.99,100)</f>
        <v>2400</v>
      </c>
      <c r="K232" s="113" t="s">
        <v>637</v>
      </c>
    </row>
    <row r="233" spans="1:11" ht="15" customHeight="1">
      <c r="A233" s="112">
        <f t="shared" si="6"/>
        <v>45839</v>
      </c>
      <c r="B233" s="113">
        <v>2</v>
      </c>
      <c r="C233" s="18" t="str">
        <f t="shared" si="7"/>
        <v>1020</v>
      </c>
      <c r="D233" s="113" t="str">
        <f>_xlfn.XLOOKUP($C233,'Cost Centers'!$A$2:$A$11,'Cost Centers'!$B$2:$B$11,"")</f>
        <v>M &amp; G</v>
      </c>
      <c r="E233" s="113" t="s">
        <v>121</v>
      </c>
      <c r="F233" s="113" t="str">
        <f>_xlfn.XLOOKUP(E233,'Allocated Transactions'!D:D,'Allocated Transactions'!E:E,"")</f>
        <v>Bank Fees</v>
      </c>
      <c r="G233" s="113" t="s">
        <v>97</v>
      </c>
      <c r="H233" s="113"/>
      <c r="I233" s="113" t="str">
        <f>_xlfn.XLOOKUP($C233,'Cost Centers'!$A$2:$A$11,'Cost Centers'!$C$2:$C$11,"")</f>
        <v>Admin</v>
      </c>
      <c r="J233" s="23">
        <f>MROUND(SUMIFS('Allocated Transactions'!$J:$J,'Allocated Transactions'!$D:$D,$E233,'Allocated Transactions'!$C:$C,$C233,'Allocated Transactions'!$A:$A,"&gt;="&amp;$A233,'Allocated Transactions'!$A:$A,"&lt;="&amp;EOMONTH($A233,0))*0.99,100)</f>
        <v>100</v>
      </c>
      <c r="K233" s="113" t="s">
        <v>637</v>
      </c>
    </row>
    <row r="234" spans="1:11" ht="15" customHeight="1">
      <c r="A234" s="112">
        <f t="shared" si="6"/>
        <v>45839</v>
      </c>
      <c r="B234" s="113">
        <v>2</v>
      </c>
      <c r="C234" s="18" t="str">
        <f t="shared" si="7"/>
        <v>1020</v>
      </c>
      <c r="D234" s="113" t="str">
        <f>_xlfn.XLOOKUP($C234,'Cost Centers'!$A$2:$A$11,'Cost Centers'!$B$2:$B$11,"")</f>
        <v>M &amp; G</v>
      </c>
      <c r="E234" s="113" t="s">
        <v>123</v>
      </c>
      <c r="F234" s="113" t="str">
        <f>_xlfn.XLOOKUP(E234,'Allocated Transactions'!D:D,'Allocated Transactions'!E:E,"")</f>
        <v>Interest Expense</v>
      </c>
      <c r="G234" s="113" t="s">
        <v>97</v>
      </c>
      <c r="H234" s="113"/>
      <c r="I234" s="113" t="str">
        <f>_xlfn.XLOOKUP($C234,'Cost Centers'!$A$2:$A$11,'Cost Centers'!$C$2:$C$11,"")</f>
        <v>Admin</v>
      </c>
      <c r="J234" s="23">
        <f>MROUND(SUMIFS('Allocated Transactions'!$J:$J,'Allocated Transactions'!$D:$D,$E234,'Allocated Transactions'!$C:$C,$C234,'Allocated Transactions'!$A:$A,"&gt;="&amp;$A234,'Allocated Transactions'!$A:$A,"&lt;="&amp;EOMONTH($A234,0))*0.99,100)</f>
        <v>400</v>
      </c>
      <c r="K234" s="113" t="s">
        <v>637</v>
      </c>
    </row>
    <row r="235" spans="1:11" ht="15" customHeight="1">
      <c r="A235" s="112">
        <f t="shared" si="6"/>
        <v>45839</v>
      </c>
      <c r="B235" s="113">
        <v>2</v>
      </c>
      <c r="C235" s="18" t="str">
        <f t="shared" si="7"/>
        <v>1020</v>
      </c>
      <c r="D235" s="113" t="str">
        <f>_xlfn.XLOOKUP($C235,'Cost Centers'!$A$2:$A$11,'Cost Centers'!$B$2:$B$11,"")</f>
        <v>M &amp; G</v>
      </c>
      <c r="E235" s="113" t="s">
        <v>125</v>
      </c>
      <c r="F235" s="113" t="str">
        <f>_xlfn.XLOOKUP(E235,'Allocated Transactions'!D:D,'Allocated Transactions'!E:E,"")</f>
        <v>Miscellaneous Expense</v>
      </c>
      <c r="G235" s="113" t="s">
        <v>97</v>
      </c>
      <c r="H235" s="113"/>
      <c r="I235" s="113" t="str">
        <f>_xlfn.XLOOKUP($C235,'Cost Centers'!$A$2:$A$11,'Cost Centers'!$C$2:$C$11,"")</f>
        <v>Admin</v>
      </c>
      <c r="J235" s="23">
        <f>MROUND(SUMIFS('Allocated Transactions'!$J:$J,'Allocated Transactions'!$D:$D,$E235,'Allocated Transactions'!$C:$C,$C235,'Allocated Transactions'!$A:$A,"&gt;="&amp;$A235,'Allocated Transactions'!$A:$A,"&lt;="&amp;EOMONTH($A235,0))*0.99,100)</f>
        <v>0</v>
      </c>
      <c r="K235" s="113" t="s">
        <v>637</v>
      </c>
    </row>
    <row r="236" spans="1:11" ht="15" customHeight="1">
      <c r="A236" s="112">
        <f t="shared" si="6"/>
        <v>45870</v>
      </c>
      <c r="B236" s="113">
        <v>2</v>
      </c>
      <c r="C236" s="18" t="s">
        <v>46</v>
      </c>
      <c r="D236" s="113" t="str">
        <f>_xlfn.XLOOKUP($C236,'Cost Centers'!$A$2:$A$11,'Cost Centers'!$B$2:$B$11,"")</f>
        <v>M &amp; G</v>
      </c>
      <c r="E236" s="113" t="s">
        <v>28</v>
      </c>
      <c r="F236" s="113" t="str">
        <f>_xlfn.XLOOKUP(E236,'Allocated Transactions'!D:D,'Allocated Transactions'!E:E,"")</f>
        <v>Salaries and Wages</v>
      </c>
      <c r="G236" s="113" t="s">
        <v>97</v>
      </c>
      <c r="H236" s="113"/>
      <c r="I236" s="113" t="str">
        <f>_xlfn.XLOOKUP($C236,'Cost Centers'!$A$2:$A$11,'Cost Centers'!$C$2:$C$11,"")</f>
        <v>Admin</v>
      </c>
      <c r="J236" s="23">
        <f>MROUND(SUMIFS('Allocated Transactions'!$J:$J,'Allocated Transactions'!$D:$D,$E236,'Allocated Transactions'!$C:$C,$C236,'Allocated Transactions'!$A:$A,"&gt;="&amp;$A236,'Allocated Transactions'!$A:$A,"&lt;="&amp;EOMONTH($A236,0))*0.99,100)</f>
        <v>0</v>
      </c>
      <c r="K236" s="113" t="s">
        <v>637</v>
      </c>
    </row>
    <row r="237" spans="1:11" ht="15" customHeight="1">
      <c r="A237" s="112">
        <f t="shared" si="6"/>
        <v>45870</v>
      </c>
      <c r="B237" s="113">
        <v>2</v>
      </c>
      <c r="C237" s="18" t="str">
        <f t="shared" ref="C237:C253" si="8">C236</f>
        <v>1020</v>
      </c>
      <c r="D237" s="113" t="str">
        <f>_xlfn.XLOOKUP($C237,'Cost Centers'!$A$2:$A$11,'Cost Centers'!$B$2:$B$11,"")</f>
        <v>M &amp; G</v>
      </c>
      <c r="E237" s="113" t="s">
        <v>29</v>
      </c>
      <c r="F237" s="113" t="str">
        <f>_xlfn.XLOOKUP(E237,'Allocated Transactions'!D:D,'Allocated Transactions'!E:E,"")</f>
        <v>Payroll Taxes</v>
      </c>
      <c r="G237" s="113" t="s">
        <v>97</v>
      </c>
      <c r="H237" s="113"/>
      <c r="I237" s="113" t="str">
        <f>_xlfn.XLOOKUP($C237,'Cost Centers'!$A$2:$A$11,'Cost Centers'!$C$2:$C$11,"")</f>
        <v>Admin</v>
      </c>
      <c r="J237" s="23">
        <f>MROUND(SUMIFS('Allocated Transactions'!$J:$J,'Allocated Transactions'!$D:$D,$E237,'Allocated Transactions'!$C:$C,$C237,'Allocated Transactions'!$A:$A,"&gt;="&amp;$A237,'Allocated Transactions'!$A:$A,"&lt;="&amp;EOMONTH($A237,0))*0.99,100)</f>
        <v>0</v>
      </c>
      <c r="K237" s="113" t="s">
        <v>637</v>
      </c>
    </row>
    <row r="238" spans="1:11" ht="15" customHeight="1">
      <c r="A238" s="112">
        <f t="shared" si="6"/>
        <v>45870</v>
      </c>
      <c r="B238" s="113">
        <v>2</v>
      </c>
      <c r="C238" s="18" t="str">
        <f t="shared" si="8"/>
        <v>1020</v>
      </c>
      <c r="D238" s="113" t="str">
        <f>_xlfn.XLOOKUP($C238,'Cost Centers'!$A$2:$A$11,'Cost Centers'!$B$2:$B$11,"")</f>
        <v>M &amp; G</v>
      </c>
      <c r="E238" s="113" t="s">
        <v>30</v>
      </c>
      <c r="F238" s="113" t="str">
        <f>_xlfn.XLOOKUP(E238,'Allocated Transactions'!D:D,'Allocated Transactions'!E:E,"")</f>
        <v>Employee Benefits</v>
      </c>
      <c r="G238" s="113" t="s">
        <v>97</v>
      </c>
      <c r="H238" s="113"/>
      <c r="I238" s="113" t="str">
        <f>_xlfn.XLOOKUP($C238,'Cost Centers'!$A$2:$A$11,'Cost Centers'!$C$2:$C$11,"")</f>
        <v>Admin</v>
      </c>
      <c r="J238" s="23">
        <f>MROUND(SUMIFS('Allocated Transactions'!$J:$J,'Allocated Transactions'!$D:$D,$E238,'Allocated Transactions'!$C:$C,$C238,'Allocated Transactions'!$A:$A,"&gt;="&amp;$A238,'Allocated Transactions'!$A:$A,"&lt;="&amp;EOMONTH($A238,0))*0.99,100)</f>
        <v>0</v>
      </c>
      <c r="K238" s="113" t="s">
        <v>637</v>
      </c>
    </row>
    <row r="239" spans="1:11" ht="15" customHeight="1">
      <c r="A239" s="112">
        <f t="shared" si="6"/>
        <v>45870</v>
      </c>
      <c r="B239" s="113">
        <v>2</v>
      </c>
      <c r="C239" s="18" t="str">
        <f t="shared" si="8"/>
        <v>1020</v>
      </c>
      <c r="D239" s="113" t="str">
        <f>_xlfn.XLOOKUP($C239,'Cost Centers'!$A$2:$A$11,'Cost Centers'!$B$2:$B$11,"")</f>
        <v>M &amp; G</v>
      </c>
      <c r="E239" s="113" t="s">
        <v>31</v>
      </c>
      <c r="F239" s="113" t="str">
        <f>_xlfn.XLOOKUP(E239,'Allocated Transactions'!D:D,'Allocated Transactions'!E:E,"")</f>
        <v>Retirement Contributions</v>
      </c>
      <c r="G239" s="113" t="s">
        <v>97</v>
      </c>
      <c r="H239" s="113"/>
      <c r="I239" s="113" t="str">
        <f>_xlfn.XLOOKUP($C239,'Cost Centers'!$A$2:$A$11,'Cost Centers'!$C$2:$C$11,"")</f>
        <v>Admin</v>
      </c>
      <c r="J239" s="23">
        <f>MROUND(SUMIFS('Allocated Transactions'!$J:$J,'Allocated Transactions'!$D:$D,$E239,'Allocated Transactions'!$C:$C,$C239,'Allocated Transactions'!$A:$A,"&gt;="&amp;$A239,'Allocated Transactions'!$A:$A,"&lt;="&amp;EOMONTH($A239,0))*0.99,100)</f>
        <v>0</v>
      </c>
      <c r="K239" s="113" t="s">
        <v>637</v>
      </c>
    </row>
    <row r="240" spans="1:11" ht="15" customHeight="1">
      <c r="A240" s="112">
        <f t="shared" si="6"/>
        <v>45870</v>
      </c>
      <c r="B240" s="113">
        <v>2</v>
      </c>
      <c r="C240" s="18" t="str">
        <f t="shared" si="8"/>
        <v>1020</v>
      </c>
      <c r="D240" s="113" t="str">
        <f>_xlfn.XLOOKUP($C240,'Cost Centers'!$A$2:$A$11,'Cost Centers'!$B$2:$B$11,"")</f>
        <v>M &amp; G</v>
      </c>
      <c r="E240" s="113" t="s">
        <v>101</v>
      </c>
      <c r="F240" s="113" t="str">
        <f>_xlfn.XLOOKUP(E240,'Allocated Transactions'!D:D,'Allocated Transactions'!E:E,"")</f>
        <v>Contract Labor / Consultants</v>
      </c>
      <c r="G240" s="113" t="s">
        <v>97</v>
      </c>
      <c r="H240" s="113"/>
      <c r="I240" s="113" t="str">
        <f>_xlfn.XLOOKUP($C240,'Cost Centers'!$A$2:$A$11,'Cost Centers'!$C$2:$C$11,"")</f>
        <v>Admin</v>
      </c>
      <c r="J240" s="23">
        <f>MROUND(SUMIFS('Allocated Transactions'!$J:$J,'Allocated Transactions'!$D:$D,$E240,'Allocated Transactions'!$C:$C,$C240,'Allocated Transactions'!$A:$A,"&gt;="&amp;$A240,'Allocated Transactions'!$A:$A,"&lt;="&amp;EOMONTH($A240,0))*0.99,100)</f>
        <v>0</v>
      </c>
      <c r="K240" s="113" t="s">
        <v>637</v>
      </c>
    </row>
    <row r="241" spans="1:11" ht="15" customHeight="1">
      <c r="A241" s="112">
        <f t="shared" si="6"/>
        <v>45870</v>
      </c>
      <c r="B241" s="113">
        <v>2</v>
      </c>
      <c r="C241" s="18" t="str">
        <f t="shared" si="8"/>
        <v>1020</v>
      </c>
      <c r="D241" s="113" t="str">
        <f>_xlfn.XLOOKUP($C241,'Cost Centers'!$A$2:$A$11,'Cost Centers'!$B$2:$B$11,"")</f>
        <v>M &amp; G</v>
      </c>
      <c r="E241" s="113" t="s">
        <v>32</v>
      </c>
      <c r="F241" s="113" t="str">
        <f>_xlfn.XLOOKUP(E241,'Allocated Transactions'!D:D,'Allocated Transactions'!E:E,"")</f>
        <v>Rent</v>
      </c>
      <c r="G241" s="113" t="s">
        <v>97</v>
      </c>
      <c r="H241" s="113"/>
      <c r="I241" s="113" t="str">
        <f>_xlfn.XLOOKUP($C241,'Cost Centers'!$A$2:$A$11,'Cost Centers'!$C$2:$C$11,"")</f>
        <v>Admin</v>
      </c>
      <c r="J241" s="23">
        <f>MROUND(SUMIFS('Allocated Transactions'!$J:$J,'Allocated Transactions'!$D:$D,$E241,'Allocated Transactions'!$C:$C,$C241,'Allocated Transactions'!$A:$A,"&gt;="&amp;$A241,'Allocated Transactions'!$A:$A,"&lt;="&amp;EOMONTH($A241,0))*0.99,100)</f>
        <v>0</v>
      </c>
      <c r="K241" s="113" t="s">
        <v>637</v>
      </c>
    </row>
    <row r="242" spans="1:11" ht="15" customHeight="1">
      <c r="A242" s="112">
        <f t="shared" si="6"/>
        <v>45870</v>
      </c>
      <c r="B242" s="113">
        <v>2</v>
      </c>
      <c r="C242" s="18" t="str">
        <f t="shared" si="8"/>
        <v>1020</v>
      </c>
      <c r="D242" s="113" t="str">
        <f>_xlfn.XLOOKUP($C242,'Cost Centers'!$A$2:$A$11,'Cost Centers'!$B$2:$B$11,"")</f>
        <v>M &amp; G</v>
      </c>
      <c r="E242" s="113" t="s">
        <v>33</v>
      </c>
      <c r="F242" s="113" t="str">
        <f>_xlfn.XLOOKUP(E242,'Allocated Transactions'!D:D,'Allocated Transactions'!E:E,"")</f>
        <v>Utilities</v>
      </c>
      <c r="G242" s="113" t="s">
        <v>97</v>
      </c>
      <c r="H242" s="113"/>
      <c r="I242" s="113" t="str">
        <f>_xlfn.XLOOKUP($C242,'Cost Centers'!$A$2:$A$11,'Cost Centers'!$C$2:$C$11,"")</f>
        <v>Admin</v>
      </c>
      <c r="J242" s="23">
        <f>MROUND(SUMIFS('Allocated Transactions'!$J:$J,'Allocated Transactions'!$D:$D,$E242,'Allocated Transactions'!$C:$C,$C242,'Allocated Transactions'!$A:$A,"&gt;="&amp;$A242,'Allocated Transactions'!$A:$A,"&lt;="&amp;EOMONTH($A242,0))*0.99,100)</f>
        <v>0</v>
      </c>
      <c r="K242" s="113" t="s">
        <v>637</v>
      </c>
    </row>
    <row r="243" spans="1:11" ht="15" customHeight="1">
      <c r="A243" s="112">
        <f t="shared" si="6"/>
        <v>45870</v>
      </c>
      <c r="B243" s="113">
        <v>2</v>
      </c>
      <c r="C243" s="18" t="str">
        <f t="shared" si="8"/>
        <v>1020</v>
      </c>
      <c r="D243" s="113" t="str">
        <f>_xlfn.XLOOKUP($C243,'Cost Centers'!$A$2:$A$11,'Cost Centers'!$B$2:$B$11,"")</f>
        <v>M &amp; G</v>
      </c>
      <c r="E243" s="113" t="s">
        <v>105</v>
      </c>
      <c r="F243" s="113" t="str">
        <f>_xlfn.XLOOKUP(E243,'Allocated Transactions'!D:D,'Allocated Transactions'!E:E,"")</f>
        <v>Office Supplies</v>
      </c>
      <c r="G243" s="113" t="s">
        <v>97</v>
      </c>
      <c r="H243" s="113"/>
      <c r="I243" s="113" t="str">
        <f>_xlfn.XLOOKUP($C243,'Cost Centers'!$A$2:$A$11,'Cost Centers'!$C$2:$C$11,"")</f>
        <v>Admin</v>
      </c>
      <c r="J243" s="23">
        <f>MROUND(SUMIFS('Allocated Transactions'!$J:$J,'Allocated Transactions'!$D:$D,$E243,'Allocated Transactions'!$C:$C,$C243,'Allocated Transactions'!$A:$A,"&gt;="&amp;$A243,'Allocated Transactions'!$A:$A,"&lt;="&amp;EOMONTH($A243,0))*0.99,100)</f>
        <v>0</v>
      </c>
      <c r="K243" s="113" t="s">
        <v>637</v>
      </c>
    </row>
    <row r="244" spans="1:11" ht="15" customHeight="1">
      <c r="A244" s="112">
        <f t="shared" si="6"/>
        <v>45870</v>
      </c>
      <c r="B244" s="113">
        <v>2</v>
      </c>
      <c r="C244" s="18" t="str">
        <f t="shared" si="8"/>
        <v>1020</v>
      </c>
      <c r="D244" s="113" t="str">
        <f>_xlfn.XLOOKUP($C244,'Cost Centers'!$A$2:$A$11,'Cost Centers'!$B$2:$B$11,"")</f>
        <v>M &amp; G</v>
      </c>
      <c r="E244" s="113" t="s">
        <v>107</v>
      </c>
      <c r="F244" s="113" t="str">
        <f>_xlfn.XLOOKUP(E244,'Allocated Transactions'!D:D,'Allocated Transactions'!E:E,"")</f>
        <v>Software and Subscriptions</v>
      </c>
      <c r="G244" s="113" t="s">
        <v>97</v>
      </c>
      <c r="H244" s="113"/>
      <c r="I244" s="113" t="str">
        <f>_xlfn.XLOOKUP($C244,'Cost Centers'!$A$2:$A$11,'Cost Centers'!$C$2:$C$11,"")</f>
        <v>Admin</v>
      </c>
      <c r="J244" s="23">
        <f>MROUND(SUMIFS('Allocated Transactions'!$J:$J,'Allocated Transactions'!$D:$D,$E244,'Allocated Transactions'!$C:$C,$C244,'Allocated Transactions'!$A:$A,"&gt;="&amp;$A244,'Allocated Transactions'!$A:$A,"&lt;="&amp;EOMONTH($A244,0))*0.99,100)</f>
        <v>0</v>
      </c>
      <c r="K244" s="113" t="s">
        <v>637</v>
      </c>
    </row>
    <row r="245" spans="1:11" ht="15" customHeight="1">
      <c r="A245" s="112">
        <f t="shared" si="6"/>
        <v>45870</v>
      </c>
      <c r="B245" s="113">
        <v>2</v>
      </c>
      <c r="C245" s="18" t="str">
        <f t="shared" si="8"/>
        <v>1020</v>
      </c>
      <c r="D245" s="113" t="str">
        <f>_xlfn.XLOOKUP($C245,'Cost Centers'!$A$2:$A$11,'Cost Centers'!$B$2:$B$11,"")</f>
        <v>M &amp; G</v>
      </c>
      <c r="E245" s="113" t="s">
        <v>109</v>
      </c>
      <c r="F245" s="113" t="str">
        <f>_xlfn.XLOOKUP(E245,'Allocated Transactions'!D:D,'Allocated Transactions'!E:E,"")</f>
        <v>Travel</v>
      </c>
      <c r="G245" s="113" t="s">
        <v>97</v>
      </c>
      <c r="H245" s="113"/>
      <c r="I245" s="113" t="str">
        <f>_xlfn.XLOOKUP($C245,'Cost Centers'!$A$2:$A$11,'Cost Centers'!$C$2:$C$11,"")</f>
        <v>Admin</v>
      </c>
      <c r="J245" s="23">
        <f>MROUND(SUMIFS('Allocated Transactions'!$J:$J,'Allocated Transactions'!$D:$D,$E245,'Allocated Transactions'!$C:$C,$C245,'Allocated Transactions'!$A:$A,"&gt;="&amp;$A245,'Allocated Transactions'!$A:$A,"&lt;="&amp;EOMONTH($A245,0))*0.99,100)</f>
        <v>0</v>
      </c>
      <c r="K245" s="113" t="s">
        <v>637</v>
      </c>
    </row>
    <row r="246" spans="1:11" ht="15" customHeight="1">
      <c r="A246" s="112">
        <f t="shared" si="6"/>
        <v>45870</v>
      </c>
      <c r="B246" s="113">
        <v>2</v>
      </c>
      <c r="C246" s="18" t="str">
        <f t="shared" si="8"/>
        <v>1020</v>
      </c>
      <c r="D246" s="113" t="str">
        <f>_xlfn.XLOOKUP($C246,'Cost Centers'!$A$2:$A$11,'Cost Centers'!$B$2:$B$11,"")</f>
        <v>M &amp; G</v>
      </c>
      <c r="E246" s="113" t="s">
        <v>111</v>
      </c>
      <c r="F246" s="113" t="str">
        <f>_xlfn.XLOOKUP(E246,'Allocated Transactions'!D:D,'Allocated Transactions'!E:E,"")</f>
        <v>Meals and Entertainment</v>
      </c>
      <c r="G246" s="113" t="s">
        <v>97</v>
      </c>
      <c r="H246" s="113"/>
      <c r="I246" s="113" t="str">
        <f>_xlfn.XLOOKUP($C246,'Cost Centers'!$A$2:$A$11,'Cost Centers'!$C$2:$C$11,"")</f>
        <v>Admin</v>
      </c>
      <c r="J246" s="23">
        <f>MROUND(SUMIFS('Allocated Transactions'!$J:$J,'Allocated Transactions'!$D:$D,$E246,'Allocated Transactions'!$C:$C,$C246,'Allocated Transactions'!$A:$A,"&gt;="&amp;$A246,'Allocated Transactions'!$A:$A,"&lt;="&amp;EOMONTH($A246,0))*0.99,100)</f>
        <v>0</v>
      </c>
      <c r="K246" s="113" t="s">
        <v>637</v>
      </c>
    </row>
    <row r="247" spans="1:11" ht="15" customHeight="1">
      <c r="A247" s="112">
        <f t="shared" si="6"/>
        <v>45870</v>
      </c>
      <c r="B247" s="113">
        <v>2</v>
      </c>
      <c r="C247" s="18" t="str">
        <f t="shared" si="8"/>
        <v>1020</v>
      </c>
      <c r="D247" s="113" t="str">
        <f>_xlfn.XLOOKUP($C247,'Cost Centers'!$A$2:$A$11,'Cost Centers'!$B$2:$B$11,"")</f>
        <v>M &amp; G</v>
      </c>
      <c r="E247" s="113" t="s">
        <v>113</v>
      </c>
      <c r="F247" s="113" t="str">
        <f>_xlfn.XLOOKUP(E247,'Allocated Transactions'!D:D,'Allocated Transactions'!E:E,"")</f>
        <v>Professional Fees - Legal</v>
      </c>
      <c r="G247" s="113" t="s">
        <v>97</v>
      </c>
      <c r="H247" s="113"/>
      <c r="I247" s="113" t="str">
        <f>_xlfn.XLOOKUP($C247,'Cost Centers'!$A$2:$A$11,'Cost Centers'!$C$2:$C$11,"")</f>
        <v>Admin</v>
      </c>
      <c r="J247" s="23">
        <f>MROUND(SUMIFS('Allocated Transactions'!$J:$J,'Allocated Transactions'!$D:$D,$E247,'Allocated Transactions'!$C:$C,$C247,'Allocated Transactions'!$A:$A,"&gt;="&amp;$A247,'Allocated Transactions'!$A:$A,"&lt;="&amp;EOMONTH($A247,0))*0.99,100)</f>
        <v>2700</v>
      </c>
      <c r="K247" s="113" t="s">
        <v>637</v>
      </c>
    </row>
    <row r="248" spans="1:11" ht="15" customHeight="1">
      <c r="A248" s="112">
        <f t="shared" si="6"/>
        <v>45870</v>
      </c>
      <c r="B248" s="113">
        <v>2</v>
      </c>
      <c r="C248" s="18" t="str">
        <f t="shared" si="8"/>
        <v>1020</v>
      </c>
      <c r="D248" s="113" t="str">
        <f>_xlfn.XLOOKUP($C248,'Cost Centers'!$A$2:$A$11,'Cost Centers'!$B$2:$B$11,"")</f>
        <v>M &amp; G</v>
      </c>
      <c r="E248" s="113" t="s">
        <v>115</v>
      </c>
      <c r="F248" s="113" t="str">
        <f>_xlfn.XLOOKUP(E248,'Allocated Transactions'!D:D,'Allocated Transactions'!E:E,"")</f>
        <v>Professional Fees - Accounting/Audit</v>
      </c>
      <c r="G248" s="113" t="s">
        <v>97</v>
      </c>
      <c r="H248" s="113"/>
      <c r="I248" s="113" t="str">
        <f>_xlfn.XLOOKUP($C248,'Cost Centers'!$A$2:$A$11,'Cost Centers'!$C$2:$C$11,"")</f>
        <v>Admin</v>
      </c>
      <c r="J248" s="23">
        <f>MROUND(SUMIFS('Allocated Transactions'!$J:$J,'Allocated Transactions'!$D:$D,$E248,'Allocated Transactions'!$C:$C,$C248,'Allocated Transactions'!$A:$A,"&gt;="&amp;$A248,'Allocated Transactions'!$A:$A,"&lt;="&amp;EOMONTH($A248,0))*0.99,100)</f>
        <v>0</v>
      </c>
      <c r="K248" s="113" t="s">
        <v>637</v>
      </c>
    </row>
    <row r="249" spans="1:11" ht="15" customHeight="1">
      <c r="A249" s="112">
        <f t="shared" si="6"/>
        <v>45870</v>
      </c>
      <c r="B249" s="113">
        <v>2</v>
      </c>
      <c r="C249" s="18" t="str">
        <f t="shared" si="8"/>
        <v>1020</v>
      </c>
      <c r="D249" s="113" t="str">
        <f>_xlfn.XLOOKUP($C249,'Cost Centers'!$A$2:$A$11,'Cost Centers'!$B$2:$B$11,"")</f>
        <v>M &amp; G</v>
      </c>
      <c r="E249" s="113" t="s">
        <v>117</v>
      </c>
      <c r="F249" s="113" t="str">
        <f>_xlfn.XLOOKUP(E249,'Allocated Transactions'!D:D,'Allocated Transactions'!E:E,"")</f>
        <v>Insurance</v>
      </c>
      <c r="G249" s="113" t="s">
        <v>97</v>
      </c>
      <c r="H249" s="113"/>
      <c r="I249" s="113" t="str">
        <f>_xlfn.XLOOKUP($C249,'Cost Centers'!$A$2:$A$11,'Cost Centers'!$C$2:$C$11,"")</f>
        <v>Admin</v>
      </c>
      <c r="J249" s="23">
        <f>MROUND(SUMIFS('Allocated Transactions'!$J:$J,'Allocated Transactions'!$D:$D,$E249,'Allocated Transactions'!$C:$C,$C249,'Allocated Transactions'!$A:$A,"&gt;="&amp;$A249,'Allocated Transactions'!$A:$A,"&lt;="&amp;EOMONTH($A249,0))*0.99,100)</f>
        <v>0</v>
      </c>
      <c r="K249" s="113" t="s">
        <v>637</v>
      </c>
    </row>
    <row r="250" spans="1:11" ht="15" customHeight="1">
      <c r="A250" s="112">
        <f t="shared" si="6"/>
        <v>45870</v>
      </c>
      <c r="B250" s="113">
        <v>2</v>
      </c>
      <c r="C250" s="18" t="str">
        <f t="shared" si="8"/>
        <v>1020</v>
      </c>
      <c r="D250" s="113" t="str">
        <f>_xlfn.XLOOKUP($C250,'Cost Centers'!$A$2:$A$11,'Cost Centers'!$B$2:$B$11,"")</f>
        <v>M &amp; G</v>
      </c>
      <c r="E250" s="113" t="s">
        <v>119</v>
      </c>
      <c r="F250" s="113" t="str">
        <f>_xlfn.XLOOKUP(E250,'Allocated Transactions'!D:D,'Allocated Transactions'!E:E,"")</f>
        <v>Depreciation Expense</v>
      </c>
      <c r="G250" s="113" t="s">
        <v>97</v>
      </c>
      <c r="H250" s="113"/>
      <c r="I250" s="113" t="str">
        <f>_xlfn.XLOOKUP($C250,'Cost Centers'!$A$2:$A$11,'Cost Centers'!$C$2:$C$11,"")</f>
        <v>Admin</v>
      </c>
      <c r="J250" s="23">
        <f>MROUND(SUMIFS('Allocated Transactions'!$J:$J,'Allocated Transactions'!$D:$D,$E250,'Allocated Transactions'!$C:$C,$C250,'Allocated Transactions'!$A:$A,"&gt;="&amp;$A250,'Allocated Transactions'!$A:$A,"&lt;="&amp;EOMONTH($A250,0))*0.99,100)</f>
        <v>2400</v>
      </c>
      <c r="K250" s="113" t="s">
        <v>637</v>
      </c>
    </row>
    <row r="251" spans="1:11" ht="15" customHeight="1">
      <c r="A251" s="112">
        <f t="shared" si="6"/>
        <v>45870</v>
      </c>
      <c r="B251" s="113">
        <v>2</v>
      </c>
      <c r="C251" s="18" t="str">
        <f t="shared" si="8"/>
        <v>1020</v>
      </c>
      <c r="D251" s="113" t="str">
        <f>_xlfn.XLOOKUP($C251,'Cost Centers'!$A$2:$A$11,'Cost Centers'!$B$2:$B$11,"")</f>
        <v>M &amp; G</v>
      </c>
      <c r="E251" s="113" t="s">
        <v>121</v>
      </c>
      <c r="F251" s="113" t="str">
        <f>_xlfn.XLOOKUP(E251,'Allocated Transactions'!D:D,'Allocated Transactions'!E:E,"")</f>
        <v>Bank Fees</v>
      </c>
      <c r="G251" s="113" t="s">
        <v>97</v>
      </c>
      <c r="H251" s="113"/>
      <c r="I251" s="113" t="str">
        <f>_xlfn.XLOOKUP($C251,'Cost Centers'!$A$2:$A$11,'Cost Centers'!$C$2:$C$11,"")</f>
        <v>Admin</v>
      </c>
      <c r="J251" s="23">
        <f>MROUND(SUMIFS('Allocated Transactions'!$J:$J,'Allocated Transactions'!$D:$D,$E251,'Allocated Transactions'!$C:$C,$C251,'Allocated Transactions'!$A:$A,"&gt;="&amp;$A251,'Allocated Transactions'!$A:$A,"&lt;="&amp;EOMONTH($A251,0))*0.99,100)</f>
        <v>100</v>
      </c>
      <c r="K251" s="113" t="s">
        <v>637</v>
      </c>
    </row>
    <row r="252" spans="1:11" ht="15" customHeight="1">
      <c r="A252" s="112">
        <f t="shared" si="6"/>
        <v>45870</v>
      </c>
      <c r="B252" s="113">
        <v>2</v>
      </c>
      <c r="C252" s="18" t="str">
        <f t="shared" si="8"/>
        <v>1020</v>
      </c>
      <c r="D252" s="113" t="str">
        <f>_xlfn.XLOOKUP($C252,'Cost Centers'!$A$2:$A$11,'Cost Centers'!$B$2:$B$11,"")</f>
        <v>M &amp; G</v>
      </c>
      <c r="E252" s="113" t="s">
        <v>123</v>
      </c>
      <c r="F252" s="113" t="str">
        <f>_xlfn.XLOOKUP(E252,'Allocated Transactions'!D:D,'Allocated Transactions'!E:E,"")</f>
        <v>Interest Expense</v>
      </c>
      <c r="G252" s="113" t="s">
        <v>97</v>
      </c>
      <c r="H252" s="113"/>
      <c r="I252" s="113" t="str">
        <f>_xlfn.XLOOKUP($C252,'Cost Centers'!$A$2:$A$11,'Cost Centers'!$C$2:$C$11,"")</f>
        <v>Admin</v>
      </c>
      <c r="J252" s="23">
        <f>MROUND(SUMIFS('Allocated Transactions'!$J:$J,'Allocated Transactions'!$D:$D,$E252,'Allocated Transactions'!$C:$C,$C252,'Allocated Transactions'!$A:$A,"&gt;="&amp;$A252,'Allocated Transactions'!$A:$A,"&lt;="&amp;EOMONTH($A252,0))*0.99,100)</f>
        <v>400</v>
      </c>
      <c r="K252" s="113" t="s">
        <v>637</v>
      </c>
    </row>
    <row r="253" spans="1:11" ht="15" customHeight="1">
      <c r="A253" s="112">
        <f t="shared" si="6"/>
        <v>45870</v>
      </c>
      <c r="B253" s="113">
        <v>2</v>
      </c>
      <c r="C253" s="18" t="str">
        <f t="shared" si="8"/>
        <v>1020</v>
      </c>
      <c r="D253" s="113" t="str">
        <f>_xlfn.XLOOKUP($C253,'Cost Centers'!$A$2:$A$11,'Cost Centers'!$B$2:$B$11,"")</f>
        <v>M &amp; G</v>
      </c>
      <c r="E253" s="113" t="s">
        <v>125</v>
      </c>
      <c r="F253" s="113" t="str">
        <f>_xlfn.XLOOKUP(E253,'Allocated Transactions'!D:D,'Allocated Transactions'!E:E,"")</f>
        <v>Miscellaneous Expense</v>
      </c>
      <c r="G253" s="113" t="s">
        <v>97</v>
      </c>
      <c r="H253" s="113"/>
      <c r="I253" s="113" t="str">
        <f>_xlfn.XLOOKUP($C253,'Cost Centers'!$A$2:$A$11,'Cost Centers'!$C$2:$C$11,"")</f>
        <v>Admin</v>
      </c>
      <c r="J253" s="23">
        <f>MROUND(SUMIFS('Allocated Transactions'!$J:$J,'Allocated Transactions'!$D:$D,$E253,'Allocated Transactions'!$C:$C,$C253,'Allocated Transactions'!$A:$A,"&gt;="&amp;$A253,'Allocated Transactions'!$A:$A,"&lt;="&amp;EOMONTH($A253,0))*0.99,100)</f>
        <v>500</v>
      </c>
      <c r="K253" s="113" t="s">
        <v>637</v>
      </c>
    </row>
    <row r="254" spans="1:11" ht="15" customHeight="1">
      <c r="A254" s="112">
        <f t="shared" si="6"/>
        <v>45901</v>
      </c>
      <c r="B254" s="113">
        <v>2</v>
      </c>
      <c r="C254" s="18" t="s">
        <v>46</v>
      </c>
      <c r="D254" s="113" t="str">
        <f>_xlfn.XLOOKUP($C254,'Cost Centers'!$A$2:$A$11,'Cost Centers'!$B$2:$B$11,"")</f>
        <v>M &amp; G</v>
      </c>
      <c r="E254" s="113" t="s">
        <v>28</v>
      </c>
      <c r="F254" s="113" t="str">
        <f>_xlfn.XLOOKUP(E254,'Allocated Transactions'!D:D,'Allocated Transactions'!E:E,"")</f>
        <v>Salaries and Wages</v>
      </c>
      <c r="G254" s="113" t="s">
        <v>97</v>
      </c>
      <c r="H254" s="113"/>
      <c r="I254" s="113" t="str">
        <f>_xlfn.XLOOKUP($C254,'Cost Centers'!$A$2:$A$11,'Cost Centers'!$C$2:$C$11,"")</f>
        <v>Admin</v>
      </c>
      <c r="J254" s="23">
        <f>MROUND(SUMIFS('Allocated Transactions'!$J:$J,'Allocated Transactions'!$D:$D,$E254,'Allocated Transactions'!$C:$C,$C254,'Allocated Transactions'!$A:$A,"&gt;="&amp;$A254,'Allocated Transactions'!$A:$A,"&lt;="&amp;EOMONTH($A254,0))*0.99,100)</f>
        <v>0</v>
      </c>
      <c r="K254" s="113" t="s">
        <v>637</v>
      </c>
    </row>
    <row r="255" spans="1:11" ht="15" customHeight="1">
      <c r="A255" s="112">
        <f t="shared" si="6"/>
        <v>45901</v>
      </c>
      <c r="B255" s="113">
        <v>2</v>
      </c>
      <c r="C255" s="18" t="str">
        <f t="shared" ref="C255:C271" si="9">C254</f>
        <v>1020</v>
      </c>
      <c r="D255" s="113" t="str">
        <f>_xlfn.XLOOKUP($C255,'Cost Centers'!$A$2:$A$11,'Cost Centers'!$B$2:$B$11,"")</f>
        <v>M &amp; G</v>
      </c>
      <c r="E255" s="113" t="s">
        <v>29</v>
      </c>
      <c r="F255" s="113" t="str">
        <f>_xlfn.XLOOKUP(E255,'Allocated Transactions'!D:D,'Allocated Transactions'!E:E,"")</f>
        <v>Payroll Taxes</v>
      </c>
      <c r="G255" s="113" t="s">
        <v>97</v>
      </c>
      <c r="H255" s="113"/>
      <c r="I255" s="113" t="str">
        <f>_xlfn.XLOOKUP($C255,'Cost Centers'!$A$2:$A$11,'Cost Centers'!$C$2:$C$11,"")</f>
        <v>Admin</v>
      </c>
      <c r="J255" s="23">
        <f>MROUND(SUMIFS('Allocated Transactions'!$J:$J,'Allocated Transactions'!$D:$D,$E255,'Allocated Transactions'!$C:$C,$C255,'Allocated Transactions'!$A:$A,"&gt;="&amp;$A255,'Allocated Transactions'!$A:$A,"&lt;="&amp;EOMONTH($A255,0))*0.99,100)</f>
        <v>0</v>
      </c>
      <c r="K255" s="113" t="s">
        <v>637</v>
      </c>
    </row>
    <row r="256" spans="1:11" ht="15" customHeight="1">
      <c r="A256" s="112">
        <f t="shared" si="6"/>
        <v>45901</v>
      </c>
      <c r="B256" s="113">
        <v>2</v>
      </c>
      <c r="C256" s="18" t="str">
        <f t="shared" si="9"/>
        <v>1020</v>
      </c>
      <c r="D256" s="113" t="str">
        <f>_xlfn.XLOOKUP($C256,'Cost Centers'!$A$2:$A$11,'Cost Centers'!$B$2:$B$11,"")</f>
        <v>M &amp; G</v>
      </c>
      <c r="E256" s="113" t="s">
        <v>30</v>
      </c>
      <c r="F256" s="113" t="str">
        <f>_xlfn.XLOOKUP(E256,'Allocated Transactions'!D:D,'Allocated Transactions'!E:E,"")</f>
        <v>Employee Benefits</v>
      </c>
      <c r="G256" s="113" t="s">
        <v>97</v>
      </c>
      <c r="H256" s="113"/>
      <c r="I256" s="113" t="str">
        <f>_xlfn.XLOOKUP($C256,'Cost Centers'!$A$2:$A$11,'Cost Centers'!$C$2:$C$11,"")</f>
        <v>Admin</v>
      </c>
      <c r="J256" s="23">
        <f>MROUND(SUMIFS('Allocated Transactions'!$J:$J,'Allocated Transactions'!$D:$D,$E256,'Allocated Transactions'!$C:$C,$C256,'Allocated Transactions'!$A:$A,"&gt;="&amp;$A256,'Allocated Transactions'!$A:$A,"&lt;="&amp;EOMONTH($A256,0))*0.99,100)</f>
        <v>0</v>
      </c>
      <c r="K256" s="113" t="s">
        <v>637</v>
      </c>
    </row>
    <row r="257" spans="1:11" ht="15" customHeight="1">
      <c r="A257" s="112">
        <f t="shared" si="6"/>
        <v>45901</v>
      </c>
      <c r="B257" s="113">
        <v>2</v>
      </c>
      <c r="C257" s="18" t="str">
        <f t="shared" si="9"/>
        <v>1020</v>
      </c>
      <c r="D257" s="113" t="str">
        <f>_xlfn.XLOOKUP($C257,'Cost Centers'!$A$2:$A$11,'Cost Centers'!$B$2:$B$11,"")</f>
        <v>M &amp; G</v>
      </c>
      <c r="E257" s="113" t="s">
        <v>31</v>
      </c>
      <c r="F257" s="113" t="str">
        <f>_xlfn.XLOOKUP(E257,'Allocated Transactions'!D:D,'Allocated Transactions'!E:E,"")</f>
        <v>Retirement Contributions</v>
      </c>
      <c r="G257" s="113" t="s">
        <v>97</v>
      </c>
      <c r="H257" s="113"/>
      <c r="I257" s="113" t="str">
        <f>_xlfn.XLOOKUP($C257,'Cost Centers'!$A$2:$A$11,'Cost Centers'!$C$2:$C$11,"")</f>
        <v>Admin</v>
      </c>
      <c r="J257" s="23">
        <f>MROUND(SUMIFS('Allocated Transactions'!$J:$J,'Allocated Transactions'!$D:$D,$E257,'Allocated Transactions'!$C:$C,$C257,'Allocated Transactions'!$A:$A,"&gt;="&amp;$A257,'Allocated Transactions'!$A:$A,"&lt;="&amp;EOMONTH($A257,0))*0.99,100)</f>
        <v>0</v>
      </c>
      <c r="K257" s="113" t="s">
        <v>637</v>
      </c>
    </row>
    <row r="258" spans="1:11" ht="15" customHeight="1">
      <c r="A258" s="112">
        <f t="shared" si="6"/>
        <v>45901</v>
      </c>
      <c r="B258" s="113">
        <v>2</v>
      </c>
      <c r="C258" s="18" t="str">
        <f t="shared" si="9"/>
        <v>1020</v>
      </c>
      <c r="D258" s="113" t="str">
        <f>_xlfn.XLOOKUP($C258,'Cost Centers'!$A$2:$A$11,'Cost Centers'!$B$2:$B$11,"")</f>
        <v>M &amp; G</v>
      </c>
      <c r="E258" s="113" t="s">
        <v>101</v>
      </c>
      <c r="F258" s="113" t="str">
        <f>_xlfn.XLOOKUP(E258,'Allocated Transactions'!D:D,'Allocated Transactions'!E:E,"")</f>
        <v>Contract Labor / Consultants</v>
      </c>
      <c r="G258" s="113" t="s">
        <v>97</v>
      </c>
      <c r="H258" s="113"/>
      <c r="I258" s="113" t="str">
        <f>_xlfn.XLOOKUP($C258,'Cost Centers'!$A$2:$A$11,'Cost Centers'!$C$2:$C$11,"")</f>
        <v>Admin</v>
      </c>
      <c r="J258" s="23">
        <f>MROUND(SUMIFS('Allocated Transactions'!$J:$J,'Allocated Transactions'!$D:$D,$E258,'Allocated Transactions'!$C:$C,$C258,'Allocated Transactions'!$A:$A,"&gt;="&amp;$A258,'Allocated Transactions'!$A:$A,"&lt;="&amp;EOMONTH($A258,0))*0.99,100)</f>
        <v>0</v>
      </c>
      <c r="K258" s="113" t="s">
        <v>637</v>
      </c>
    </row>
    <row r="259" spans="1:11" ht="15" customHeight="1">
      <c r="A259" s="112">
        <f t="shared" si="6"/>
        <v>45901</v>
      </c>
      <c r="B259" s="113">
        <v>2</v>
      </c>
      <c r="C259" s="18" t="str">
        <f t="shared" si="9"/>
        <v>1020</v>
      </c>
      <c r="D259" s="113" t="str">
        <f>_xlfn.XLOOKUP($C259,'Cost Centers'!$A$2:$A$11,'Cost Centers'!$B$2:$B$11,"")</f>
        <v>M &amp; G</v>
      </c>
      <c r="E259" s="113" t="s">
        <v>32</v>
      </c>
      <c r="F259" s="113" t="str">
        <f>_xlfn.XLOOKUP(E259,'Allocated Transactions'!D:D,'Allocated Transactions'!E:E,"")</f>
        <v>Rent</v>
      </c>
      <c r="G259" s="113" t="s">
        <v>97</v>
      </c>
      <c r="H259" s="113"/>
      <c r="I259" s="113" t="str">
        <f>_xlfn.XLOOKUP($C259,'Cost Centers'!$A$2:$A$11,'Cost Centers'!$C$2:$C$11,"")</f>
        <v>Admin</v>
      </c>
      <c r="J259" s="23">
        <f>MROUND(SUMIFS('Allocated Transactions'!$J:$J,'Allocated Transactions'!$D:$D,$E259,'Allocated Transactions'!$C:$C,$C259,'Allocated Transactions'!$A:$A,"&gt;="&amp;$A259,'Allocated Transactions'!$A:$A,"&lt;="&amp;EOMONTH($A259,0))*0.99,100)</f>
        <v>0</v>
      </c>
      <c r="K259" s="113" t="s">
        <v>637</v>
      </c>
    </row>
    <row r="260" spans="1:11" ht="15" customHeight="1">
      <c r="A260" s="112">
        <f t="shared" si="6"/>
        <v>45901</v>
      </c>
      <c r="B260" s="113">
        <v>2</v>
      </c>
      <c r="C260" s="18" t="str">
        <f t="shared" si="9"/>
        <v>1020</v>
      </c>
      <c r="D260" s="113" t="str">
        <f>_xlfn.XLOOKUP($C260,'Cost Centers'!$A$2:$A$11,'Cost Centers'!$B$2:$B$11,"")</f>
        <v>M &amp; G</v>
      </c>
      <c r="E260" s="113" t="s">
        <v>33</v>
      </c>
      <c r="F260" s="113" t="str">
        <f>_xlfn.XLOOKUP(E260,'Allocated Transactions'!D:D,'Allocated Transactions'!E:E,"")</f>
        <v>Utilities</v>
      </c>
      <c r="G260" s="113" t="s">
        <v>97</v>
      </c>
      <c r="H260" s="113"/>
      <c r="I260" s="113" t="str">
        <f>_xlfn.XLOOKUP($C260,'Cost Centers'!$A$2:$A$11,'Cost Centers'!$C$2:$C$11,"")</f>
        <v>Admin</v>
      </c>
      <c r="J260" s="23">
        <f>MROUND(SUMIFS('Allocated Transactions'!$J:$J,'Allocated Transactions'!$D:$D,$E260,'Allocated Transactions'!$C:$C,$C260,'Allocated Transactions'!$A:$A,"&gt;="&amp;$A260,'Allocated Transactions'!$A:$A,"&lt;="&amp;EOMONTH($A260,0))*0.99,100)</f>
        <v>0</v>
      </c>
      <c r="K260" s="113" t="s">
        <v>637</v>
      </c>
    </row>
    <row r="261" spans="1:11" ht="15" customHeight="1">
      <c r="A261" s="112">
        <f t="shared" si="6"/>
        <v>45901</v>
      </c>
      <c r="B261" s="113">
        <v>2</v>
      </c>
      <c r="C261" s="18" t="str">
        <f t="shared" si="9"/>
        <v>1020</v>
      </c>
      <c r="D261" s="113" t="str">
        <f>_xlfn.XLOOKUP($C261,'Cost Centers'!$A$2:$A$11,'Cost Centers'!$B$2:$B$11,"")</f>
        <v>M &amp; G</v>
      </c>
      <c r="E261" s="113" t="s">
        <v>105</v>
      </c>
      <c r="F261" s="113" t="str">
        <f>_xlfn.XLOOKUP(E261,'Allocated Transactions'!D:D,'Allocated Transactions'!E:E,"")</f>
        <v>Office Supplies</v>
      </c>
      <c r="G261" s="113" t="s">
        <v>97</v>
      </c>
      <c r="H261" s="113"/>
      <c r="I261" s="113" t="str">
        <f>_xlfn.XLOOKUP($C261,'Cost Centers'!$A$2:$A$11,'Cost Centers'!$C$2:$C$11,"")</f>
        <v>Admin</v>
      </c>
      <c r="J261" s="23">
        <f>MROUND(SUMIFS('Allocated Transactions'!$J:$J,'Allocated Transactions'!$D:$D,$E261,'Allocated Transactions'!$C:$C,$C261,'Allocated Transactions'!$A:$A,"&gt;="&amp;$A261,'Allocated Transactions'!$A:$A,"&lt;="&amp;EOMONTH($A261,0))*0.99,100)</f>
        <v>0</v>
      </c>
      <c r="K261" s="113" t="s">
        <v>637</v>
      </c>
    </row>
    <row r="262" spans="1:11" ht="15" customHeight="1">
      <c r="A262" s="112">
        <f t="shared" si="6"/>
        <v>45901</v>
      </c>
      <c r="B262" s="113">
        <v>2</v>
      </c>
      <c r="C262" s="18" t="str">
        <f t="shared" si="9"/>
        <v>1020</v>
      </c>
      <c r="D262" s="113" t="str">
        <f>_xlfn.XLOOKUP($C262,'Cost Centers'!$A$2:$A$11,'Cost Centers'!$B$2:$B$11,"")</f>
        <v>M &amp; G</v>
      </c>
      <c r="E262" s="113" t="s">
        <v>107</v>
      </c>
      <c r="F262" s="113" t="str">
        <f>_xlfn.XLOOKUP(E262,'Allocated Transactions'!D:D,'Allocated Transactions'!E:E,"")</f>
        <v>Software and Subscriptions</v>
      </c>
      <c r="G262" s="113" t="s">
        <v>97</v>
      </c>
      <c r="H262" s="113"/>
      <c r="I262" s="113" t="str">
        <f>_xlfn.XLOOKUP($C262,'Cost Centers'!$A$2:$A$11,'Cost Centers'!$C$2:$C$11,"")</f>
        <v>Admin</v>
      </c>
      <c r="J262" s="23">
        <f>MROUND(SUMIFS('Allocated Transactions'!$J:$J,'Allocated Transactions'!$D:$D,$E262,'Allocated Transactions'!$C:$C,$C262,'Allocated Transactions'!$A:$A,"&gt;="&amp;$A262,'Allocated Transactions'!$A:$A,"&lt;="&amp;EOMONTH($A262,0))*0.99,100)</f>
        <v>2900</v>
      </c>
      <c r="K262" s="113" t="s">
        <v>637</v>
      </c>
    </row>
    <row r="263" spans="1:11" ht="15" customHeight="1">
      <c r="A263" s="112">
        <f t="shared" si="6"/>
        <v>45901</v>
      </c>
      <c r="B263" s="113">
        <v>2</v>
      </c>
      <c r="C263" s="18" t="str">
        <f t="shared" si="9"/>
        <v>1020</v>
      </c>
      <c r="D263" s="113" t="str">
        <f>_xlfn.XLOOKUP($C263,'Cost Centers'!$A$2:$A$11,'Cost Centers'!$B$2:$B$11,"")</f>
        <v>M &amp; G</v>
      </c>
      <c r="E263" s="113" t="s">
        <v>109</v>
      </c>
      <c r="F263" s="113" t="str">
        <f>_xlfn.XLOOKUP(E263,'Allocated Transactions'!D:D,'Allocated Transactions'!E:E,"")</f>
        <v>Travel</v>
      </c>
      <c r="G263" s="113" t="s">
        <v>97</v>
      </c>
      <c r="H263" s="113"/>
      <c r="I263" s="113" t="str">
        <f>_xlfn.XLOOKUP($C263,'Cost Centers'!$A$2:$A$11,'Cost Centers'!$C$2:$C$11,"")</f>
        <v>Admin</v>
      </c>
      <c r="J263" s="23">
        <f>MROUND(SUMIFS('Allocated Transactions'!$J:$J,'Allocated Transactions'!$D:$D,$E263,'Allocated Transactions'!$C:$C,$C263,'Allocated Transactions'!$A:$A,"&gt;="&amp;$A263,'Allocated Transactions'!$A:$A,"&lt;="&amp;EOMONTH($A263,0))*0.99,100)</f>
        <v>0</v>
      </c>
      <c r="K263" s="113" t="s">
        <v>637</v>
      </c>
    </row>
    <row r="264" spans="1:11" ht="15" customHeight="1">
      <c r="A264" s="112">
        <f t="shared" si="6"/>
        <v>45901</v>
      </c>
      <c r="B264" s="113">
        <v>2</v>
      </c>
      <c r="C264" s="18" t="str">
        <f t="shared" si="9"/>
        <v>1020</v>
      </c>
      <c r="D264" s="113" t="str">
        <f>_xlfn.XLOOKUP($C264,'Cost Centers'!$A$2:$A$11,'Cost Centers'!$B$2:$B$11,"")</f>
        <v>M &amp; G</v>
      </c>
      <c r="E264" s="113" t="s">
        <v>111</v>
      </c>
      <c r="F264" s="113" t="str">
        <f>_xlfn.XLOOKUP(E264,'Allocated Transactions'!D:D,'Allocated Transactions'!E:E,"")</f>
        <v>Meals and Entertainment</v>
      </c>
      <c r="G264" s="113" t="s">
        <v>97</v>
      </c>
      <c r="H264" s="113"/>
      <c r="I264" s="113" t="str">
        <f>_xlfn.XLOOKUP($C264,'Cost Centers'!$A$2:$A$11,'Cost Centers'!$C$2:$C$11,"")</f>
        <v>Admin</v>
      </c>
      <c r="J264" s="23">
        <f>MROUND(SUMIFS('Allocated Transactions'!$J:$J,'Allocated Transactions'!$D:$D,$E264,'Allocated Transactions'!$C:$C,$C264,'Allocated Transactions'!$A:$A,"&gt;="&amp;$A264,'Allocated Transactions'!$A:$A,"&lt;="&amp;EOMONTH($A264,0))*0.99,100)</f>
        <v>0</v>
      </c>
      <c r="K264" s="113" t="s">
        <v>637</v>
      </c>
    </row>
    <row r="265" spans="1:11" ht="15" customHeight="1">
      <c r="A265" s="112">
        <f t="shared" si="6"/>
        <v>45901</v>
      </c>
      <c r="B265" s="113">
        <v>2</v>
      </c>
      <c r="C265" s="18" t="str">
        <f t="shared" si="9"/>
        <v>1020</v>
      </c>
      <c r="D265" s="113" t="str">
        <f>_xlfn.XLOOKUP($C265,'Cost Centers'!$A$2:$A$11,'Cost Centers'!$B$2:$B$11,"")</f>
        <v>M &amp; G</v>
      </c>
      <c r="E265" s="113" t="s">
        <v>113</v>
      </c>
      <c r="F265" s="113" t="str">
        <f>_xlfn.XLOOKUP(E265,'Allocated Transactions'!D:D,'Allocated Transactions'!E:E,"")</f>
        <v>Professional Fees - Legal</v>
      </c>
      <c r="G265" s="113" t="s">
        <v>97</v>
      </c>
      <c r="H265" s="113"/>
      <c r="I265" s="113" t="str">
        <f>_xlfn.XLOOKUP($C265,'Cost Centers'!$A$2:$A$11,'Cost Centers'!$C$2:$C$11,"")</f>
        <v>Admin</v>
      </c>
      <c r="J265" s="23">
        <f>MROUND(SUMIFS('Allocated Transactions'!$J:$J,'Allocated Transactions'!$D:$D,$E265,'Allocated Transactions'!$C:$C,$C265,'Allocated Transactions'!$A:$A,"&gt;="&amp;$A265,'Allocated Transactions'!$A:$A,"&lt;="&amp;EOMONTH($A265,0))*0.99,100)</f>
        <v>0</v>
      </c>
      <c r="K265" s="113" t="s">
        <v>637</v>
      </c>
    </row>
    <row r="266" spans="1:11" ht="15" customHeight="1">
      <c r="A266" s="112">
        <f t="shared" si="6"/>
        <v>45901</v>
      </c>
      <c r="B266" s="113">
        <v>2</v>
      </c>
      <c r="C266" s="18" t="str">
        <f t="shared" si="9"/>
        <v>1020</v>
      </c>
      <c r="D266" s="113" t="str">
        <f>_xlfn.XLOOKUP($C266,'Cost Centers'!$A$2:$A$11,'Cost Centers'!$B$2:$B$11,"")</f>
        <v>M &amp; G</v>
      </c>
      <c r="E266" s="113" t="s">
        <v>115</v>
      </c>
      <c r="F266" s="113" t="str">
        <f>_xlfn.XLOOKUP(E266,'Allocated Transactions'!D:D,'Allocated Transactions'!E:E,"")</f>
        <v>Professional Fees - Accounting/Audit</v>
      </c>
      <c r="G266" s="113" t="s">
        <v>97</v>
      </c>
      <c r="H266" s="113"/>
      <c r="I266" s="113" t="str">
        <f>_xlfn.XLOOKUP($C266,'Cost Centers'!$A$2:$A$11,'Cost Centers'!$C$2:$C$11,"")</f>
        <v>Admin</v>
      </c>
      <c r="J266" s="23">
        <f>MROUND(SUMIFS('Allocated Transactions'!$J:$J,'Allocated Transactions'!$D:$D,$E266,'Allocated Transactions'!$C:$C,$C266,'Allocated Transactions'!$A:$A,"&gt;="&amp;$A266,'Allocated Transactions'!$A:$A,"&lt;="&amp;EOMONTH($A266,0))*0.99,100)</f>
        <v>20900</v>
      </c>
      <c r="K266" s="113" t="s">
        <v>637</v>
      </c>
    </row>
    <row r="267" spans="1:11" ht="15" customHeight="1">
      <c r="A267" s="112">
        <f t="shared" si="6"/>
        <v>45901</v>
      </c>
      <c r="B267" s="113">
        <v>2</v>
      </c>
      <c r="C267" s="18" t="str">
        <f t="shared" si="9"/>
        <v>1020</v>
      </c>
      <c r="D267" s="113" t="str">
        <f>_xlfn.XLOOKUP($C267,'Cost Centers'!$A$2:$A$11,'Cost Centers'!$B$2:$B$11,"")</f>
        <v>M &amp; G</v>
      </c>
      <c r="E267" s="113" t="s">
        <v>117</v>
      </c>
      <c r="F267" s="113" t="str">
        <f>_xlfn.XLOOKUP(E267,'Allocated Transactions'!D:D,'Allocated Transactions'!E:E,"")</f>
        <v>Insurance</v>
      </c>
      <c r="G267" s="113" t="s">
        <v>97</v>
      </c>
      <c r="H267" s="113"/>
      <c r="I267" s="113" t="str">
        <f>_xlfn.XLOOKUP($C267,'Cost Centers'!$A$2:$A$11,'Cost Centers'!$C$2:$C$11,"")</f>
        <v>Admin</v>
      </c>
      <c r="J267" s="23">
        <f>MROUND(SUMIFS('Allocated Transactions'!$J:$J,'Allocated Transactions'!$D:$D,$E267,'Allocated Transactions'!$C:$C,$C267,'Allocated Transactions'!$A:$A,"&gt;="&amp;$A267,'Allocated Transactions'!$A:$A,"&lt;="&amp;EOMONTH($A267,0))*0.99,100)</f>
        <v>0</v>
      </c>
      <c r="K267" s="113" t="s">
        <v>637</v>
      </c>
    </row>
    <row r="268" spans="1:11" ht="15" customHeight="1">
      <c r="A268" s="112">
        <f t="shared" si="6"/>
        <v>45901</v>
      </c>
      <c r="B268" s="113">
        <v>2</v>
      </c>
      <c r="C268" s="18" t="str">
        <f t="shared" si="9"/>
        <v>1020</v>
      </c>
      <c r="D268" s="113" t="str">
        <f>_xlfn.XLOOKUP($C268,'Cost Centers'!$A$2:$A$11,'Cost Centers'!$B$2:$B$11,"")</f>
        <v>M &amp; G</v>
      </c>
      <c r="E268" s="113" t="s">
        <v>119</v>
      </c>
      <c r="F268" s="113" t="str">
        <f>_xlfn.XLOOKUP(E268,'Allocated Transactions'!D:D,'Allocated Transactions'!E:E,"")</f>
        <v>Depreciation Expense</v>
      </c>
      <c r="G268" s="113" t="s">
        <v>97</v>
      </c>
      <c r="H268" s="113"/>
      <c r="I268" s="113" t="str">
        <f>_xlfn.XLOOKUP($C268,'Cost Centers'!$A$2:$A$11,'Cost Centers'!$C$2:$C$11,"")</f>
        <v>Admin</v>
      </c>
      <c r="J268" s="23">
        <f>MROUND(SUMIFS('Allocated Transactions'!$J:$J,'Allocated Transactions'!$D:$D,$E268,'Allocated Transactions'!$C:$C,$C268,'Allocated Transactions'!$A:$A,"&gt;="&amp;$A268,'Allocated Transactions'!$A:$A,"&lt;="&amp;EOMONTH($A268,0))*0.99,100)</f>
        <v>2400</v>
      </c>
      <c r="K268" s="113" t="s">
        <v>637</v>
      </c>
    </row>
    <row r="269" spans="1:11" ht="15" customHeight="1">
      <c r="A269" s="112">
        <f t="shared" si="6"/>
        <v>45901</v>
      </c>
      <c r="B269" s="113">
        <v>2</v>
      </c>
      <c r="C269" s="18" t="str">
        <f t="shared" si="9"/>
        <v>1020</v>
      </c>
      <c r="D269" s="113" t="str">
        <f>_xlfn.XLOOKUP($C269,'Cost Centers'!$A$2:$A$11,'Cost Centers'!$B$2:$B$11,"")</f>
        <v>M &amp; G</v>
      </c>
      <c r="E269" s="113" t="s">
        <v>121</v>
      </c>
      <c r="F269" s="113" t="str">
        <f>_xlfn.XLOOKUP(E269,'Allocated Transactions'!D:D,'Allocated Transactions'!E:E,"")</f>
        <v>Bank Fees</v>
      </c>
      <c r="G269" s="113" t="s">
        <v>97</v>
      </c>
      <c r="H269" s="113"/>
      <c r="I269" s="113" t="str">
        <f>_xlfn.XLOOKUP($C269,'Cost Centers'!$A$2:$A$11,'Cost Centers'!$C$2:$C$11,"")</f>
        <v>Admin</v>
      </c>
      <c r="J269" s="23">
        <f>MROUND(SUMIFS('Allocated Transactions'!$J:$J,'Allocated Transactions'!$D:$D,$E269,'Allocated Transactions'!$C:$C,$C269,'Allocated Transactions'!$A:$A,"&gt;="&amp;$A269,'Allocated Transactions'!$A:$A,"&lt;="&amp;EOMONTH($A269,0))*0.99,100)</f>
        <v>100</v>
      </c>
      <c r="K269" s="113" t="s">
        <v>637</v>
      </c>
    </row>
    <row r="270" spans="1:11" ht="15" customHeight="1">
      <c r="A270" s="112">
        <f t="shared" si="6"/>
        <v>45901</v>
      </c>
      <c r="B270" s="113">
        <v>2</v>
      </c>
      <c r="C270" s="18" t="str">
        <f t="shared" si="9"/>
        <v>1020</v>
      </c>
      <c r="D270" s="113" t="str">
        <f>_xlfn.XLOOKUP($C270,'Cost Centers'!$A$2:$A$11,'Cost Centers'!$B$2:$B$11,"")</f>
        <v>M &amp; G</v>
      </c>
      <c r="E270" s="113" t="s">
        <v>123</v>
      </c>
      <c r="F270" s="113" t="str">
        <f>_xlfn.XLOOKUP(E270,'Allocated Transactions'!D:D,'Allocated Transactions'!E:E,"")</f>
        <v>Interest Expense</v>
      </c>
      <c r="G270" s="113" t="s">
        <v>97</v>
      </c>
      <c r="H270" s="113"/>
      <c r="I270" s="113" t="str">
        <f>_xlfn.XLOOKUP($C270,'Cost Centers'!$A$2:$A$11,'Cost Centers'!$C$2:$C$11,"")</f>
        <v>Admin</v>
      </c>
      <c r="J270" s="23">
        <f>MROUND(SUMIFS('Allocated Transactions'!$J:$J,'Allocated Transactions'!$D:$D,$E270,'Allocated Transactions'!$C:$C,$C270,'Allocated Transactions'!$A:$A,"&gt;="&amp;$A270,'Allocated Transactions'!$A:$A,"&lt;="&amp;EOMONTH($A270,0))*0.99,100)</f>
        <v>400</v>
      </c>
      <c r="K270" s="113" t="s">
        <v>637</v>
      </c>
    </row>
    <row r="271" spans="1:11" ht="15" customHeight="1">
      <c r="A271" s="112">
        <f t="shared" si="6"/>
        <v>45901</v>
      </c>
      <c r="B271" s="113">
        <v>2</v>
      </c>
      <c r="C271" s="18" t="str">
        <f t="shared" si="9"/>
        <v>1020</v>
      </c>
      <c r="D271" s="113" t="str">
        <f>_xlfn.XLOOKUP($C271,'Cost Centers'!$A$2:$A$11,'Cost Centers'!$B$2:$B$11,"")</f>
        <v>M &amp; G</v>
      </c>
      <c r="E271" s="113" t="s">
        <v>125</v>
      </c>
      <c r="F271" s="113" t="str">
        <f>_xlfn.XLOOKUP(E271,'Allocated Transactions'!D:D,'Allocated Transactions'!E:E,"")</f>
        <v>Miscellaneous Expense</v>
      </c>
      <c r="G271" s="113" t="s">
        <v>97</v>
      </c>
      <c r="H271" s="113"/>
      <c r="I271" s="113" t="str">
        <f>_xlfn.XLOOKUP($C271,'Cost Centers'!$A$2:$A$11,'Cost Centers'!$C$2:$C$11,"")</f>
        <v>Admin</v>
      </c>
      <c r="J271" s="23">
        <f>MROUND(SUMIFS('Allocated Transactions'!$J:$J,'Allocated Transactions'!$D:$D,$E271,'Allocated Transactions'!$C:$C,$C271,'Allocated Transactions'!$A:$A,"&gt;="&amp;$A271,'Allocated Transactions'!$A:$A,"&lt;="&amp;EOMONTH($A271,0))*0.99,100)</f>
        <v>0</v>
      </c>
      <c r="K271" s="113" t="s">
        <v>637</v>
      </c>
    </row>
    <row r="272" spans="1:11" ht="15" customHeight="1">
      <c r="A272" s="112">
        <f t="shared" si="6"/>
        <v>45931</v>
      </c>
      <c r="B272" s="113">
        <v>2</v>
      </c>
      <c r="C272" s="18" t="s">
        <v>46</v>
      </c>
      <c r="D272" s="113" t="str">
        <f>_xlfn.XLOOKUP($C272,'Cost Centers'!$A$2:$A$11,'Cost Centers'!$B$2:$B$11,"")</f>
        <v>M &amp; G</v>
      </c>
      <c r="E272" s="113" t="s">
        <v>28</v>
      </c>
      <c r="F272" s="113" t="str">
        <f>_xlfn.XLOOKUP(E272,'Allocated Transactions'!D:D,'Allocated Transactions'!E:E,"")</f>
        <v>Salaries and Wages</v>
      </c>
      <c r="G272" s="113" t="s">
        <v>97</v>
      </c>
      <c r="H272" s="113"/>
      <c r="I272" s="113" t="str">
        <f>_xlfn.XLOOKUP($C272,'Cost Centers'!$A$2:$A$11,'Cost Centers'!$C$2:$C$11,"")</f>
        <v>Admin</v>
      </c>
      <c r="J272" s="23">
        <f>MROUND(SUMIFS('Allocated Transactions'!$J:$J,'Allocated Transactions'!$D:$D,$E272,'Allocated Transactions'!$C:$C,$C272,'Allocated Transactions'!$A:$A,"&gt;="&amp;$A272,'Allocated Transactions'!$A:$A,"&lt;="&amp;EOMONTH($A272,0))*0.99,100)</f>
        <v>0</v>
      </c>
      <c r="K272" s="113" t="s">
        <v>637</v>
      </c>
    </row>
    <row r="273" spans="1:11" ht="15" customHeight="1">
      <c r="A273" s="112">
        <f t="shared" si="6"/>
        <v>45931</v>
      </c>
      <c r="B273" s="113">
        <v>2</v>
      </c>
      <c r="C273" s="18" t="str">
        <f t="shared" ref="C273:C289" si="10">C272</f>
        <v>1020</v>
      </c>
      <c r="D273" s="113" t="str">
        <f>_xlfn.XLOOKUP($C273,'Cost Centers'!$A$2:$A$11,'Cost Centers'!$B$2:$B$11,"")</f>
        <v>M &amp; G</v>
      </c>
      <c r="E273" s="113" t="s">
        <v>29</v>
      </c>
      <c r="F273" s="113" t="str">
        <f>_xlfn.XLOOKUP(E273,'Allocated Transactions'!D:D,'Allocated Transactions'!E:E,"")</f>
        <v>Payroll Taxes</v>
      </c>
      <c r="G273" s="113" t="s">
        <v>97</v>
      </c>
      <c r="H273" s="113"/>
      <c r="I273" s="113" t="str">
        <f>_xlfn.XLOOKUP($C273,'Cost Centers'!$A$2:$A$11,'Cost Centers'!$C$2:$C$11,"")</f>
        <v>Admin</v>
      </c>
      <c r="J273" s="23">
        <f>MROUND(SUMIFS('Allocated Transactions'!$J:$J,'Allocated Transactions'!$D:$D,$E273,'Allocated Transactions'!$C:$C,$C273,'Allocated Transactions'!$A:$A,"&gt;="&amp;$A273,'Allocated Transactions'!$A:$A,"&lt;="&amp;EOMONTH($A273,0))*0.99,100)</f>
        <v>0</v>
      </c>
      <c r="K273" s="113" t="s">
        <v>637</v>
      </c>
    </row>
    <row r="274" spans="1:11" ht="15" customHeight="1">
      <c r="A274" s="112">
        <f t="shared" si="6"/>
        <v>45931</v>
      </c>
      <c r="B274" s="113">
        <v>2</v>
      </c>
      <c r="C274" s="18" t="str">
        <f t="shared" si="10"/>
        <v>1020</v>
      </c>
      <c r="D274" s="113" t="str">
        <f>_xlfn.XLOOKUP($C274,'Cost Centers'!$A$2:$A$11,'Cost Centers'!$B$2:$B$11,"")</f>
        <v>M &amp; G</v>
      </c>
      <c r="E274" s="113" t="s">
        <v>30</v>
      </c>
      <c r="F274" s="113" t="str">
        <f>_xlfn.XLOOKUP(E274,'Allocated Transactions'!D:D,'Allocated Transactions'!E:E,"")</f>
        <v>Employee Benefits</v>
      </c>
      <c r="G274" s="113" t="s">
        <v>97</v>
      </c>
      <c r="H274" s="113"/>
      <c r="I274" s="113" t="str">
        <f>_xlfn.XLOOKUP($C274,'Cost Centers'!$A$2:$A$11,'Cost Centers'!$C$2:$C$11,"")</f>
        <v>Admin</v>
      </c>
      <c r="J274" s="23">
        <f>MROUND(SUMIFS('Allocated Transactions'!$J:$J,'Allocated Transactions'!$D:$D,$E274,'Allocated Transactions'!$C:$C,$C274,'Allocated Transactions'!$A:$A,"&gt;="&amp;$A274,'Allocated Transactions'!$A:$A,"&lt;="&amp;EOMONTH($A274,0))*0.99,100)</f>
        <v>0</v>
      </c>
      <c r="K274" s="113" t="s">
        <v>637</v>
      </c>
    </row>
    <row r="275" spans="1:11" ht="15" customHeight="1">
      <c r="A275" s="112">
        <f t="shared" si="6"/>
        <v>45931</v>
      </c>
      <c r="B275" s="113">
        <v>2</v>
      </c>
      <c r="C275" s="18" t="str">
        <f t="shared" si="10"/>
        <v>1020</v>
      </c>
      <c r="D275" s="113" t="str">
        <f>_xlfn.XLOOKUP($C275,'Cost Centers'!$A$2:$A$11,'Cost Centers'!$B$2:$B$11,"")</f>
        <v>M &amp; G</v>
      </c>
      <c r="E275" s="113" t="s">
        <v>31</v>
      </c>
      <c r="F275" s="113" t="str">
        <f>_xlfn.XLOOKUP(E275,'Allocated Transactions'!D:D,'Allocated Transactions'!E:E,"")</f>
        <v>Retirement Contributions</v>
      </c>
      <c r="G275" s="113" t="s">
        <v>97</v>
      </c>
      <c r="H275" s="113"/>
      <c r="I275" s="113" t="str">
        <f>_xlfn.XLOOKUP($C275,'Cost Centers'!$A$2:$A$11,'Cost Centers'!$C$2:$C$11,"")</f>
        <v>Admin</v>
      </c>
      <c r="J275" s="23">
        <f>MROUND(SUMIFS('Allocated Transactions'!$J:$J,'Allocated Transactions'!$D:$D,$E275,'Allocated Transactions'!$C:$C,$C275,'Allocated Transactions'!$A:$A,"&gt;="&amp;$A275,'Allocated Transactions'!$A:$A,"&lt;="&amp;EOMONTH($A275,0))*0.99,100)</f>
        <v>0</v>
      </c>
      <c r="K275" s="113" t="s">
        <v>637</v>
      </c>
    </row>
    <row r="276" spans="1:11" ht="15" customHeight="1">
      <c r="A276" s="112">
        <f t="shared" si="6"/>
        <v>45931</v>
      </c>
      <c r="B276" s="113">
        <v>2</v>
      </c>
      <c r="C276" s="18" t="str">
        <f t="shared" si="10"/>
        <v>1020</v>
      </c>
      <c r="D276" s="113" t="str">
        <f>_xlfn.XLOOKUP($C276,'Cost Centers'!$A$2:$A$11,'Cost Centers'!$B$2:$B$11,"")</f>
        <v>M &amp; G</v>
      </c>
      <c r="E276" s="113" t="s">
        <v>101</v>
      </c>
      <c r="F276" s="113" t="str">
        <f>_xlfn.XLOOKUP(E276,'Allocated Transactions'!D:D,'Allocated Transactions'!E:E,"")</f>
        <v>Contract Labor / Consultants</v>
      </c>
      <c r="G276" s="113" t="s">
        <v>97</v>
      </c>
      <c r="H276" s="113"/>
      <c r="I276" s="113" t="str">
        <f>_xlfn.XLOOKUP($C276,'Cost Centers'!$A$2:$A$11,'Cost Centers'!$C$2:$C$11,"")</f>
        <v>Admin</v>
      </c>
      <c r="J276" s="23">
        <f>MROUND(SUMIFS('Allocated Transactions'!$J:$J,'Allocated Transactions'!$D:$D,$E276,'Allocated Transactions'!$C:$C,$C276,'Allocated Transactions'!$A:$A,"&gt;="&amp;$A276,'Allocated Transactions'!$A:$A,"&lt;="&amp;EOMONTH($A276,0))*0.99,100)</f>
        <v>0</v>
      </c>
      <c r="K276" s="113" t="s">
        <v>637</v>
      </c>
    </row>
    <row r="277" spans="1:11" ht="15" customHeight="1">
      <c r="A277" s="112">
        <f t="shared" si="6"/>
        <v>45931</v>
      </c>
      <c r="B277" s="113">
        <v>2</v>
      </c>
      <c r="C277" s="18" t="str">
        <f t="shared" si="10"/>
        <v>1020</v>
      </c>
      <c r="D277" s="113" t="str">
        <f>_xlfn.XLOOKUP($C277,'Cost Centers'!$A$2:$A$11,'Cost Centers'!$B$2:$B$11,"")</f>
        <v>M &amp; G</v>
      </c>
      <c r="E277" s="113" t="s">
        <v>32</v>
      </c>
      <c r="F277" s="113" t="str">
        <f>_xlfn.XLOOKUP(E277,'Allocated Transactions'!D:D,'Allocated Transactions'!E:E,"")</f>
        <v>Rent</v>
      </c>
      <c r="G277" s="113" t="s">
        <v>97</v>
      </c>
      <c r="H277" s="113"/>
      <c r="I277" s="113" t="str">
        <f>_xlfn.XLOOKUP($C277,'Cost Centers'!$A$2:$A$11,'Cost Centers'!$C$2:$C$11,"")</f>
        <v>Admin</v>
      </c>
      <c r="J277" s="23">
        <f>MROUND(SUMIFS('Allocated Transactions'!$J:$J,'Allocated Transactions'!$D:$D,$E277,'Allocated Transactions'!$C:$C,$C277,'Allocated Transactions'!$A:$A,"&gt;="&amp;$A277,'Allocated Transactions'!$A:$A,"&lt;="&amp;EOMONTH($A277,0))*0.99,100)</f>
        <v>0</v>
      </c>
      <c r="K277" s="113" t="s">
        <v>637</v>
      </c>
    </row>
    <row r="278" spans="1:11" ht="15" customHeight="1">
      <c r="A278" s="112">
        <f t="shared" si="6"/>
        <v>45931</v>
      </c>
      <c r="B278" s="113">
        <v>2</v>
      </c>
      <c r="C278" s="18" t="str">
        <f t="shared" si="10"/>
        <v>1020</v>
      </c>
      <c r="D278" s="113" t="str">
        <f>_xlfn.XLOOKUP($C278,'Cost Centers'!$A$2:$A$11,'Cost Centers'!$B$2:$B$11,"")</f>
        <v>M &amp; G</v>
      </c>
      <c r="E278" s="113" t="s">
        <v>33</v>
      </c>
      <c r="F278" s="113" t="str">
        <f>_xlfn.XLOOKUP(E278,'Allocated Transactions'!D:D,'Allocated Transactions'!E:E,"")</f>
        <v>Utilities</v>
      </c>
      <c r="G278" s="113" t="s">
        <v>97</v>
      </c>
      <c r="H278" s="113"/>
      <c r="I278" s="113" t="str">
        <f>_xlfn.XLOOKUP($C278,'Cost Centers'!$A$2:$A$11,'Cost Centers'!$C$2:$C$11,"")</f>
        <v>Admin</v>
      </c>
      <c r="J278" s="23">
        <f>MROUND(SUMIFS('Allocated Transactions'!$J:$J,'Allocated Transactions'!$D:$D,$E278,'Allocated Transactions'!$C:$C,$C278,'Allocated Transactions'!$A:$A,"&gt;="&amp;$A278,'Allocated Transactions'!$A:$A,"&lt;="&amp;EOMONTH($A278,0))*0.99,100)</f>
        <v>0</v>
      </c>
      <c r="K278" s="113" t="s">
        <v>637</v>
      </c>
    </row>
    <row r="279" spans="1:11" ht="15" customHeight="1">
      <c r="A279" s="112">
        <f t="shared" si="6"/>
        <v>45931</v>
      </c>
      <c r="B279" s="113">
        <v>2</v>
      </c>
      <c r="C279" s="18" t="str">
        <f t="shared" si="10"/>
        <v>1020</v>
      </c>
      <c r="D279" s="113" t="str">
        <f>_xlfn.XLOOKUP($C279,'Cost Centers'!$A$2:$A$11,'Cost Centers'!$B$2:$B$11,"")</f>
        <v>M &amp; G</v>
      </c>
      <c r="E279" s="113" t="s">
        <v>105</v>
      </c>
      <c r="F279" s="113" t="str">
        <f>_xlfn.XLOOKUP(E279,'Allocated Transactions'!D:D,'Allocated Transactions'!E:E,"")</f>
        <v>Office Supplies</v>
      </c>
      <c r="G279" s="113" t="s">
        <v>97</v>
      </c>
      <c r="H279" s="113"/>
      <c r="I279" s="113" t="str">
        <f>_xlfn.XLOOKUP($C279,'Cost Centers'!$A$2:$A$11,'Cost Centers'!$C$2:$C$11,"")</f>
        <v>Admin</v>
      </c>
      <c r="J279" s="23">
        <f>MROUND(SUMIFS('Allocated Transactions'!$J:$J,'Allocated Transactions'!$D:$D,$E279,'Allocated Transactions'!$C:$C,$C279,'Allocated Transactions'!$A:$A,"&gt;="&amp;$A279,'Allocated Transactions'!$A:$A,"&lt;="&amp;EOMONTH($A279,0))*0.99,100)</f>
        <v>0</v>
      </c>
      <c r="K279" s="113" t="s">
        <v>637</v>
      </c>
    </row>
    <row r="280" spans="1:11" ht="15" customHeight="1">
      <c r="A280" s="112">
        <f t="shared" si="6"/>
        <v>45931</v>
      </c>
      <c r="B280" s="113">
        <v>2</v>
      </c>
      <c r="C280" s="18" t="str">
        <f t="shared" si="10"/>
        <v>1020</v>
      </c>
      <c r="D280" s="113" t="str">
        <f>_xlfn.XLOOKUP($C280,'Cost Centers'!$A$2:$A$11,'Cost Centers'!$B$2:$B$11,"")</f>
        <v>M &amp; G</v>
      </c>
      <c r="E280" s="113" t="s">
        <v>107</v>
      </c>
      <c r="F280" s="113" t="str">
        <f>_xlfn.XLOOKUP(E280,'Allocated Transactions'!D:D,'Allocated Transactions'!E:E,"")</f>
        <v>Software and Subscriptions</v>
      </c>
      <c r="G280" s="113" t="s">
        <v>97</v>
      </c>
      <c r="H280" s="113"/>
      <c r="I280" s="113" t="str">
        <f>_xlfn.XLOOKUP($C280,'Cost Centers'!$A$2:$A$11,'Cost Centers'!$C$2:$C$11,"")</f>
        <v>Admin</v>
      </c>
      <c r="J280" s="23">
        <f>MROUND(SUMIFS('Allocated Transactions'!$J:$J,'Allocated Transactions'!$D:$D,$E280,'Allocated Transactions'!$C:$C,$C280,'Allocated Transactions'!$A:$A,"&gt;="&amp;$A280,'Allocated Transactions'!$A:$A,"&lt;="&amp;EOMONTH($A280,0))*0.99,100)</f>
        <v>0</v>
      </c>
      <c r="K280" s="113" t="s">
        <v>637</v>
      </c>
    </row>
    <row r="281" spans="1:11" ht="15" customHeight="1">
      <c r="A281" s="112">
        <f t="shared" ref="A281:A344" si="11">IF(C281&lt;&gt;C280,DATE(2025,7,1),IF(E281="5000",EOMONTH(A280,0)+1,A280))</f>
        <v>45931</v>
      </c>
      <c r="B281" s="113">
        <v>2</v>
      </c>
      <c r="C281" s="18" t="str">
        <f t="shared" si="10"/>
        <v>1020</v>
      </c>
      <c r="D281" s="113" t="str">
        <f>_xlfn.XLOOKUP($C281,'Cost Centers'!$A$2:$A$11,'Cost Centers'!$B$2:$B$11,"")</f>
        <v>M &amp; G</v>
      </c>
      <c r="E281" s="113" t="s">
        <v>109</v>
      </c>
      <c r="F281" s="113" t="str">
        <f>_xlfn.XLOOKUP(E281,'Allocated Transactions'!D:D,'Allocated Transactions'!E:E,"")</f>
        <v>Travel</v>
      </c>
      <c r="G281" s="113" t="s">
        <v>97</v>
      </c>
      <c r="H281" s="113"/>
      <c r="I281" s="113" t="str">
        <f>_xlfn.XLOOKUP($C281,'Cost Centers'!$A$2:$A$11,'Cost Centers'!$C$2:$C$11,"")</f>
        <v>Admin</v>
      </c>
      <c r="J281" s="23">
        <f>MROUND(SUMIFS('Allocated Transactions'!$J:$J,'Allocated Transactions'!$D:$D,$E281,'Allocated Transactions'!$C:$C,$C281,'Allocated Transactions'!$A:$A,"&gt;="&amp;$A281,'Allocated Transactions'!$A:$A,"&lt;="&amp;EOMONTH($A281,0))*0.99,100)</f>
        <v>0</v>
      </c>
      <c r="K281" s="113" t="s">
        <v>637</v>
      </c>
    </row>
    <row r="282" spans="1:11" ht="15" customHeight="1">
      <c r="A282" s="112">
        <f t="shared" si="11"/>
        <v>45931</v>
      </c>
      <c r="B282" s="113">
        <v>2</v>
      </c>
      <c r="C282" s="18" t="str">
        <f t="shared" si="10"/>
        <v>1020</v>
      </c>
      <c r="D282" s="113" t="str">
        <f>_xlfn.XLOOKUP($C282,'Cost Centers'!$A$2:$A$11,'Cost Centers'!$B$2:$B$11,"")</f>
        <v>M &amp; G</v>
      </c>
      <c r="E282" s="113" t="s">
        <v>111</v>
      </c>
      <c r="F282" s="113" t="str">
        <f>_xlfn.XLOOKUP(E282,'Allocated Transactions'!D:D,'Allocated Transactions'!E:E,"")</f>
        <v>Meals and Entertainment</v>
      </c>
      <c r="G282" s="113" t="s">
        <v>97</v>
      </c>
      <c r="H282" s="113"/>
      <c r="I282" s="113" t="str">
        <f>_xlfn.XLOOKUP($C282,'Cost Centers'!$A$2:$A$11,'Cost Centers'!$C$2:$C$11,"")</f>
        <v>Admin</v>
      </c>
      <c r="J282" s="23">
        <f>MROUND(SUMIFS('Allocated Transactions'!$J:$J,'Allocated Transactions'!$D:$D,$E282,'Allocated Transactions'!$C:$C,$C282,'Allocated Transactions'!$A:$A,"&gt;="&amp;$A282,'Allocated Transactions'!$A:$A,"&lt;="&amp;EOMONTH($A282,0))*0.99,100)</f>
        <v>0</v>
      </c>
      <c r="K282" s="113" t="s">
        <v>637</v>
      </c>
    </row>
    <row r="283" spans="1:11" ht="15" customHeight="1">
      <c r="A283" s="112">
        <f t="shared" si="11"/>
        <v>45931</v>
      </c>
      <c r="B283" s="113">
        <v>2</v>
      </c>
      <c r="C283" s="18" t="str">
        <f t="shared" si="10"/>
        <v>1020</v>
      </c>
      <c r="D283" s="113" t="str">
        <f>_xlfn.XLOOKUP($C283,'Cost Centers'!$A$2:$A$11,'Cost Centers'!$B$2:$B$11,"")</f>
        <v>M &amp; G</v>
      </c>
      <c r="E283" s="113" t="s">
        <v>113</v>
      </c>
      <c r="F283" s="113" t="str">
        <f>_xlfn.XLOOKUP(E283,'Allocated Transactions'!D:D,'Allocated Transactions'!E:E,"")</f>
        <v>Professional Fees - Legal</v>
      </c>
      <c r="G283" s="113" t="s">
        <v>97</v>
      </c>
      <c r="H283" s="113"/>
      <c r="I283" s="113" t="str">
        <f>_xlfn.XLOOKUP($C283,'Cost Centers'!$A$2:$A$11,'Cost Centers'!$C$2:$C$11,"")</f>
        <v>Admin</v>
      </c>
      <c r="J283" s="23">
        <f>MROUND(SUMIFS('Allocated Transactions'!$J:$J,'Allocated Transactions'!$D:$D,$E283,'Allocated Transactions'!$C:$C,$C283,'Allocated Transactions'!$A:$A,"&gt;="&amp;$A283,'Allocated Transactions'!$A:$A,"&lt;="&amp;EOMONTH($A283,0))*0.99,100)</f>
        <v>0</v>
      </c>
      <c r="K283" s="113" t="s">
        <v>637</v>
      </c>
    </row>
    <row r="284" spans="1:11" ht="15" customHeight="1">
      <c r="A284" s="112">
        <f t="shared" si="11"/>
        <v>45931</v>
      </c>
      <c r="B284" s="113">
        <v>2</v>
      </c>
      <c r="C284" s="18" t="str">
        <f t="shared" si="10"/>
        <v>1020</v>
      </c>
      <c r="D284" s="113" t="str">
        <f>_xlfn.XLOOKUP($C284,'Cost Centers'!$A$2:$A$11,'Cost Centers'!$B$2:$B$11,"")</f>
        <v>M &amp; G</v>
      </c>
      <c r="E284" s="113" t="s">
        <v>115</v>
      </c>
      <c r="F284" s="113" t="str">
        <f>_xlfn.XLOOKUP(E284,'Allocated Transactions'!D:D,'Allocated Transactions'!E:E,"")</f>
        <v>Professional Fees - Accounting/Audit</v>
      </c>
      <c r="G284" s="113" t="s">
        <v>97</v>
      </c>
      <c r="H284" s="113"/>
      <c r="I284" s="113" t="str">
        <f>_xlfn.XLOOKUP($C284,'Cost Centers'!$A$2:$A$11,'Cost Centers'!$C$2:$C$11,"")</f>
        <v>Admin</v>
      </c>
      <c r="J284" s="23">
        <f>MROUND(SUMIFS('Allocated Transactions'!$J:$J,'Allocated Transactions'!$D:$D,$E284,'Allocated Transactions'!$C:$C,$C284,'Allocated Transactions'!$A:$A,"&gt;="&amp;$A284,'Allocated Transactions'!$A:$A,"&lt;="&amp;EOMONTH($A284,0))*0.99,100)</f>
        <v>0</v>
      </c>
      <c r="K284" s="113" t="s">
        <v>637</v>
      </c>
    </row>
    <row r="285" spans="1:11" ht="15" customHeight="1">
      <c r="A285" s="112">
        <f t="shared" si="11"/>
        <v>45931</v>
      </c>
      <c r="B285" s="113">
        <v>2</v>
      </c>
      <c r="C285" s="18" t="str">
        <f t="shared" si="10"/>
        <v>1020</v>
      </c>
      <c r="D285" s="113" t="str">
        <f>_xlfn.XLOOKUP($C285,'Cost Centers'!$A$2:$A$11,'Cost Centers'!$B$2:$B$11,"")</f>
        <v>M &amp; G</v>
      </c>
      <c r="E285" s="113" t="s">
        <v>117</v>
      </c>
      <c r="F285" s="113" t="str">
        <f>_xlfn.XLOOKUP(E285,'Allocated Transactions'!D:D,'Allocated Transactions'!E:E,"")</f>
        <v>Insurance</v>
      </c>
      <c r="G285" s="113" t="s">
        <v>97</v>
      </c>
      <c r="H285" s="113"/>
      <c r="I285" s="113" t="str">
        <f>_xlfn.XLOOKUP($C285,'Cost Centers'!$A$2:$A$11,'Cost Centers'!$C$2:$C$11,"")</f>
        <v>Admin</v>
      </c>
      <c r="J285" s="23">
        <f>MROUND(SUMIFS('Allocated Transactions'!$J:$J,'Allocated Transactions'!$D:$D,$E285,'Allocated Transactions'!$C:$C,$C285,'Allocated Transactions'!$A:$A,"&gt;="&amp;$A285,'Allocated Transactions'!$A:$A,"&lt;="&amp;EOMONTH($A285,0))*0.99,100)</f>
        <v>0</v>
      </c>
      <c r="K285" s="113" t="s">
        <v>637</v>
      </c>
    </row>
    <row r="286" spans="1:11" ht="15" customHeight="1">
      <c r="A286" s="112">
        <f t="shared" si="11"/>
        <v>45931</v>
      </c>
      <c r="B286" s="113">
        <v>2</v>
      </c>
      <c r="C286" s="18" t="str">
        <f t="shared" si="10"/>
        <v>1020</v>
      </c>
      <c r="D286" s="113" t="str">
        <f>_xlfn.XLOOKUP($C286,'Cost Centers'!$A$2:$A$11,'Cost Centers'!$B$2:$B$11,"")</f>
        <v>M &amp; G</v>
      </c>
      <c r="E286" s="113" t="s">
        <v>119</v>
      </c>
      <c r="F286" s="113" t="str">
        <f>_xlfn.XLOOKUP(E286,'Allocated Transactions'!D:D,'Allocated Transactions'!E:E,"")</f>
        <v>Depreciation Expense</v>
      </c>
      <c r="G286" s="113" t="s">
        <v>97</v>
      </c>
      <c r="H286" s="113"/>
      <c r="I286" s="113" t="str">
        <f>_xlfn.XLOOKUP($C286,'Cost Centers'!$A$2:$A$11,'Cost Centers'!$C$2:$C$11,"")</f>
        <v>Admin</v>
      </c>
      <c r="J286" s="23">
        <f>MROUND(SUMIFS('Allocated Transactions'!$J:$J,'Allocated Transactions'!$D:$D,$E286,'Allocated Transactions'!$C:$C,$C286,'Allocated Transactions'!$A:$A,"&gt;="&amp;$A286,'Allocated Transactions'!$A:$A,"&lt;="&amp;EOMONTH($A286,0))*0.99,100)</f>
        <v>2400</v>
      </c>
      <c r="K286" s="113" t="s">
        <v>637</v>
      </c>
    </row>
    <row r="287" spans="1:11" ht="15" customHeight="1">
      <c r="A287" s="112">
        <f t="shared" si="11"/>
        <v>45931</v>
      </c>
      <c r="B287" s="113">
        <v>2</v>
      </c>
      <c r="C287" s="18" t="str">
        <f t="shared" si="10"/>
        <v>1020</v>
      </c>
      <c r="D287" s="113" t="str">
        <f>_xlfn.XLOOKUP($C287,'Cost Centers'!$A$2:$A$11,'Cost Centers'!$B$2:$B$11,"")</f>
        <v>M &amp; G</v>
      </c>
      <c r="E287" s="113" t="s">
        <v>121</v>
      </c>
      <c r="F287" s="113" t="str">
        <f>_xlfn.XLOOKUP(E287,'Allocated Transactions'!D:D,'Allocated Transactions'!E:E,"")</f>
        <v>Bank Fees</v>
      </c>
      <c r="G287" s="113" t="s">
        <v>97</v>
      </c>
      <c r="H287" s="113"/>
      <c r="I287" s="113" t="str">
        <f>_xlfn.XLOOKUP($C287,'Cost Centers'!$A$2:$A$11,'Cost Centers'!$C$2:$C$11,"")</f>
        <v>Admin</v>
      </c>
      <c r="J287" s="23">
        <f>MROUND(SUMIFS('Allocated Transactions'!$J:$J,'Allocated Transactions'!$D:$D,$E287,'Allocated Transactions'!$C:$C,$C287,'Allocated Transactions'!$A:$A,"&gt;="&amp;$A287,'Allocated Transactions'!$A:$A,"&lt;="&amp;EOMONTH($A287,0))*0.99,100)</f>
        <v>100</v>
      </c>
      <c r="K287" s="113" t="s">
        <v>637</v>
      </c>
    </row>
    <row r="288" spans="1:11" ht="15" customHeight="1">
      <c r="A288" s="112">
        <f t="shared" si="11"/>
        <v>45931</v>
      </c>
      <c r="B288" s="113">
        <v>2</v>
      </c>
      <c r="C288" s="18" t="str">
        <f t="shared" si="10"/>
        <v>1020</v>
      </c>
      <c r="D288" s="113" t="str">
        <f>_xlfn.XLOOKUP($C288,'Cost Centers'!$A$2:$A$11,'Cost Centers'!$B$2:$B$11,"")</f>
        <v>M &amp; G</v>
      </c>
      <c r="E288" s="113" t="s">
        <v>123</v>
      </c>
      <c r="F288" s="113" t="str">
        <f>_xlfn.XLOOKUP(E288,'Allocated Transactions'!D:D,'Allocated Transactions'!E:E,"")</f>
        <v>Interest Expense</v>
      </c>
      <c r="G288" s="113" t="s">
        <v>97</v>
      </c>
      <c r="H288" s="113"/>
      <c r="I288" s="113" t="str">
        <f>_xlfn.XLOOKUP($C288,'Cost Centers'!$A$2:$A$11,'Cost Centers'!$C$2:$C$11,"")</f>
        <v>Admin</v>
      </c>
      <c r="J288" s="23">
        <f>MROUND(SUMIFS('Allocated Transactions'!$J:$J,'Allocated Transactions'!$D:$D,$E288,'Allocated Transactions'!$C:$C,$C288,'Allocated Transactions'!$A:$A,"&gt;="&amp;$A288,'Allocated Transactions'!$A:$A,"&lt;="&amp;EOMONTH($A288,0))*0.99,100)</f>
        <v>400</v>
      </c>
      <c r="K288" s="113" t="s">
        <v>637</v>
      </c>
    </row>
    <row r="289" spans="1:11" ht="15" customHeight="1">
      <c r="A289" s="112">
        <f t="shared" si="11"/>
        <v>45931</v>
      </c>
      <c r="B289" s="113">
        <v>2</v>
      </c>
      <c r="C289" s="18" t="str">
        <f t="shared" si="10"/>
        <v>1020</v>
      </c>
      <c r="D289" s="113" t="str">
        <f>_xlfn.XLOOKUP($C289,'Cost Centers'!$A$2:$A$11,'Cost Centers'!$B$2:$B$11,"")</f>
        <v>M &amp; G</v>
      </c>
      <c r="E289" s="113" t="s">
        <v>125</v>
      </c>
      <c r="F289" s="113" t="str">
        <f>_xlfn.XLOOKUP(E289,'Allocated Transactions'!D:D,'Allocated Transactions'!E:E,"")</f>
        <v>Miscellaneous Expense</v>
      </c>
      <c r="G289" s="113" t="s">
        <v>97</v>
      </c>
      <c r="H289" s="113"/>
      <c r="I289" s="113" t="str">
        <f>_xlfn.XLOOKUP($C289,'Cost Centers'!$A$2:$A$11,'Cost Centers'!$C$2:$C$11,"")</f>
        <v>Admin</v>
      </c>
      <c r="J289" s="23">
        <f>MROUND(SUMIFS('Allocated Transactions'!$J:$J,'Allocated Transactions'!$D:$D,$E289,'Allocated Transactions'!$C:$C,$C289,'Allocated Transactions'!$A:$A,"&gt;="&amp;$A289,'Allocated Transactions'!$A:$A,"&lt;="&amp;EOMONTH($A289,0))*0.99,100)</f>
        <v>0</v>
      </c>
      <c r="K289" s="113" t="s">
        <v>637</v>
      </c>
    </row>
    <row r="290" spans="1:11" ht="15" customHeight="1">
      <c r="A290" s="112">
        <f t="shared" si="11"/>
        <v>45962</v>
      </c>
      <c r="B290" s="113">
        <v>2</v>
      </c>
      <c r="C290" s="18" t="s">
        <v>46</v>
      </c>
      <c r="D290" s="113" t="str">
        <f>_xlfn.XLOOKUP($C290,'Cost Centers'!$A$2:$A$11,'Cost Centers'!$B$2:$B$11,"")</f>
        <v>M &amp; G</v>
      </c>
      <c r="E290" s="113" t="s">
        <v>28</v>
      </c>
      <c r="F290" s="113" t="str">
        <f>_xlfn.XLOOKUP(E290,'Allocated Transactions'!D:D,'Allocated Transactions'!E:E,"")</f>
        <v>Salaries and Wages</v>
      </c>
      <c r="G290" s="113" t="s">
        <v>97</v>
      </c>
      <c r="H290" s="113"/>
      <c r="I290" s="113" t="str">
        <f>_xlfn.XLOOKUP($C290,'Cost Centers'!$A$2:$A$11,'Cost Centers'!$C$2:$C$11,"")</f>
        <v>Admin</v>
      </c>
      <c r="J290" s="23">
        <f>MROUND(SUMIFS('Allocated Transactions'!$J:$J,'Allocated Transactions'!$D:$D,$E290,'Allocated Transactions'!$C:$C,$C290,'Allocated Transactions'!$A:$A,"&gt;="&amp;$A290,'Allocated Transactions'!$A:$A,"&lt;="&amp;EOMONTH($A290,0))*0.99,100)</f>
        <v>0</v>
      </c>
      <c r="K290" s="113" t="s">
        <v>637</v>
      </c>
    </row>
    <row r="291" spans="1:11" ht="15" customHeight="1">
      <c r="A291" s="112">
        <f t="shared" si="11"/>
        <v>45962</v>
      </c>
      <c r="B291" s="113">
        <v>2</v>
      </c>
      <c r="C291" s="18" t="str">
        <f t="shared" ref="C291:C307" si="12">C290</f>
        <v>1020</v>
      </c>
      <c r="D291" s="113" t="str">
        <f>_xlfn.XLOOKUP($C291,'Cost Centers'!$A$2:$A$11,'Cost Centers'!$B$2:$B$11,"")</f>
        <v>M &amp; G</v>
      </c>
      <c r="E291" s="113" t="s">
        <v>29</v>
      </c>
      <c r="F291" s="113" t="str">
        <f>_xlfn.XLOOKUP(E291,'Allocated Transactions'!D:D,'Allocated Transactions'!E:E,"")</f>
        <v>Payroll Taxes</v>
      </c>
      <c r="G291" s="113" t="s">
        <v>97</v>
      </c>
      <c r="H291" s="113"/>
      <c r="I291" s="113" t="str">
        <f>_xlfn.XLOOKUP($C291,'Cost Centers'!$A$2:$A$11,'Cost Centers'!$C$2:$C$11,"")</f>
        <v>Admin</v>
      </c>
      <c r="J291" s="23">
        <f>MROUND(SUMIFS('Allocated Transactions'!$J:$J,'Allocated Transactions'!$D:$D,$E291,'Allocated Transactions'!$C:$C,$C291,'Allocated Transactions'!$A:$A,"&gt;="&amp;$A291,'Allocated Transactions'!$A:$A,"&lt;="&amp;EOMONTH($A291,0))*0.99,100)</f>
        <v>0</v>
      </c>
      <c r="K291" s="113" t="s">
        <v>637</v>
      </c>
    </row>
    <row r="292" spans="1:11" ht="15" customHeight="1">
      <c r="A292" s="112">
        <f t="shared" si="11"/>
        <v>45962</v>
      </c>
      <c r="B292" s="113">
        <v>2</v>
      </c>
      <c r="C292" s="18" t="str">
        <f t="shared" si="12"/>
        <v>1020</v>
      </c>
      <c r="D292" s="113" t="str">
        <f>_xlfn.XLOOKUP($C292,'Cost Centers'!$A$2:$A$11,'Cost Centers'!$B$2:$B$11,"")</f>
        <v>M &amp; G</v>
      </c>
      <c r="E292" s="113" t="s">
        <v>30</v>
      </c>
      <c r="F292" s="113" t="str">
        <f>_xlfn.XLOOKUP(E292,'Allocated Transactions'!D:D,'Allocated Transactions'!E:E,"")</f>
        <v>Employee Benefits</v>
      </c>
      <c r="G292" s="113" t="s">
        <v>97</v>
      </c>
      <c r="H292" s="113"/>
      <c r="I292" s="113" t="str">
        <f>_xlfn.XLOOKUP($C292,'Cost Centers'!$A$2:$A$11,'Cost Centers'!$C$2:$C$11,"")</f>
        <v>Admin</v>
      </c>
      <c r="J292" s="23">
        <f>MROUND(SUMIFS('Allocated Transactions'!$J:$J,'Allocated Transactions'!$D:$D,$E292,'Allocated Transactions'!$C:$C,$C292,'Allocated Transactions'!$A:$A,"&gt;="&amp;$A292,'Allocated Transactions'!$A:$A,"&lt;="&amp;EOMONTH($A292,0))*0.99,100)</f>
        <v>0</v>
      </c>
      <c r="K292" s="113" t="s">
        <v>637</v>
      </c>
    </row>
    <row r="293" spans="1:11" ht="15" customHeight="1">
      <c r="A293" s="112">
        <f t="shared" si="11"/>
        <v>45962</v>
      </c>
      <c r="B293" s="113">
        <v>2</v>
      </c>
      <c r="C293" s="18" t="str">
        <f t="shared" si="12"/>
        <v>1020</v>
      </c>
      <c r="D293" s="113" t="str">
        <f>_xlfn.XLOOKUP($C293,'Cost Centers'!$A$2:$A$11,'Cost Centers'!$B$2:$B$11,"")</f>
        <v>M &amp; G</v>
      </c>
      <c r="E293" s="113" t="s">
        <v>31</v>
      </c>
      <c r="F293" s="113" t="str">
        <f>_xlfn.XLOOKUP(E293,'Allocated Transactions'!D:D,'Allocated Transactions'!E:E,"")</f>
        <v>Retirement Contributions</v>
      </c>
      <c r="G293" s="113" t="s">
        <v>97</v>
      </c>
      <c r="H293" s="113"/>
      <c r="I293" s="113" t="str">
        <f>_xlfn.XLOOKUP($C293,'Cost Centers'!$A$2:$A$11,'Cost Centers'!$C$2:$C$11,"")</f>
        <v>Admin</v>
      </c>
      <c r="J293" s="23">
        <f>MROUND(SUMIFS('Allocated Transactions'!$J:$J,'Allocated Transactions'!$D:$D,$E293,'Allocated Transactions'!$C:$C,$C293,'Allocated Transactions'!$A:$A,"&gt;="&amp;$A293,'Allocated Transactions'!$A:$A,"&lt;="&amp;EOMONTH($A293,0))*0.99,100)</f>
        <v>0</v>
      </c>
      <c r="K293" s="113" t="s">
        <v>637</v>
      </c>
    </row>
    <row r="294" spans="1:11" ht="15" customHeight="1">
      <c r="A294" s="112">
        <f t="shared" si="11"/>
        <v>45962</v>
      </c>
      <c r="B294" s="113">
        <v>2</v>
      </c>
      <c r="C294" s="18" t="str">
        <f t="shared" si="12"/>
        <v>1020</v>
      </c>
      <c r="D294" s="113" t="str">
        <f>_xlfn.XLOOKUP($C294,'Cost Centers'!$A$2:$A$11,'Cost Centers'!$B$2:$B$11,"")</f>
        <v>M &amp; G</v>
      </c>
      <c r="E294" s="113" t="s">
        <v>101</v>
      </c>
      <c r="F294" s="113" t="str">
        <f>_xlfn.XLOOKUP(E294,'Allocated Transactions'!D:D,'Allocated Transactions'!E:E,"")</f>
        <v>Contract Labor / Consultants</v>
      </c>
      <c r="G294" s="113" t="s">
        <v>97</v>
      </c>
      <c r="H294" s="113"/>
      <c r="I294" s="113" t="str">
        <f>_xlfn.XLOOKUP($C294,'Cost Centers'!$A$2:$A$11,'Cost Centers'!$C$2:$C$11,"")</f>
        <v>Admin</v>
      </c>
      <c r="J294" s="23">
        <f>MROUND(SUMIFS('Allocated Transactions'!$J:$J,'Allocated Transactions'!$D:$D,$E294,'Allocated Transactions'!$C:$C,$C294,'Allocated Transactions'!$A:$A,"&gt;="&amp;$A294,'Allocated Transactions'!$A:$A,"&lt;="&amp;EOMONTH($A294,0))*0.99,100)</f>
        <v>0</v>
      </c>
      <c r="K294" s="113" t="s">
        <v>637</v>
      </c>
    </row>
    <row r="295" spans="1:11" ht="15" customHeight="1">
      <c r="A295" s="112">
        <f t="shared" si="11"/>
        <v>45962</v>
      </c>
      <c r="B295" s="113">
        <v>2</v>
      </c>
      <c r="C295" s="18" t="str">
        <f t="shared" si="12"/>
        <v>1020</v>
      </c>
      <c r="D295" s="113" t="str">
        <f>_xlfn.XLOOKUP($C295,'Cost Centers'!$A$2:$A$11,'Cost Centers'!$B$2:$B$11,"")</f>
        <v>M &amp; G</v>
      </c>
      <c r="E295" s="113" t="s">
        <v>32</v>
      </c>
      <c r="F295" s="113" t="str">
        <f>_xlfn.XLOOKUP(E295,'Allocated Transactions'!D:D,'Allocated Transactions'!E:E,"")</f>
        <v>Rent</v>
      </c>
      <c r="G295" s="113" t="s">
        <v>97</v>
      </c>
      <c r="H295" s="113"/>
      <c r="I295" s="113" t="str">
        <f>_xlfn.XLOOKUP($C295,'Cost Centers'!$A$2:$A$11,'Cost Centers'!$C$2:$C$11,"")</f>
        <v>Admin</v>
      </c>
      <c r="J295" s="23">
        <f>MROUND(SUMIFS('Allocated Transactions'!$J:$J,'Allocated Transactions'!$D:$D,$E295,'Allocated Transactions'!$C:$C,$C295,'Allocated Transactions'!$A:$A,"&gt;="&amp;$A295,'Allocated Transactions'!$A:$A,"&lt;="&amp;EOMONTH($A295,0))*0.99,100)</f>
        <v>0</v>
      </c>
      <c r="K295" s="113" t="s">
        <v>637</v>
      </c>
    </row>
    <row r="296" spans="1:11" ht="15" customHeight="1">
      <c r="A296" s="112">
        <f t="shared" si="11"/>
        <v>45962</v>
      </c>
      <c r="B296" s="113">
        <v>2</v>
      </c>
      <c r="C296" s="18" t="str">
        <f t="shared" si="12"/>
        <v>1020</v>
      </c>
      <c r="D296" s="113" t="str">
        <f>_xlfn.XLOOKUP($C296,'Cost Centers'!$A$2:$A$11,'Cost Centers'!$B$2:$B$11,"")</f>
        <v>M &amp; G</v>
      </c>
      <c r="E296" s="113" t="s">
        <v>33</v>
      </c>
      <c r="F296" s="113" t="str">
        <f>_xlfn.XLOOKUP(E296,'Allocated Transactions'!D:D,'Allocated Transactions'!E:E,"")</f>
        <v>Utilities</v>
      </c>
      <c r="G296" s="113" t="s">
        <v>97</v>
      </c>
      <c r="H296" s="113"/>
      <c r="I296" s="113" t="str">
        <f>_xlfn.XLOOKUP($C296,'Cost Centers'!$A$2:$A$11,'Cost Centers'!$C$2:$C$11,"")</f>
        <v>Admin</v>
      </c>
      <c r="J296" s="23">
        <f>MROUND(SUMIFS('Allocated Transactions'!$J:$J,'Allocated Transactions'!$D:$D,$E296,'Allocated Transactions'!$C:$C,$C296,'Allocated Transactions'!$A:$A,"&gt;="&amp;$A296,'Allocated Transactions'!$A:$A,"&lt;="&amp;EOMONTH($A296,0))*0.99,100)</f>
        <v>0</v>
      </c>
      <c r="K296" s="113" t="s">
        <v>637</v>
      </c>
    </row>
    <row r="297" spans="1:11" ht="15" customHeight="1">
      <c r="A297" s="112">
        <f t="shared" si="11"/>
        <v>45962</v>
      </c>
      <c r="B297" s="113">
        <v>2</v>
      </c>
      <c r="C297" s="18" t="str">
        <f t="shared" si="12"/>
        <v>1020</v>
      </c>
      <c r="D297" s="113" t="str">
        <f>_xlfn.XLOOKUP($C297,'Cost Centers'!$A$2:$A$11,'Cost Centers'!$B$2:$B$11,"")</f>
        <v>M &amp; G</v>
      </c>
      <c r="E297" s="113" t="s">
        <v>105</v>
      </c>
      <c r="F297" s="113" t="str">
        <f>_xlfn.XLOOKUP(E297,'Allocated Transactions'!D:D,'Allocated Transactions'!E:E,"")</f>
        <v>Office Supplies</v>
      </c>
      <c r="G297" s="113" t="s">
        <v>97</v>
      </c>
      <c r="H297" s="113"/>
      <c r="I297" s="113" t="str">
        <f>_xlfn.XLOOKUP($C297,'Cost Centers'!$A$2:$A$11,'Cost Centers'!$C$2:$C$11,"")</f>
        <v>Admin</v>
      </c>
      <c r="J297" s="23">
        <f>MROUND(SUMIFS('Allocated Transactions'!$J:$J,'Allocated Transactions'!$D:$D,$E297,'Allocated Transactions'!$C:$C,$C297,'Allocated Transactions'!$A:$A,"&gt;="&amp;$A297,'Allocated Transactions'!$A:$A,"&lt;="&amp;EOMONTH($A297,0))*0.99,100)</f>
        <v>1000</v>
      </c>
      <c r="K297" s="113" t="s">
        <v>637</v>
      </c>
    </row>
    <row r="298" spans="1:11" ht="15" customHeight="1">
      <c r="A298" s="112">
        <f t="shared" si="11"/>
        <v>45962</v>
      </c>
      <c r="B298" s="113">
        <v>2</v>
      </c>
      <c r="C298" s="18" t="str">
        <f t="shared" si="12"/>
        <v>1020</v>
      </c>
      <c r="D298" s="113" t="str">
        <f>_xlfn.XLOOKUP($C298,'Cost Centers'!$A$2:$A$11,'Cost Centers'!$B$2:$B$11,"")</f>
        <v>M &amp; G</v>
      </c>
      <c r="E298" s="113" t="s">
        <v>107</v>
      </c>
      <c r="F298" s="113" t="str">
        <f>_xlfn.XLOOKUP(E298,'Allocated Transactions'!D:D,'Allocated Transactions'!E:E,"")</f>
        <v>Software and Subscriptions</v>
      </c>
      <c r="G298" s="113" t="s">
        <v>97</v>
      </c>
      <c r="H298" s="113"/>
      <c r="I298" s="113" t="str">
        <f>_xlfn.XLOOKUP($C298,'Cost Centers'!$A$2:$A$11,'Cost Centers'!$C$2:$C$11,"")</f>
        <v>Admin</v>
      </c>
      <c r="J298" s="23">
        <f>MROUND(SUMIFS('Allocated Transactions'!$J:$J,'Allocated Transactions'!$D:$D,$E298,'Allocated Transactions'!$C:$C,$C298,'Allocated Transactions'!$A:$A,"&gt;="&amp;$A298,'Allocated Transactions'!$A:$A,"&lt;="&amp;EOMONTH($A298,0))*0.99,100)</f>
        <v>0</v>
      </c>
      <c r="K298" s="113" t="s">
        <v>637</v>
      </c>
    </row>
    <row r="299" spans="1:11" ht="15" customHeight="1">
      <c r="A299" s="112">
        <f t="shared" si="11"/>
        <v>45962</v>
      </c>
      <c r="B299" s="113">
        <v>2</v>
      </c>
      <c r="C299" s="18" t="str">
        <f t="shared" si="12"/>
        <v>1020</v>
      </c>
      <c r="D299" s="113" t="str">
        <f>_xlfn.XLOOKUP($C299,'Cost Centers'!$A$2:$A$11,'Cost Centers'!$B$2:$B$11,"")</f>
        <v>M &amp; G</v>
      </c>
      <c r="E299" s="113" t="s">
        <v>109</v>
      </c>
      <c r="F299" s="113" t="str">
        <f>_xlfn.XLOOKUP(E299,'Allocated Transactions'!D:D,'Allocated Transactions'!E:E,"")</f>
        <v>Travel</v>
      </c>
      <c r="G299" s="113" t="s">
        <v>97</v>
      </c>
      <c r="H299" s="113"/>
      <c r="I299" s="113" t="str">
        <f>_xlfn.XLOOKUP($C299,'Cost Centers'!$A$2:$A$11,'Cost Centers'!$C$2:$C$11,"")</f>
        <v>Admin</v>
      </c>
      <c r="J299" s="23">
        <f>MROUND(SUMIFS('Allocated Transactions'!$J:$J,'Allocated Transactions'!$D:$D,$E299,'Allocated Transactions'!$C:$C,$C299,'Allocated Transactions'!$A:$A,"&gt;="&amp;$A299,'Allocated Transactions'!$A:$A,"&lt;="&amp;EOMONTH($A299,0))*0.99,100)</f>
        <v>0</v>
      </c>
      <c r="K299" s="113" t="s">
        <v>637</v>
      </c>
    </row>
    <row r="300" spans="1:11" ht="15" customHeight="1">
      <c r="A300" s="112">
        <f t="shared" si="11"/>
        <v>45962</v>
      </c>
      <c r="B300" s="113">
        <v>2</v>
      </c>
      <c r="C300" s="18" t="str">
        <f t="shared" si="12"/>
        <v>1020</v>
      </c>
      <c r="D300" s="113" t="str">
        <f>_xlfn.XLOOKUP($C300,'Cost Centers'!$A$2:$A$11,'Cost Centers'!$B$2:$B$11,"")</f>
        <v>M &amp; G</v>
      </c>
      <c r="E300" s="113" t="s">
        <v>111</v>
      </c>
      <c r="F300" s="113" t="str">
        <f>_xlfn.XLOOKUP(E300,'Allocated Transactions'!D:D,'Allocated Transactions'!E:E,"")</f>
        <v>Meals and Entertainment</v>
      </c>
      <c r="G300" s="113" t="s">
        <v>97</v>
      </c>
      <c r="H300" s="113"/>
      <c r="I300" s="113" t="str">
        <f>_xlfn.XLOOKUP($C300,'Cost Centers'!$A$2:$A$11,'Cost Centers'!$C$2:$C$11,"")</f>
        <v>Admin</v>
      </c>
      <c r="J300" s="23">
        <f>MROUND(SUMIFS('Allocated Transactions'!$J:$J,'Allocated Transactions'!$D:$D,$E300,'Allocated Transactions'!$C:$C,$C300,'Allocated Transactions'!$A:$A,"&gt;="&amp;$A300,'Allocated Transactions'!$A:$A,"&lt;="&amp;EOMONTH($A300,0))*0.99,100)</f>
        <v>0</v>
      </c>
      <c r="K300" s="113" t="s">
        <v>637</v>
      </c>
    </row>
    <row r="301" spans="1:11" ht="15" customHeight="1">
      <c r="A301" s="112">
        <f t="shared" si="11"/>
        <v>45962</v>
      </c>
      <c r="B301" s="113">
        <v>2</v>
      </c>
      <c r="C301" s="18" t="str">
        <f t="shared" si="12"/>
        <v>1020</v>
      </c>
      <c r="D301" s="113" t="str">
        <f>_xlfn.XLOOKUP($C301,'Cost Centers'!$A$2:$A$11,'Cost Centers'!$B$2:$B$11,"")</f>
        <v>M &amp; G</v>
      </c>
      <c r="E301" s="113" t="s">
        <v>113</v>
      </c>
      <c r="F301" s="113" t="str">
        <f>_xlfn.XLOOKUP(E301,'Allocated Transactions'!D:D,'Allocated Transactions'!E:E,"")</f>
        <v>Professional Fees - Legal</v>
      </c>
      <c r="G301" s="113" t="s">
        <v>97</v>
      </c>
      <c r="H301" s="113"/>
      <c r="I301" s="113" t="str">
        <f>_xlfn.XLOOKUP($C301,'Cost Centers'!$A$2:$A$11,'Cost Centers'!$C$2:$C$11,"")</f>
        <v>Admin</v>
      </c>
      <c r="J301" s="23">
        <f>MROUND(SUMIFS('Allocated Transactions'!$J:$J,'Allocated Transactions'!$D:$D,$E301,'Allocated Transactions'!$C:$C,$C301,'Allocated Transactions'!$A:$A,"&gt;="&amp;$A301,'Allocated Transactions'!$A:$A,"&lt;="&amp;EOMONTH($A301,0))*0.99,100)</f>
        <v>0</v>
      </c>
      <c r="K301" s="113" t="s">
        <v>637</v>
      </c>
    </row>
    <row r="302" spans="1:11" ht="15" customHeight="1">
      <c r="A302" s="112">
        <f t="shared" si="11"/>
        <v>45962</v>
      </c>
      <c r="B302" s="113">
        <v>2</v>
      </c>
      <c r="C302" s="18" t="str">
        <f t="shared" si="12"/>
        <v>1020</v>
      </c>
      <c r="D302" s="113" t="str">
        <f>_xlfn.XLOOKUP($C302,'Cost Centers'!$A$2:$A$11,'Cost Centers'!$B$2:$B$11,"")</f>
        <v>M &amp; G</v>
      </c>
      <c r="E302" s="113" t="s">
        <v>115</v>
      </c>
      <c r="F302" s="113" t="str">
        <f>_xlfn.XLOOKUP(E302,'Allocated Transactions'!D:D,'Allocated Transactions'!E:E,"")</f>
        <v>Professional Fees - Accounting/Audit</v>
      </c>
      <c r="G302" s="113" t="s">
        <v>97</v>
      </c>
      <c r="H302" s="113"/>
      <c r="I302" s="113" t="str">
        <f>_xlfn.XLOOKUP($C302,'Cost Centers'!$A$2:$A$11,'Cost Centers'!$C$2:$C$11,"")</f>
        <v>Admin</v>
      </c>
      <c r="J302" s="23">
        <f>MROUND(SUMIFS('Allocated Transactions'!$J:$J,'Allocated Transactions'!$D:$D,$E302,'Allocated Transactions'!$C:$C,$C302,'Allocated Transactions'!$A:$A,"&gt;="&amp;$A302,'Allocated Transactions'!$A:$A,"&lt;="&amp;EOMONTH($A302,0))*0.99,100)</f>
        <v>0</v>
      </c>
      <c r="K302" s="113" t="s">
        <v>637</v>
      </c>
    </row>
    <row r="303" spans="1:11" ht="15" customHeight="1">
      <c r="A303" s="112">
        <f t="shared" si="11"/>
        <v>45962</v>
      </c>
      <c r="B303" s="113">
        <v>2</v>
      </c>
      <c r="C303" s="18" t="str">
        <f t="shared" si="12"/>
        <v>1020</v>
      </c>
      <c r="D303" s="113" t="str">
        <f>_xlfn.XLOOKUP($C303,'Cost Centers'!$A$2:$A$11,'Cost Centers'!$B$2:$B$11,"")</f>
        <v>M &amp; G</v>
      </c>
      <c r="E303" s="113" t="s">
        <v>117</v>
      </c>
      <c r="F303" s="113" t="str">
        <f>_xlfn.XLOOKUP(E303,'Allocated Transactions'!D:D,'Allocated Transactions'!E:E,"")</f>
        <v>Insurance</v>
      </c>
      <c r="G303" s="113" t="s">
        <v>97</v>
      </c>
      <c r="H303" s="113"/>
      <c r="I303" s="113" t="str">
        <f>_xlfn.XLOOKUP($C303,'Cost Centers'!$A$2:$A$11,'Cost Centers'!$C$2:$C$11,"")</f>
        <v>Admin</v>
      </c>
      <c r="J303" s="23">
        <f>MROUND(SUMIFS('Allocated Transactions'!$J:$J,'Allocated Transactions'!$D:$D,$E303,'Allocated Transactions'!$C:$C,$C303,'Allocated Transactions'!$A:$A,"&gt;="&amp;$A303,'Allocated Transactions'!$A:$A,"&lt;="&amp;EOMONTH($A303,0))*0.99,100)</f>
        <v>0</v>
      </c>
      <c r="K303" s="113" t="s">
        <v>637</v>
      </c>
    </row>
    <row r="304" spans="1:11" ht="15" customHeight="1">
      <c r="A304" s="112">
        <f t="shared" si="11"/>
        <v>45962</v>
      </c>
      <c r="B304" s="113">
        <v>2</v>
      </c>
      <c r="C304" s="18" t="str">
        <f t="shared" si="12"/>
        <v>1020</v>
      </c>
      <c r="D304" s="113" t="str">
        <f>_xlfn.XLOOKUP($C304,'Cost Centers'!$A$2:$A$11,'Cost Centers'!$B$2:$B$11,"")</f>
        <v>M &amp; G</v>
      </c>
      <c r="E304" s="113" t="s">
        <v>119</v>
      </c>
      <c r="F304" s="113" t="str">
        <f>_xlfn.XLOOKUP(E304,'Allocated Transactions'!D:D,'Allocated Transactions'!E:E,"")</f>
        <v>Depreciation Expense</v>
      </c>
      <c r="G304" s="113" t="s">
        <v>97</v>
      </c>
      <c r="H304" s="113"/>
      <c r="I304" s="113" t="str">
        <f>_xlfn.XLOOKUP($C304,'Cost Centers'!$A$2:$A$11,'Cost Centers'!$C$2:$C$11,"")</f>
        <v>Admin</v>
      </c>
      <c r="J304" s="23">
        <f>MROUND(SUMIFS('Allocated Transactions'!$J:$J,'Allocated Transactions'!$D:$D,$E304,'Allocated Transactions'!$C:$C,$C304,'Allocated Transactions'!$A:$A,"&gt;="&amp;$A304,'Allocated Transactions'!$A:$A,"&lt;="&amp;EOMONTH($A304,0))*0.99,100)</f>
        <v>2400</v>
      </c>
      <c r="K304" s="113" t="s">
        <v>637</v>
      </c>
    </row>
    <row r="305" spans="1:11" ht="15" customHeight="1">
      <c r="A305" s="112">
        <f t="shared" si="11"/>
        <v>45962</v>
      </c>
      <c r="B305" s="113">
        <v>2</v>
      </c>
      <c r="C305" s="18" t="str">
        <f t="shared" si="12"/>
        <v>1020</v>
      </c>
      <c r="D305" s="113" t="str">
        <f>_xlfn.XLOOKUP($C305,'Cost Centers'!$A$2:$A$11,'Cost Centers'!$B$2:$B$11,"")</f>
        <v>M &amp; G</v>
      </c>
      <c r="E305" s="113" t="s">
        <v>121</v>
      </c>
      <c r="F305" s="113" t="str">
        <f>_xlfn.XLOOKUP(E305,'Allocated Transactions'!D:D,'Allocated Transactions'!E:E,"")</f>
        <v>Bank Fees</v>
      </c>
      <c r="G305" s="113" t="s">
        <v>97</v>
      </c>
      <c r="H305" s="113"/>
      <c r="I305" s="113" t="str">
        <f>_xlfn.XLOOKUP($C305,'Cost Centers'!$A$2:$A$11,'Cost Centers'!$C$2:$C$11,"")</f>
        <v>Admin</v>
      </c>
      <c r="J305" s="23">
        <f>MROUND(SUMIFS('Allocated Transactions'!$J:$J,'Allocated Transactions'!$D:$D,$E305,'Allocated Transactions'!$C:$C,$C305,'Allocated Transactions'!$A:$A,"&gt;="&amp;$A305,'Allocated Transactions'!$A:$A,"&lt;="&amp;EOMONTH($A305,0))*0.99,100)</f>
        <v>100</v>
      </c>
      <c r="K305" s="113" t="s">
        <v>637</v>
      </c>
    </row>
    <row r="306" spans="1:11" ht="15" customHeight="1">
      <c r="A306" s="112">
        <f t="shared" si="11"/>
        <v>45962</v>
      </c>
      <c r="B306" s="113">
        <v>2</v>
      </c>
      <c r="C306" s="18" t="str">
        <f t="shared" si="12"/>
        <v>1020</v>
      </c>
      <c r="D306" s="113" t="str">
        <f>_xlfn.XLOOKUP($C306,'Cost Centers'!$A$2:$A$11,'Cost Centers'!$B$2:$B$11,"")</f>
        <v>M &amp; G</v>
      </c>
      <c r="E306" s="113" t="s">
        <v>123</v>
      </c>
      <c r="F306" s="113" t="str">
        <f>_xlfn.XLOOKUP(E306,'Allocated Transactions'!D:D,'Allocated Transactions'!E:E,"")</f>
        <v>Interest Expense</v>
      </c>
      <c r="G306" s="113" t="s">
        <v>97</v>
      </c>
      <c r="H306" s="113"/>
      <c r="I306" s="113" t="str">
        <f>_xlfn.XLOOKUP($C306,'Cost Centers'!$A$2:$A$11,'Cost Centers'!$C$2:$C$11,"")</f>
        <v>Admin</v>
      </c>
      <c r="J306" s="23">
        <f>MROUND(SUMIFS('Allocated Transactions'!$J:$J,'Allocated Transactions'!$D:$D,$E306,'Allocated Transactions'!$C:$C,$C306,'Allocated Transactions'!$A:$A,"&gt;="&amp;$A306,'Allocated Transactions'!$A:$A,"&lt;="&amp;EOMONTH($A306,0))*0.99,100)</f>
        <v>400</v>
      </c>
      <c r="K306" s="113" t="s">
        <v>637</v>
      </c>
    </row>
    <row r="307" spans="1:11" ht="15" customHeight="1">
      <c r="A307" s="112">
        <f t="shared" si="11"/>
        <v>45962</v>
      </c>
      <c r="B307" s="113">
        <v>2</v>
      </c>
      <c r="C307" s="18" t="str">
        <f t="shared" si="12"/>
        <v>1020</v>
      </c>
      <c r="D307" s="113" t="str">
        <f>_xlfn.XLOOKUP($C307,'Cost Centers'!$A$2:$A$11,'Cost Centers'!$B$2:$B$11,"")</f>
        <v>M &amp; G</v>
      </c>
      <c r="E307" s="113" t="s">
        <v>125</v>
      </c>
      <c r="F307" s="113" t="str">
        <f>_xlfn.XLOOKUP(E307,'Allocated Transactions'!D:D,'Allocated Transactions'!E:E,"")</f>
        <v>Miscellaneous Expense</v>
      </c>
      <c r="G307" s="113" t="s">
        <v>97</v>
      </c>
      <c r="H307" s="113"/>
      <c r="I307" s="113" t="str">
        <f>_xlfn.XLOOKUP($C307,'Cost Centers'!$A$2:$A$11,'Cost Centers'!$C$2:$C$11,"")</f>
        <v>Admin</v>
      </c>
      <c r="J307" s="23">
        <f>MROUND(SUMIFS('Allocated Transactions'!$J:$J,'Allocated Transactions'!$D:$D,$E307,'Allocated Transactions'!$C:$C,$C307,'Allocated Transactions'!$A:$A,"&gt;="&amp;$A307,'Allocated Transactions'!$A:$A,"&lt;="&amp;EOMONTH($A307,0))*0.99,100)</f>
        <v>0</v>
      </c>
      <c r="K307" s="113" t="s">
        <v>637</v>
      </c>
    </row>
    <row r="308" spans="1:11" ht="15" customHeight="1">
      <c r="A308" s="112">
        <f t="shared" si="11"/>
        <v>45992</v>
      </c>
      <c r="B308" s="113">
        <v>2</v>
      </c>
      <c r="C308" s="18" t="s">
        <v>46</v>
      </c>
      <c r="D308" s="113" t="str">
        <f>_xlfn.XLOOKUP($C308,'Cost Centers'!$A$2:$A$11,'Cost Centers'!$B$2:$B$11,"")</f>
        <v>M &amp; G</v>
      </c>
      <c r="E308" s="113" t="s">
        <v>28</v>
      </c>
      <c r="F308" s="113" t="str">
        <f>_xlfn.XLOOKUP(E308,'Allocated Transactions'!D:D,'Allocated Transactions'!E:E,"")</f>
        <v>Salaries and Wages</v>
      </c>
      <c r="G308" s="113" t="s">
        <v>97</v>
      </c>
      <c r="H308" s="113"/>
      <c r="I308" s="113" t="str">
        <f>_xlfn.XLOOKUP($C308,'Cost Centers'!$A$2:$A$11,'Cost Centers'!$C$2:$C$11,"")</f>
        <v>Admin</v>
      </c>
      <c r="J308" s="23">
        <f>MROUND(SUMIFS('Allocated Transactions'!$J:$J,'Allocated Transactions'!$D:$D,$E308,'Allocated Transactions'!$C:$C,$C308,'Allocated Transactions'!$A:$A,"&gt;="&amp;$A308,'Allocated Transactions'!$A:$A,"&lt;="&amp;EOMONTH($A308,0))*0.99,100)</f>
        <v>0</v>
      </c>
      <c r="K308" s="113" t="s">
        <v>637</v>
      </c>
    </row>
    <row r="309" spans="1:11" ht="15" customHeight="1">
      <c r="A309" s="112">
        <f t="shared" si="11"/>
        <v>45992</v>
      </c>
      <c r="B309" s="113">
        <v>2</v>
      </c>
      <c r="C309" s="18" t="str">
        <f t="shared" ref="C309:C325" si="13">C308</f>
        <v>1020</v>
      </c>
      <c r="D309" s="113" t="str">
        <f>_xlfn.XLOOKUP($C309,'Cost Centers'!$A$2:$A$11,'Cost Centers'!$B$2:$B$11,"")</f>
        <v>M &amp; G</v>
      </c>
      <c r="E309" s="113" t="s">
        <v>29</v>
      </c>
      <c r="F309" s="113" t="str">
        <f>_xlfn.XLOOKUP(E309,'Allocated Transactions'!D:D,'Allocated Transactions'!E:E,"")</f>
        <v>Payroll Taxes</v>
      </c>
      <c r="G309" s="113" t="s">
        <v>97</v>
      </c>
      <c r="H309" s="113"/>
      <c r="I309" s="113" t="str">
        <f>_xlfn.XLOOKUP($C309,'Cost Centers'!$A$2:$A$11,'Cost Centers'!$C$2:$C$11,"")</f>
        <v>Admin</v>
      </c>
      <c r="J309" s="23">
        <f>MROUND(SUMIFS('Allocated Transactions'!$J:$J,'Allocated Transactions'!$D:$D,$E309,'Allocated Transactions'!$C:$C,$C309,'Allocated Transactions'!$A:$A,"&gt;="&amp;$A309,'Allocated Transactions'!$A:$A,"&lt;="&amp;EOMONTH($A309,0))*0.99,100)</f>
        <v>0</v>
      </c>
      <c r="K309" s="113" t="s">
        <v>637</v>
      </c>
    </row>
    <row r="310" spans="1:11" ht="15" customHeight="1">
      <c r="A310" s="112">
        <f t="shared" si="11"/>
        <v>45992</v>
      </c>
      <c r="B310" s="113">
        <v>2</v>
      </c>
      <c r="C310" s="18" t="str">
        <f t="shared" si="13"/>
        <v>1020</v>
      </c>
      <c r="D310" s="113" t="str">
        <f>_xlfn.XLOOKUP($C310,'Cost Centers'!$A$2:$A$11,'Cost Centers'!$B$2:$B$11,"")</f>
        <v>M &amp; G</v>
      </c>
      <c r="E310" s="113" t="s">
        <v>30</v>
      </c>
      <c r="F310" s="113" t="str">
        <f>_xlfn.XLOOKUP(E310,'Allocated Transactions'!D:D,'Allocated Transactions'!E:E,"")</f>
        <v>Employee Benefits</v>
      </c>
      <c r="G310" s="113" t="s">
        <v>97</v>
      </c>
      <c r="H310" s="113"/>
      <c r="I310" s="113" t="str">
        <f>_xlfn.XLOOKUP($C310,'Cost Centers'!$A$2:$A$11,'Cost Centers'!$C$2:$C$11,"")</f>
        <v>Admin</v>
      </c>
      <c r="J310" s="23">
        <f>MROUND(SUMIFS('Allocated Transactions'!$J:$J,'Allocated Transactions'!$D:$D,$E310,'Allocated Transactions'!$C:$C,$C310,'Allocated Transactions'!$A:$A,"&gt;="&amp;$A310,'Allocated Transactions'!$A:$A,"&lt;="&amp;EOMONTH($A310,0))*0.99,100)</f>
        <v>0</v>
      </c>
      <c r="K310" s="113" t="s">
        <v>637</v>
      </c>
    </row>
    <row r="311" spans="1:11" ht="15" customHeight="1">
      <c r="A311" s="112">
        <f t="shared" si="11"/>
        <v>45992</v>
      </c>
      <c r="B311" s="113">
        <v>2</v>
      </c>
      <c r="C311" s="18" t="str">
        <f t="shared" si="13"/>
        <v>1020</v>
      </c>
      <c r="D311" s="113" t="str">
        <f>_xlfn.XLOOKUP($C311,'Cost Centers'!$A$2:$A$11,'Cost Centers'!$B$2:$B$11,"")</f>
        <v>M &amp; G</v>
      </c>
      <c r="E311" s="113" t="s">
        <v>31</v>
      </c>
      <c r="F311" s="113" t="str">
        <f>_xlfn.XLOOKUP(E311,'Allocated Transactions'!D:D,'Allocated Transactions'!E:E,"")</f>
        <v>Retirement Contributions</v>
      </c>
      <c r="G311" s="113" t="s">
        <v>97</v>
      </c>
      <c r="H311" s="113"/>
      <c r="I311" s="113" t="str">
        <f>_xlfn.XLOOKUP($C311,'Cost Centers'!$A$2:$A$11,'Cost Centers'!$C$2:$C$11,"")</f>
        <v>Admin</v>
      </c>
      <c r="J311" s="23">
        <f>MROUND(SUMIFS('Allocated Transactions'!$J:$J,'Allocated Transactions'!$D:$D,$E311,'Allocated Transactions'!$C:$C,$C311,'Allocated Transactions'!$A:$A,"&gt;="&amp;$A311,'Allocated Transactions'!$A:$A,"&lt;="&amp;EOMONTH($A311,0))*0.99,100)</f>
        <v>0</v>
      </c>
      <c r="K311" s="113" t="s">
        <v>637</v>
      </c>
    </row>
    <row r="312" spans="1:11" ht="15" customHeight="1">
      <c r="A312" s="112">
        <f t="shared" si="11"/>
        <v>45992</v>
      </c>
      <c r="B312" s="113">
        <v>2</v>
      </c>
      <c r="C312" s="18" t="str">
        <f t="shared" si="13"/>
        <v>1020</v>
      </c>
      <c r="D312" s="113" t="str">
        <f>_xlfn.XLOOKUP($C312,'Cost Centers'!$A$2:$A$11,'Cost Centers'!$B$2:$B$11,"")</f>
        <v>M &amp; G</v>
      </c>
      <c r="E312" s="113" t="s">
        <v>101</v>
      </c>
      <c r="F312" s="113" t="str">
        <f>_xlfn.XLOOKUP(E312,'Allocated Transactions'!D:D,'Allocated Transactions'!E:E,"")</f>
        <v>Contract Labor / Consultants</v>
      </c>
      <c r="G312" s="113" t="s">
        <v>97</v>
      </c>
      <c r="H312" s="113"/>
      <c r="I312" s="113" t="str">
        <f>_xlfn.XLOOKUP($C312,'Cost Centers'!$A$2:$A$11,'Cost Centers'!$C$2:$C$11,"")</f>
        <v>Admin</v>
      </c>
      <c r="J312" s="23">
        <f>MROUND(SUMIFS('Allocated Transactions'!$J:$J,'Allocated Transactions'!$D:$D,$E312,'Allocated Transactions'!$C:$C,$C312,'Allocated Transactions'!$A:$A,"&gt;="&amp;$A312,'Allocated Transactions'!$A:$A,"&lt;="&amp;EOMONTH($A312,0))*0.99,100)</f>
        <v>0</v>
      </c>
      <c r="K312" s="113" t="s">
        <v>637</v>
      </c>
    </row>
    <row r="313" spans="1:11" ht="15" customHeight="1">
      <c r="A313" s="112">
        <f t="shared" si="11"/>
        <v>45992</v>
      </c>
      <c r="B313" s="113">
        <v>2</v>
      </c>
      <c r="C313" s="18" t="str">
        <f t="shared" si="13"/>
        <v>1020</v>
      </c>
      <c r="D313" s="113" t="str">
        <f>_xlfn.XLOOKUP($C313,'Cost Centers'!$A$2:$A$11,'Cost Centers'!$B$2:$B$11,"")</f>
        <v>M &amp; G</v>
      </c>
      <c r="E313" s="113" t="s">
        <v>32</v>
      </c>
      <c r="F313" s="113" t="str">
        <f>_xlfn.XLOOKUP(E313,'Allocated Transactions'!D:D,'Allocated Transactions'!E:E,"")</f>
        <v>Rent</v>
      </c>
      <c r="G313" s="113" t="s">
        <v>97</v>
      </c>
      <c r="H313" s="113"/>
      <c r="I313" s="113" t="str">
        <f>_xlfn.XLOOKUP($C313,'Cost Centers'!$A$2:$A$11,'Cost Centers'!$C$2:$C$11,"")</f>
        <v>Admin</v>
      </c>
      <c r="J313" s="23">
        <f>MROUND(SUMIFS('Allocated Transactions'!$J:$J,'Allocated Transactions'!$D:$D,$E313,'Allocated Transactions'!$C:$C,$C313,'Allocated Transactions'!$A:$A,"&gt;="&amp;$A313,'Allocated Transactions'!$A:$A,"&lt;="&amp;EOMONTH($A313,0))*0.99,100)</f>
        <v>0</v>
      </c>
      <c r="K313" s="113" t="s">
        <v>637</v>
      </c>
    </row>
    <row r="314" spans="1:11" ht="15" customHeight="1">
      <c r="A314" s="112">
        <f t="shared" si="11"/>
        <v>45992</v>
      </c>
      <c r="B314" s="113">
        <v>2</v>
      </c>
      <c r="C314" s="18" t="str">
        <f t="shared" si="13"/>
        <v>1020</v>
      </c>
      <c r="D314" s="113" t="str">
        <f>_xlfn.XLOOKUP($C314,'Cost Centers'!$A$2:$A$11,'Cost Centers'!$B$2:$B$11,"")</f>
        <v>M &amp; G</v>
      </c>
      <c r="E314" s="113" t="s">
        <v>33</v>
      </c>
      <c r="F314" s="113" t="str">
        <f>_xlfn.XLOOKUP(E314,'Allocated Transactions'!D:D,'Allocated Transactions'!E:E,"")</f>
        <v>Utilities</v>
      </c>
      <c r="G314" s="113" t="s">
        <v>97</v>
      </c>
      <c r="H314" s="113"/>
      <c r="I314" s="113" t="str">
        <f>_xlfn.XLOOKUP($C314,'Cost Centers'!$A$2:$A$11,'Cost Centers'!$C$2:$C$11,"")</f>
        <v>Admin</v>
      </c>
      <c r="J314" s="23">
        <f>MROUND(SUMIFS('Allocated Transactions'!$J:$J,'Allocated Transactions'!$D:$D,$E314,'Allocated Transactions'!$C:$C,$C314,'Allocated Transactions'!$A:$A,"&gt;="&amp;$A314,'Allocated Transactions'!$A:$A,"&lt;="&amp;EOMONTH($A314,0))*0.99,100)</f>
        <v>0</v>
      </c>
      <c r="K314" s="113" t="s">
        <v>637</v>
      </c>
    </row>
    <row r="315" spans="1:11" ht="15" customHeight="1">
      <c r="A315" s="112">
        <f t="shared" si="11"/>
        <v>45992</v>
      </c>
      <c r="B315" s="113">
        <v>2</v>
      </c>
      <c r="C315" s="18" t="str">
        <f t="shared" si="13"/>
        <v>1020</v>
      </c>
      <c r="D315" s="113" t="str">
        <f>_xlfn.XLOOKUP($C315,'Cost Centers'!$A$2:$A$11,'Cost Centers'!$B$2:$B$11,"")</f>
        <v>M &amp; G</v>
      </c>
      <c r="E315" s="113" t="s">
        <v>105</v>
      </c>
      <c r="F315" s="113" t="str">
        <f>_xlfn.XLOOKUP(E315,'Allocated Transactions'!D:D,'Allocated Transactions'!E:E,"")</f>
        <v>Office Supplies</v>
      </c>
      <c r="G315" s="113" t="s">
        <v>97</v>
      </c>
      <c r="H315" s="113"/>
      <c r="I315" s="113" t="str">
        <f>_xlfn.XLOOKUP($C315,'Cost Centers'!$A$2:$A$11,'Cost Centers'!$C$2:$C$11,"")</f>
        <v>Admin</v>
      </c>
      <c r="J315" s="23">
        <f>MROUND(SUMIFS('Allocated Transactions'!$J:$J,'Allocated Transactions'!$D:$D,$E315,'Allocated Transactions'!$C:$C,$C315,'Allocated Transactions'!$A:$A,"&gt;="&amp;$A315,'Allocated Transactions'!$A:$A,"&lt;="&amp;EOMONTH($A315,0))*0.99,100)</f>
        <v>0</v>
      </c>
      <c r="K315" s="113" t="s">
        <v>637</v>
      </c>
    </row>
    <row r="316" spans="1:11" ht="15" customHeight="1">
      <c r="A316" s="112">
        <f t="shared" si="11"/>
        <v>45992</v>
      </c>
      <c r="B316" s="113">
        <v>2</v>
      </c>
      <c r="C316" s="18" t="str">
        <f t="shared" si="13"/>
        <v>1020</v>
      </c>
      <c r="D316" s="113" t="str">
        <f>_xlfn.XLOOKUP($C316,'Cost Centers'!$A$2:$A$11,'Cost Centers'!$B$2:$B$11,"")</f>
        <v>M &amp; G</v>
      </c>
      <c r="E316" s="113" t="s">
        <v>107</v>
      </c>
      <c r="F316" s="113" t="str">
        <f>_xlfn.XLOOKUP(E316,'Allocated Transactions'!D:D,'Allocated Transactions'!E:E,"")</f>
        <v>Software and Subscriptions</v>
      </c>
      <c r="G316" s="113" t="s">
        <v>97</v>
      </c>
      <c r="H316" s="113"/>
      <c r="I316" s="113" t="str">
        <f>_xlfn.XLOOKUP($C316,'Cost Centers'!$A$2:$A$11,'Cost Centers'!$C$2:$C$11,"")</f>
        <v>Admin</v>
      </c>
      <c r="J316" s="23">
        <f>MROUND(SUMIFS('Allocated Transactions'!$J:$J,'Allocated Transactions'!$D:$D,$E316,'Allocated Transactions'!$C:$C,$C316,'Allocated Transactions'!$A:$A,"&gt;="&amp;$A316,'Allocated Transactions'!$A:$A,"&lt;="&amp;EOMONTH($A316,0))*0.99,100)</f>
        <v>0</v>
      </c>
      <c r="K316" s="113" t="s">
        <v>637</v>
      </c>
    </row>
    <row r="317" spans="1:11" ht="15" customHeight="1">
      <c r="A317" s="112">
        <f t="shared" si="11"/>
        <v>45992</v>
      </c>
      <c r="B317" s="113">
        <v>2</v>
      </c>
      <c r="C317" s="18" t="str">
        <f t="shared" si="13"/>
        <v>1020</v>
      </c>
      <c r="D317" s="113" t="str">
        <f>_xlfn.XLOOKUP($C317,'Cost Centers'!$A$2:$A$11,'Cost Centers'!$B$2:$B$11,"")</f>
        <v>M &amp; G</v>
      </c>
      <c r="E317" s="113" t="s">
        <v>109</v>
      </c>
      <c r="F317" s="113" t="str">
        <f>_xlfn.XLOOKUP(E317,'Allocated Transactions'!D:D,'Allocated Transactions'!E:E,"")</f>
        <v>Travel</v>
      </c>
      <c r="G317" s="113" t="s">
        <v>97</v>
      </c>
      <c r="H317" s="113"/>
      <c r="I317" s="113" t="str">
        <f>_xlfn.XLOOKUP($C317,'Cost Centers'!$A$2:$A$11,'Cost Centers'!$C$2:$C$11,"")</f>
        <v>Admin</v>
      </c>
      <c r="J317" s="23">
        <f>MROUND(SUMIFS('Allocated Transactions'!$J:$J,'Allocated Transactions'!$D:$D,$E317,'Allocated Transactions'!$C:$C,$C317,'Allocated Transactions'!$A:$A,"&gt;="&amp;$A317,'Allocated Transactions'!$A:$A,"&lt;="&amp;EOMONTH($A317,0))*0.99,100)</f>
        <v>0</v>
      </c>
      <c r="K317" s="113" t="s">
        <v>637</v>
      </c>
    </row>
    <row r="318" spans="1:11" ht="15" customHeight="1">
      <c r="A318" s="112">
        <f t="shared" si="11"/>
        <v>45992</v>
      </c>
      <c r="B318" s="113">
        <v>2</v>
      </c>
      <c r="C318" s="18" t="str">
        <f t="shared" si="13"/>
        <v>1020</v>
      </c>
      <c r="D318" s="113" t="str">
        <f>_xlfn.XLOOKUP($C318,'Cost Centers'!$A$2:$A$11,'Cost Centers'!$B$2:$B$11,"")</f>
        <v>M &amp; G</v>
      </c>
      <c r="E318" s="113" t="s">
        <v>111</v>
      </c>
      <c r="F318" s="113" t="str">
        <f>_xlfn.XLOOKUP(E318,'Allocated Transactions'!D:D,'Allocated Transactions'!E:E,"")</f>
        <v>Meals and Entertainment</v>
      </c>
      <c r="G318" s="113" t="s">
        <v>97</v>
      </c>
      <c r="H318" s="113"/>
      <c r="I318" s="113" t="str">
        <f>_xlfn.XLOOKUP($C318,'Cost Centers'!$A$2:$A$11,'Cost Centers'!$C$2:$C$11,"")</f>
        <v>Admin</v>
      </c>
      <c r="J318" s="23">
        <f>MROUND(SUMIFS('Allocated Transactions'!$J:$J,'Allocated Transactions'!$D:$D,$E318,'Allocated Transactions'!$C:$C,$C318,'Allocated Transactions'!$A:$A,"&gt;="&amp;$A318,'Allocated Transactions'!$A:$A,"&lt;="&amp;EOMONTH($A318,0))*0.99,100)</f>
        <v>0</v>
      </c>
      <c r="K318" s="113" t="s">
        <v>637</v>
      </c>
    </row>
    <row r="319" spans="1:11" ht="15" customHeight="1">
      <c r="A319" s="112">
        <f t="shared" si="11"/>
        <v>45992</v>
      </c>
      <c r="B319" s="113">
        <v>2</v>
      </c>
      <c r="C319" s="18" t="str">
        <f t="shared" si="13"/>
        <v>1020</v>
      </c>
      <c r="D319" s="113" t="str">
        <f>_xlfn.XLOOKUP($C319,'Cost Centers'!$A$2:$A$11,'Cost Centers'!$B$2:$B$11,"")</f>
        <v>M &amp; G</v>
      </c>
      <c r="E319" s="113" t="s">
        <v>113</v>
      </c>
      <c r="F319" s="113" t="str">
        <f>_xlfn.XLOOKUP(E319,'Allocated Transactions'!D:D,'Allocated Transactions'!E:E,"")</f>
        <v>Professional Fees - Legal</v>
      </c>
      <c r="G319" s="113" t="s">
        <v>97</v>
      </c>
      <c r="H319" s="113"/>
      <c r="I319" s="113" t="str">
        <f>_xlfn.XLOOKUP($C319,'Cost Centers'!$A$2:$A$11,'Cost Centers'!$C$2:$C$11,"")</f>
        <v>Admin</v>
      </c>
      <c r="J319" s="23">
        <f>MROUND(SUMIFS('Allocated Transactions'!$J:$J,'Allocated Transactions'!$D:$D,$E319,'Allocated Transactions'!$C:$C,$C319,'Allocated Transactions'!$A:$A,"&gt;="&amp;$A319,'Allocated Transactions'!$A:$A,"&lt;="&amp;EOMONTH($A319,0))*0.99,100)</f>
        <v>0</v>
      </c>
      <c r="K319" s="113" t="s">
        <v>637</v>
      </c>
    </row>
    <row r="320" spans="1:11" ht="15" customHeight="1">
      <c r="A320" s="112">
        <f t="shared" si="11"/>
        <v>45992</v>
      </c>
      <c r="B320" s="113">
        <v>2</v>
      </c>
      <c r="C320" s="18" t="str">
        <f t="shared" si="13"/>
        <v>1020</v>
      </c>
      <c r="D320" s="113" t="str">
        <f>_xlfn.XLOOKUP($C320,'Cost Centers'!$A$2:$A$11,'Cost Centers'!$B$2:$B$11,"")</f>
        <v>M &amp; G</v>
      </c>
      <c r="E320" s="113" t="s">
        <v>115</v>
      </c>
      <c r="F320" s="113" t="str">
        <f>_xlfn.XLOOKUP(E320,'Allocated Transactions'!D:D,'Allocated Transactions'!E:E,"")</f>
        <v>Professional Fees - Accounting/Audit</v>
      </c>
      <c r="G320" s="113" t="s">
        <v>97</v>
      </c>
      <c r="H320" s="113"/>
      <c r="I320" s="113" t="str">
        <f>_xlfn.XLOOKUP($C320,'Cost Centers'!$A$2:$A$11,'Cost Centers'!$C$2:$C$11,"")</f>
        <v>Admin</v>
      </c>
      <c r="J320" s="23">
        <f>MROUND(SUMIFS('Allocated Transactions'!$J:$J,'Allocated Transactions'!$D:$D,$E320,'Allocated Transactions'!$C:$C,$C320,'Allocated Transactions'!$A:$A,"&gt;="&amp;$A320,'Allocated Transactions'!$A:$A,"&lt;="&amp;EOMONTH($A320,0))*0.99,100)</f>
        <v>0</v>
      </c>
      <c r="K320" s="113" t="s">
        <v>637</v>
      </c>
    </row>
    <row r="321" spans="1:11" ht="15" customHeight="1">
      <c r="A321" s="112">
        <f t="shared" si="11"/>
        <v>45992</v>
      </c>
      <c r="B321" s="113">
        <v>2</v>
      </c>
      <c r="C321" s="18" t="str">
        <f t="shared" si="13"/>
        <v>1020</v>
      </c>
      <c r="D321" s="113" t="str">
        <f>_xlfn.XLOOKUP($C321,'Cost Centers'!$A$2:$A$11,'Cost Centers'!$B$2:$B$11,"")</f>
        <v>M &amp; G</v>
      </c>
      <c r="E321" s="113" t="s">
        <v>117</v>
      </c>
      <c r="F321" s="113" t="str">
        <f>_xlfn.XLOOKUP(E321,'Allocated Transactions'!D:D,'Allocated Transactions'!E:E,"")</f>
        <v>Insurance</v>
      </c>
      <c r="G321" s="113" t="s">
        <v>97</v>
      </c>
      <c r="H321" s="113"/>
      <c r="I321" s="113" t="str">
        <f>_xlfn.XLOOKUP($C321,'Cost Centers'!$A$2:$A$11,'Cost Centers'!$C$2:$C$11,"")</f>
        <v>Admin</v>
      </c>
      <c r="J321" s="23">
        <f>MROUND(SUMIFS('Allocated Transactions'!$J:$J,'Allocated Transactions'!$D:$D,$E321,'Allocated Transactions'!$C:$C,$C321,'Allocated Transactions'!$A:$A,"&gt;="&amp;$A321,'Allocated Transactions'!$A:$A,"&lt;="&amp;EOMONTH($A321,0))*0.99,100)</f>
        <v>0</v>
      </c>
      <c r="K321" s="113" t="s">
        <v>637</v>
      </c>
    </row>
    <row r="322" spans="1:11" ht="15" customHeight="1">
      <c r="A322" s="112">
        <f t="shared" si="11"/>
        <v>45992</v>
      </c>
      <c r="B322" s="113">
        <v>2</v>
      </c>
      <c r="C322" s="18" t="str">
        <f t="shared" si="13"/>
        <v>1020</v>
      </c>
      <c r="D322" s="113" t="str">
        <f>_xlfn.XLOOKUP($C322,'Cost Centers'!$A$2:$A$11,'Cost Centers'!$B$2:$B$11,"")</f>
        <v>M &amp; G</v>
      </c>
      <c r="E322" s="113" t="s">
        <v>119</v>
      </c>
      <c r="F322" s="113" t="str">
        <f>_xlfn.XLOOKUP(E322,'Allocated Transactions'!D:D,'Allocated Transactions'!E:E,"")</f>
        <v>Depreciation Expense</v>
      </c>
      <c r="G322" s="113" t="s">
        <v>97</v>
      </c>
      <c r="H322" s="113"/>
      <c r="I322" s="113" t="str">
        <f>_xlfn.XLOOKUP($C322,'Cost Centers'!$A$2:$A$11,'Cost Centers'!$C$2:$C$11,"")</f>
        <v>Admin</v>
      </c>
      <c r="J322" s="23">
        <f>MROUND(SUMIFS('Allocated Transactions'!$J:$J,'Allocated Transactions'!$D:$D,$E322,'Allocated Transactions'!$C:$C,$C322,'Allocated Transactions'!$A:$A,"&gt;="&amp;$A322,'Allocated Transactions'!$A:$A,"&lt;="&amp;EOMONTH($A322,0))*0.99,100)</f>
        <v>2400</v>
      </c>
      <c r="K322" s="113" t="s">
        <v>637</v>
      </c>
    </row>
    <row r="323" spans="1:11" ht="15" customHeight="1">
      <c r="A323" s="112">
        <f t="shared" si="11"/>
        <v>45992</v>
      </c>
      <c r="B323" s="113">
        <v>2</v>
      </c>
      <c r="C323" s="18" t="str">
        <f t="shared" si="13"/>
        <v>1020</v>
      </c>
      <c r="D323" s="113" t="str">
        <f>_xlfn.XLOOKUP($C323,'Cost Centers'!$A$2:$A$11,'Cost Centers'!$B$2:$B$11,"")</f>
        <v>M &amp; G</v>
      </c>
      <c r="E323" s="113" t="s">
        <v>121</v>
      </c>
      <c r="F323" s="113" t="str">
        <f>_xlfn.XLOOKUP(E323,'Allocated Transactions'!D:D,'Allocated Transactions'!E:E,"")</f>
        <v>Bank Fees</v>
      </c>
      <c r="G323" s="113" t="s">
        <v>97</v>
      </c>
      <c r="H323" s="113"/>
      <c r="I323" s="113" t="str">
        <f>_xlfn.XLOOKUP($C323,'Cost Centers'!$A$2:$A$11,'Cost Centers'!$C$2:$C$11,"")</f>
        <v>Admin</v>
      </c>
      <c r="J323" s="23">
        <f>MROUND(SUMIFS('Allocated Transactions'!$J:$J,'Allocated Transactions'!$D:$D,$E323,'Allocated Transactions'!$C:$C,$C323,'Allocated Transactions'!$A:$A,"&gt;="&amp;$A323,'Allocated Transactions'!$A:$A,"&lt;="&amp;EOMONTH($A323,0))*0.99,100)</f>
        <v>100</v>
      </c>
      <c r="K323" s="113" t="s">
        <v>637</v>
      </c>
    </row>
    <row r="324" spans="1:11" ht="15" customHeight="1">
      <c r="A324" s="112">
        <f t="shared" si="11"/>
        <v>45992</v>
      </c>
      <c r="B324" s="113">
        <v>2</v>
      </c>
      <c r="C324" s="18" t="str">
        <f t="shared" si="13"/>
        <v>1020</v>
      </c>
      <c r="D324" s="113" t="str">
        <f>_xlfn.XLOOKUP($C324,'Cost Centers'!$A$2:$A$11,'Cost Centers'!$B$2:$B$11,"")</f>
        <v>M &amp; G</v>
      </c>
      <c r="E324" s="113" t="s">
        <v>123</v>
      </c>
      <c r="F324" s="113" t="str">
        <f>_xlfn.XLOOKUP(E324,'Allocated Transactions'!D:D,'Allocated Transactions'!E:E,"")</f>
        <v>Interest Expense</v>
      </c>
      <c r="G324" s="113" t="s">
        <v>97</v>
      </c>
      <c r="H324" s="113"/>
      <c r="I324" s="113" t="str">
        <f>_xlfn.XLOOKUP($C324,'Cost Centers'!$A$2:$A$11,'Cost Centers'!$C$2:$C$11,"")</f>
        <v>Admin</v>
      </c>
      <c r="J324" s="23">
        <f>MROUND(SUMIFS('Allocated Transactions'!$J:$J,'Allocated Transactions'!$D:$D,$E324,'Allocated Transactions'!$C:$C,$C324,'Allocated Transactions'!$A:$A,"&gt;="&amp;$A324,'Allocated Transactions'!$A:$A,"&lt;="&amp;EOMONTH($A324,0))*0.99,100)</f>
        <v>400</v>
      </c>
      <c r="K324" s="113" t="s">
        <v>637</v>
      </c>
    </row>
    <row r="325" spans="1:11" ht="15" customHeight="1">
      <c r="A325" s="112">
        <f t="shared" si="11"/>
        <v>45992</v>
      </c>
      <c r="B325" s="113">
        <v>2</v>
      </c>
      <c r="C325" s="18" t="str">
        <f t="shared" si="13"/>
        <v>1020</v>
      </c>
      <c r="D325" s="113" t="str">
        <f>_xlfn.XLOOKUP($C325,'Cost Centers'!$A$2:$A$11,'Cost Centers'!$B$2:$B$11,"")</f>
        <v>M &amp; G</v>
      </c>
      <c r="E325" s="113" t="s">
        <v>125</v>
      </c>
      <c r="F325" s="113" t="str">
        <f>_xlfn.XLOOKUP(E325,'Allocated Transactions'!D:D,'Allocated Transactions'!E:E,"")</f>
        <v>Miscellaneous Expense</v>
      </c>
      <c r="G325" s="113" t="s">
        <v>97</v>
      </c>
      <c r="H325" s="113"/>
      <c r="I325" s="113" t="str">
        <f>_xlfn.XLOOKUP($C325,'Cost Centers'!$A$2:$A$11,'Cost Centers'!$C$2:$C$11,"")</f>
        <v>Admin</v>
      </c>
      <c r="J325" s="23">
        <f>MROUND(SUMIFS('Allocated Transactions'!$J:$J,'Allocated Transactions'!$D:$D,$E325,'Allocated Transactions'!$C:$C,$C325,'Allocated Transactions'!$A:$A,"&gt;="&amp;$A325,'Allocated Transactions'!$A:$A,"&lt;="&amp;EOMONTH($A325,0))*0.99,100)</f>
        <v>0</v>
      </c>
      <c r="K325" s="113" t="s">
        <v>637</v>
      </c>
    </row>
    <row r="326" spans="1:11" ht="15" customHeight="1">
      <c r="A326" s="112">
        <f t="shared" si="11"/>
        <v>46023</v>
      </c>
      <c r="B326" s="113">
        <v>2</v>
      </c>
      <c r="C326" s="18" t="s">
        <v>46</v>
      </c>
      <c r="D326" s="113" t="str">
        <f>_xlfn.XLOOKUP($C326,'Cost Centers'!$A$2:$A$11,'Cost Centers'!$B$2:$B$11,"")</f>
        <v>M &amp; G</v>
      </c>
      <c r="E326" s="113" t="s">
        <v>28</v>
      </c>
      <c r="F326" s="113" t="str">
        <f>_xlfn.XLOOKUP(E326,'Allocated Transactions'!D:D,'Allocated Transactions'!E:E,"")</f>
        <v>Salaries and Wages</v>
      </c>
      <c r="G326" s="113" t="s">
        <v>97</v>
      </c>
      <c r="H326" s="113"/>
      <c r="I326" s="113" t="str">
        <f>_xlfn.XLOOKUP($C326,'Cost Centers'!$A$2:$A$11,'Cost Centers'!$C$2:$C$11,"")</f>
        <v>Admin</v>
      </c>
      <c r="J326" s="23">
        <f>MROUND(SUMIFS('Allocated Transactions'!$J:$J,'Allocated Transactions'!$D:$D,$E326,'Allocated Transactions'!$C:$C,$C326,'Allocated Transactions'!$A:$A,"&gt;="&amp;$A326,'Allocated Transactions'!$A:$A,"&lt;="&amp;EOMONTH($A326,0))*0.99,100)</f>
        <v>0</v>
      </c>
      <c r="K326" s="113" t="s">
        <v>637</v>
      </c>
    </row>
    <row r="327" spans="1:11" ht="15" customHeight="1">
      <c r="A327" s="112">
        <f t="shared" si="11"/>
        <v>46023</v>
      </c>
      <c r="B327" s="113">
        <v>2</v>
      </c>
      <c r="C327" s="18" t="str">
        <f t="shared" ref="C327:C343" si="14">C326</f>
        <v>1020</v>
      </c>
      <c r="D327" s="113" t="str">
        <f>_xlfn.XLOOKUP($C327,'Cost Centers'!$A$2:$A$11,'Cost Centers'!$B$2:$B$11,"")</f>
        <v>M &amp; G</v>
      </c>
      <c r="E327" s="113" t="s">
        <v>29</v>
      </c>
      <c r="F327" s="113" t="str">
        <f>_xlfn.XLOOKUP(E327,'Allocated Transactions'!D:D,'Allocated Transactions'!E:E,"")</f>
        <v>Payroll Taxes</v>
      </c>
      <c r="G327" s="113" t="s">
        <v>97</v>
      </c>
      <c r="H327" s="113"/>
      <c r="I327" s="113" t="str">
        <f>_xlfn.XLOOKUP($C327,'Cost Centers'!$A$2:$A$11,'Cost Centers'!$C$2:$C$11,"")</f>
        <v>Admin</v>
      </c>
      <c r="J327" s="23">
        <f>MROUND(SUMIFS('Allocated Transactions'!$J:$J,'Allocated Transactions'!$D:$D,$E327,'Allocated Transactions'!$C:$C,$C327,'Allocated Transactions'!$A:$A,"&gt;="&amp;$A327,'Allocated Transactions'!$A:$A,"&lt;="&amp;EOMONTH($A327,0))*0.99,100)</f>
        <v>0</v>
      </c>
      <c r="K327" s="113" t="s">
        <v>637</v>
      </c>
    </row>
    <row r="328" spans="1:11" ht="15" customHeight="1">
      <c r="A328" s="112">
        <f t="shared" si="11"/>
        <v>46023</v>
      </c>
      <c r="B328" s="113">
        <v>2</v>
      </c>
      <c r="C328" s="18" t="str">
        <f t="shared" si="14"/>
        <v>1020</v>
      </c>
      <c r="D328" s="113" t="str">
        <f>_xlfn.XLOOKUP($C328,'Cost Centers'!$A$2:$A$11,'Cost Centers'!$B$2:$B$11,"")</f>
        <v>M &amp; G</v>
      </c>
      <c r="E328" s="113" t="s">
        <v>30</v>
      </c>
      <c r="F328" s="113" t="str">
        <f>_xlfn.XLOOKUP(E328,'Allocated Transactions'!D:D,'Allocated Transactions'!E:E,"")</f>
        <v>Employee Benefits</v>
      </c>
      <c r="G328" s="113" t="s">
        <v>97</v>
      </c>
      <c r="H328" s="113"/>
      <c r="I328" s="113" t="str">
        <f>_xlfn.XLOOKUP($C328,'Cost Centers'!$A$2:$A$11,'Cost Centers'!$C$2:$C$11,"")</f>
        <v>Admin</v>
      </c>
      <c r="J328" s="23">
        <f>MROUND(SUMIFS('Allocated Transactions'!$J:$J,'Allocated Transactions'!$D:$D,$E328,'Allocated Transactions'!$C:$C,$C328,'Allocated Transactions'!$A:$A,"&gt;="&amp;$A328,'Allocated Transactions'!$A:$A,"&lt;="&amp;EOMONTH($A328,0))*0.99,100)</f>
        <v>0</v>
      </c>
      <c r="K328" s="113" t="s">
        <v>637</v>
      </c>
    </row>
    <row r="329" spans="1:11" ht="15" customHeight="1">
      <c r="A329" s="112">
        <f t="shared" si="11"/>
        <v>46023</v>
      </c>
      <c r="B329" s="113">
        <v>2</v>
      </c>
      <c r="C329" s="18" t="str">
        <f t="shared" si="14"/>
        <v>1020</v>
      </c>
      <c r="D329" s="113" t="str">
        <f>_xlfn.XLOOKUP($C329,'Cost Centers'!$A$2:$A$11,'Cost Centers'!$B$2:$B$11,"")</f>
        <v>M &amp; G</v>
      </c>
      <c r="E329" s="113" t="s">
        <v>31</v>
      </c>
      <c r="F329" s="113" t="str">
        <f>_xlfn.XLOOKUP(E329,'Allocated Transactions'!D:D,'Allocated Transactions'!E:E,"")</f>
        <v>Retirement Contributions</v>
      </c>
      <c r="G329" s="113" t="s">
        <v>97</v>
      </c>
      <c r="H329" s="113"/>
      <c r="I329" s="113" t="str">
        <f>_xlfn.XLOOKUP($C329,'Cost Centers'!$A$2:$A$11,'Cost Centers'!$C$2:$C$11,"")</f>
        <v>Admin</v>
      </c>
      <c r="J329" s="23">
        <f>MROUND(SUMIFS('Allocated Transactions'!$J:$J,'Allocated Transactions'!$D:$D,$E329,'Allocated Transactions'!$C:$C,$C329,'Allocated Transactions'!$A:$A,"&gt;="&amp;$A329,'Allocated Transactions'!$A:$A,"&lt;="&amp;EOMONTH($A329,0))*0.99,100)</f>
        <v>0</v>
      </c>
      <c r="K329" s="113" t="s">
        <v>637</v>
      </c>
    </row>
    <row r="330" spans="1:11" ht="15" customHeight="1">
      <c r="A330" s="112">
        <f t="shared" si="11"/>
        <v>46023</v>
      </c>
      <c r="B330" s="113">
        <v>2</v>
      </c>
      <c r="C330" s="18" t="str">
        <f t="shared" si="14"/>
        <v>1020</v>
      </c>
      <c r="D330" s="113" t="str">
        <f>_xlfn.XLOOKUP($C330,'Cost Centers'!$A$2:$A$11,'Cost Centers'!$B$2:$B$11,"")</f>
        <v>M &amp; G</v>
      </c>
      <c r="E330" s="113" t="s">
        <v>101</v>
      </c>
      <c r="F330" s="113" t="str">
        <f>_xlfn.XLOOKUP(E330,'Allocated Transactions'!D:D,'Allocated Transactions'!E:E,"")</f>
        <v>Contract Labor / Consultants</v>
      </c>
      <c r="G330" s="113" t="s">
        <v>97</v>
      </c>
      <c r="H330" s="113"/>
      <c r="I330" s="113" t="str">
        <f>_xlfn.XLOOKUP($C330,'Cost Centers'!$A$2:$A$11,'Cost Centers'!$C$2:$C$11,"")</f>
        <v>Admin</v>
      </c>
      <c r="J330" s="23">
        <f>MROUND(SUMIFS('Allocated Transactions'!$J:$J,'Allocated Transactions'!$D:$D,$E330,'Allocated Transactions'!$C:$C,$C330,'Allocated Transactions'!$A:$A,"&gt;="&amp;$A330,'Allocated Transactions'!$A:$A,"&lt;="&amp;EOMONTH($A330,0))*0.99,100)</f>
        <v>0</v>
      </c>
      <c r="K330" s="113" t="s">
        <v>637</v>
      </c>
    </row>
    <row r="331" spans="1:11" ht="15" customHeight="1">
      <c r="A331" s="112">
        <f t="shared" si="11"/>
        <v>46023</v>
      </c>
      <c r="B331" s="113">
        <v>2</v>
      </c>
      <c r="C331" s="18" t="str">
        <f t="shared" si="14"/>
        <v>1020</v>
      </c>
      <c r="D331" s="113" t="str">
        <f>_xlfn.XLOOKUP($C331,'Cost Centers'!$A$2:$A$11,'Cost Centers'!$B$2:$B$11,"")</f>
        <v>M &amp; G</v>
      </c>
      <c r="E331" s="113" t="s">
        <v>32</v>
      </c>
      <c r="F331" s="113" t="str">
        <f>_xlfn.XLOOKUP(E331,'Allocated Transactions'!D:D,'Allocated Transactions'!E:E,"")</f>
        <v>Rent</v>
      </c>
      <c r="G331" s="113" t="s">
        <v>97</v>
      </c>
      <c r="H331" s="113"/>
      <c r="I331" s="113" t="str">
        <f>_xlfn.XLOOKUP($C331,'Cost Centers'!$A$2:$A$11,'Cost Centers'!$C$2:$C$11,"")</f>
        <v>Admin</v>
      </c>
      <c r="J331" s="23">
        <f>MROUND(SUMIFS('Allocated Transactions'!$J:$J,'Allocated Transactions'!$D:$D,$E331,'Allocated Transactions'!$C:$C,$C331,'Allocated Transactions'!$A:$A,"&gt;="&amp;$A331,'Allocated Transactions'!$A:$A,"&lt;="&amp;EOMONTH($A331,0))*0.99,100)</f>
        <v>0</v>
      </c>
      <c r="K331" s="113" t="s">
        <v>637</v>
      </c>
    </row>
    <row r="332" spans="1:11" ht="15" customHeight="1">
      <c r="A332" s="112">
        <f t="shared" si="11"/>
        <v>46023</v>
      </c>
      <c r="B332" s="113">
        <v>2</v>
      </c>
      <c r="C332" s="18" t="str">
        <f t="shared" si="14"/>
        <v>1020</v>
      </c>
      <c r="D332" s="113" t="str">
        <f>_xlfn.XLOOKUP($C332,'Cost Centers'!$A$2:$A$11,'Cost Centers'!$B$2:$B$11,"")</f>
        <v>M &amp; G</v>
      </c>
      <c r="E332" s="113" t="s">
        <v>33</v>
      </c>
      <c r="F332" s="113" t="str">
        <f>_xlfn.XLOOKUP(E332,'Allocated Transactions'!D:D,'Allocated Transactions'!E:E,"")</f>
        <v>Utilities</v>
      </c>
      <c r="G332" s="113" t="s">
        <v>97</v>
      </c>
      <c r="H332" s="113"/>
      <c r="I332" s="113" t="str">
        <f>_xlfn.XLOOKUP($C332,'Cost Centers'!$A$2:$A$11,'Cost Centers'!$C$2:$C$11,"")</f>
        <v>Admin</v>
      </c>
      <c r="J332" s="23">
        <f>MROUND(SUMIFS('Allocated Transactions'!$J:$J,'Allocated Transactions'!$D:$D,$E332,'Allocated Transactions'!$C:$C,$C332,'Allocated Transactions'!$A:$A,"&gt;="&amp;$A332,'Allocated Transactions'!$A:$A,"&lt;="&amp;EOMONTH($A332,0))*0.99,100)</f>
        <v>0</v>
      </c>
      <c r="K332" s="113" t="s">
        <v>637</v>
      </c>
    </row>
    <row r="333" spans="1:11" ht="15" customHeight="1">
      <c r="A333" s="112">
        <f t="shared" si="11"/>
        <v>46023</v>
      </c>
      <c r="B333" s="113">
        <v>2</v>
      </c>
      <c r="C333" s="18" t="str">
        <f t="shared" si="14"/>
        <v>1020</v>
      </c>
      <c r="D333" s="113" t="str">
        <f>_xlfn.XLOOKUP($C333,'Cost Centers'!$A$2:$A$11,'Cost Centers'!$B$2:$B$11,"")</f>
        <v>M &amp; G</v>
      </c>
      <c r="E333" s="113" t="s">
        <v>105</v>
      </c>
      <c r="F333" s="113" t="str">
        <f>_xlfn.XLOOKUP(E333,'Allocated Transactions'!D:D,'Allocated Transactions'!E:E,"")</f>
        <v>Office Supplies</v>
      </c>
      <c r="G333" s="113" t="s">
        <v>97</v>
      </c>
      <c r="H333" s="113"/>
      <c r="I333" s="113" t="str">
        <f>_xlfn.XLOOKUP($C333,'Cost Centers'!$A$2:$A$11,'Cost Centers'!$C$2:$C$11,"")</f>
        <v>Admin</v>
      </c>
      <c r="J333" s="23">
        <f>MROUND(SUMIFS('Allocated Transactions'!$J:$J,'Allocated Transactions'!$D:$D,$E333,'Allocated Transactions'!$C:$C,$C333,'Allocated Transactions'!$A:$A,"&gt;="&amp;$A333,'Allocated Transactions'!$A:$A,"&lt;="&amp;EOMONTH($A333,0))*0.99,100)</f>
        <v>0</v>
      </c>
      <c r="K333" s="113" t="s">
        <v>637</v>
      </c>
    </row>
    <row r="334" spans="1:11" ht="15" customHeight="1">
      <c r="A334" s="112">
        <f t="shared" si="11"/>
        <v>46023</v>
      </c>
      <c r="B334" s="113">
        <v>2</v>
      </c>
      <c r="C334" s="18" t="str">
        <f t="shared" si="14"/>
        <v>1020</v>
      </c>
      <c r="D334" s="113" t="str">
        <f>_xlfn.XLOOKUP($C334,'Cost Centers'!$A$2:$A$11,'Cost Centers'!$B$2:$B$11,"")</f>
        <v>M &amp; G</v>
      </c>
      <c r="E334" s="113" t="s">
        <v>107</v>
      </c>
      <c r="F334" s="113" t="str">
        <f>_xlfn.XLOOKUP(E334,'Allocated Transactions'!D:D,'Allocated Transactions'!E:E,"")</f>
        <v>Software and Subscriptions</v>
      </c>
      <c r="G334" s="113" t="s">
        <v>97</v>
      </c>
      <c r="H334" s="113"/>
      <c r="I334" s="113" t="str">
        <f>_xlfn.XLOOKUP($C334,'Cost Centers'!$A$2:$A$11,'Cost Centers'!$C$2:$C$11,"")</f>
        <v>Admin</v>
      </c>
      <c r="J334" s="23">
        <f>MROUND(SUMIFS('Allocated Transactions'!$J:$J,'Allocated Transactions'!$D:$D,$E334,'Allocated Transactions'!$C:$C,$C334,'Allocated Transactions'!$A:$A,"&gt;="&amp;$A334,'Allocated Transactions'!$A:$A,"&lt;="&amp;EOMONTH($A334,0))*0.99,100)</f>
        <v>0</v>
      </c>
      <c r="K334" s="113" t="s">
        <v>637</v>
      </c>
    </row>
    <row r="335" spans="1:11" ht="15" customHeight="1">
      <c r="A335" s="112">
        <f t="shared" si="11"/>
        <v>46023</v>
      </c>
      <c r="B335" s="113">
        <v>2</v>
      </c>
      <c r="C335" s="18" t="str">
        <f t="shared" si="14"/>
        <v>1020</v>
      </c>
      <c r="D335" s="113" t="str">
        <f>_xlfn.XLOOKUP($C335,'Cost Centers'!$A$2:$A$11,'Cost Centers'!$B$2:$B$11,"")</f>
        <v>M &amp; G</v>
      </c>
      <c r="E335" s="113" t="s">
        <v>109</v>
      </c>
      <c r="F335" s="113" t="str">
        <f>_xlfn.XLOOKUP(E335,'Allocated Transactions'!D:D,'Allocated Transactions'!E:E,"")</f>
        <v>Travel</v>
      </c>
      <c r="G335" s="113" t="s">
        <v>97</v>
      </c>
      <c r="H335" s="113"/>
      <c r="I335" s="113" t="str">
        <f>_xlfn.XLOOKUP($C335,'Cost Centers'!$A$2:$A$11,'Cost Centers'!$C$2:$C$11,"")</f>
        <v>Admin</v>
      </c>
      <c r="J335" s="23">
        <f>MROUND(SUMIFS('Allocated Transactions'!$J:$J,'Allocated Transactions'!$D:$D,$E335,'Allocated Transactions'!$C:$C,$C335,'Allocated Transactions'!$A:$A,"&gt;="&amp;$A335,'Allocated Transactions'!$A:$A,"&lt;="&amp;EOMONTH($A335,0))*0.99,100)</f>
        <v>0</v>
      </c>
      <c r="K335" s="113" t="s">
        <v>637</v>
      </c>
    </row>
    <row r="336" spans="1:11" ht="15" customHeight="1">
      <c r="A336" s="112">
        <f t="shared" si="11"/>
        <v>46023</v>
      </c>
      <c r="B336" s="113">
        <v>2</v>
      </c>
      <c r="C336" s="18" t="str">
        <f t="shared" si="14"/>
        <v>1020</v>
      </c>
      <c r="D336" s="113" t="str">
        <f>_xlfn.XLOOKUP($C336,'Cost Centers'!$A$2:$A$11,'Cost Centers'!$B$2:$B$11,"")</f>
        <v>M &amp; G</v>
      </c>
      <c r="E336" s="113" t="s">
        <v>111</v>
      </c>
      <c r="F336" s="113" t="str">
        <f>_xlfn.XLOOKUP(E336,'Allocated Transactions'!D:D,'Allocated Transactions'!E:E,"")</f>
        <v>Meals and Entertainment</v>
      </c>
      <c r="G336" s="113" t="s">
        <v>97</v>
      </c>
      <c r="H336" s="113"/>
      <c r="I336" s="113" t="str">
        <f>_xlfn.XLOOKUP($C336,'Cost Centers'!$A$2:$A$11,'Cost Centers'!$C$2:$C$11,"")</f>
        <v>Admin</v>
      </c>
      <c r="J336" s="23">
        <f>MROUND(SUMIFS('Allocated Transactions'!$J:$J,'Allocated Transactions'!$D:$D,$E336,'Allocated Transactions'!$C:$C,$C336,'Allocated Transactions'!$A:$A,"&gt;="&amp;$A336,'Allocated Transactions'!$A:$A,"&lt;="&amp;EOMONTH($A336,0))*0.99,100)</f>
        <v>0</v>
      </c>
      <c r="K336" s="113" t="s">
        <v>637</v>
      </c>
    </row>
    <row r="337" spans="1:11" ht="15" customHeight="1">
      <c r="A337" s="112">
        <f t="shared" si="11"/>
        <v>46023</v>
      </c>
      <c r="B337" s="113">
        <v>2</v>
      </c>
      <c r="C337" s="18" t="str">
        <f t="shared" si="14"/>
        <v>1020</v>
      </c>
      <c r="D337" s="113" t="str">
        <f>_xlfn.XLOOKUP($C337,'Cost Centers'!$A$2:$A$11,'Cost Centers'!$B$2:$B$11,"")</f>
        <v>M &amp; G</v>
      </c>
      <c r="E337" s="113" t="s">
        <v>113</v>
      </c>
      <c r="F337" s="113" t="str">
        <f>_xlfn.XLOOKUP(E337,'Allocated Transactions'!D:D,'Allocated Transactions'!E:E,"")</f>
        <v>Professional Fees - Legal</v>
      </c>
      <c r="G337" s="113" t="s">
        <v>97</v>
      </c>
      <c r="H337" s="113"/>
      <c r="I337" s="113" t="str">
        <f>_xlfn.XLOOKUP($C337,'Cost Centers'!$A$2:$A$11,'Cost Centers'!$C$2:$C$11,"")</f>
        <v>Admin</v>
      </c>
      <c r="J337" s="23">
        <f>MROUND(SUMIFS('Allocated Transactions'!$J:$J,'Allocated Transactions'!$D:$D,$E337,'Allocated Transactions'!$C:$C,$C337,'Allocated Transactions'!$A:$A,"&gt;="&amp;$A337,'Allocated Transactions'!$A:$A,"&lt;="&amp;EOMONTH($A337,0))*0.99,100)</f>
        <v>0</v>
      </c>
      <c r="K337" s="113" t="s">
        <v>637</v>
      </c>
    </row>
    <row r="338" spans="1:11" ht="15" customHeight="1">
      <c r="A338" s="112">
        <f t="shared" si="11"/>
        <v>46023</v>
      </c>
      <c r="B338" s="113">
        <v>2</v>
      </c>
      <c r="C338" s="18" t="str">
        <f t="shared" si="14"/>
        <v>1020</v>
      </c>
      <c r="D338" s="113" t="str">
        <f>_xlfn.XLOOKUP($C338,'Cost Centers'!$A$2:$A$11,'Cost Centers'!$B$2:$B$11,"")</f>
        <v>M &amp; G</v>
      </c>
      <c r="E338" s="113" t="s">
        <v>115</v>
      </c>
      <c r="F338" s="113" t="str">
        <f>_xlfn.XLOOKUP(E338,'Allocated Transactions'!D:D,'Allocated Transactions'!E:E,"")</f>
        <v>Professional Fees - Accounting/Audit</v>
      </c>
      <c r="G338" s="113" t="s">
        <v>97</v>
      </c>
      <c r="H338" s="113"/>
      <c r="I338" s="113" t="str">
        <f>_xlfn.XLOOKUP($C338,'Cost Centers'!$A$2:$A$11,'Cost Centers'!$C$2:$C$11,"")</f>
        <v>Admin</v>
      </c>
      <c r="J338" s="23">
        <f>MROUND(SUMIFS('Allocated Transactions'!$J:$J,'Allocated Transactions'!$D:$D,$E338,'Allocated Transactions'!$C:$C,$C338,'Allocated Transactions'!$A:$A,"&gt;="&amp;$A338,'Allocated Transactions'!$A:$A,"&lt;="&amp;EOMONTH($A338,0))*0.99,100)</f>
        <v>0</v>
      </c>
      <c r="K338" s="113" t="s">
        <v>637</v>
      </c>
    </row>
    <row r="339" spans="1:11" ht="15" customHeight="1">
      <c r="A339" s="112">
        <f t="shared" si="11"/>
        <v>46023</v>
      </c>
      <c r="B339" s="113">
        <v>2</v>
      </c>
      <c r="C339" s="18" t="str">
        <f t="shared" si="14"/>
        <v>1020</v>
      </c>
      <c r="D339" s="113" t="str">
        <f>_xlfn.XLOOKUP($C339,'Cost Centers'!$A$2:$A$11,'Cost Centers'!$B$2:$B$11,"")</f>
        <v>M &amp; G</v>
      </c>
      <c r="E339" s="113" t="s">
        <v>117</v>
      </c>
      <c r="F339" s="113" t="str">
        <f>_xlfn.XLOOKUP(E339,'Allocated Transactions'!D:D,'Allocated Transactions'!E:E,"")</f>
        <v>Insurance</v>
      </c>
      <c r="G339" s="113" t="s">
        <v>97</v>
      </c>
      <c r="H339" s="113"/>
      <c r="I339" s="113" t="str">
        <f>_xlfn.XLOOKUP($C339,'Cost Centers'!$A$2:$A$11,'Cost Centers'!$C$2:$C$11,"")</f>
        <v>Admin</v>
      </c>
      <c r="J339" s="23">
        <f>MROUND(SUMIFS('Allocated Transactions'!$J:$J,'Allocated Transactions'!$D:$D,$E339,'Allocated Transactions'!$C:$C,$C339,'Allocated Transactions'!$A:$A,"&gt;="&amp;$A339,'Allocated Transactions'!$A:$A,"&lt;="&amp;EOMONTH($A339,0))*0.99,100)</f>
        <v>0</v>
      </c>
      <c r="K339" s="113" t="s">
        <v>637</v>
      </c>
    </row>
    <row r="340" spans="1:11" ht="15" customHeight="1">
      <c r="A340" s="112">
        <f t="shared" si="11"/>
        <v>46023</v>
      </c>
      <c r="B340" s="113">
        <v>2</v>
      </c>
      <c r="C340" s="18" t="str">
        <f t="shared" si="14"/>
        <v>1020</v>
      </c>
      <c r="D340" s="113" t="str">
        <f>_xlfn.XLOOKUP($C340,'Cost Centers'!$A$2:$A$11,'Cost Centers'!$B$2:$B$11,"")</f>
        <v>M &amp; G</v>
      </c>
      <c r="E340" s="113" t="s">
        <v>119</v>
      </c>
      <c r="F340" s="113" t="str">
        <f>_xlfn.XLOOKUP(E340,'Allocated Transactions'!D:D,'Allocated Transactions'!E:E,"")</f>
        <v>Depreciation Expense</v>
      </c>
      <c r="G340" s="113" t="s">
        <v>97</v>
      </c>
      <c r="H340" s="113"/>
      <c r="I340" s="113" t="str">
        <f>_xlfn.XLOOKUP($C340,'Cost Centers'!$A$2:$A$11,'Cost Centers'!$C$2:$C$11,"")</f>
        <v>Admin</v>
      </c>
      <c r="J340" s="23">
        <f>MROUND(SUMIFS('Allocated Transactions'!$J:$J,'Allocated Transactions'!$D:$D,$E340,'Allocated Transactions'!$C:$C,$C340,'Allocated Transactions'!$A:$A,"&gt;="&amp;$A340,'Allocated Transactions'!$A:$A,"&lt;="&amp;EOMONTH($A340,0))*0.99,100)</f>
        <v>2400</v>
      </c>
      <c r="K340" s="113" t="s">
        <v>637</v>
      </c>
    </row>
    <row r="341" spans="1:11" ht="15" customHeight="1">
      <c r="A341" s="112">
        <f t="shared" si="11"/>
        <v>46023</v>
      </c>
      <c r="B341" s="113">
        <v>2</v>
      </c>
      <c r="C341" s="18" t="str">
        <f t="shared" si="14"/>
        <v>1020</v>
      </c>
      <c r="D341" s="113" t="str">
        <f>_xlfn.XLOOKUP($C341,'Cost Centers'!$A$2:$A$11,'Cost Centers'!$B$2:$B$11,"")</f>
        <v>M &amp; G</v>
      </c>
      <c r="E341" s="113" t="s">
        <v>121</v>
      </c>
      <c r="F341" s="113" t="str">
        <f>_xlfn.XLOOKUP(E341,'Allocated Transactions'!D:D,'Allocated Transactions'!E:E,"")</f>
        <v>Bank Fees</v>
      </c>
      <c r="G341" s="113" t="s">
        <v>97</v>
      </c>
      <c r="H341" s="113"/>
      <c r="I341" s="113" t="str">
        <f>_xlfn.XLOOKUP($C341,'Cost Centers'!$A$2:$A$11,'Cost Centers'!$C$2:$C$11,"")</f>
        <v>Admin</v>
      </c>
      <c r="J341" s="23">
        <f>MROUND(SUMIFS('Allocated Transactions'!$J:$J,'Allocated Transactions'!$D:$D,$E341,'Allocated Transactions'!$C:$C,$C341,'Allocated Transactions'!$A:$A,"&gt;="&amp;$A341,'Allocated Transactions'!$A:$A,"&lt;="&amp;EOMONTH($A341,0))*0.99,100)</f>
        <v>100</v>
      </c>
      <c r="K341" s="113" t="s">
        <v>637</v>
      </c>
    </row>
    <row r="342" spans="1:11" ht="15" customHeight="1">
      <c r="A342" s="112">
        <f t="shared" si="11"/>
        <v>46023</v>
      </c>
      <c r="B342" s="113">
        <v>2</v>
      </c>
      <c r="C342" s="18" t="str">
        <f t="shared" si="14"/>
        <v>1020</v>
      </c>
      <c r="D342" s="113" t="str">
        <f>_xlfn.XLOOKUP($C342,'Cost Centers'!$A$2:$A$11,'Cost Centers'!$B$2:$B$11,"")</f>
        <v>M &amp; G</v>
      </c>
      <c r="E342" s="113" t="s">
        <v>123</v>
      </c>
      <c r="F342" s="113" t="str">
        <f>_xlfn.XLOOKUP(E342,'Allocated Transactions'!D:D,'Allocated Transactions'!E:E,"")</f>
        <v>Interest Expense</v>
      </c>
      <c r="G342" s="113" t="s">
        <v>97</v>
      </c>
      <c r="H342" s="113"/>
      <c r="I342" s="113" t="str">
        <f>_xlfn.XLOOKUP($C342,'Cost Centers'!$A$2:$A$11,'Cost Centers'!$C$2:$C$11,"")</f>
        <v>Admin</v>
      </c>
      <c r="J342" s="23">
        <f>MROUND(SUMIFS('Allocated Transactions'!$J:$J,'Allocated Transactions'!$D:$D,$E342,'Allocated Transactions'!$C:$C,$C342,'Allocated Transactions'!$A:$A,"&gt;="&amp;$A342,'Allocated Transactions'!$A:$A,"&lt;="&amp;EOMONTH($A342,0))*0.99,100)</f>
        <v>400</v>
      </c>
      <c r="K342" s="113" t="s">
        <v>637</v>
      </c>
    </row>
    <row r="343" spans="1:11" ht="15" customHeight="1">
      <c r="A343" s="112">
        <f t="shared" si="11"/>
        <v>46023</v>
      </c>
      <c r="B343" s="113">
        <v>2</v>
      </c>
      <c r="C343" s="18" t="str">
        <f t="shared" si="14"/>
        <v>1020</v>
      </c>
      <c r="D343" s="113" t="str">
        <f>_xlfn.XLOOKUP($C343,'Cost Centers'!$A$2:$A$11,'Cost Centers'!$B$2:$B$11,"")</f>
        <v>M &amp; G</v>
      </c>
      <c r="E343" s="113" t="s">
        <v>125</v>
      </c>
      <c r="F343" s="113" t="str">
        <f>_xlfn.XLOOKUP(E343,'Allocated Transactions'!D:D,'Allocated Transactions'!E:E,"")</f>
        <v>Miscellaneous Expense</v>
      </c>
      <c r="G343" s="113" t="s">
        <v>97</v>
      </c>
      <c r="H343" s="113"/>
      <c r="I343" s="113" t="str">
        <f>_xlfn.XLOOKUP($C343,'Cost Centers'!$A$2:$A$11,'Cost Centers'!$C$2:$C$11,"")</f>
        <v>Admin</v>
      </c>
      <c r="J343" s="23">
        <f>MROUND(SUMIFS('Allocated Transactions'!$J:$J,'Allocated Transactions'!$D:$D,$E343,'Allocated Transactions'!$C:$C,$C343,'Allocated Transactions'!$A:$A,"&gt;="&amp;$A343,'Allocated Transactions'!$A:$A,"&lt;="&amp;EOMONTH($A343,0))*0.99,100)</f>
        <v>0</v>
      </c>
      <c r="K343" s="113" t="s">
        <v>637</v>
      </c>
    </row>
    <row r="344" spans="1:11" ht="15" customHeight="1">
      <c r="A344" s="112">
        <f t="shared" si="11"/>
        <v>46054</v>
      </c>
      <c r="B344" s="113">
        <v>2</v>
      </c>
      <c r="C344" s="18" t="s">
        <v>46</v>
      </c>
      <c r="D344" s="113" t="str">
        <f>_xlfn.XLOOKUP($C344,'Cost Centers'!$A$2:$A$11,'Cost Centers'!$B$2:$B$11,"")</f>
        <v>M &amp; G</v>
      </c>
      <c r="E344" s="113" t="s">
        <v>28</v>
      </c>
      <c r="F344" s="113" t="str">
        <f>_xlfn.XLOOKUP(E344,'Allocated Transactions'!D:D,'Allocated Transactions'!E:E,"")</f>
        <v>Salaries and Wages</v>
      </c>
      <c r="G344" s="113" t="s">
        <v>97</v>
      </c>
      <c r="H344" s="113"/>
      <c r="I344" s="113" t="str">
        <f>_xlfn.XLOOKUP($C344,'Cost Centers'!$A$2:$A$11,'Cost Centers'!$C$2:$C$11,"")</f>
        <v>Admin</v>
      </c>
      <c r="J344" s="23">
        <f>MROUND(SUMIFS('Allocated Transactions'!$J:$J,'Allocated Transactions'!$D:$D,$E344,'Allocated Transactions'!$C:$C,$C344,'Allocated Transactions'!$A:$A,"&gt;="&amp;$A344,'Allocated Transactions'!$A:$A,"&lt;="&amp;EOMONTH($A344,0))*0.99,100)</f>
        <v>0</v>
      </c>
      <c r="K344" s="113" t="s">
        <v>637</v>
      </c>
    </row>
    <row r="345" spans="1:11" ht="15" customHeight="1">
      <c r="A345" s="112">
        <f t="shared" ref="A345:A408" si="15">IF(C345&lt;&gt;C344,DATE(2025,7,1),IF(E345="5000",EOMONTH(A344,0)+1,A344))</f>
        <v>46054</v>
      </c>
      <c r="B345" s="113">
        <v>2</v>
      </c>
      <c r="C345" s="18" t="str">
        <f t="shared" ref="C345:C361" si="16">C344</f>
        <v>1020</v>
      </c>
      <c r="D345" s="113" t="str">
        <f>_xlfn.XLOOKUP($C345,'Cost Centers'!$A$2:$A$11,'Cost Centers'!$B$2:$B$11,"")</f>
        <v>M &amp; G</v>
      </c>
      <c r="E345" s="113" t="s">
        <v>29</v>
      </c>
      <c r="F345" s="113" t="str">
        <f>_xlfn.XLOOKUP(E345,'Allocated Transactions'!D:D,'Allocated Transactions'!E:E,"")</f>
        <v>Payroll Taxes</v>
      </c>
      <c r="G345" s="113" t="s">
        <v>97</v>
      </c>
      <c r="H345" s="113"/>
      <c r="I345" s="113" t="str">
        <f>_xlfn.XLOOKUP($C345,'Cost Centers'!$A$2:$A$11,'Cost Centers'!$C$2:$C$11,"")</f>
        <v>Admin</v>
      </c>
      <c r="J345" s="23">
        <f>MROUND(SUMIFS('Allocated Transactions'!$J:$J,'Allocated Transactions'!$D:$D,$E345,'Allocated Transactions'!$C:$C,$C345,'Allocated Transactions'!$A:$A,"&gt;="&amp;$A345,'Allocated Transactions'!$A:$A,"&lt;="&amp;EOMONTH($A345,0))*0.99,100)</f>
        <v>0</v>
      </c>
      <c r="K345" s="113" t="s">
        <v>637</v>
      </c>
    </row>
    <row r="346" spans="1:11" ht="15" customHeight="1">
      <c r="A346" s="112">
        <f t="shared" si="15"/>
        <v>46054</v>
      </c>
      <c r="B346" s="113">
        <v>2</v>
      </c>
      <c r="C346" s="18" t="str">
        <f t="shared" si="16"/>
        <v>1020</v>
      </c>
      <c r="D346" s="113" t="str">
        <f>_xlfn.XLOOKUP($C346,'Cost Centers'!$A$2:$A$11,'Cost Centers'!$B$2:$B$11,"")</f>
        <v>M &amp; G</v>
      </c>
      <c r="E346" s="113" t="s">
        <v>30</v>
      </c>
      <c r="F346" s="113" t="str">
        <f>_xlfn.XLOOKUP(E346,'Allocated Transactions'!D:D,'Allocated Transactions'!E:E,"")</f>
        <v>Employee Benefits</v>
      </c>
      <c r="G346" s="113" t="s">
        <v>97</v>
      </c>
      <c r="H346" s="113"/>
      <c r="I346" s="113" t="str">
        <f>_xlfn.XLOOKUP($C346,'Cost Centers'!$A$2:$A$11,'Cost Centers'!$C$2:$C$11,"")</f>
        <v>Admin</v>
      </c>
      <c r="J346" s="23">
        <f>MROUND(SUMIFS('Allocated Transactions'!$J:$J,'Allocated Transactions'!$D:$D,$E346,'Allocated Transactions'!$C:$C,$C346,'Allocated Transactions'!$A:$A,"&gt;="&amp;$A346,'Allocated Transactions'!$A:$A,"&lt;="&amp;EOMONTH($A346,0))*0.99,100)</f>
        <v>0</v>
      </c>
      <c r="K346" s="113" t="s">
        <v>637</v>
      </c>
    </row>
    <row r="347" spans="1:11" ht="15" customHeight="1">
      <c r="A347" s="112">
        <f t="shared" si="15"/>
        <v>46054</v>
      </c>
      <c r="B347" s="113">
        <v>2</v>
      </c>
      <c r="C347" s="18" t="str">
        <f t="shared" si="16"/>
        <v>1020</v>
      </c>
      <c r="D347" s="113" t="str">
        <f>_xlfn.XLOOKUP($C347,'Cost Centers'!$A$2:$A$11,'Cost Centers'!$B$2:$B$11,"")</f>
        <v>M &amp; G</v>
      </c>
      <c r="E347" s="113" t="s">
        <v>31</v>
      </c>
      <c r="F347" s="113" t="str">
        <f>_xlfn.XLOOKUP(E347,'Allocated Transactions'!D:D,'Allocated Transactions'!E:E,"")</f>
        <v>Retirement Contributions</v>
      </c>
      <c r="G347" s="113" t="s">
        <v>97</v>
      </c>
      <c r="H347" s="113"/>
      <c r="I347" s="113" t="str">
        <f>_xlfn.XLOOKUP($C347,'Cost Centers'!$A$2:$A$11,'Cost Centers'!$C$2:$C$11,"")</f>
        <v>Admin</v>
      </c>
      <c r="J347" s="23">
        <f>MROUND(SUMIFS('Allocated Transactions'!$J:$J,'Allocated Transactions'!$D:$D,$E347,'Allocated Transactions'!$C:$C,$C347,'Allocated Transactions'!$A:$A,"&gt;="&amp;$A347,'Allocated Transactions'!$A:$A,"&lt;="&amp;EOMONTH($A347,0))*0.99,100)</f>
        <v>0</v>
      </c>
      <c r="K347" s="113" t="s">
        <v>637</v>
      </c>
    </row>
    <row r="348" spans="1:11" ht="15" customHeight="1">
      <c r="A348" s="112">
        <f t="shared" si="15"/>
        <v>46054</v>
      </c>
      <c r="B348" s="113">
        <v>2</v>
      </c>
      <c r="C348" s="18" t="str">
        <f t="shared" si="16"/>
        <v>1020</v>
      </c>
      <c r="D348" s="113" t="str">
        <f>_xlfn.XLOOKUP($C348,'Cost Centers'!$A$2:$A$11,'Cost Centers'!$B$2:$B$11,"")</f>
        <v>M &amp; G</v>
      </c>
      <c r="E348" s="113" t="s">
        <v>101</v>
      </c>
      <c r="F348" s="113" t="str">
        <f>_xlfn.XLOOKUP(E348,'Allocated Transactions'!D:D,'Allocated Transactions'!E:E,"")</f>
        <v>Contract Labor / Consultants</v>
      </c>
      <c r="G348" s="113" t="s">
        <v>97</v>
      </c>
      <c r="H348" s="113"/>
      <c r="I348" s="113" t="str">
        <f>_xlfn.XLOOKUP($C348,'Cost Centers'!$A$2:$A$11,'Cost Centers'!$C$2:$C$11,"")</f>
        <v>Admin</v>
      </c>
      <c r="J348" s="23">
        <f>MROUND(SUMIFS('Allocated Transactions'!$J:$J,'Allocated Transactions'!$D:$D,$E348,'Allocated Transactions'!$C:$C,$C348,'Allocated Transactions'!$A:$A,"&gt;="&amp;$A348,'Allocated Transactions'!$A:$A,"&lt;="&amp;EOMONTH($A348,0))*0.99,100)</f>
        <v>0</v>
      </c>
      <c r="K348" s="113" t="s">
        <v>637</v>
      </c>
    </row>
    <row r="349" spans="1:11" ht="15" customHeight="1">
      <c r="A349" s="112">
        <f t="shared" si="15"/>
        <v>46054</v>
      </c>
      <c r="B349" s="113">
        <v>2</v>
      </c>
      <c r="C349" s="18" t="str">
        <f t="shared" si="16"/>
        <v>1020</v>
      </c>
      <c r="D349" s="113" t="str">
        <f>_xlfn.XLOOKUP($C349,'Cost Centers'!$A$2:$A$11,'Cost Centers'!$B$2:$B$11,"")</f>
        <v>M &amp; G</v>
      </c>
      <c r="E349" s="113" t="s">
        <v>32</v>
      </c>
      <c r="F349" s="113" t="str">
        <f>_xlfn.XLOOKUP(E349,'Allocated Transactions'!D:D,'Allocated Transactions'!E:E,"")</f>
        <v>Rent</v>
      </c>
      <c r="G349" s="113" t="s">
        <v>97</v>
      </c>
      <c r="H349" s="113"/>
      <c r="I349" s="113" t="str">
        <f>_xlfn.XLOOKUP($C349,'Cost Centers'!$A$2:$A$11,'Cost Centers'!$C$2:$C$11,"")</f>
        <v>Admin</v>
      </c>
      <c r="J349" s="23">
        <f>MROUND(SUMIFS('Allocated Transactions'!$J:$J,'Allocated Transactions'!$D:$D,$E349,'Allocated Transactions'!$C:$C,$C349,'Allocated Transactions'!$A:$A,"&gt;="&amp;$A349,'Allocated Transactions'!$A:$A,"&lt;="&amp;EOMONTH($A349,0))*0.99,100)</f>
        <v>0</v>
      </c>
      <c r="K349" s="113" t="s">
        <v>637</v>
      </c>
    </row>
    <row r="350" spans="1:11" ht="15" customHeight="1">
      <c r="A350" s="112">
        <f t="shared" si="15"/>
        <v>46054</v>
      </c>
      <c r="B350" s="113">
        <v>2</v>
      </c>
      <c r="C350" s="18" t="str">
        <f t="shared" si="16"/>
        <v>1020</v>
      </c>
      <c r="D350" s="113" t="str">
        <f>_xlfn.XLOOKUP($C350,'Cost Centers'!$A$2:$A$11,'Cost Centers'!$B$2:$B$11,"")</f>
        <v>M &amp; G</v>
      </c>
      <c r="E350" s="113" t="s">
        <v>33</v>
      </c>
      <c r="F350" s="113" t="str">
        <f>_xlfn.XLOOKUP(E350,'Allocated Transactions'!D:D,'Allocated Transactions'!E:E,"")</f>
        <v>Utilities</v>
      </c>
      <c r="G350" s="113" t="s">
        <v>97</v>
      </c>
      <c r="H350" s="113"/>
      <c r="I350" s="113" t="str">
        <f>_xlfn.XLOOKUP($C350,'Cost Centers'!$A$2:$A$11,'Cost Centers'!$C$2:$C$11,"")</f>
        <v>Admin</v>
      </c>
      <c r="J350" s="23">
        <f>MROUND(SUMIFS('Allocated Transactions'!$J:$J,'Allocated Transactions'!$D:$D,$E350,'Allocated Transactions'!$C:$C,$C350,'Allocated Transactions'!$A:$A,"&gt;="&amp;$A350,'Allocated Transactions'!$A:$A,"&lt;="&amp;EOMONTH($A350,0))*0.99,100)</f>
        <v>0</v>
      </c>
      <c r="K350" s="113" t="s">
        <v>637</v>
      </c>
    </row>
    <row r="351" spans="1:11" ht="15" customHeight="1">
      <c r="A351" s="112">
        <f t="shared" si="15"/>
        <v>46054</v>
      </c>
      <c r="B351" s="113">
        <v>2</v>
      </c>
      <c r="C351" s="18" t="str">
        <f t="shared" si="16"/>
        <v>1020</v>
      </c>
      <c r="D351" s="113" t="str">
        <f>_xlfn.XLOOKUP($C351,'Cost Centers'!$A$2:$A$11,'Cost Centers'!$B$2:$B$11,"")</f>
        <v>M &amp; G</v>
      </c>
      <c r="E351" s="113" t="s">
        <v>105</v>
      </c>
      <c r="F351" s="113" t="str">
        <f>_xlfn.XLOOKUP(E351,'Allocated Transactions'!D:D,'Allocated Transactions'!E:E,"")</f>
        <v>Office Supplies</v>
      </c>
      <c r="G351" s="113" t="s">
        <v>97</v>
      </c>
      <c r="H351" s="113"/>
      <c r="I351" s="113" t="str">
        <f>_xlfn.XLOOKUP($C351,'Cost Centers'!$A$2:$A$11,'Cost Centers'!$C$2:$C$11,"")</f>
        <v>Admin</v>
      </c>
      <c r="J351" s="23">
        <f>MROUND(SUMIFS('Allocated Transactions'!$J:$J,'Allocated Transactions'!$D:$D,$E351,'Allocated Transactions'!$C:$C,$C351,'Allocated Transactions'!$A:$A,"&gt;="&amp;$A351,'Allocated Transactions'!$A:$A,"&lt;="&amp;EOMONTH($A351,0))*0.99,100)</f>
        <v>0</v>
      </c>
      <c r="K351" s="113" t="s">
        <v>637</v>
      </c>
    </row>
    <row r="352" spans="1:11" ht="15" customHeight="1">
      <c r="A352" s="112">
        <f t="shared" si="15"/>
        <v>46054</v>
      </c>
      <c r="B352" s="113">
        <v>2</v>
      </c>
      <c r="C352" s="18" t="str">
        <f t="shared" si="16"/>
        <v>1020</v>
      </c>
      <c r="D352" s="113" t="str">
        <f>_xlfn.XLOOKUP($C352,'Cost Centers'!$A$2:$A$11,'Cost Centers'!$B$2:$B$11,"")</f>
        <v>M &amp; G</v>
      </c>
      <c r="E352" s="113" t="s">
        <v>107</v>
      </c>
      <c r="F352" s="113" t="str">
        <f>_xlfn.XLOOKUP(E352,'Allocated Transactions'!D:D,'Allocated Transactions'!E:E,"")</f>
        <v>Software and Subscriptions</v>
      </c>
      <c r="G352" s="113" t="s">
        <v>97</v>
      </c>
      <c r="H352" s="113"/>
      <c r="I352" s="113" t="str">
        <f>_xlfn.XLOOKUP($C352,'Cost Centers'!$A$2:$A$11,'Cost Centers'!$C$2:$C$11,"")</f>
        <v>Admin</v>
      </c>
      <c r="J352" s="23">
        <f>MROUND(SUMIFS('Allocated Transactions'!$J:$J,'Allocated Transactions'!$D:$D,$E352,'Allocated Transactions'!$C:$C,$C352,'Allocated Transactions'!$A:$A,"&gt;="&amp;$A352,'Allocated Transactions'!$A:$A,"&lt;="&amp;EOMONTH($A352,0))*0.99,100)</f>
        <v>0</v>
      </c>
      <c r="K352" s="113" t="s">
        <v>637</v>
      </c>
    </row>
    <row r="353" spans="1:11" ht="15" customHeight="1">
      <c r="A353" s="112">
        <f t="shared" si="15"/>
        <v>46054</v>
      </c>
      <c r="B353" s="113">
        <v>2</v>
      </c>
      <c r="C353" s="18" t="str">
        <f t="shared" si="16"/>
        <v>1020</v>
      </c>
      <c r="D353" s="113" t="str">
        <f>_xlfn.XLOOKUP($C353,'Cost Centers'!$A$2:$A$11,'Cost Centers'!$B$2:$B$11,"")</f>
        <v>M &amp; G</v>
      </c>
      <c r="E353" s="113" t="s">
        <v>109</v>
      </c>
      <c r="F353" s="113" t="str">
        <f>_xlfn.XLOOKUP(E353,'Allocated Transactions'!D:D,'Allocated Transactions'!E:E,"")</f>
        <v>Travel</v>
      </c>
      <c r="G353" s="113" t="s">
        <v>97</v>
      </c>
      <c r="H353" s="113"/>
      <c r="I353" s="113" t="str">
        <f>_xlfn.XLOOKUP($C353,'Cost Centers'!$A$2:$A$11,'Cost Centers'!$C$2:$C$11,"")</f>
        <v>Admin</v>
      </c>
      <c r="J353" s="23">
        <f>MROUND(SUMIFS('Allocated Transactions'!$J:$J,'Allocated Transactions'!$D:$D,$E353,'Allocated Transactions'!$C:$C,$C353,'Allocated Transactions'!$A:$A,"&gt;="&amp;$A353,'Allocated Transactions'!$A:$A,"&lt;="&amp;EOMONTH($A353,0))*0.99,100)</f>
        <v>0</v>
      </c>
      <c r="K353" s="113" t="s">
        <v>637</v>
      </c>
    </row>
    <row r="354" spans="1:11" ht="15" customHeight="1">
      <c r="A354" s="112">
        <f t="shared" si="15"/>
        <v>46054</v>
      </c>
      <c r="B354" s="113">
        <v>2</v>
      </c>
      <c r="C354" s="18" t="str">
        <f t="shared" si="16"/>
        <v>1020</v>
      </c>
      <c r="D354" s="113" t="str">
        <f>_xlfn.XLOOKUP($C354,'Cost Centers'!$A$2:$A$11,'Cost Centers'!$B$2:$B$11,"")</f>
        <v>M &amp; G</v>
      </c>
      <c r="E354" s="113" t="s">
        <v>111</v>
      </c>
      <c r="F354" s="113" t="str">
        <f>_xlfn.XLOOKUP(E354,'Allocated Transactions'!D:D,'Allocated Transactions'!E:E,"")</f>
        <v>Meals and Entertainment</v>
      </c>
      <c r="G354" s="113" t="s">
        <v>97</v>
      </c>
      <c r="H354" s="113"/>
      <c r="I354" s="113" t="str">
        <f>_xlfn.XLOOKUP($C354,'Cost Centers'!$A$2:$A$11,'Cost Centers'!$C$2:$C$11,"")</f>
        <v>Admin</v>
      </c>
      <c r="J354" s="23">
        <f>MROUND(SUMIFS('Allocated Transactions'!$J:$J,'Allocated Transactions'!$D:$D,$E354,'Allocated Transactions'!$C:$C,$C354,'Allocated Transactions'!$A:$A,"&gt;="&amp;$A354,'Allocated Transactions'!$A:$A,"&lt;="&amp;EOMONTH($A354,0))*0.99,100)</f>
        <v>0</v>
      </c>
      <c r="K354" s="113" t="s">
        <v>637</v>
      </c>
    </row>
    <row r="355" spans="1:11" ht="15" customHeight="1">
      <c r="A355" s="112">
        <f t="shared" si="15"/>
        <v>46054</v>
      </c>
      <c r="B355" s="113">
        <v>2</v>
      </c>
      <c r="C355" s="18" t="str">
        <f t="shared" si="16"/>
        <v>1020</v>
      </c>
      <c r="D355" s="113" t="str">
        <f>_xlfn.XLOOKUP($C355,'Cost Centers'!$A$2:$A$11,'Cost Centers'!$B$2:$B$11,"")</f>
        <v>M &amp; G</v>
      </c>
      <c r="E355" s="113" t="s">
        <v>113</v>
      </c>
      <c r="F355" s="113" t="str">
        <f>_xlfn.XLOOKUP(E355,'Allocated Transactions'!D:D,'Allocated Transactions'!E:E,"")</f>
        <v>Professional Fees - Legal</v>
      </c>
      <c r="G355" s="113" t="s">
        <v>97</v>
      </c>
      <c r="H355" s="113"/>
      <c r="I355" s="113" t="str">
        <f>_xlfn.XLOOKUP($C355,'Cost Centers'!$A$2:$A$11,'Cost Centers'!$C$2:$C$11,"")</f>
        <v>Admin</v>
      </c>
      <c r="J355" s="23">
        <f>MROUND(SUMIFS('Allocated Transactions'!$J:$J,'Allocated Transactions'!$D:$D,$E355,'Allocated Transactions'!$C:$C,$C355,'Allocated Transactions'!$A:$A,"&gt;="&amp;$A355,'Allocated Transactions'!$A:$A,"&lt;="&amp;EOMONTH($A355,0))*0.99,100)</f>
        <v>0</v>
      </c>
      <c r="K355" s="113" t="s">
        <v>637</v>
      </c>
    </row>
    <row r="356" spans="1:11" ht="15" customHeight="1">
      <c r="A356" s="112">
        <f t="shared" si="15"/>
        <v>46054</v>
      </c>
      <c r="B356" s="113">
        <v>2</v>
      </c>
      <c r="C356" s="18" t="str">
        <f t="shared" si="16"/>
        <v>1020</v>
      </c>
      <c r="D356" s="113" t="str">
        <f>_xlfn.XLOOKUP($C356,'Cost Centers'!$A$2:$A$11,'Cost Centers'!$B$2:$B$11,"")</f>
        <v>M &amp; G</v>
      </c>
      <c r="E356" s="113" t="s">
        <v>115</v>
      </c>
      <c r="F356" s="113" t="str">
        <f>_xlfn.XLOOKUP(E356,'Allocated Transactions'!D:D,'Allocated Transactions'!E:E,"")</f>
        <v>Professional Fees - Accounting/Audit</v>
      </c>
      <c r="G356" s="113" t="s">
        <v>97</v>
      </c>
      <c r="H356" s="113"/>
      <c r="I356" s="113" t="str">
        <f>_xlfn.XLOOKUP($C356,'Cost Centers'!$A$2:$A$11,'Cost Centers'!$C$2:$C$11,"")</f>
        <v>Admin</v>
      </c>
      <c r="J356" s="23">
        <f>MROUND(SUMIFS('Allocated Transactions'!$J:$J,'Allocated Transactions'!$D:$D,$E356,'Allocated Transactions'!$C:$C,$C356,'Allocated Transactions'!$A:$A,"&gt;="&amp;$A356,'Allocated Transactions'!$A:$A,"&lt;="&amp;EOMONTH($A356,0))*0.99,100)</f>
        <v>0</v>
      </c>
      <c r="K356" s="113" t="s">
        <v>637</v>
      </c>
    </row>
    <row r="357" spans="1:11" ht="15" customHeight="1">
      <c r="A357" s="112">
        <f t="shared" si="15"/>
        <v>46054</v>
      </c>
      <c r="B357" s="113">
        <v>2</v>
      </c>
      <c r="C357" s="18" t="str">
        <f t="shared" si="16"/>
        <v>1020</v>
      </c>
      <c r="D357" s="113" t="str">
        <f>_xlfn.XLOOKUP($C357,'Cost Centers'!$A$2:$A$11,'Cost Centers'!$B$2:$B$11,"")</f>
        <v>M &amp; G</v>
      </c>
      <c r="E357" s="113" t="s">
        <v>117</v>
      </c>
      <c r="F357" s="113" t="str">
        <f>_xlfn.XLOOKUP(E357,'Allocated Transactions'!D:D,'Allocated Transactions'!E:E,"")</f>
        <v>Insurance</v>
      </c>
      <c r="G357" s="113" t="s">
        <v>97</v>
      </c>
      <c r="H357" s="113"/>
      <c r="I357" s="113" t="str">
        <f>_xlfn.XLOOKUP($C357,'Cost Centers'!$A$2:$A$11,'Cost Centers'!$C$2:$C$11,"")</f>
        <v>Admin</v>
      </c>
      <c r="J357" s="23">
        <f>MROUND(SUMIFS('Allocated Transactions'!$J:$J,'Allocated Transactions'!$D:$D,$E357,'Allocated Transactions'!$C:$C,$C357,'Allocated Transactions'!$A:$A,"&gt;="&amp;$A357,'Allocated Transactions'!$A:$A,"&lt;="&amp;EOMONTH($A357,0))*0.99,100)</f>
        <v>0</v>
      </c>
      <c r="K357" s="113" t="s">
        <v>637</v>
      </c>
    </row>
    <row r="358" spans="1:11" ht="15" customHeight="1">
      <c r="A358" s="112">
        <f t="shared" si="15"/>
        <v>46054</v>
      </c>
      <c r="B358" s="113">
        <v>2</v>
      </c>
      <c r="C358" s="18" t="str">
        <f t="shared" si="16"/>
        <v>1020</v>
      </c>
      <c r="D358" s="113" t="str">
        <f>_xlfn.XLOOKUP($C358,'Cost Centers'!$A$2:$A$11,'Cost Centers'!$B$2:$B$11,"")</f>
        <v>M &amp; G</v>
      </c>
      <c r="E358" s="113" t="s">
        <v>119</v>
      </c>
      <c r="F358" s="113" t="str">
        <f>_xlfn.XLOOKUP(E358,'Allocated Transactions'!D:D,'Allocated Transactions'!E:E,"")</f>
        <v>Depreciation Expense</v>
      </c>
      <c r="G358" s="113" t="s">
        <v>97</v>
      </c>
      <c r="H358" s="113"/>
      <c r="I358" s="113" t="str">
        <f>_xlfn.XLOOKUP($C358,'Cost Centers'!$A$2:$A$11,'Cost Centers'!$C$2:$C$11,"")</f>
        <v>Admin</v>
      </c>
      <c r="J358" s="23">
        <f>MROUND(SUMIFS('Allocated Transactions'!$J:$J,'Allocated Transactions'!$D:$D,$E358,'Allocated Transactions'!$C:$C,$C358,'Allocated Transactions'!$A:$A,"&gt;="&amp;$A358,'Allocated Transactions'!$A:$A,"&lt;="&amp;EOMONTH($A358,0))*0.99,100)</f>
        <v>2400</v>
      </c>
      <c r="K358" s="113" t="s">
        <v>637</v>
      </c>
    </row>
    <row r="359" spans="1:11" ht="15" customHeight="1">
      <c r="A359" s="112">
        <f t="shared" si="15"/>
        <v>46054</v>
      </c>
      <c r="B359" s="113">
        <v>2</v>
      </c>
      <c r="C359" s="18" t="str">
        <f t="shared" si="16"/>
        <v>1020</v>
      </c>
      <c r="D359" s="113" t="str">
        <f>_xlfn.XLOOKUP($C359,'Cost Centers'!$A$2:$A$11,'Cost Centers'!$B$2:$B$11,"")</f>
        <v>M &amp; G</v>
      </c>
      <c r="E359" s="113" t="s">
        <v>121</v>
      </c>
      <c r="F359" s="113" t="str">
        <f>_xlfn.XLOOKUP(E359,'Allocated Transactions'!D:D,'Allocated Transactions'!E:E,"")</f>
        <v>Bank Fees</v>
      </c>
      <c r="G359" s="113" t="s">
        <v>97</v>
      </c>
      <c r="H359" s="113"/>
      <c r="I359" s="113" t="str">
        <f>_xlfn.XLOOKUP($C359,'Cost Centers'!$A$2:$A$11,'Cost Centers'!$C$2:$C$11,"")</f>
        <v>Admin</v>
      </c>
      <c r="J359" s="23">
        <f>MROUND(SUMIFS('Allocated Transactions'!$J:$J,'Allocated Transactions'!$D:$D,$E359,'Allocated Transactions'!$C:$C,$C359,'Allocated Transactions'!$A:$A,"&gt;="&amp;$A359,'Allocated Transactions'!$A:$A,"&lt;="&amp;EOMONTH($A359,0))*0.99,100)</f>
        <v>100</v>
      </c>
      <c r="K359" s="113" t="s">
        <v>637</v>
      </c>
    </row>
    <row r="360" spans="1:11" ht="15" customHeight="1">
      <c r="A360" s="112">
        <f t="shared" si="15"/>
        <v>46054</v>
      </c>
      <c r="B360" s="113">
        <v>2</v>
      </c>
      <c r="C360" s="18" t="str">
        <f t="shared" si="16"/>
        <v>1020</v>
      </c>
      <c r="D360" s="113" t="str">
        <f>_xlfn.XLOOKUP($C360,'Cost Centers'!$A$2:$A$11,'Cost Centers'!$B$2:$B$11,"")</f>
        <v>M &amp; G</v>
      </c>
      <c r="E360" s="113" t="s">
        <v>123</v>
      </c>
      <c r="F360" s="113" t="str">
        <f>_xlfn.XLOOKUP(E360,'Allocated Transactions'!D:D,'Allocated Transactions'!E:E,"")</f>
        <v>Interest Expense</v>
      </c>
      <c r="G360" s="113" t="s">
        <v>97</v>
      </c>
      <c r="H360" s="113"/>
      <c r="I360" s="113" t="str">
        <f>_xlfn.XLOOKUP($C360,'Cost Centers'!$A$2:$A$11,'Cost Centers'!$C$2:$C$11,"")</f>
        <v>Admin</v>
      </c>
      <c r="J360" s="23">
        <f>MROUND(SUMIFS('Allocated Transactions'!$J:$J,'Allocated Transactions'!$D:$D,$E360,'Allocated Transactions'!$C:$C,$C360,'Allocated Transactions'!$A:$A,"&gt;="&amp;$A360,'Allocated Transactions'!$A:$A,"&lt;="&amp;EOMONTH($A360,0))*0.99,100)</f>
        <v>400</v>
      </c>
      <c r="K360" s="113" t="s">
        <v>637</v>
      </c>
    </row>
    <row r="361" spans="1:11" ht="15" customHeight="1">
      <c r="A361" s="112">
        <f t="shared" si="15"/>
        <v>46054</v>
      </c>
      <c r="B361" s="113">
        <v>2</v>
      </c>
      <c r="C361" s="18" t="str">
        <f t="shared" si="16"/>
        <v>1020</v>
      </c>
      <c r="D361" s="113" t="str">
        <f>_xlfn.XLOOKUP($C361,'Cost Centers'!$A$2:$A$11,'Cost Centers'!$B$2:$B$11,"")</f>
        <v>M &amp; G</v>
      </c>
      <c r="E361" s="113" t="s">
        <v>125</v>
      </c>
      <c r="F361" s="113" t="str">
        <f>_xlfn.XLOOKUP(E361,'Allocated Transactions'!D:D,'Allocated Transactions'!E:E,"")</f>
        <v>Miscellaneous Expense</v>
      </c>
      <c r="G361" s="113" t="s">
        <v>97</v>
      </c>
      <c r="H361" s="113"/>
      <c r="I361" s="113" t="str">
        <f>_xlfn.XLOOKUP($C361,'Cost Centers'!$A$2:$A$11,'Cost Centers'!$C$2:$C$11,"")</f>
        <v>Admin</v>
      </c>
      <c r="J361" s="23">
        <f>MROUND(SUMIFS('Allocated Transactions'!$J:$J,'Allocated Transactions'!$D:$D,$E361,'Allocated Transactions'!$C:$C,$C361,'Allocated Transactions'!$A:$A,"&gt;="&amp;$A361,'Allocated Transactions'!$A:$A,"&lt;="&amp;EOMONTH($A361,0))*0.99,100)</f>
        <v>0</v>
      </c>
      <c r="K361" s="113" t="s">
        <v>637</v>
      </c>
    </row>
    <row r="362" spans="1:11" ht="15" customHeight="1">
      <c r="A362" s="112">
        <f t="shared" si="15"/>
        <v>46082</v>
      </c>
      <c r="B362" s="113">
        <v>2</v>
      </c>
      <c r="C362" s="18" t="s">
        <v>46</v>
      </c>
      <c r="D362" s="113" t="str">
        <f>_xlfn.XLOOKUP($C362,'Cost Centers'!$A$2:$A$11,'Cost Centers'!$B$2:$B$11,"")</f>
        <v>M &amp; G</v>
      </c>
      <c r="E362" s="113" t="s">
        <v>28</v>
      </c>
      <c r="F362" s="113" t="str">
        <f>_xlfn.XLOOKUP(E362,'Allocated Transactions'!D:D,'Allocated Transactions'!E:E,"")</f>
        <v>Salaries and Wages</v>
      </c>
      <c r="G362" s="113" t="s">
        <v>97</v>
      </c>
      <c r="H362" s="113"/>
      <c r="I362" s="113" t="str">
        <f>_xlfn.XLOOKUP($C362,'Cost Centers'!$A$2:$A$11,'Cost Centers'!$C$2:$C$11,"")</f>
        <v>Admin</v>
      </c>
      <c r="J362" s="23">
        <f>MROUND(SUMIFS('Allocated Transactions'!$J:$J,'Allocated Transactions'!$D:$D,$E362,'Allocated Transactions'!$C:$C,$C362,'Allocated Transactions'!$A:$A,"&gt;="&amp;$A362,'Allocated Transactions'!$A:$A,"&lt;="&amp;EOMONTH($A362,0))*0.99,100)</f>
        <v>0</v>
      </c>
      <c r="K362" s="113" t="s">
        <v>637</v>
      </c>
    </row>
    <row r="363" spans="1:11" ht="15" customHeight="1">
      <c r="A363" s="112">
        <f t="shared" si="15"/>
        <v>46082</v>
      </c>
      <c r="B363" s="113">
        <v>2</v>
      </c>
      <c r="C363" s="18" t="str">
        <f t="shared" ref="C363:C379" si="17">C362</f>
        <v>1020</v>
      </c>
      <c r="D363" s="113" t="str">
        <f>_xlfn.XLOOKUP($C363,'Cost Centers'!$A$2:$A$11,'Cost Centers'!$B$2:$B$11,"")</f>
        <v>M &amp; G</v>
      </c>
      <c r="E363" s="113" t="s">
        <v>29</v>
      </c>
      <c r="F363" s="113" t="str">
        <f>_xlfn.XLOOKUP(E363,'Allocated Transactions'!D:D,'Allocated Transactions'!E:E,"")</f>
        <v>Payroll Taxes</v>
      </c>
      <c r="G363" s="113" t="s">
        <v>97</v>
      </c>
      <c r="H363" s="113"/>
      <c r="I363" s="113" t="str">
        <f>_xlfn.XLOOKUP($C363,'Cost Centers'!$A$2:$A$11,'Cost Centers'!$C$2:$C$11,"")</f>
        <v>Admin</v>
      </c>
      <c r="J363" s="23">
        <f>MROUND(SUMIFS('Allocated Transactions'!$J:$J,'Allocated Transactions'!$D:$D,$E363,'Allocated Transactions'!$C:$C,$C363,'Allocated Transactions'!$A:$A,"&gt;="&amp;$A363,'Allocated Transactions'!$A:$A,"&lt;="&amp;EOMONTH($A363,0))*0.99,100)</f>
        <v>0</v>
      </c>
      <c r="K363" s="113" t="s">
        <v>637</v>
      </c>
    </row>
    <row r="364" spans="1:11" ht="15" customHeight="1">
      <c r="A364" s="112">
        <f t="shared" si="15"/>
        <v>46082</v>
      </c>
      <c r="B364" s="113">
        <v>2</v>
      </c>
      <c r="C364" s="18" t="str">
        <f t="shared" si="17"/>
        <v>1020</v>
      </c>
      <c r="D364" s="113" t="str">
        <f>_xlfn.XLOOKUP($C364,'Cost Centers'!$A$2:$A$11,'Cost Centers'!$B$2:$B$11,"")</f>
        <v>M &amp; G</v>
      </c>
      <c r="E364" s="113" t="s">
        <v>30</v>
      </c>
      <c r="F364" s="113" t="str">
        <f>_xlfn.XLOOKUP(E364,'Allocated Transactions'!D:D,'Allocated Transactions'!E:E,"")</f>
        <v>Employee Benefits</v>
      </c>
      <c r="G364" s="113" t="s">
        <v>97</v>
      </c>
      <c r="H364" s="113"/>
      <c r="I364" s="113" t="str">
        <f>_xlfn.XLOOKUP($C364,'Cost Centers'!$A$2:$A$11,'Cost Centers'!$C$2:$C$11,"")</f>
        <v>Admin</v>
      </c>
      <c r="J364" s="23">
        <f>MROUND(SUMIFS('Allocated Transactions'!$J:$J,'Allocated Transactions'!$D:$D,$E364,'Allocated Transactions'!$C:$C,$C364,'Allocated Transactions'!$A:$A,"&gt;="&amp;$A364,'Allocated Transactions'!$A:$A,"&lt;="&amp;EOMONTH($A364,0))*0.99,100)</f>
        <v>0</v>
      </c>
      <c r="K364" s="113" t="s">
        <v>637</v>
      </c>
    </row>
    <row r="365" spans="1:11" ht="15" customHeight="1">
      <c r="A365" s="112">
        <f t="shared" si="15"/>
        <v>46082</v>
      </c>
      <c r="B365" s="113">
        <v>2</v>
      </c>
      <c r="C365" s="18" t="str">
        <f t="shared" si="17"/>
        <v>1020</v>
      </c>
      <c r="D365" s="113" t="str">
        <f>_xlfn.XLOOKUP($C365,'Cost Centers'!$A$2:$A$11,'Cost Centers'!$B$2:$B$11,"")</f>
        <v>M &amp; G</v>
      </c>
      <c r="E365" s="113" t="s">
        <v>31</v>
      </c>
      <c r="F365" s="113" t="str">
        <f>_xlfn.XLOOKUP(E365,'Allocated Transactions'!D:D,'Allocated Transactions'!E:E,"")</f>
        <v>Retirement Contributions</v>
      </c>
      <c r="G365" s="113" t="s">
        <v>97</v>
      </c>
      <c r="H365" s="113"/>
      <c r="I365" s="113" t="str">
        <f>_xlfn.XLOOKUP($C365,'Cost Centers'!$A$2:$A$11,'Cost Centers'!$C$2:$C$11,"")</f>
        <v>Admin</v>
      </c>
      <c r="J365" s="23">
        <f>MROUND(SUMIFS('Allocated Transactions'!$J:$J,'Allocated Transactions'!$D:$D,$E365,'Allocated Transactions'!$C:$C,$C365,'Allocated Transactions'!$A:$A,"&gt;="&amp;$A365,'Allocated Transactions'!$A:$A,"&lt;="&amp;EOMONTH($A365,0))*0.99,100)</f>
        <v>0</v>
      </c>
      <c r="K365" s="113" t="s">
        <v>637</v>
      </c>
    </row>
    <row r="366" spans="1:11" ht="15" customHeight="1">
      <c r="A366" s="112">
        <f t="shared" si="15"/>
        <v>46082</v>
      </c>
      <c r="B366" s="113">
        <v>2</v>
      </c>
      <c r="C366" s="18" t="str">
        <f t="shared" si="17"/>
        <v>1020</v>
      </c>
      <c r="D366" s="113" t="str">
        <f>_xlfn.XLOOKUP($C366,'Cost Centers'!$A$2:$A$11,'Cost Centers'!$B$2:$B$11,"")</f>
        <v>M &amp; G</v>
      </c>
      <c r="E366" s="113" t="s">
        <v>101</v>
      </c>
      <c r="F366" s="113" t="str">
        <f>_xlfn.XLOOKUP(E366,'Allocated Transactions'!D:D,'Allocated Transactions'!E:E,"")</f>
        <v>Contract Labor / Consultants</v>
      </c>
      <c r="G366" s="113" t="s">
        <v>97</v>
      </c>
      <c r="H366" s="113"/>
      <c r="I366" s="113" t="str">
        <f>_xlfn.XLOOKUP($C366,'Cost Centers'!$A$2:$A$11,'Cost Centers'!$C$2:$C$11,"")</f>
        <v>Admin</v>
      </c>
      <c r="J366" s="23">
        <f>MROUND(SUMIFS('Allocated Transactions'!$J:$J,'Allocated Transactions'!$D:$D,$E366,'Allocated Transactions'!$C:$C,$C366,'Allocated Transactions'!$A:$A,"&gt;="&amp;$A366,'Allocated Transactions'!$A:$A,"&lt;="&amp;EOMONTH($A366,0))*0.99,100)</f>
        <v>0</v>
      </c>
      <c r="K366" s="113" t="s">
        <v>637</v>
      </c>
    </row>
    <row r="367" spans="1:11" ht="15" customHeight="1">
      <c r="A367" s="112">
        <f t="shared" si="15"/>
        <v>46082</v>
      </c>
      <c r="B367" s="113">
        <v>2</v>
      </c>
      <c r="C367" s="18" t="str">
        <f t="shared" si="17"/>
        <v>1020</v>
      </c>
      <c r="D367" s="113" t="str">
        <f>_xlfn.XLOOKUP($C367,'Cost Centers'!$A$2:$A$11,'Cost Centers'!$B$2:$B$11,"")</f>
        <v>M &amp; G</v>
      </c>
      <c r="E367" s="113" t="s">
        <v>32</v>
      </c>
      <c r="F367" s="113" t="str">
        <f>_xlfn.XLOOKUP(E367,'Allocated Transactions'!D:D,'Allocated Transactions'!E:E,"")</f>
        <v>Rent</v>
      </c>
      <c r="G367" s="113" t="s">
        <v>97</v>
      </c>
      <c r="H367" s="113"/>
      <c r="I367" s="113" t="str">
        <f>_xlfn.XLOOKUP($C367,'Cost Centers'!$A$2:$A$11,'Cost Centers'!$C$2:$C$11,"")</f>
        <v>Admin</v>
      </c>
      <c r="J367" s="23">
        <f>MROUND(SUMIFS('Allocated Transactions'!$J:$J,'Allocated Transactions'!$D:$D,$E367,'Allocated Transactions'!$C:$C,$C367,'Allocated Transactions'!$A:$A,"&gt;="&amp;$A367,'Allocated Transactions'!$A:$A,"&lt;="&amp;EOMONTH($A367,0))*0.99,100)</f>
        <v>0</v>
      </c>
      <c r="K367" s="113" t="s">
        <v>637</v>
      </c>
    </row>
    <row r="368" spans="1:11" ht="15" customHeight="1">
      <c r="A368" s="112">
        <f t="shared" si="15"/>
        <v>46082</v>
      </c>
      <c r="B368" s="113">
        <v>2</v>
      </c>
      <c r="C368" s="18" t="str">
        <f t="shared" si="17"/>
        <v>1020</v>
      </c>
      <c r="D368" s="113" t="str">
        <f>_xlfn.XLOOKUP($C368,'Cost Centers'!$A$2:$A$11,'Cost Centers'!$B$2:$B$11,"")</f>
        <v>M &amp; G</v>
      </c>
      <c r="E368" s="113" t="s">
        <v>33</v>
      </c>
      <c r="F368" s="113" t="str">
        <f>_xlfn.XLOOKUP(E368,'Allocated Transactions'!D:D,'Allocated Transactions'!E:E,"")</f>
        <v>Utilities</v>
      </c>
      <c r="G368" s="113" t="s">
        <v>97</v>
      </c>
      <c r="H368" s="113"/>
      <c r="I368" s="113" t="str">
        <f>_xlfn.XLOOKUP($C368,'Cost Centers'!$A$2:$A$11,'Cost Centers'!$C$2:$C$11,"")</f>
        <v>Admin</v>
      </c>
      <c r="J368" s="23">
        <f>MROUND(SUMIFS('Allocated Transactions'!$J:$J,'Allocated Transactions'!$D:$D,$E368,'Allocated Transactions'!$C:$C,$C368,'Allocated Transactions'!$A:$A,"&gt;="&amp;$A368,'Allocated Transactions'!$A:$A,"&lt;="&amp;EOMONTH($A368,0))*0.99,100)</f>
        <v>0</v>
      </c>
      <c r="K368" s="113" t="s">
        <v>637</v>
      </c>
    </row>
    <row r="369" spans="1:11" ht="15" customHeight="1">
      <c r="A369" s="112">
        <f t="shared" si="15"/>
        <v>46082</v>
      </c>
      <c r="B369" s="113">
        <v>2</v>
      </c>
      <c r="C369" s="18" t="str">
        <f t="shared" si="17"/>
        <v>1020</v>
      </c>
      <c r="D369" s="113" t="str">
        <f>_xlfn.XLOOKUP($C369,'Cost Centers'!$A$2:$A$11,'Cost Centers'!$B$2:$B$11,"")</f>
        <v>M &amp; G</v>
      </c>
      <c r="E369" s="113" t="s">
        <v>105</v>
      </c>
      <c r="F369" s="113" t="str">
        <f>_xlfn.XLOOKUP(E369,'Allocated Transactions'!D:D,'Allocated Transactions'!E:E,"")</f>
        <v>Office Supplies</v>
      </c>
      <c r="G369" s="113" t="s">
        <v>97</v>
      </c>
      <c r="H369" s="113"/>
      <c r="I369" s="113" t="str">
        <f>_xlfn.XLOOKUP($C369,'Cost Centers'!$A$2:$A$11,'Cost Centers'!$C$2:$C$11,"")</f>
        <v>Admin</v>
      </c>
      <c r="J369" s="23">
        <f>MROUND(SUMIFS('Allocated Transactions'!$J:$J,'Allocated Transactions'!$D:$D,$E369,'Allocated Transactions'!$C:$C,$C369,'Allocated Transactions'!$A:$A,"&gt;="&amp;$A369,'Allocated Transactions'!$A:$A,"&lt;="&amp;EOMONTH($A369,0))*0.99,100)</f>
        <v>500</v>
      </c>
      <c r="K369" s="113" t="s">
        <v>637</v>
      </c>
    </row>
    <row r="370" spans="1:11" ht="15" customHeight="1">
      <c r="A370" s="112">
        <f t="shared" si="15"/>
        <v>46082</v>
      </c>
      <c r="B370" s="113">
        <v>2</v>
      </c>
      <c r="C370" s="18" t="str">
        <f t="shared" si="17"/>
        <v>1020</v>
      </c>
      <c r="D370" s="113" t="str">
        <f>_xlfn.XLOOKUP($C370,'Cost Centers'!$A$2:$A$11,'Cost Centers'!$B$2:$B$11,"")</f>
        <v>M &amp; G</v>
      </c>
      <c r="E370" s="113" t="s">
        <v>107</v>
      </c>
      <c r="F370" s="113" t="str">
        <f>_xlfn.XLOOKUP(E370,'Allocated Transactions'!D:D,'Allocated Transactions'!E:E,"")</f>
        <v>Software and Subscriptions</v>
      </c>
      <c r="G370" s="113" t="s">
        <v>97</v>
      </c>
      <c r="H370" s="113"/>
      <c r="I370" s="113" t="str">
        <f>_xlfn.XLOOKUP($C370,'Cost Centers'!$A$2:$A$11,'Cost Centers'!$C$2:$C$11,"")</f>
        <v>Admin</v>
      </c>
      <c r="J370" s="23">
        <f>MROUND(SUMIFS('Allocated Transactions'!$J:$J,'Allocated Transactions'!$D:$D,$E370,'Allocated Transactions'!$C:$C,$C370,'Allocated Transactions'!$A:$A,"&gt;="&amp;$A370,'Allocated Transactions'!$A:$A,"&lt;="&amp;EOMONTH($A370,0))*0.99,100)</f>
        <v>0</v>
      </c>
      <c r="K370" s="113" t="s">
        <v>637</v>
      </c>
    </row>
    <row r="371" spans="1:11" ht="15" customHeight="1">
      <c r="A371" s="112">
        <f t="shared" si="15"/>
        <v>46082</v>
      </c>
      <c r="B371" s="113">
        <v>2</v>
      </c>
      <c r="C371" s="18" t="str">
        <f t="shared" si="17"/>
        <v>1020</v>
      </c>
      <c r="D371" s="113" t="str">
        <f>_xlfn.XLOOKUP($C371,'Cost Centers'!$A$2:$A$11,'Cost Centers'!$B$2:$B$11,"")</f>
        <v>M &amp; G</v>
      </c>
      <c r="E371" s="113" t="s">
        <v>109</v>
      </c>
      <c r="F371" s="113" t="str">
        <f>_xlfn.XLOOKUP(E371,'Allocated Transactions'!D:D,'Allocated Transactions'!E:E,"")</f>
        <v>Travel</v>
      </c>
      <c r="G371" s="113" t="s">
        <v>97</v>
      </c>
      <c r="H371" s="113"/>
      <c r="I371" s="113" t="str">
        <f>_xlfn.XLOOKUP($C371,'Cost Centers'!$A$2:$A$11,'Cost Centers'!$C$2:$C$11,"")</f>
        <v>Admin</v>
      </c>
      <c r="J371" s="23">
        <f>MROUND(SUMIFS('Allocated Transactions'!$J:$J,'Allocated Transactions'!$D:$D,$E371,'Allocated Transactions'!$C:$C,$C371,'Allocated Transactions'!$A:$A,"&gt;="&amp;$A371,'Allocated Transactions'!$A:$A,"&lt;="&amp;EOMONTH($A371,0))*0.99,100)</f>
        <v>0</v>
      </c>
      <c r="K371" s="113" t="s">
        <v>637</v>
      </c>
    </row>
    <row r="372" spans="1:11" ht="15" customHeight="1">
      <c r="A372" s="112">
        <f t="shared" si="15"/>
        <v>46082</v>
      </c>
      <c r="B372" s="113">
        <v>2</v>
      </c>
      <c r="C372" s="18" t="str">
        <f t="shared" si="17"/>
        <v>1020</v>
      </c>
      <c r="D372" s="113" t="str">
        <f>_xlfn.XLOOKUP($C372,'Cost Centers'!$A$2:$A$11,'Cost Centers'!$B$2:$B$11,"")</f>
        <v>M &amp; G</v>
      </c>
      <c r="E372" s="113" t="s">
        <v>111</v>
      </c>
      <c r="F372" s="113" t="str">
        <f>_xlfn.XLOOKUP(E372,'Allocated Transactions'!D:D,'Allocated Transactions'!E:E,"")</f>
        <v>Meals and Entertainment</v>
      </c>
      <c r="G372" s="113" t="s">
        <v>97</v>
      </c>
      <c r="H372" s="113"/>
      <c r="I372" s="113" t="str">
        <f>_xlfn.XLOOKUP($C372,'Cost Centers'!$A$2:$A$11,'Cost Centers'!$C$2:$C$11,"")</f>
        <v>Admin</v>
      </c>
      <c r="J372" s="23">
        <f>MROUND(SUMIFS('Allocated Transactions'!$J:$J,'Allocated Transactions'!$D:$D,$E372,'Allocated Transactions'!$C:$C,$C372,'Allocated Transactions'!$A:$A,"&gt;="&amp;$A372,'Allocated Transactions'!$A:$A,"&lt;="&amp;EOMONTH($A372,0))*0.99,100)</f>
        <v>0</v>
      </c>
      <c r="K372" s="113" t="s">
        <v>637</v>
      </c>
    </row>
    <row r="373" spans="1:11" ht="15" customHeight="1">
      <c r="A373" s="112">
        <f t="shared" si="15"/>
        <v>46082</v>
      </c>
      <c r="B373" s="113">
        <v>2</v>
      </c>
      <c r="C373" s="18" t="str">
        <f t="shared" si="17"/>
        <v>1020</v>
      </c>
      <c r="D373" s="113" t="str">
        <f>_xlfn.XLOOKUP($C373,'Cost Centers'!$A$2:$A$11,'Cost Centers'!$B$2:$B$11,"")</f>
        <v>M &amp; G</v>
      </c>
      <c r="E373" s="113" t="s">
        <v>113</v>
      </c>
      <c r="F373" s="113" t="str">
        <f>_xlfn.XLOOKUP(E373,'Allocated Transactions'!D:D,'Allocated Transactions'!E:E,"")</f>
        <v>Professional Fees - Legal</v>
      </c>
      <c r="G373" s="113" t="s">
        <v>97</v>
      </c>
      <c r="H373" s="113"/>
      <c r="I373" s="113" t="str">
        <f>_xlfn.XLOOKUP($C373,'Cost Centers'!$A$2:$A$11,'Cost Centers'!$C$2:$C$11,"")</f>
        <v>Admin</v>
      </c>
      <c r="J373" s="23">
        <f>MROUND(SUMIFS('Allocated Transactions'!$J:$J,'Allocated Transactions'!$D:$D,$E373,'Allocated Transactions'!$C:$C,$C373,'Allocated Transactions'!$A:$A,"&gt;="&amp;$A373,'Allocated Transactions'!$A:$A,"&lt;="&amp;EOMONTH($A373,0))*0.99,100)</f>
        <v>0</v>
      </c>
      <c r="K373" s="113" t="s">
        <v>637</v>
      </c>
    </row>
    <row r="374" spans="1:11" ht="15" customHeight="1">
      <c r="A374" s="112">
        <f t="shared" si="15"/>
        <v>46082</v>
      </c>
      <c r="B374" s="113">
        <v>2</v>
      </c>
      <c r="C374" s="18" t="str">
        <f t="shared" si="17"/>
        <v>1020</v>
      </c>
      <c r="D374" s="113" t="str">
        <f>_xlfn.XLOOKUP($C374,'Cost Centers'!$A$2:$A$11,'Cost Centers'!$B$2:$B$11,"")</f>
        <v>M &amp; G</v>
      </c>
      <c r="E374" s="113" t="s">
        <v>115</v>
      </c>
      <c r="F374" s="113" t="str">
        <f>_xlfn.XLOOKUP(E374,'Allocated Transactions'!D:D,'Allocated Transactions'!E:E,"")</f>
        <v>Professional Fees - Accounting/Audit</v>
      </c>
      <c r="G374" s="113" t="s">
        <v>97</v>
      </c>
      <c r="H374" s="113"/>
      <c r="I374" s="113" t="str">
        <f>_xlfn.XLOOKUP($C374,'Cost Centers'!$A$2:$A$11,'Cost Centers'!$C$2:$C$11,"")</f>
        <v>Admin</v>
      </c>
      <c r="J374" s="23">
        <f>MROUND(SUMIFS('Allocated Transactions'!$J:$J,'Allocated Transactions'!$D:$D,$E374,'Allocated Transactions'!$C:$C,$C374,'Allocated Transactions'!$A:$A,"&gt;="&amp;$A374,'Allocated Transactions'!$A:$A,"&lt;="&amp;EOMONTH($A374,0))*0.99,100)</f>
        <v>0</v>
      </c>
      <c r="K374" s="113" t="s">
        <v>637</v>
      </c>
    </row>
    <row r="375" spans="1:11" ht="15" customHeight="1">
      <c r="A375" s="112">
        <f t="shared" si="15"/>
        <v>46082</v>
      </c>
      <c r="B375" s="113">
        <v>2</v>
      </c>
      <c r="C375" s="18" t="str">
        <f t="shared" si="17"/>
        <v>1020</v>
      </c>
      <c r="D375" s="113" t="str">
        <f>_xlfn.XLOOKUP($C375,'Cost Centers'!$A$2:$A$11,'Cost Centers'!$B$2:$B$11,"")</f>
        <v>M &amp; G</v>
      </c>
      <c r="E375" s="113" t="s">
        <v>117</v>
      </c>
      <c r="F375" s="113" t="str">
        <f>_xlfn.XLOOKUP(E375,'Allocated Transactions'!D:D,'Allocated Transactions'!E:E,"")</f>
        <v>Insurance</v>
      </c>
      <c r="G375" s="113" t="s">
        <v>97</v>
      </c>
      <c r="H375" s="113"/>
      <c r="I375" s="113" t="str">
        <f>_xlfn.XLOOKUP($C375,'Cost Centers'!$A$2:$A$11,'Cost Centers'!$C$2:$C$11,"")</f>
        <v>Admin</v>
      </c>
      <c r="J375" s="23">
        <f>MROUND(SUMIFS('Allocated Transactions'!$J:$J,'Allocated Transactions'!$D:$D,$E375,'Allocated Transactions'!$C:$C,$C375,'Allocated Transactions'!$A:$A,"&gt;="&amp;$A375,'Allocated Transactions'!$A:$A,"&lt;="&amp;EOMONTH($A375,0))*0.99,100)</f>
        <v>0</v>
      </c>
      <c r="K375" s="113" t="s">
        <v>637</v>
      </c>
    </row>
    <row r="376" spans="1:11" ht="15" customHeight="1">
      <c r="A376" s="112">
        <f t="shared" si="15"/>
        <v>46082</v>
      </c>
      <c r="B376" s="113">
        <v>2</v>
      </c>
      <c r="C376" s="18" t="str">
        <f t="shared" si="17"/>
        <v>1020</v>
      </c>
      <c r="D376" s="113" t="str">
        <f>_xlfn.XLOOKUP($C376,'Cost Centers'!$A$2:$A$11,'Cost Centers'!$B$2:$B$11,"")</f>
        <v>M &amp; G</v>
      </c>
      <c r="E376" s="113" t="s">
        <v>119</v>
      </c>
      <c r="F376" s="113" t="str">
        <f>_xlfn.XLOOKUP(E376,'Allocated Transactions'!D:D,'Allocated Transactions'!E:E,"")</f>
        <v>Depreciation Expense</v>
      </c>
      <c r="G376" s="113" t="s">
        <v>97</v>
      </c>
      <c r="H376" s="113"/>
      <c r="I376" s="113" t="str">
        <f>_xlfn.XLOOKUP($C376,'Cost Centers'!$A$2:$A$11,'Cost Centers'!$C$2:$C$11,"")</f>
        <v>Admin</v>
      </c>
      <c r="J376" s="23">
        <f>MROUND(SUMIFS('Allocated Transactions'!$J:$J,'Allocated Transactions'!$D:$D,$E376,'Allocated Transactions'!$C:$C,$C376,'Allocated Transactions'!$A:$A,"&gt;="&amp;$A376,'Allocated Transactions'!$A:$A,"&lt;="&amp;EOMONTH($A376,0))*0.99,100)</f>
        <v>2400</v>
      </c>
      <c r="K376" s="113" t="s">
        <v>637</v>
      </c>
    </row>
    <row r="377" spans="1:11" ht="15" customHeight="1">
      <c r="A377" s="112">
        <f t="shared" si="15"/>
        <v>46082</v>
      </c>
      <c r="B377" s="113">
        <v>2</v>
      </c>
      <c r="C377" s="18" t="str">
        <f t="shared" si="17"/>
        <v>1020</v>
      </c>
      <c r="D377" s="113" t="str">
        <f>_xlfn.XLOOKUP($C377,'Cost Centers'!$A$2:$A$11,'Cost Centers'!$B$2:$B$11,"")</f>
        <v>M &amp; G</v>
      </c>
      <c r="E377" s="113" t="s">
        <v>121</v>
      </c>
      <c r="F377" s="113" t="str">
        <f>_xlfn.XLOOKUP(E377,'Allocated Transactions'!D:D,'Allocated Transactions'!E:E,"")</f>
        <v>Bank Fees</v>
      </c>
      <c r="G377" s="113" t="s">
        <v>97</v>
      </c>
      <c r="H377" s="113"/>
      <c r="I377" s="113" t="str">
        <f>_xlfn.XLOOKUP($C377,'Cost Centers'!$A$2:$A$11,'Cost Centers'!$C$2:$C$11,"")</f>
        <v>Admin</v>
      </c>
      <c r="J377" s="23">
        <f>MROUND(SUMIFS('Allocated Transactions'!$J:$J,'Allocated Transactions'!$D:$D,$E377,'Allocated Transactions'!$C:$C,$C377,'Allocated Transactions'!$A:$A,"&gt;="&amp;$A377,'Allocated Transactions'!$A:$A,"&lt;="&amp;EOMONTH($A377,0))*0.99,100)</f>
        <v>100</v>
      </c>
      <c r="K377" s="113" t="s">
        <v>637</v>
      </c>
    </row>
    <row r="378" spans="1:11" ht="15" customHeight="1">
      <c r="A378" s="112">
        <f t="shared" si="15"/>
        <v>46082</v>
      </c>
      <c r="B378" s="113">
        <v>2</v>
      </c>
      <c r="C378" s="18" t="str">
        <f t="shared" si="17"/>
        <v>1020</v>
      </c>
      <c r="D378" s="113" t="str">
        <f>_xlfn.XLOOKUP($C378,'Cost Centers'!$A$2:$A$11,'Cost Centers'!$B$2:$B$11,"")</f>
        <v>M &amp; G</v>
      </c>
      <c r="E378" s="113" t="s">
        <v>123</v>
      </c>
      <c r="F378" s="113" t="str">
        <f>_xlfn.XLOOKUP(E378,'Allocated Transactions'!D:D,'Allocated Transactions'!E:E,"")</f>
        <v>Interest Expense</v>
      </c>
      <c r="G378" s="113" t="s">
        <v>97</v>
      </c>
      <c r="H378" s="113"/>
      <c r="I378" s="113" t="str">
        <f>_xlfn.XLOOKUP($C378,'Cost Centers'!$A$2:$A$11,'Cost Centers'!$C$2:$C$11,"")</f>
        <v>Admin</v>
      </c>
      <c r="J378" s="23">
        <f>MROUND(SUMIFS('Allocated Transactions'!$J:$J,'Allocated Transactions'!$D:$D,$E378,'Allocated Transactions'!$C:$C,$C378,'Allocated Transactions'!$A:$A,"&gt;="&amp;$A378,'Allocated Transactions'!$A:$A,"&lt;="&amp;EOMONTH($A378,0))*0.99,100)</f>
        <v>400</v>
      </c>
      <c r="K378" s="113" t="s">
        <v>637</v>
      </c>
    </row>
    <row r="379" spans="1:11" ht="15" customHeight="1">
      <c r="A379" s="112">
        <f t="shared" si="15"/>
        <v>46082</v>
      </c>
      <c r="B379" s="113">
        <v>2</v>
      </c>
      <c r="C379" s="18" t="str">
        <f t="shared" si="17"/>
        <v>1020</v>
      </c>
      <c r="D379" s="113" t="str">
        <f>_xlfn.XLOOKUP($C379,'Cost Centers'!$A$2:$A$11,'Cost Centers'!$B$2:$B$11,"")</f>
        <v>M &amp; G</v>
      </c>
      <c r="E379" s="113" t="s">
        <v>125</v>
      </c>
      <c r="F379" s="113" t="str">
        <f>_xlfn.XLOOKUP(E379,'Allocated Transactions'!D:D,'Allocated Transactions'!E:E,"")</f>
        <v>Miscellaneous Expense</v>
      </c>
      <c r="G379" s="113" t="s">
        <v>97</v>
      </c>
      <c r="H379" s="113"/>
      <c r="I379" s="113" t="str">
        <f>_xlfn.XLOOKUP($C379,'Cost Centers'!$A$2:$A$11,'Cost Centers'!$C$2:$C$11,"")</f>
        <v>Admin</v>
      </c>
      <c r="J379" s="23">
        <f>MROUND(SUMIFS('Allocated Transactions'!$J:$J,'Allocated Transactions'!$D:$D,$E379,'Allocated Transactions'!$C:$C,$C379,'Allocated Transactions'!$A:$A,"&gt;="&amp;$A379,'Allocated Transactions'!$A:$A,"&lt;="&amp;EOMONTH($A379,0))*0.99,100)</f>
        <v>0</v>
      </c>
      <c r="K379" s="113" t="s">
        <v>637</v>
      </c>
    </row>
    <row r="380" spans="1:11" ht="15" customHeight="1">
      <c r="A380" s="112">
        <f t="shared" si="15"/>
        <v>46113</v>
      </c>
      <c r="B380" s="113">
        <v>2</v>
      </c>
      <c r="C380" s="18" t="s">
        <v>46</v>
      </c>
      <c r="D380" s="113" t="str">
        <f>_xlfn.XLOOKUP($C380,'Cost Centers'!$A$2:$A$11,'Cost Centers'!$B$2:$B$11,"")</f>
        <v>M &amp; G</v>
      </c>
      <c r="E380" s="113" t="s">
        <v>28</v>
      </c>
      <c r="F380" s="113" t="str">
        <f>_xlfn.XLOOKUP(E380,'Allocated Transactions'!D:D,'Allocated Transactions'!E:E,"")</f>
        <v>Salaries and Wages</v>
      </c>
      <c r="G380" s="113" t="s">
        <v>97</v>
      </c>
      <c r="H380" s="113"/>
      <c r="I380" s="113" t="str">
        <f>_xlfn.XLOOKUP($C380,'Cost Centers'!$A$2:$A$11,'Cost Centers'!$C$2:$C$11,"")</f>
        <v>Admin</v>
      </c>
      <c r="J380" s="23">
        <f>MROUND(SUMIFS('Allocated Transactions'!$J:$J,'Allocated Transactions'!$D:$D,$E380,'Allocated Transactions'!$C:$C,$C380,'Allocated Transactions'!$A:$A,"&gt;="&amp;$A380,'Allocated Transactions'!$A:$A,"&lt;="&amp;EOMONTH($A380,0))*0.99,100)</f>
        <v>0</v>
      </c>
      <c r="K380" s="113" t="s">
        <v>637</v>
      </c>
    </row>
    <row r="381" spans="1:11" ht="15" customHeight="1">
      <c r="A381" s="112">
        <f t="shared" si="15"/>
        <v>46113</v>
      </c>
      <c r="B381" s="113">
        <v>2</v>
      </c>
      <c r="C381" s="18" t="str">
        <f t="shared" ref="C381:C397" si="18">C380</f>
        <v>1020</v>
      </c>
      <c r="D381" s="113" t="str">
        <f>_xlfn.XLOOKUP($C381,'Cost Centers'!$A$2:$A$11,'Cost Centers'!$B$2:$B$11,"")</f>
        <v>M &amp; G</v>
      </c>
      <c r="E381" s="113" t="s">
        <v>29</v>
      </c>
      <c r="F381" s="113" t="str">
        <f>_xlfn.XLOOKUP(E381,'Allocated Transactions'!D:D,'Allocated Transactions'!E:E,"")</f>
        <v>Payroll Taxes</v>
      </c>
      <c r="G381" s="113" t="s">
        <v>97</v>
      </c>
      <c r="H381" s="113"/>
      <c r="I381" s="113" t="str">
        <f>_xlfn.XLOOKUP($C381,'Cost Centers'!$A$2:$A$11,'Cost Centers'!$C$2:$C$11,"")</f>
        <v>Admin</v>
      </c>
      <c r="J381" s="23">
        <f>MROUND(SUMIFS('Allocated Transactions'!$J:$J,'Allocated Transactions'!$D:$D,$E381,'Allocated Transactions'!$C:$C,$C381,'Allocated Transactions'!$A:$A,"&gt;="&amp;$A381,'Allocated Transactions'!$A:$A,"&lt;="&amp;EOMONTH($A381,0))*0.99,100)</f>
        <v>0</v>
      </c>
      <c r="K381" s="113" t="s">
        <v>637</v>
      </c>
    </row>
    <row r="382" spans="1:11" ht="15" customHeight="1">
      <c r="A382" s="112">
        <f t="shared" si="15"/>
        <v>46113</v>
      </c>
      <c r="B382" s="113">
        <v>2</v>
      </c>
      <c r="C382" s="18" t="str">
        <f t="shared" si="18"/>
        <v>1020</v>
      </c>
      <c r="D382" s="113" t="str">
        <f>_xlfn.XLOOKUP($C382,'Cost Centers'!$A$2:$A$11,'Cost Centers'!$B$2:$B$11,"")</f>
        <v>M &amp; G</v>
      </c>
      <c r="E382" s="113" t="s">
        <v>30</v>
      </c>
      <c r="F382" s="113" t="str">
        <f>_xlfn.XLOOKUP(E382,'Allocated Transactions'!D:D,'Allocated Transactions'!E:E,"")</f>
        <v>Employee Benefits</v>
      </c>
      <c r="G382" s="113" t="s">
        <v>97</v>
      </c>
      <c r="H382" s="113"/>
      <c r="I382" s="113" t="str">
        <f>_xlfn.XLOOKUP($C382,'Cost Centers'!$A$2:$A$11,'Cost Centers'!$C$2:$C$11,"")</f>
        <v>Admin</v>
      </c>
      <c r="J382" s="23">
        <f>MROUND(SUMIFS('Allocated Transactions'!$J:$J,'Allocated Transactions'!$D:$D,$E382,'Allocated Transactions'!$C:$C,$C382,'Allocated Transactions'!$A:$A,"&gt;="&amp;$A382,'Allocated Transactions'!$A:$A,"&lt;="&amp;EOMONTH($A382,0))*0.99,100)</f>
        <v>0</v>
      </c>
      <c r="K382" s="113" t="s">
        <v>637</v>
      </c>
    </row>
    <row r="383" spans="1:11" ht="15" customHeight="1">
      <c r="A383" s="112">
        <f t="shared" si="15"/>
        <v>46113</v>
      </c>
      <c r="B383" s="113">
        <v>2</v>
      </c>
      <c r="C383" s="18" t="str">
        <f t="shared" si="18"/>
        <v>1020</v>
      </c>
      <c r="D383" s="113" t="str">
        <f>_xlfn.XLOOKUP($C383,'Cost Centers'!$A$2:$A$11,'Cost Centers'!$B$2:$B$11,"")</f>
        <v>M &amp; G</v>
      </c>
      <c r="E383" s="113" t="s">
        <v>31</v>
      </c>
      <c r="F383" s="113" t="str">
        <f>_xlfn.XLOOKUP(E383,'Allocated Transactions'!D:D,'Allocated Transactions'!E:E,"")</f>
        <v>Retirement Contributions</v>
      </c>
      <c r="G383" s="113" t="s">
        <v>97</v>
      </c>
      <c r="H383" s="113"/>
      <c r="I383" s="113" t="str">
        <f>_xlfn.XLOOKUP($C383,'Cost Centers'!$A$2:$A$11,'Cost Centers'!$C$2:$C$11,"")</f>
        <v>Admin</v>
      </c>
      <c r="J383" s="23">
        <f>MROUND(SUMIFS('Allocated Transactions'!$J:$J,'Allocated Transactions'!$D:$D,$E383,'Allocated Transactions'!$C:$C,$C383,'Allocated Transactions'!$A:$A,"&gt;="&amp;$A383,'Allocated Transactions'!$A:$A,"&lt;="&amp;EOMONTH($A383,0))*0.99,100)</f>
        <v>0</v>
      </c>
      <c r="K383" s="113" t="s">
        <v>637</v>
      </c>
    </row>
    <row r="384" spans="1:11" ht="15" customHeight="1">
      <c r="A384" s="112">
        <f t="shared" si="15"/>
        <v>46113</v>
      </c>
      <c r="B384" s="113">
        <v>2</v>
      </c>
      <c r="C384" s="18" t="str">
        <f t="shared" si="18"/>
        <v>1020</v>
      </c>
      <c r="D384" s="113" t="str">
        <f>_xlfn.XLOOKUP($C384,'Cost Centers'!$A$2:$A$11,'Cost Centers'!$B$2:$B$11,"")</f>
        <v>M &amp; G</v>
      </c>
      <c r="E384" s="113" t="s">
        <v>101</v>
      </c>
      <c r="F384" s="113" t="str">
        <f>_xlfn.XLOOKUP(E384,'Allocated Transactions'!D:D,'Allocated Transactions'!E:E,"")</f>
        <v>Contract Labor / Consultants</v>
      </c>
      <c r="G384" s="113" t="s">
        <v>97</v>
      </c>
      <c r="H384" s="113"/>
      <c r="I384" s="113" t="str">
        <f>_xlfn.XLOOKUP($C384,'Cost Centers'!$A$2:$A$11,'Cost Centers'!$C$2:$C$11,"")</f>
        <v>Admin</v>
      </c>
      <c r="J384" s="23">
        <f>MROUND(SUMIFS('Allocated Transactions'!$J:$J,'Allocated Transactions'!$D:$D,$E384,'Allocated Transactions'!$C:$C,$C384,'Allocated Transactions'!$A:$A,"&gt;="&amp;$A384,'Allocated Transactions'!$A:$A,"&lt;="&amp;EOMONTH($A384,0))*0.99,100)</f>
        <v>0</v>
      </c>
      <c r="K384" s="113" t="s">
        <v>637</v>
      </c>
    </row>
    <row r="385" spans="1:11" ht="15" customHeight="1">
      <c r="A385" s="112">
        <f t="shared" si="15"/>
        <v>46113</v>
      </c>
      <c r="B385" s="113">
        <v>2</v>
      </c>
      <c r="C385" s="18" t="str">
        <f t="shared" si="18"/>
        <v>1020</v>
      </c>
      <c r="D385" s="113" t="str">
        <f>_xlfn.XLOOKUP($C385,'Cost Centers'!$A$2:$A$11,'Cost Centers'!$B$2:$B$11,"")</f>
        <v>M &amp; G</v>
      </c>
      <c r="E385" s="113" t="s">
        <v>32</v>
      </c>
      <c r="F385" s="113" t="str">
        <f>_xlfn.XLOOKUP(E385,'Allocated Transactions'!D:D,'Allocated Transactions'!E:E,"")</f>
        <v>Rent</v>
      </c>
      <c r="G385" s="113" t="s">
        <v>97</v>
      </c>
      <c r="H385" s="113"/>
      <c r="I385" s="113" t="str">
        <f>_xlfn.XLOOKUP($C385,'Cost Centers'!$A$2:$A$11,'Cost Centers'!$C$2:$C$11,"")</f>
        <v>Admin</v>
      </c>
      <c r="J385" s="23">
        <f>MROUND(SUMIFS('Allocated Transactions'!$J:$J,'Allocated Transactions'!$D:$D,$E385,'Allocated Transactions'!$C:$C,$C385,'Allocated Transactions'!$A:$A,"&gt;="&amp;$A385,'Allocated Transactions'!$A:$A,"&lt;="&amp;EOMONTH($A385,0))*0.99,100)</f>
        <v>0</v>
      </c>
      <c r="K385" s="113" t="s">
        <v>637</v>
      </c>
    </row>
    <row r="386" spans="1:11" ht="15" customHeight="1">
      <c r="A386" s="112">
        <f t="shared" si="15"/>
        <v>46113</v>
      </c>
      <c r="B386" s="113">
        <v>2</v>
      </c>
      <c r="C386" s="18" t="str">
        <f t="shared" si="18"/>
        <v>1020</v>
      </c>
      <c r="D386" s="113" t="str">
        <f>_xlfn.XLOOKUP($C386,'Cost Centers'!$A$2:$A$11,'Cost Centers'!$B$2:$B$11,"")</f>
        <v>M &amp; G</v>
      </c>
      <c r="E386" s="113" t="s">
        <v>33</v>
      </c>
      <c r="F386" s="113" t="str">
        <f>_xlfn.XLOOKUP(E386,'Allocated Transactions'!D:D,'Allocated Transactions'!E:E,"")</f>
        <v>Utilities</v>
      </c>
      <c r="G386" s="113" t="s">
        <v>97</v>
      </c>
      <c r="H386" s="113"/>
      <c r="I386" s="113" t="str">
        <f>_xlfn.XLOOKUP($C386,'Cost Centers'!$A$2:$A$11,'Cost Centers'!$C$2:$C$11,"")</f>
        <v>Admin</v>
      </c>
      <c r="J386" s="23">
        <f>MROUND(SUMIFS('Allocated Transactions'!$J:$J,'Allocated Transactions'!$D:$D,$E386,'Allocated Transactions'!$C:$C,$C386,'Allocated Transactions'!$A:$A,"&gt;="&amp;$A386,'Allocated Transactions'!$A:$A,"&lt;="&amp;EOMONTH($A386,0))*0.99,100)</f>
        <v>0</v>
      </c>
      <c r="K386" s="113" t="s">
        <v>637</v>
      </c>
    </row>
    <row r="387" spans="1:11" ht="15" customHeight="1">
      <c r="A387" s="112">
        <f t="shared" si="15"/>
        <v>46113</v>
      </c>
      <c r="B387" s="113">
        <v>2</v>
      </c>
      <c r="C387" s="18" t="str">
        <f t="shared" si="18"/>
        <v>1020</v>
      </c>
      <c r="D387" s="113" t="str">
        <f>_xlfn.XLOOKUP($C387,'Cost Centers'!$A$2:$A$11,'Cost Centers'!$B$2:$B$11,"")</f>
        <v>M &amp; G</v>
      </c>
      <c r="E387" s="113" t="s">
        <v>105</v>
      </c>
      <c r="F387" s="113" t="str">
        <f>_xlfn.XLOOKUP(E387,'Allocated Transactions'!D:D,'Allocated Transactions'!E:E,"")</f>
        <v>Office Supplies</v>
      </c>
      <c r="G387" s="113" t="s">
        <v>97</v>
      </c>
      <c r="H387" s="113"/>
      <c r="I387" s="113" t="str">
        <f>_xlfn.XLOOKUP($C387,'Cost Centers'!$A$2:$A$11,'Cost Centers'!$C$2:$C$11,"")</f>
        <v>Admin</v>
      </c>
      <c r="J387" s="23">
        <f>MROUND(SUMIFS('Allocated Transactions'!$J:$J,'Allocated Transactions'!$D:$D,$E387,'Allocated Transactions'!$C:$C,$C387,'Allocated Transactions'!$A:$A,"&gt;="&amp;$A387,'Allocated Transactions'!$A:$A,"&lt;="&amp;EOMONTH($A387,0))*0.99,100)</f>
        <v>0</v>
      </c>
      <c r="K387" s="113" t="s">
        <v>637</v>
      </c>
    </row>
    <row r="388" spans="1:11" ht="15" customHeight="1">
      <c r="A388" s="112">
        <f t="shared" si="15"/>
        <v>46113</v>
      </c>
      <c r="B388" s="113">
        <v>2</v>
      </c>
      <c r="C388" s="18" t="str">
        <f t="shared" si="18"/>
        <v>1020</v>
      </c>
      <c r="D388" s="113" t="str">
        <f>_xlfn.XLOOKUP($C388,'Cost Centers'!$A$2:$A$11,'Cost Centers'!$B$2:$B$11,"")</f>
        <v>M &amp; G</v>
      </c>
      <c r="E388" s="113" t="s">
        <v>107</v>
      </c>
      <c r="F388" s="113" t="str">
        <f>_xlfn.XLOOKUP(E388,'Allocated Transactions'!D:D,'Allocated Transactions'!E:E,"")</f>
        <v>Software and Subscriptions</v>
      </c>
      <c r="G388" s="113" t="s">
        <v>97</v>
      </c>
      <c r="H388" s="113"/>
      <c r="I388" s="113" t="str">
        <f>_xlfn.XLOOKUP($C388,'Cost Centers'!$A$2:$A$11,'Cost Centers'!$C$2:$C$11,"")</f>
        <v>Admin</v>
      </c>
      <c r="J388" s="23">
        <f>MROUND(SUMIFS('Allocated Transactions'!$J:$J,'Allocated Transactions'!$D:$D,$E388,'Allocated Transactions'!$C:$C,$C388,'Allocated Transactions'!$A:$A,"&gt;="&amp;$A388,'Allocated Transactions'!$A:$A,"&lt;="&amp;EOMONTH($A388,0))*0.99,100)</f>
        <v>0</v>
      </c>
      <c r="K388" s="113" t="s">
        <v>637</v>
      </c>
    </row>
    <row r="389" spans="1:11" ht="15" customHeight="1">
      <c r="A389" s="112">
        <f t="shared" si="15"/>
        <v>46113</v>
      </c>
      <c r="B389" s="113">
        <v>2</v>
      </c>
      <c r="C389" s="18" t="str">
        <f t="shared" si="18"/>
        <v>1020</v>
      </c>
      <c r="D389" s="113" t="str">
        <f>_xlfn.XLOOKUP($C389,'Cost Centers'!$A$2:$A$11,'Cost Centers'!$B$2:$B$11,"")</f>
        <v>M &amp; G</v>
      </c>
      <c r="E389" s="113" t="s">
        <v>109</v>
      </c>
      <c r="F389" s="113" t="str">
        <f>_xlfn.XLOOKUP(E389,'Allocated Transactions'!D:D,'Allocated Transactions'!E:E,"")</f>
        <v>Travel</v>
      </c>
      <c r="G389" s="113" t="s">
        <v>97</v>
      </c>
      <c r="H389" s="113"/>
      <c r="I389" s="113" t="str">
        <f>_xlfn.XLOOKUP($C389,'Cost Centers'!$A$2:$A$11,'Cost Centers'!$C$2:$C$11,"")</f>
        <v>Admin</v>
      </c>
      <c r="J389" s="23">
        <f>MROUND(SUMIFS('Allocated Transactions'!$J:$J,'Allocated Transactions'!$D:$D,$E389,'Allocated Transactions'!$C:$C,$C389,'Allocated Transactions'!$A:$A,"&gt;="&amp;$A389,'Allocated Transactions'!$A:$A,"&lt;="&amp;EOMONTH($A389,0))*0.99,100)</f>
        <v>0</v>
      </c>
      <c r="K389" s="113" t="s">
        <v>637</v>
      </c>
    </row>
    <row r="390" spans="1:11" ht="15" customHeight="1">
      <c r="A390" s="112">
        <f t="shared" si="15"/>
        <v>46113</v>
      </c>
      <c r="B390" s="113">
        <v>2</v>
      </c>
      <c r="C390" s="18" t="str">
        <f t="shared" si="18"/>
        <v>1020</v>
      </c>
      <c r="D390" s="113" t="str">
        <f>_xlfn.XLOOKUP($C390,'Cost Centers'!$A$2:$A$11,'Cost Centers'!$B$2:$B$11,"")</f>
        <v>M &amp; G</v>
      </c>
      <c r="E390" s="113" t="s">
        <v>111</v>
      </c>
      <c r="F390" s="113" t="str">
        <f>_xlfn.XLOOKUP(E390,'Allocated Transactions'!D:D,'Allocated Transactions'!E:E,"")</f>
        <v>Meals and Entertainment</v>
      </c>
      <c r="G390" s="113" t="s">
        <v>97</v>
      </c>
      <c r="H390" s="113"/>
      <c r="I390" s="113" t="str">
        <f>_xlfn.XLOOKUP($C390,'Cost Centers'!$A$2:$A$11,'Cost Centers'!$C$2:$C$11,"")</f>
        <v>Admin</v>
      </c>
      <c r="J390" s="23">
        <f>MROUND(SUMIFS('Allocated Transactions'!$J:$J,'Allocated Transactions'!$D:$D,$E390,'Allocated Transactions'!$C:$C,$C390,'Allocated Transactions'!$A:$A,"&gt;="&amp;$A390,'Allocated Transactions'!$A:$A,"&lt;="&amp;EOMONTH($A390,0))*0.99,100)</f>
        <v>0</v>
      </c>
      <c r="K390" s="113" t="s">
        <v>637</v>
      </c>
    </row>
    <row r="391" spans="1:11" ht="15" customHeight="1">
      <c r="A391" s="112">
        <f t="shared" si="15"/>
        <v>46113</v>
      </c>
      <c r="B391" s="113">
        <v>2</v>
      </c>
      <c r="C391" s="18" t="str">
        <f t="shared" si="18"/>
        <v>1020</v>
      </c>
      <c r="D391" s="113" t="str">
        <f>_xlfn.XLOOKUP($C391,'Cost Centers'!$A$2:$A$11,'Cost Centers'!$B$2:$B$11,"")</f>
        <v>M &amp; G</v>
      </c>
      <c r="E391" s="113" t="s">
        <v>113</v>
      </c>
      <c r="F391" s="113" t="str">
        <f>_xlfn.XLOOKUP(E391,'Allocated Transactions'!D:D,'Allocated Transactions'!E:E,"")</f>
        <v>Professional Fees - Legal</v>
      </c>
      <c r="G391" s="113" t="s">
        <v>97</v>
      </c>
      <c r="H391" s="113"/>
      <c r="I391" s="113" t="str">
        <f>_xlfn.XLOOKUP($C391,'Cost Centers'!$A$2:$A$11,'Cost Centers'!$C$2:$C$11,"")</f>
        <v>Admin</v>
      </c>
      <c r="J391" s="23">
        <f>MROUND(SUMIFS('Allocated Transactions'!$J:$J,'Allocated Transactions'!$D:$D,$E391,'Allocated Transactions'!$C:$C,$C391,'Allocated Transactions'!$A:$A,"&gt;="&amp;$A391,'Allocated Transactions'!$A:$A,"&lt;="&amp;EOMONTH($A391,0))*0.99,100)</f>
        <v>0</v>
      </c>
      <c r="K391" s="113" t="s">
        <v>637</v>
      </c>
    </row>
    <row r="392" spans="1:11" ht="15" customHeight="1">
      <c r="A392" s="112">
        <f t="shared" si="15"/>
        <v>46113</v>
      </c>
      <c r="B392" s="113">
        <v>2</v>
      </c>
      <c r="C392" s="18" t="str">
        <f t="shared" si="18"/>
        <v>1020</v>
      </c>
      <c r="D392" s="113" t="str">
        <f>_xlfn.XLOOKUP($C392,'Cost Centers'!$A$2:$A$11,'Cost Centers'!$B$2:$B$11,"")</f>
        <v>M &amp; G</v>
      </c>
      <c r="E392" s="113" t="s">
        <v>115</v>
      </c>
      <c r="F392" s="113" t="str">
        <f>_xlfn.XLOOKUP(E392,'Allocated Transactions'!D:D,'Allocated Transactions'!E:E,"")</f>
        <v>Professional Fees - Accounting/Audit</v>
      </c>
      <c r="G392" s="113" t="s">
        <v>97</v>
      </c>
      <c r="H392" s="113"/>
      <c r="I392" s="113" t="str">
        <f>_xlfn.XLOOKUP($C392,'Cost Centers'!$A$2:$A$11,'Cost Centers'!$C$2:$C$11,"")</f>
        <v>Admin</v>
      </c>
      <c r="J392" s="23">
        <f>MROUND(SUMIFS('Allocated Transactions'!$J:$J,'Allocated Transactions'!$D:$D,$E392,'Allocated Transactions'!$C:$C,$C392,'Allocated Transactions'!$A:$A,"&gt;="&amp;$A392,'Allocated Transactions'!$A:$A,"&lt;="&amp;EOMONTH($A392,0))*0.99,100)</f>
        <v>0</v>
      </c>
      <c r="K392" s="113" t="s">
        <v>637</v>
      </c>
    </row>
    <row r="393" spans="1:11" ht="15" customHeight="1">
      <c r="A393" s="112">
        <f t="shared" si="15"/>
        <v>46113</v>
      </c>
      <c r="B393" s="113">
        <v>2</v>
      </c>
      <c r="C393" s="18" t="str">
        <f t="shared" si="18"/>
        <v>1020</v>
      </c>
      <c r="D393" s="113" t="str">
        <f>_xlfn.XLOOKUP($C393,'Cost Centers'!$A$2:$A$11,'Cost Centers'!$B$2:$B$11,"")</f>
        <v>M &amp; G</v>
      </c>
      <c r="E393" s="113" t="s">
        <v>117</v>
      </c>
      <c r="F393" s="113" t="str">
        <f>_xlfn.XLOOKUP(E393,'Allocated Transactions'!D:D,'Allocated Transactions'!E:E,"")</f>
        <v>Insurance</v>
      </c>
      <c r="G393" s="113" t="s">
        <v>97</v>
      </c>
      <c r="H393" s="113"/>
      <c r="I393" s="113" t="str">
        <f>_xlfn.XLOOKUP($C393,'Cost Centers'!$A$2:$A$11,'Cost Centers'!$C$2:$C$11,"")</f>
        <v>Admin</v>
      </c>
      <c r="J393" s="23">
        <f>MROUND(SUMIFS('Allocated Transactions'!$J:$J,'Allocated Transactions'!$D:$D,$E393,'Allocated Transactions'!$C:$C,$C393,'Allocated Transactions'!$A:$A,"&gt;="&amp;$A393,'Allocated Transactions'!$A:$A,"&lt;="&amp;EOMONTH($A393,0))*0.99,100)</f>
        <v>0</v>
      </c>
      <c r="K393" s="113" t="s">
        <v>637</v>
      </c>
    </row>
    <row r="394" spans="1:11" ht="15" customHeight="1">
      <c r="A394" s="112">
        <f t="shared" si="15"/>
        <v>46113</v>
      </c>
      <c r="B394" s="113">
        <v>2</v>
      </c>
      <c r="C394" s="18" t="str">
        <f t="shared" si="18"/>
        <v>1020</v>
      </c>
      <c r="D394" s="113" t="str">
        <f>_xlfn.XLOOKUP($C394,'Cost Centers'!$A$2:$A$11,'Cost Centers'!$B$2:$B$11,"")</f>
        <v>M &amp; G</v>
      </c>
      <c r="E394" s="113" t="s">
        <v>119</v>
      </c>
      <c r="F394" s="113" t="str">
        <f>_xlfn.XLOOKUP(E394,'Allocated Transactions'!D:D,'Allocated Transactions'!E:E,"")</f>
        <v>Depreciation Expense</v>
      </c>
      <c r="G394" s="113" t="s">
        <v>97</v>
      </c>
      <c r="H394" s="113"/>
      <c r="I394" s="113" t="str">
        <f>_xlfn.XLOOKUP($C394,'Cost Centers'!$A$2:$A$11,'Cost Centers'!$C$2:$C$11,"")</f>
        <v>Admin</v>
      </c>
      <c r="J394" s="23">
        <f>MROUND(SUMIFS('Allocated Transactions'!$J:$J,'Allocated Transactions'!$D:$D,$E394,'Allocated Transactions'!$C:$C,$C394,'Allocated Transactions'!$A:$A,"&gt;="&amp;$A394,'Allocated Transactions'!$A:$A,"&lt;="&amp;EOMONTH($A394,0))*0.99,100)</f>
        <v>2400</v>
      </c>
      <c r="K394" s="113" t="s">
        <v>637</v>
      </c>
    </row>
    <row r="395" spans="1:11" ht="15" customHeight="1">
      <c r="A395" s="112">
        <f t="shared" si="15"/>
        <v>46113</v>
      </c>
      <c r="B395" s="113">
        <v>2</v>
      </c>
      <c r="C395" s="18" t="str">
        <f t="shared" si="18"/>
        <v>1020</v>
      </c>
      <c r="D395" s="113" t="str">
        <f>_xlfn.XLOOKUP($C395,'Cost Centers'!$A$2:$A$11,'Cost Centers'!$B$2:$B$11,"")</f>
        <v>M &amp; G</v>
      </c>
      <c r="E395" s="113" t="s">
        <v>121</v>
      </c>
      <c r="F395" s="113" t="str">
        <f>_xlfn.XLOOKUP(E395,'Allocated Transactions'!D:D,'Allocated Transactions'!E:E,"")</f>
        <v>Bank Fees</v>
      </c>
      <c r="G395" s="113" t="s">
        <v>97</v>
      </c>
      <c r="H395" s="113"/>
      <c r="I395" s="113" t="str">
        <f>_xlfn.XLOOKUP($C395,'Cost Centers'!$A$2:$A$11,'Cost Centers'!$C$2:$C$11,"")</f>
        <v>Admin</v>
      </c>
      <c r="J395" s="23">
        <f>MROUND(SUMIFS('Allocated Transactions'!$J:$J,'Allocated Transactions'!$D:$D,$E395,'Allocated Transactions'!$C:$C,$C395,'Allocated Transactions'!$A:$A,"&gt;="&amp;$A395,'Allocated Transactions'!$A:$A,"&lt;="&amp;EOMONTH($A395,0))*0.99,100)</f>
        <v>100</v>
      </c>
      <c r="K395" s="113" t="s">
        <v>637</v>
      </c>
    </row>
    <row r="396" spans="1:11" ht="15" customHeight="1">
      <c r="A396" s="112">
        <f t="shared" si="15"/>
        <v>46113</v>
      </c>
      <c r="B396" s="113">
        <v>2</v>
      </c>
      <c r="C396" s="18" t="str">
        <f t="shared" si="18"/>
        <v>1020</v>
      </c>
      <c r="D396" s="113" t="str">
        <f>_xlfn.XLOOKUP($C396,'Cost Centers'!$A$2:$A$11,'Cost Centers'!$B$2:$B$11,"")</f>
        <v>M &amp; G</v>
      </c>
      <c r="E396" s="113" t="s">
        <v>123</v>
      </c>
      <c r="F396" s="113" t="str">
        <f>_xlfn.XLOOKUP(E396,'Allocated Transactions'!D:D,'Allocated Transactions'!E:E,"")</f>
        <v>Interest Expense</v>
      </c>
      <c r="G396" s="113" t="s">
        <v>97</v>
      </c>
      <c r="H396" s="113"/>
      <c r="I396" s="113" t="str">
        <f>_xlfn.XLOOKUP($C396,'Cost Centers'!$A$2:$A$11,'Cost Centers'!$C$2:$C$11,"")</f>
        <v>Admin</v>
      </c>
      <c r="J396" s="23">
        <f>MROUND(SUMIFS('Allocated Transactions'!$J:$J,'Allocated Transactions'!$D:$D,$E396,'Allocated Transactions'!$C:$C,$C396,'Allocated Transactions'!$A:$A,"&gt;="&amp;$A396,'Allocated Transactions'!$A:$A,"&lt;="&amp;EOMONTH($A396,0))*0.99,100)</f>
        <v>400</v>
      </c>
      <c r="K396" s="113" t="s">
        <v>637</v>
      </c>
    </row>
    <row r="397" spans="1:11" ht="15" customHeight="1">
      <c r="A397" s="112">
        <f t="shared" si="15"/>
        <v>46113</v>
      </c>
      <c r="B397" s="113">
        <v>2</v>
      </c>
      <c r="C397" s="18" t="str">
        <f t="shared" si="18"/>
        <v>1020</v>
      </c>
      <c r="D397" s="113" t="str">
        <f>_xlfn.XLOOKUP($C397,'Cost Centers'!$A$2:$A$11,'Cost Centers'!$B$2:$B$11,"")</f>
        <v>M &amp; G</v>
      </c>
      <c r="E397" s="113" t="s">
        <v>125</v>
      </c>
      <c r="F397" s="113" t="str">
        <f>_xlfn.XLOOKUP(E397,'Allocated Transactions'!D:D,'Allocated Transactions'!E:E,"")</f>
        <v>Miscellaneous Expense</v>
      </c>
      <c r="G397" s="113" t="s">
        <v>97</v>
      </c>
      <c r="H397" s="113"/>
      <c r="I397" s="113" t="str">
        <f>_xlfn.XLOOKUP($C397,'Cost Centers'!$A$2:$A$11,'Cost Centers'!$C$2:$C$11,"")</f>
        <v>Admin</v>
      </c>
      <c r="J397" s="23">
        <f>MROUND(SUMIFS('Allocated Transactions'!$J:$J,'Allocated Transactions'!$D:$D,$E397,'Allocated Transactions'!$C:$C,$C397,'Allocated Transactions'!$A:$A,"&gt;="&amp;$A397,'Allocated Transactions'!$A:$A,"&lt;="&amp;EOMONTH($A397,0))*0.99,100)</f>
        <v>0</v>
      </c>
      <c r="K397" s="113" t="s">
        <v>637</v>
      </c>
    </row>
    <row r="398" spans="1:11" ht="15" customHeight="1">
      <c r="A398" s="112">
        <f t="shared" si="15"/>
        <v>46143</v>
      </c>
      <c r="B398" s="113">
        <v>2</v>
      </c>
      <c r="C398" s="18" t="s">
        <v>46</v>
      </c>
      <c r="D398" s="113" t="str">
        <f>_xlfn.XLOOKUP($C398,'Cost Centers'!$A$2:$A$11,'Cost Centers'!$B$2:$B$11,"")</f>
        <v>M &amp; G</v>
      </c>
      <c r="E398" s="113" t="s">
        <v>28</v>
      </c>
      <c r="F398" s="113" t="str">
        <f>_xlfn.XLOOKUP(E398,'Allocated Transactions'!D:D,'Allocated Transactions'!E:E,"")</f>
        <v>Salaries and Wages</v>
      </c>
      <c r="G398" s="113" t="s">
        <v>97</v>
      </c>
      <c r="H398" s="113"/>
      <c r="I398" s="113" t="str">
        <f>_xlfn.XLOOKUP($C398,'Cost Centers'!$A$2:$A$11,'Cost Centers'!$C$2:$C$11,"")</f>
        <v>Admin</v>
      </c>
      <c r="J398" s="23">
        <f>MROUND(SUMIFS('Allocated Transactions'!$J:$J,'Allocated Transactions'!$D:$D,$E398,'Allocated Transactions'!$C:$C,$C398,'Allocated Transactions'!$A:$A,"&gt;="&amp;$A398,'Allocated Transactions'!$A:$A,"&lt;="&amp;EOMONTH($A398,0))*0.99,100)</f>
        <v>0</v>
      </c>
      <c r="K398" s="113" t="s">
        <v>637</v>
      </c>
    </row>
    <row r="399" spans="1:11" ht="15" customHeight="1">
      <c r="A399" s="112">
        <f t="shared" si="15"/>
        <v>46143</v>
      </c>
      <c r="B399" s="113">
        <v>2</v>
      </c>
      <c r="C399" s="18" t="str">
        <f t="shared" ref="C399:C415" si="19">C398</f>
        <v>1020</v>
      </c>
      <c r="D399" s="113" t="str">
        <f>_xlfn.XLOOKUP($C399,'Cost Centers'!$A$2:$A$11,'Cost Centers'!$B$2:$B$11,"")</f>
        <v>M &amp; G</v>
      </c>
      <c r="E399" s="113" t="s">
        <v>29</v>
      </c>
      <c r="F399" s="113" t="str">
        <f>_xlfn.XLOOKUP(E399,'Allocated Transactions'!D:D,'Allocated Transactions'!E:E,"")</f>
        <v>Payroll Taxes</v>
      </c>
      <c r="G399" s="113" t="s">
        <v>97</v>
      </c>
      <c r="H399" s="113"/>
      <c r="I399" s="113" t="str">
        <f>_xlfn.XLOOKUP($C399,'Cost Centers'!$A$2:$A$11,'Cost Centers'!$C$2:$C$11,"")</f>
        <v>Admin</v>
      </c>
      <c r="J399" s="23">
        <f>MROUND(SUMIFS('Allocated Transactions'!$J:$J,'Allocated Transactions'!$D:$D,$E399,'Allocated Transactions'!$C:$C,$C399,'Allocated Transactions'!$A:$A,"&gt;="&amp;$A399,'Allocated Transactions'!$A:$A,"&lt;="&amp;EOMONTH($A399,0))*0.99,100)</f>
        <v>0</v>
      </c>
      <c r="K399" s="113" t="s">
        <v>637</v>
      </c>
    </row>
    <row r="400" spans="1:11" ht="15" customHeight="1">
      <c r="A400" s="112">
        <f t="shared" si="15"/>
        <v>46143</v>
      </c>
      <c r="B400" s="113">
        <v>2</v>
      </c>
      <c r="C400" s="18" t="str">
        <f t="shared" si="19"/>
        <v>1020</v>
      </c>
      <c r="D400" s="113" t="str">
        <f>_xlfn.XLOOKUP($C400,'Cost Centers'!$A$2:$A$11,'Cost Centers'!$B$2:$B$11,"")</f>
        <v>M &amp; G</v>
      </c>
      <c r="E400" s="113" t="s">
        <v>30</v>
      </c>
      <c r="F400" s="113" t="str">
        <f>_xlfn.XLOOKUP(E400,'Allocated Transactions'!D:D,'Allocated Transactions'!E:E,"")</f>
        <v>Employee Benefits</v>
      </c>
      <c r="G400" s="113" t="s">
        <v>97</v>
      </c>
      <c r="H400" s="113"/>
      <c r="I400" s="113" t="str">
        <f>_xlfn.XLOOKUP($C400,'Cost Centers'!$A$2:$A$11,'Cost Centers'!$C$2:$C$11,"")</f>
        <v>Admin</v>
      </c>
      <c r="J400" s="23">
        <f>MROUND(SUMIFS('Allocated Transactions'!$J:$J,'Allocated Transactions'!$D:$D,$E400,'Allocated Transactions'!$C:$C,$C400,'Allocated Transactions'!$A:$A,"&gt;="&amp;$A400,'Allocated Transactions'!$A:$A,"&lt;="&amp;EOMONTH($A400,0))*0.99,100)</f>
        <v>0</v>
      </c>
      <c r="K400" s="113" t="s">
        <v>637</v>
      </c>
    </row>
    <row r="401" spans="1:11" ht="15" customHeight="1">
      <c r="A401" s="112">
        <f t="shared" si="15"/>
        <v>46143</v>
      </c>
      <c r="B401" s="113">
        <v>2</v>
      </c>
      <c r="C401" s="18" t="str">
        <f t="shared" si="19"/>
        <v>1020</v>
      </c>
      <c r="D401" s="113" t="str">
        <f>_xlfn.XLOOKUP($C401,'Cost Centers'!$A$2:$A$11,'Cost Centers'!$B$2:$B$11,"")</f>
        <v>M &amp; G</v>
      </c>
      <c r="E401" s="113" t="s">
        <v>31</v>
      </c>
      <c r="F401" s="113" t="str">
        <f>_xlfn.XLOOKUP(E401,'Allocated Transactions'!D:D,'Allocated Transactions'!E:E,"")</f>
        <v>Retirement Contributions</v>
      </c>
      <c r="G401" s="113" t="s">
        <v>97</v>
      </c>
      <c r="H401" s="113"/>
      <c r="I401" s="113" t="str">
        <f>_xlfn.XLOOKUP($C401,'Cost Centers'!$A$2:$A$11,'Cost Centers'!$C$2:$C$11,"")</f>
        <v>Admin</v>
      </c>
      <c r="J401" s="23">
        <f>MROUND(SUMIFS('Allocated Transactions'!$J:$J,'Allocated Transactions'!$D:$D,$E401,'Allocated Transactions'!$C:$C,$C401,'Allocated Transactions'!$A:$A,"&gt;="&amp;$A401,'Allocated Transactions'!$A:$A,"&lt;="&amp;EOMONTH($A401,0))*0.99,100)</f>
        <v>0</v>
      </c>
      <c r="K401" s="113" t="s">
        <v>637</v>
      </c>
    </row>
    <row r="402" spans="1:11" ht="15" customHeight="1">
      <c r="A402" s="112">
        <f t="shared" si="15"/>
        <v>46143</v>
      </c>
      <c r="B402" s="113">
        <v>2</v>
      </c>
      <c r="C402" s="18" t="str">
        <f t="shared" si="19"/>
        <v>1020</v>
      </c>
      <c r="D402" s="113" t="str">
        <f>_xlfn.XLOOKUP($C402,'Cost Centers'!$A$2:$A$11,'Cost Centers'!$B$2:$B$11,"")</f>
        <v>M &amp; G</v>
      </c>
      <c r="E402" s="113" t="s">
        <v>101</v>
      </c>
      <c r="F402" s="113" t="str">
        <f>_xlfn.XLOOKUP(E402,'Allocated Transactions'!D:D,'Allocated Transactions'!E:E,"")</f>
        <v>Contract Labor / Consultants</v>
      </c>
      <c r="G402" s="113" t="s">
        <v>97</v>
      </c>
      <c r="H402" s="113"/>
      <c r="I402" s="113" t="str">
        <f>_xlfn.XLOOKUP($C402,'Cost Centers'!$A$2:$A$11,'Cost Centers'!$C$2:$C$11,"")</f>
        <v>Admin</v>
      </c>
      <c r="J402" s="23">
        <f>MROUND(SUMIFS('Allocated Transactions'!$J:$J,'Allocated Transactions'!$D:$D,$E402,'Allocated Transactions'!$C:$C,$C402,'Allocated Transactions'!$A:$A,"&gt;="&amp;$A402,'Allocated Transactions'!$A:$A,"&lt;="&amp;EOMONTH($A402,0))*0.99,100)</f>
        <v>0</v>
      </c>
      <c r="K402" s="113" t="s">
        <v>637</v>
      </c>
    </row>
    <row r="403" spans="1:11" ht="15" customHeight="1">
      <c r="A403" s="112">
        <f t="shared" si="15"/>
        <v>46143</v>
      </c>
      <c r="B403" s="113">
        <v>2</v>
      </c>
      <c r="C403" s="18" t="str">
        <f t="shared" si="19"/>
        <v>1020</v>
      </c>
      <c r="D403" s="113" t="str">
        <f>_xlfn.XLOOKUP($C403,'Cost Centers'!$A$2:$A$11,'Cost Centers'!$B$2:$B$11,"")</f>
        <v>M &amp; G</v>
      </c>
      <c r="E403" s="113" t="s">
        <v>32</v>
      </c>
      <c r="F403" s="113" t="str">
        <f>_xlfn.XLOOKUP(E403,'Allocated Transactions'!D:D,'Allocated Transactions'!E:E,"")</f>
        <v>Rent</v>
      </c>
      <c r="G403" s="113" t="s">
        <v>97</v>
      </c>
      <c r="H403" s="113"/>
      <c r="I403" s="113" t="str">
        <f>_xlfn.XLOOKUP($C403,'Cost Centers'!$A$2:$A$11,'Cost Centers'!$C$2:$C$11,"")</f>
        <v>Admin</v>
      </c>
      <c r="J403" s="23">
        <f>MROUND(SUMIFS('Allocated Transactions'!$J:$J,'Allocated Transactions'!$D:$D,$E403,'Allocated Transactions'!$C:$C,$C403,'Allocated Transactions'!$A:$A,"&gt;="&amp;$A403,'Allocated Transactions'!$A:$A,"&lt;="&amp;EOMONTH($A403,0))*0.99,100)</f>
        <v>0</v>
      </c>
      <c r="K403" s="113" t="s">
        <v>637</v>
      </c>
    </row>
    <row r="404" spans="1:11" ht="15" customHeight="1">
      <c r="A404" s="112">
        <f t="shared" si="15"/>
        <v>46143</v>
      </c>
      <c r="B404" s="113">
        <v>2</v>
      </c>
      <c r="C404" s="18" t="str">
        <f t="shared" si="19"/>
        <v>1020</v>
      </c>
      <c r="D404" s="113" t="str">
        <f>_xlfn.XLOOKUP($C404,'Cost Centers'!$A$2:$A$11,'Cost Centers'!$B$2:$B$11,"")</f>
        <v>M &amp; G</v>
      </c>
      <c r="E404" s="113" t="s">
        <v>33</v>
      </c>
      <c r="F404" s="113" t="str">
        <f>_xlfn.XLOOKUP(E404,'Allocated Transactions'!D:D,'Allocated Transactions'!E:E,"")</f>
        <v>Utilities</v>
      </c>
      <c r="G404" s="113" t="s">
        <v>97</v>
      </c>
      <c r="H404" s="113"/>
      <c r="I404" s="113" t="str">
        <f>_xlfn.XLOOKUP($C404,'Cost Centers'!$A$2:$A$11,'Cost Centers'!$C$2:$C$11,"")</f>
        <v>Admin</v>
      </c>
      <c r="J404" s="23">
        <f>MROUND(SUMIFS('Allocated Transactions'!$J:$J,'Allocated Transactions'!$D:$D,$E404,'Allocated Transactions'!$C:$C,$C404,'Allocated Transactions'!$A:$A,"&gt;="&amp;$A404,'Allocated Transactions'!$A:$A,"&lt;="&amp;EOMONTH($A404,0))*0.99,100)</f>
        <v>0</v>
      </c>
      <c r="K404" s="113" t="s">
        <v>637</v>
      </c>
    </row>
    <row r="405" spans="1:11" ht="15" customHeight="1">
      <c r="A405" s="112">
        <f t="shared" si="15"/>
        <v>46143</v>
      </c>
      <c r="B405" s="113">
        <v>2</v>
      </c>
      <c r="C405" s="18" t="str">
        <f t="shared" si="19"/>
        <v>1020</v>
      </c>
      <c r="D405" s="113" t="str">
        <f>_xlfn.XLOOKUP($C405,'Cost Centers'!$A$2:$A$11,'Cost Centers'!$B$2:$B$11,"")</f>
        <v>M &amp; G</v>
      </c>
      <c r="E405" s="113" t="s">
        <v>105</v>
      </c>
      <c r="F405" s="113" t="str">
        <f>_xlfn.XLOOKUP(E405,'Allocated Transactions'!D:D,'Allocated Transactions'!E:E,"")</f>
        <v>Office Supplies</v>
      </c>
      <c r="G405" s="113" t="s">
        <v>97</v>
      </c>
      <c r="H405" s="113"/>
      <c r="I405" s="113" t="str">
        <f>_xlfn.XLOOKUP($C405,'Cost Centers'!$A$2:$A$11,'Cost Centers'!$C$2:$C$11,"")</f>
        <v>Admin</v>
      </c>
      <c r="J405" s="23">
        <f>MROUND(SUMIFS('Allocated Transactions'!$J:$J,'Allocated Transactions'!$D:$D,$E405,'Allocated Transactions'!$C:$C,$C405,'Allocated Transactions'!$A:$A,"&gt;="&amp;$A405,'Allocated Transactions'!$A:$A,"&lt;="&amp;EOMONTH($A405,0))*0.99,100)</f>
        <v>0</v>
      </c>
      <c r="K405" s="113" t="s">
        <v>637</v>
      </c>
    </row>
    <row r="406" spans="1:11" ht="15" customHeight="1">
      <c r="A406" s="112">
        <f t="shared" si="15"/>
        <v>46143</v>
      </c>
      <c r="B406" s="113">
        <v>2</v>
      </c>
      <c r="C406" s="18" t="str">
        <f t="shared" si="19"/>
        <v>1020</v>
      </c>
      <c r="D406" s="113" t="str">
        <f>_xlfn.XLOOKUP($C406,'Cost Centers'!$A$2:$A$11,'Cost Centers'!$B$2:$B$11,"")</f>
        <v>M &amp; G</v>
      </c>
      <c r="E406" s="113" t="s">
        <v>107</v>
      </c>
      <c r="F406" s="113" t="str">
        <f>_xlfn.XLOOKUP(E406,'Allocated Transactions'!D:D,'Allocated Transactions'!E:E,"")</f>
        <v>Software and Subscriptions</v>
      </c>
      <c r="G406" s="113" t="s">
        <v>97</v>
      </c>
      <c r="H406" s="113"/>
      <c r="I406" s="113" t="str">
        <f>_xlfn.XLOOKUP($C406,'Cost Centers'!$A$2:$A$11,'Cost Centers'!$C$2:$C$11,"")</f>
        <v>Admin</v>
      </c>
      <c r="J406" s="23">
        <f>MROUND(SUMIFS('Allocated Transactions'!$J:$J,'Allocated Transactions'!$D:$D,$E406,'Allocated Transactions'!$C:$C,$C406,'Allocated Transactions'!$A:$A,"&gt;="&amp;$A406,'Allocated Transactions'!$A:$A,"&lt;="&amp;EOMONTH($A406,0))*0.99,100)</f>
        <v>0</v>
      </c>
      <c r="K406" s="113" t="s">
        <v>637</v>
      </c>
    </row>
    <row r="407" spans="1:11" ht="15" customHeight="1">
      <c r="A407" s="112">
        <f t="shared" si="15"/>
        <v>46143</v>
      </c>
      <c r="B407" s="113">
        <v>2</v>
      </c>
      <c r="C407" s="18" t="str">
        <f t="shared" si="19"/>
        <v>1020</v>
      </c>
      <c r="D407" s="113" t="str">
        <f>_xlfn.XLOOKUP($C407,'Cost Centers'!$A$2:$A$11,'Cost Centers'!$B$2:$B$11,"")</f>
        <v>M &amp; G</v>
      </c>
      <c r="E407" s="113" t="s">
        <v>109</v>
      </c>
      <c r="F407" s="113" t="str">
        <f>_xlfn.XLOOKUP(E407,'Allocated Transactions'!D:D,'Allocated Transactions'!E:E,"")</f>
        <v>Travel</v>
      </c>
      <c r="G407" s="113" t="s">
        <v>97</v>
      </c>
      <c r="H407" s="113"/>
      <c r="I407" s="113" t="str">
        <f>_xlfn.XLOOKUP($C407,'Cost Centers'!$A$2:$A$11,'Cost Centers'!$C$2:$C$11,"")</f>
        <v>Admin</v>
      </c>
      <c r="J407" s="23">
        <f>MROUND(SUMIFS('Allocated Transactions'!$J:$J,'Allocated Transactions'!$D:$D,$E407,'Allocated Transactions'!$C:$C,$C407,'Allocated Transactions'!$A:$A,"&gt;="&amp;$A407,'Allocated Transactions'!$A:$A,"&lt;="&amp;EOMONTH($A407,0))*0.99,100)</f>
        <v>0</v>
      </c>
      <c r="K407" s="113" t="s">
        <v>637</v>
      </c>
    </row>
    <row r="408" spans="1:11" ht="15" customHeight="1">
      <c r="A408" s="112">
        <f t="shared" si="15"/>
        <v>46143</v>
      </c>
      <c r="B408" s="113">
        <v>2</v>
      </c>
      <c r="C408" s="18" t="str">
        <f t="shared" si="19"/>
        <v>1020</v>
      </c>
      <c r="D408" s="113" t="str">
        <f>_xlfn.XLOOKUP($C408,'Cost Centers'!$A$2:$A$11,'Cost Centers'!$B$2:$B$11,"")</f>
        <v>M &amp; G</v>
      </c>
      <c r="E408" s="113" t="s">
        <v>111</v>
      </c>
      <c r="F408" s="113" t="str">
        <f>_xlfn.XLOOKUP(E408,'Allocated Transactions'!D:D,'Allocated Transactions'!E:E,"")</f>
        <v>Meals and Entertainment</v>
      </c>
      <c r="G408" s="113" t="s">
        <v>97</v>
      </c>
      <c r="H408" s="113"/>
      <c r="I408" s="113" t="str">
        <f>_xlfn.XLOOKUP($C408,'Cost Centers'!$A$2:$A$11,'Cost Centers'!$C$2:$C$11,"")</f>
        <v>Admin</v>
      </c>
      <c r="J408" s="23">
        <f>MROUND(SUMIFS('Allocated Transactions'!$J:$J,'Allocated Transactions'!$D:$D,$E408,'Allocated Transactions'!$C:$C,$C408,'Allocated Transactions'!$A:$A,"&gt;="&amp;$A408,'Allocated Transactions'!$A:$A,"&lt;="&amp;EOMONTH($A408,0))*0.99,100)</f>
        <v>0</v>
      </c>
      <c r="K408" s="113" t="s">
        <v>637</v>
      </c>
    </row>
    <row r="409" spans="1:11" ht="15" customHeight="1">
      <c r="A409" s="112">
        <f t="shared" ref="A409:A472" si="20">IF(C409&lt;&gt;C408,DATE(2025,7,1),IF(E409="5000",EOMONTH(A408,0)+1,A408))</f>
        <v>46143</v>
      </c>
      <c r="B409" s="113">
        <v>2</v>
      </c>
      <c r="C409" s="18" t="str">
        <f t="shared" si="19"/>
        <v>1020</v>
      </c>
      <c r="D409" s="113" t="str">
        <f>_xlfn.XLOOKUP($C409,'Cost Centers'!$A$2:$A$11,'Cost Centers'!$B$2:$B$11,"")</f>
        <v>M &amp; G</v>
      </c>
      <c r="E409" s="113" t="s">
        <v>113</v>
      </c>
      <c r="F409" s="113" t="str">
        <f>_xlfn.XLOOKUP(E409,'Allocated Transactions'!D:D,'Allocated Transactions'!E:E,"")</f>
        <v>Professional Fees - Legal</v>
      </c>
      <c r="G409" s="113" t="s">
        <v>97</v>
      </c>
      <c r="H409" s="113"/>
      <c r="I409" s="113" t="str">
        <f>_xlfn.XLOOKUP($C409,'Cost Centers'!$A$2:$A$11,'Cost Centers'!$C$2:$C$11,"")</f>
        <v>Admin</v>
      </c>
      <c r="J409" s="23">
        <f>MROUND(SUMIFS('Allocated Transactions'!$J:$J,'Allocated Transactions'!$D:$D,$E409,'Allocated Transactions'!$C:$C,$C409,'Allocated Transactions'!$A:$A,"&gt;="&amp;$A409,'Allocated Transactions'!$A:$A,"&lt;="&amp;EOMONTH($A409,0))*0.99,100)</f>
        <v>2000</v>
      </c>
      <c r="K409" s="113" t="s">
        <v>637</v>
      </c>
    </row>
    <row r="410" spans="1:11" ht="15" customHeight="1">
      <c r="A410" s="112">
        <f t="shared" si="20"/>
        <v>46143</v>
      </c>
      <c r="B410" s="113">
        <v>2</v>
      </c>
      <c r="C410" s="18" t="str">
        <f t="shared" si="19"/>
        <v>1020</v>
      </c>
      <c r="D410" s="113" t="str">
        <f>_xlfn.XLOOKUP($C410,'Cost Centers'!$A$2:$A$11,'Cost Centers'!$B$2:$B$11,"")</f>
        <v>M &amp; G</v>
      </c>
      <c r="E410" s="113" t="s">
        <v>115</v>
      </c>
      <c r="F410" s="113" t="str">
        <f>_xlfn.XLOOKUP(E410,'Allocated Transactions'!D:D,'Allocated Transactions'!E:E,"")</f>
        <v>Professional Fees - Accounting/Audit</v>
      </c>
      <c r="G410" s="113" t="s">
        <v>97</v>
      </c>
      <c r="H410" s="113"/>
      <c r="I410" s="113" t="str">
        <f>_xlfn.XLOOKUP($C410,'Cost Centers'!$A$2:$A$11,'Cost Centers'!$C$2:$C$11,"")</f>
        <v>Admin</v>
      </c>
      <c r="J410" s="23">
        <f>MROUND(SUMIFS('Allocated Transactions'!$J:$J,'Allocated Transactions'!$D:$D,$E410,'Allocated Transactions'!$C:$C,$C410,'Allocated Transactions'!$A:$A,"&gt;="&amp;$A410,'Allocated Transactions'!$A:$A,"&lt;="&amp;EOMONTH($A410,0))*0.99,100)</f>
        <v>0</v>
      </c>
      <c r="K410" s="113" t="s">
        <v>637</v>
      </c>
    </row>
    <row r="411" spans="1:11" ht="15" customHeight="1">
      <c r="A411" s="112">
        <f t="shared" si="20"/>
        <v>46143</v>
      </c>
      <c r="B411" s="113">
        <v>2</v>
      </c>
      <c r="C411" s="18" t="str">
        <f t="shared" si="19"/>
        <v>1020</v>
      </c>
      <c r="D411" s="113" t="str">
        <f>_xlfn.XLOOKUP($C411,'Cost Centers'!$A$2:$A$11,'Cost Centers'!$B$2:$B$11,"")</f>
        <v>M &amp; G</v>
      </c>
      <c r="E411" s="113" t="s">
        <v>117</v>
      </c>
      <c r="F411" s="113" t="str">
        <f>_xlfn.XLOOKUP(E411,'Allocated Transactions'!D:D,'Allocated Transactions'!E:E,"")</f>
        <v>Insurance</v>
      </c>
      <c r="G411" s="113" t="s">
        <v>97</v>
      </c>
      <c r="H411" s="113"/>
      <c r="I411" s="113" t="str">
        <f>_xlfn.XLOOKUP($C411,'Cost Centers'!$A$2:$A$11,'Cost Centers'!$C$2:$C$11,"")</f>
        <v>Admin</v>
      </c>
      <c r="J411" s="23">
        <f>MROUND(SUMIFS('Allocated Transactions'!$J:$J,'Allocated Transactions'!$D:$D,$E411,'Allocated Transactions'!$C:$C,$C411,'Allocated Transactions'!$A:$A,"&gt;="&amp;$A411,'Allocated Transactions'!$A:$A,"&lt;="&amp;EOMONTH($A411,0))*0.99,100)</f>
        <v>0</v>
      </c>
      <c r="K411" s="113" t="s">
        <v>637</v>
      </c>
    </row>
    <row r="412" spans="1:11" ht="15" customHeight="1">
      <c r="A412" s="112">
        <f t="shared" si="20"/>
        <v>46143</v>
      </c>
      <c r="B412" s="113">
        <v>2</v>
      </c>
      <c r="C412" s="18" t="str">
        <f t="shared" si="19"/>
        <v>1020</v>
      </c>
      <c r="D412" s="113" t="str">
        <f>_xlfn.XLOOKUP($C412,'Cost Centers'!$A$2:$A$11,'Cost Centers'!$B$2:$B$11,"")</f>
        <v>M &amp; G</v>
      </c>
      <c r="E412" s="113" t="s">
        <v>119</v>
      </c>
      <c r="F412" s="113" t="str">
        <f>_xlfn.XLOOKUP(E412,'Allocated Transactions'!D:D,'Allocated Transactions'!E:E,"")</f>
        <v>Depreciation Expense</v>
      </c>
      <c r="G412" s="113" t="s">
        <v>97</v>
      </c>
      <c r="H412" s="113"/>
      <c r="I412" s="113" t="str">
        <f>_xlfn.XLOOKUP($C412,'Cost Centers'!$A$2:$A$11,'Cost Centers'!$C$2:$C$11,"")</f>
        <v>Admin</v>
      </c>
      <c r="J412" s="23">
        <f>MROUND(SUMIFS('Allocated Transactions'!$J:$J,'Allocated Transactions'!$D:$D,$E412,'Allocated Transactions'!$C:$C,$C412,'Allocated Transactions'!$A:$A,"&gt;="&amp;$A412,'Allocated Transactions'!$A:$A,"&lt;="&amp;EOMONTH($A412,0))*0.99,100)</f>
        <v>2400</v>
      </c>
      <c r="K412" s="113" t="s">
        <v>637</v>
      </c>
    </row>
    <row r="413" spans="1:11" ht="15" customHeight="1">
      <c r="A413" s="112">
        <f t="shared" si="20"/>
        <v>46143</v>
      </c>
      <c r="B413" s="113">
        <v>2</v>
      </c>
      <c r="C413" s="18" t="str">
        <f t="shared" si="19"/>
        <v>1020</v>
      </c>
      <c r="D413" s="113" t="str">
        <f>_xlfn.XLOOKUP($C413,'Cost Centers'!$A$2:$A$11,'Cost Centers'!$B$2:$B$11,"")</f>
        <v>M &amp; G</v>
      </c>
      <c r="E413" s="113" t="s">
        <v>121</v>
      </c>
      <c r="F413" s="113" t="str">
        <f>_xlfn.XLOOKUP(E413,'Allocated Transactions'!D:D,'Allocated Transactions'!E:E,"")</f>
        <v>Bank Fees</v>
      </c>
      <c r="G413" s="113" t="s">
        <v>97</v>
      </c>
      <c r="H413" s="113"/>
      <c r="I413" s="113" t="str">
        <f>_xlfn.XLOOKUP($C413,'Cost Centers'!$A$2:$A$11,'Cost Centers'!$C$2:$C$11,"")</f>
        <v>Admin</v>
      </c>
      <c r="J413" s="23">
        <f>MROUND(SUMIFS('Allocated Transactions'!$J:$J,'Allocated Transactions'!$D:$D,$E413,'Allocated Transactions'!$C:$C,$C413,'Allocated Transactions'!$A:$A,"&gt;="&amp;$A413,'Allocated Transactions'!$A:$A,"&lt;="&amp;EOMONTH($A413,0))*0.99,100)</f>
        <v>100</v>
      </c>
      <c r="K413" s="113" t="s">
        <v>637</v>
      </c>
    </row>
    <row r="414" spans="1:11" ht="15" customHeight="1">
      <c r="A414" s="112">
        <f t="shared" si="20"/>
        <v>46143</v>
      </c>
      <c r="B414" s="113">
        <v>2</v>
      </c>
      <c r="C414" s="18" t="str">
        <f t="shared" si="19"/>
        <v>1020</v>
      </c>
      <c r="D414" s="113" t="str">
        <f>_xlfn.XLOOKUP($C414,'Cost Centers'!$A$2:$A$11,'Cost Centers'!$B$2:$B$11,"")</f>
        <v>M &amp; G</v>
      </c>
      <c r="E414" s="113" t="s">
        <v>123</v>
      </c>
      <c r="F414" s="113" t="str">
        <f>_xlfn.XLOOKUP(E414,'Allocated Transactions'!D:D,'Allocated Transactions'!E:E,"")</f>
        <v>Interest Expense</v>
      </c>
      <c r="G414" s="113" t="s">
        <v>97</v>
      </c>
      <c r="H414" s="113"/>
      <c r="I414" s="113" t="str">
        <f>_xlfn.XLOOKUP($C414,'Cost Centers'!$A$2:$A$11,'Cost Centers'!$C$2:$C$11,"")</f>
        <v>Admin</v>
      </c>
      <c r="J414" s="23">
        <f>MROUND(SUMIFS('Allocated Transactions'!$J:$J,'Allocated Transactions'!$D:$D,$E414,'Allocated Transactions'!$C:$C,$C414,'Allocated Transactions'!$A:$A,"&gt;="&amp;$A414,'Allocated Transactions'!$A:$A,"&lt;="&amp;EOMONTH($A414,0))*0.99,100)</f>
        <v>400</v>
      </c>
      <c r="K414" s="113" t="s">
        <v>637</v>
      </c>
    </row>
    <row r="415" spans="1:11" ht="15" customHeight="1">
      <c r="A415" s="112">
        <f t="shared" si="20"/>
        <v>46143</v>
      </c>
      <c r="B415" s="113">
        <v>2</v>
      </c>
      <c r="C415" s="18" t="str">
        <f t="shared" si="19"/>
        <v>1020</v>
      </c>
      <c r="D415" s="113" t="str">
        <f>_xlfn.XLOOKUP($C415,'Cost Centers'!$A$2:$A$11,'Cost Centers'!$B$2:$B$11,"")</f>
        <v>M &amp; G</v>
      </c>
      <c r="E415" s="113" t="s">
        <v>125</v>
      </c>
      <c r="F415" s="113" t="str">
        <f>_xlfn.XLOOKUP(E415,'Allocated Transactions'!D:D,'Allocated Transactions'!E:E,"")</f>
        <v>Miscellaneous Expense</v>
      </c>
      <c r="G415" s="113" t="s">
        <v>97</v>
      </c>
      <c r="H415" s="113"/>
      <c r="I415" s="113" t="str">
        <f>_xlfn.XLOOKUP($C415,'Cost Centers'!$A$2:$A$11,'Cost Centers'!$C$2:$C$11,"")</f>
        <v>Admin</v>
      </c>
      <c r="J415" s="23">
        <f>MROUND(SUMIFS('Allocated Transactions'!$J:$J,'Allocated Transactions'!$D:$D,$E415,'Allocated Transactions'!$C:$C,$C415,'Allocated Transactions'!$A:$A,"&gt;="&amp;$A415,'Allocated Transactions'!$A:$A,"&lt;="&amp;EOMONTH($A415,0))*0.99,100)</f>
        <v>0</v>
      </c>
      <c r="K415" s="113" t="s">
        <v>637</v>
      </c>
    </row>
    <row r="416" spans="1:11" ht="15" customHeight="1">
      <c r="A416" s="112">
        <f t="shared" si="20"/>
        <v>46174</v>
      </c>
      <c r="B416" s="113">
        <v>2</v>
      </c>
      <c r="C416" s="18" t="s">
        <v>46</v>
      </c>
      <c r="D416" s="113" t="str">
        <f>_xlfn.XLOOKUP($C416,'Cost Centers'!$A$2:$A$11,'Cost Centers'!$B$2:$B$11,"")</f>
        <v>M &amp; G</v>
      </c>
      <c r="E416" s="113" t="s">
        <v>28</v>
      </c>
      <c r="F416" s="113" t="str">
        <f>_xlfn.XLOOKUP(E416,'Allocated Transactions'!D:D,'Allocated Transactions'!E:E,"")</f>
        <v>Salaries and Wages</v>
      </c>
      <c r="G416" s="113" t="s">
        <v>97</v>
      </c>
      <c r="H416" s="113"/>
      <c r="I416" s="113" t="str">
        <f>_xlfn.XLOOKUP($C416,'Cost Centers'!$A$2:$A$11,'Cost Centers'!$C$2:$C$11,"")</f>
        <v>Admin</v>
      </c>
      <c r="J416" s="23">
        <f>MROUND(SUMIFS('Allocated Transactions'!$J:$J,'Allocated Transactions'!$D:$D,$E416,'Allocated Transactions'!$C:$C,$C416,'Allocated Transactions'!$A:$A,"&gt;="&amp;$A416,'Allocated Transactions'!$A:$A,"&lt;="&amp;EOMONTH($A416,0))*0.99,100)</f>
        <v>0</v>
      </c>
      <c r="K416" s="113" t="s">
        <v>637</v>
      </c>
    </row>
    <row r="417" spans="1:11" ht="15" customHeight="1">
      <c r="A417" s="112">
        <f t="shared" si="20"/>
        <v>46174</v>
      </c>
      <c r="B417" s="113">
        <v>2</v>
      </c>
      <c r="C417" s="18" t="str">
        <f t="shared" ref="C417:C433" si="21">C416</f>
        <v>1020</v>
      </c>
      <c r="D417" s="113" t="str">
        <f>_xlfn.XLOOKUP($C417,'Cost Centers'!$A$2:$A$11,'Cost Centers'!$B$2:$B$11,"")</f>
        <v>M &amp; G</v>
      </c>
      <c r="E417" s="113" t="s">
        <v>29</v>
      </c>
      <c r="F417" s="113" t="str">
        <f>_xlfn.XLOOKUP(E417,'Allocated Transactions'!D:D,'Allocated Transactions'!E:E,"")</f>
        <v>Payroll Taxes</v>
      </c>
      <c r="G417" s="113" t="s">
        <v>97</v>
      </c>
      <c r="H417" s="113"/>
      <c r="I417" s="113" t="str">
        <f>_xlfn.XLOOKUP($C417,'Cost Centers'!$A$2:$A$11,'Cost Centers'!$C$2:$C$11,"")</f>
        <v>Admin</v>
      </c>
      <c r="J417" s="23">
        <f>MROUND(SUMIFS('Allocated Transactions'!$J:$J,'Allocated Transactions'!$D:$D,$E417,'Allocated Transactions'!$C:$C,$C417,'Allocated Transactions'!$A:$A,"&gt;="&amp;$A417,'Allocated Transactions'!$A:$A,"&lt;="&amp;EOMONTH($A417,0))*0.99,100)</f>
        <v>0</v>
      </c>
      <c r="K417" s="113" t="s">
        <v>637</v>
      </c>
    </row>
    <row r="418" spans="1:11" ht="15" customHeight="1">
      <c r="A418" s="112">
        <f t="shared" si="20"/>
        <v>46174</v>
      </c>
      <c r="B418" s="113">
        <v>2</v>
      </c>
      <c r="C418" s="18" t="str">
        <f t="shared" si="21"/>
        <v>1020</v>
      </c>
      <c r="D418" s="113" t="str">
        <f>_xlfn.XLOOKUP($C418,'Cost Centers'!$A$2:$A$11,'Cost Centers'!$B$2:$B$11,"")</f>
        <v>M &amp; G</v>
      </c>
      <c r="E418" s="113" t="s">
        <v>30</v>
      </c>
      <c r="F418" s="113" t="str">
        <f>_xlfn.XLOOKUP(E418,'Allocated Transactions'!D:D,'Allocated Transactions'!E:E,"")</f>
        <v>Employee Benefits</v>
      </c>
      <c r="G418" s="113" t="s">
        <v>97</v>
      </c>
      <c r="H418" s="113"/>
      <c r="I418" s="113" t="str">
        <f>_xlfn.XLOOKUP($C418,'Cost Centers'!$A$2:$A$11,'Cost Centers'!$C$2:$C$11,"")</f>
        <v>Admin</v>
      </c>
      <c r="J418" s="23">
        <f>MROUND(SUMIFS('Allocated Transactions'!$J:$J,'Allocated Transactions'!$D:$D,$E418,'Allocated Transactions'!$C:$C,$C418,'Allocated Transactions'!$A:$A,"&gt;="&amp;$A418,'Allocated Transactions'!$A:$A,"&lt;="&amp;EOMONTH($A418,0))*0.99,100)</f>
        <v>0</v>
      </c>
      <c r="K418" s="113" t="s">
        <v>637</v>
      </c>
    </row>
    <row r="419" spans="1:11" ht="15" customHeight="1">
      <c r="A419" s="112">
        <f t="shared" si="20"/>
        <v>46174</v>
      </c>
      <c r="B419" s="113">
        <v>2</v>
      </c>
      <c r="C419" s="18" t="str">
        <f t="shared" si="21"/>
        <v>1020</v>
      </c>
      <c r="D419" s="113" t="str">
        <f>_xlfn.XLOOKUP($C419,'Cost Centers'!$A$2:$A$11,'Cost Centers'!$B$2:$B$11,"")</f>
        <v>M &amp; G</v>
      </c>
      <c r="E419" s="113" t="s">
        <v>31</v>
      </c>
      <c r="F419" s="113" t="str">
        <f>_xlfn.XLOOKUP(E419,'Allocated Transactions'!D:D,'Allocated Transactions'!E:E,"")</f>
        <v>Retirement Contributions</v>
      </c>
      <c r="G419" s="113" t="s">
        <v>97</v>
      </c>
      <c r="H419" s="113"/>
      <c r="I419" s="113" t="str">
        <f>_xlfn.XLOOKUP($C419,'Cost Centers'!$A$2:$A$11,'Cost Centers'!$C$2:$C$11,"")</f>
        <v>Admin</v>
      </c>
      <c r="J419" s="23">
        <f>MROUND(SUMIFS('Allocated Transactions'!$J:$J,'Allocated Transactions'!$D:$D,$E419,'Allocated Transactions'!$C:$C,$C419,'Allocated Transactions'!$A:$A,"&gt;="&amp;$A419,'Allocated Transactions'!$A:$A,"&lt;="&amp;EOMONTH($A419,0))*0.99,100)</f>
        <v>0</v>
      </c>
      <c r="K419" s="113" t="s">
        <v>637</v>
      </c>
    </row>
    <row r="420" spans="1:11" ht="15" customHeight="1">
      <c r="A420" s="112">
        <f t="shared" si="20"/>
        <v>46174</v>
      </c>
      <c r="B420" s="113">
        <v>2</v>
      </c>
      <c r="C420" s="18" t="str">
        <f t="shared" si="21"/>
        <v>1020</v>
      </c>
      <c r="D420" s="113" t="str">
        <f>_xlfn.XLOOKUP($C420,'Cost Centers'!$A$2:$A$11,'Cost Centers'!$B$2:$B$11,"")</f>
        <v>M &amp; G</v>
      </c>
      <c r="E420" s="113" t="s">
        <v>101</v>
      </c>
      <c r="F420" s="113" t="str">
        <f>_xlfn.XLOOKUP(E420,'Allocated Transactions'!D:D,'Allocated Transactions'!E:E,"")</f>
        <v>Contract Labor / Consultants</v>
      </c>
      <c r="G420" s="113" t="s">
        <v>97</v>
      </c>
      <c r="H420" s="113"/>
      <c r="I420" s="113" t="str">
        <f>_xlfn.XLOOKUP($C420,'Cost Centers'!$A$2:$A$11,'Cost Centers'!$C$2:$C$11,"")</f>
        <v>Admin</v>
      </c>
      <c r="J420" s="23">
        <f>MROUND(SUMIFS('Allocated Transactions'!$J:$J,'Allocated Transactions'!$D:$D,$E420,'Allocated Transactions'!$C:$C,$C420,'Allocated Transactions'!$A:$A,"&gt;="&amp;$A420,'Allocated Transactions'!$A:$A,"&lt;="&amp;EOMONTH($A420,0))*0.99,100)</f>
        <v>0</v>
      </c>
      <c r="K420" s="113" t="s">
        <v>637</v>
      </c>
    </row>
    <row r="421" spans="1:11" ht="15" customHeight="1">
      <c r="A421" s="112">
        <f t="shared" si="20"/>
        <v>46174</v>
      </c>
      <c r="B421" s="113">
        <v>2</v>
      </c>
      <c r="C421" s="18" t="str">
        <f t="shared" si="21"/>
        <v>1020</v>
      </c>
      <c r="D421" s="113" t="str">
        <f>_xlfn.XLOOKUP($C421,'Cost Centers'!$A$2:$A$11,'Cost Centers'!$B$2:$B$11,"")</f>
        <v>M &amp; G</v>
      </c>
      <c r="E421" s="113" t="s">
        <v>32</v>
      </c>
      <c r="F421" s="113" t="str">
        <f>_xlfn.XLOOKUP(E421,'Allocated Transactions'!D:D,'Allocated Transactions'!E:E,"")</f>
        <v>Rent</v>
      </c>
      <c r="G421" s="113" t="s">
        <v>97</v>
      </c>
      <c r="H421" s="113"/>
      <c r="I421" s="113" t="str">
        <f>_xlfn.XLOOKUP($C421,'Cost Centers'!$A$2:$A$11,'Cost Centers'!$C$2:$C$11,"")</f>
        <v>Admin</v>
      </c>
      <c r="J421" s="23">
        <f>MROUND(SUMIFS('Allocated Transactions'!$J:$J,'Allocated Transactions'!$D:$D,$E421,'Allocated Transactions'!$C:$C,$C421,'Allocated Transactions'!$A:$A,"&gt;="&amp;$A421,'Allocated Transactions'!$A:$A,"&lt;="&amp;EOMONTH($A421,0))*0.99,100)</f>
        <v>0</v>
      </c>
      <c r="K421" s="113" t="s">
        <v>637</v>
      </c>
    </row>
    <row r="422" spans="1:11" ht="15" customHeight="1">
      <c r="A422" s="112">
        <f t="shared" si="20"/>
        <v>46174</v>
      </c>
      <c r="B422" s="113">
        <v>2</v>
      </c>
      <c r="C422" s="18" t="str">
        <f t="shared" si="21"/>
        <v>1020</v>
      </c>
      <c r="D422" s="113" t="str">
        <f>_xlfn.XLOOKUP($C422,'Cost Centers'!$A$2:$A$11,'Cost Centers'!$B$2:$B$11,"")</f>
        <v>M &amp; G</v>
      </c>
      <c r="E422" s="113" t="s">
        <v>33</v>
      </c>
      <c r="F422" s="113" t="str">
        <f>_xlfn.XLOOKUP(E422,'Allocated Transactions'!D:D,'Allocated Transactions'!E:E,"")</f>
        <v>Utilities</v>
      </c>
      <c r="G422" s="113" t="s">
        <v>97</v>
      </c>
      <c r="H422" s="113"/>
      <c r="I422" s="113" t="str">
        <f>_xlfn.XLOOKUP($C422,'Cost Centers'!$A$2:$A$11,'Cost Centers'!$C$2:$C$11,"")</f>
        <v>Admin</v>
      </c>
      <c r="J422" s="23">
        <f>MROUND(SUMIFS('Allocated Transactions'!$J:$J,'Allocated Transactions'!$D:$D,$E422,'Allocated Transactions'!$C:$C,$C422,'Allocated Transactions'!$A:$A,"&gt;="&amp;$A422,'Allocated Transactions'!$A:$A,"&lt;="&amp;EOMONTH($A422,0))*0.99,100)</f>
        <v>0</v>
      </c>
      <c r="K422" s="113" t="s">
        <v>637</v>
      </c>
    </row>
    <row r="423" spans="1:11" ht="15" customHeight="1">
      <c r="A423" s="112">
        <f t="shared" si="20"/>
        <v>46174</v>
      </c>
      <c r="B423" s="113">
        <v>2</v>
      </c>
      <c r="C423" s="18" t="str">
        <f t="shared" si="21"/>
        <v>1020</v>
      </c>
      <c r="D423" s="113" t="str">
        <f>_xlfn.XLOOKUP($C423,'Cost Centers'!$A$2:$A$11,'Cost Centers'!$B$2:$B$11,"")</f>
        <v>M &amp; G</v>
      </c>
      <c r="E423" s="113" t="s">
        <v>105</v>
      </c>
      <c r="F423" s="113" t="str">
        <f>_xlfn.XLOOKUP(E423,'Allocated Transactions'!D:D,'Allocated Transactions'!E:E,"")</f>
        <v>Office Supplies</v>
      </c>
      <c r="G423" s="113" t="s">
        <v>97</v>
      </c>
      <c r="H423" s="113"/>
      <c r="I423" s="113" t="str">
        <f>_xlfn.XLOOKUP($C423,'Cost Centers'!$A$2:$A$11,'Cost Centers'!$C$2:$C$11,"")</f>
        <v>Admin</v>
      </c>
      <c r="J423" s="23">
        <f>MROUND(SUMIFS('Allocated Transactions'!$J:$J,'Allocated Transactions'!$D:$D,$E423,'Allocated Transactions'!$C:$C,$C423,'Allocated Transactions'!$A:$A,"&gt;="&amp;$A423,'Allocated Transactions'!$A:$A,"&lt;="&amp;EOMONTH($A423,0))*0.99,100)</f>
        <v>0</v>
      </c>
      <c r="K423" s="113" t="s">
        <v>637</v>
      </c>
    </row>
    <row r="424" spans="1:11" ht="15" customHeight="1">
      <c r="A424" s="112">
        <f t="shared" si="20"/>
        <v>46174</v>
      </c>
      <c r="B424" s="113">
        <v>2</v>
      </c>
      <c r="C424" s="18" t="str">
        <f t="shared" si="21"/>
        <v>1020</v>
      </c>
      <c r="D424" s="113" t="str">
        <f>_xlfn.XLOOKUP($C424,'Cost Centers'!$A$2:$A$11,'Cost Centers'!$B$2:$B$11,"")</f>
        <v>M &amp; G</v>
      </c>
      <c r="E424" s="113" t="s">
        <v>107</v>
      </c>
      <c r="F424" s="113" t="str">
        <f>_xlfn.XLOOKUP(E424,'Allocated Transactions'!D:D,'Allocated Transactions'!E:E,"")</f>
        <v>Software and Subscriptions</v>
      </c>
      <c r="G424" s="113" t="s">
        <v>97</v>
      </c>
      <c r="H424" s="113"/>
      <c r="I424" s="113" t="str">
        <f>_xlfn.XLOOKUP($C424,'Cost Centers'!$A$2:$A$11,'Cost Centers'!$C$2:$C$11,"")</f>
        <v>Admin</v>
      </c>
      <c r="J424" s="23">
        <f>MROUND(SUMIFS('Allocated Transactions'!$J:$J,'Allocated Transactions'!$D:$D,$E424,'Allocated Transactions'!$C:$C,$C424,'Allocated Transactions'!$A:$A,"&gt;="&amp;$A424,'Allocated Transactions'!$A:$A,"&lt;="&amp;EOMONTH($A424,0))*0.99,100)</f>
        <v>0</v>
      </c>
      <c r="K424" s="113" t="s">
        <v>637</v>
      </c>
    </row>
    <row r="425" spans="1:11" ht="15" customHeight="1">
      <c r="A425" s="112">
        <f t="shared" si="20"/>
        <v>46174</v>
      </c>
      <c r="B425" s="113">
        <v>2</v>
      </c>
      <c r="C425" s="18" t="str">
        <f t="shared" si="21"/>
        <v>1020</v>
      </c>
      <c r="D425" s="113" t="str">
        <f>_xlfn.XLOOKUP($C425,'Cost Centers'!$A$2:$A$11,'Cost Centers'!$B$2:$B$11,"")</f>
        <v>M &amp; G</v>
      </c>
      <c r="E425" s="113" t="s">
        <v>109</v>
      </c>
      <c r="F425" s="113" t="str">
        <f>_xlfn.XLOOKUP(E425,'Allocated Transactions'!D:D,'Allocated Transactions'!E:E,"")</f>
        <v>Travel</v>
      </c>
      <c r="G425" s="113" t="s">
        <v>97</v>
      </c>
      <c r="H425" s="113"/>
      <c r="I425" s="113" t="str">
        <f>_xlfn.XLOOKUP($C425,'Cost Centers'!$A$2:$A$11,'Cost Centers'!$C$2:$C$11,"")</f>
        <v>Admin</v>
      </c>
      <c r="J425" s="23">
        <f>MROUND(SUMIFS('Allocated Transactions'!$J:$J,'Allocated Transactions'!$D:$D,$E425,'Allocated Transactions'!$C:$C,$C425,'Allocated Transactions'!$A:$A,"&gt;="&amp;$A425,'Allocated Transactions'!$A:$A,"&lt;="&amp;EOMONTH($A425,0))*0.99,100)</f>
        <v>0</v>
      </c>
      <c r="K425" s="113" t="s">
        <v>637</v>
      </c>
    </row>
    <row r="426" spans="1:11" ht="15" customHeight="1">
      <c r="A426" s="112">
        <f t="shared" si="20"/>
        <v>46174</v>
      </c>
      <c r="B426" s="113">
        <v>2</v>
      </c>
      <c r="C426" s="18" t="str">
        <f t="shared" si="21"/>
        <v>1020</v>
      </c>
      <c r="D426" s="113" t="str">
        <f>_xlfn.XLOOKUP($C426,'Cost Centers'!$A$2:$A$11,'Cost Centers'!$B$2:$B$11,"")</f>
        <v>M &amp; G</v>
      </c>
      <c r="E426" s="113" t="s">
        <v>111</v>
      </c>
      <c r="F426" s="113" t="str">
        <f>_xlfn.XLOOKUP(E426,'Allocated Transactions'!D:D,'Allocated Transactions'!E:E,"")</f>
        <v>Meals and Entertainment</v>
      </c>
      <c r="G426" s="113" t="s">
        <v>97</v>
      </c>
      <c r="H426" s="113"/>
      <c r="I426" s="113" t="str">
        <f>_xlfn.XLOOKUP($C426,'Cost Centers'!$A$2:$A$11,'Cost Centers'!$C$2:$C$11,"")</f>
        <v>Admin</v>
      </c>
      <c r="J426" s="23">
        <f>MROUND(SUMIFS('Allocated Transactions'!$J:$J,'Allocated Transactions'!$D:$D,$E426,'Allocated Transactions'!$C:$C,$C426,'Allocated Transactions'!$A:$A,"&gt;="&amp;$A426,'Allocated Transactions'!$A:$A,"&lt;="&amp;EOMONTH($A426,0))*0.99,100)</f>
        <v>0</v>
      </c>
      <c r="K426" s="113" t="s">
        <v>637</v>
      </c>
    </row>
    <row r="427" spans="1:11" ht="15" customHeight="1">
      <c r="A427" s="112">
        <f t="shared" si="20"/>
        <v>46174</v>
      </c>
      <c r="B427" s="113">
        <v>2</v>
      </c>
      <c r="C427" s="18" t="str">
        <f t="shared" si="21"/>
        <v>1020</v>
      </c>
      <c r="D427" s="113" t="str">
        <f>_xlfn.XLOOKUP($C427,'Cost Centers'!$A$2:$A$11,'Cost Centers'!$B$2:$B$11,"")</f>
        <v>M &amp; G</v>
      </c>
      <c r="E427" s="113" t="s">
        <v>113</v>
      </c>
      <c r="F427" s="113" t="str">
        <f>_xlfn.XLOOKUP(E427,'Allocated Transactions'!D:D,'Allocated Transactions'!E:E,"")</f>
        <v>Professional Fees - Legal</v>
      </c>
      <c r="G427" s="113" t="s">
        <v>97</v>
      </c>
      <c r="H427" s="113"/>
      <c r="I427" s="113" t="str">
        <f>_xlfn.XLOOKUP($C427,'Cost Centers'!$A$2:$A$11,'Cost Centers'!$C$2:$C$11,"")</f>
        <v>Admin</v>
      </c>
      <c r="J427" s="23">
        <f>MROUND(SUMIFS('Allocated Transactions'!$J:$J,'Allocated Transactions'!$D:$D,$E427,'Allocated Transactions'!$C:$C,$C427,'Allocated Transactions'!$A:$A,"&gt;="&amp;$A427,'Allocated Transactions'!$A:$A,"&lt;="&amp;EOMONTH($A427,0))*0.99,100)</f>
        <v>0</v>
      </c>
      <c r="K427" s="113" t="s">
        <v>637</v>
      </c>
    </row>
    <row r="428" spans="1:11" ht="15" customHeight="1">
      <c r="A428" s="112">
        <f t="shared" si="20"/>
        <v>46174</v>
      </c>
      <c r="B428" s="113">
        <v>2</v>
      </c>
      <c r="C428" s="18" t="str">
        <f t="shared" si="21"/>
        <v>1020</v>
      </c>
      <c r="D428" s="113" t="str">
        <f>_xlfn.XLOOKUP($C428,'Cost Centers'!$A$2:$A$11,'Cost Centers'!$B$2:$B$11,"")</f>
        <v>M &amp; G</v>
      </c>
      <c r="E428" s="113" t="s">
        <v>115</v>
      </c>
      <c r="F428" s="113" t="str">
        <f>_xlfn.XLOOKUP(E428,'Allocated Transactions'!D:D,'Allocated Transactions'!E:E,"")</f>
        <v>Professional Fees - Accounting/Audit</v>
      </c>
      <c r="G428" s="113" t="s">
        <v>97</v>
      </c>
      <c r="H428" s="113"/>
      <c r="I428" s="113" t="str">
        <f>_xlfn.XLOOKUP($C428,'Cost Centers'!$A$2:$A$11,'Cost Centers'!$C$2:$C$11,"")</f>
        <v>Admin</v>
      </c>
      <c r="J428" s="23">
        <f>MROUND(SUMIFS('Allocated Transactions'!$J:$J,'Allocated Transactions'!$D:$D,$E428,'Allocated Transactions'!$C:$C,$C428,'Allocated Transactions'!$A:$A,"&gt;="&amp;$A428,'Allocated Transactions'!$A:$A,"&lt;="&amp;EOMONTH($A428,0))*0.99,100)</f>
        <v>0</v>
      </c>
      <c r="K428" s="113" t="s">
        <v>637</v>
      </c>
    </row>
    <row r="429" spans="1:11" ht="15" customHeight="1">
      <c r="A429" s="112">
        <f t="shared" si="20"/>
        <v>46174</v>
      </c>
      <c r="B429" s="113">
        <v>2</v>
      </c>
      <c r="C429" s="18" t="str">
        <f t="shared" si="21"/>
        <v>1020</v>
      </c>
      <c r="D429" s="113" t="str">
        <f>_xlfn.XLOOKUP($C429,'Cost Centers'!$A$2:$A$11,'Cost Centers'!$B$2:$B$11,"")</f>
        <v>M &amp; G</v>
      </c>
      <c r="E429" s="113" t="s">
        <v>117</v>
      </c>
      <c r="F429" s="113" t="str">
        <f>_xlfn.XLOOKUP(E429,'Allocated Transactions'!D:D,'Allocated Transactions'!E:E,"")</f>
        <v>Insurance</v>
      </c>
      <c r="G429" s="113" t="s">
        <v>97</v>
      </c>
      <c r="H429" s="113"/>
      <c r="I429" s="113" t="str">
        <f>_xlfn.XLOOKUP($C429,'Cost Centers'!$A$2:$A$11,'Cost Centers'!$C$2:$C$11,"")</f>
        <v>Admin</v>
      </c>
      <c r="J429" s="23">
        <f>MROUND(SUMIFS('Allocated Transactions'!$J:$J,'Allocated Transactions'!$D:$D,$E429,'Allocated Transactions'!$C:$C,$C429,'Allocated Transactions'!$A:$A,"&gt;="&amp;$A429,'Allocated Transactions'!$A:$A,"&lt;="&amp;EOMONTH($A429,0))*0.99,100)</f>
        <v>0</v>
      </c>
      <c r="K429" s="113" t="s">
        <v>637</v>
      </c>
    </row>
    <row r="430" spans="1:11" ht="15" customHeight="1">
      <c r="A430" s="112">
        <f t="shared" si="20"/>
        <v>46174</v>
      </c>
      <c r="B430" s="113">
        <v>2</v>
      </c>
      <c r="C430" s="18" t="str">
        <f t="shared" si="21"/>
        <v>1020</v>
      </c>
      <c r="D430" s="113" t="str">
        <f>_xlfn.XLOOKUP($C430,'Cost Centers'!$A$2:$A$11,'Cost Centers'!$B$2:$B$11,"")</f>
        <v>M &amp; G</v>
      </c>
      <c r="E430" s="113" t="s">
        <v>119</v>
      </c>
      <c r="F430" s="113" t="str">
        <f>_xlfn.XLOOKUP(E430,'Allocated Transactions'!D:D,'Allocated Transactions'!E:E,"")</f>
        <v>Depreciation Expense</v>
      </c>
      <c r="G430" s="113" t="s">
        <v>97</v>
      </c>
      <c r="H430" s="113"/>
      <c r="I430" s="113" t="str">
        <f>_xlfn.XLOOKUP($C430,'Cost Centers'!$A$2:$A$11,'Cost Centers'!$C$2:$C$11,"")</f>
        <v>Admin</v>
      </c>
      <c r="J430" s="23">
        <f>MROUND(SUMIFS('Allocated Transactions'!$J:$J,'Allocated Transactions'!$D:$D,$E430,'Allocated Transactions'!$C:$C,$C430,'Allocated Transactions'!$A:$A,"&gt;="&amp;$A430,'Allocated Transactions'!$A:$A,"&lt;="&amp;EOMONTH($A430,0))*0.99,100)</f>
        <v>2400</v>
      </c>
      <c r="K430" s="113" t="s">
        <v>637</v>
      </c>
    </row>
    <row r="431" spans="1:11" ht="15" customHeight="1">
      <c r="A431" s="112">
        <f t="shared" si="20"/>
        <v>46174</v>
      </c>
      <c r="B431" s="113">
        <v>2</v>
      </c>
      <c r="C431" s="18" t="str">
        <f t="shared" si="21"/>
        <v>1020</v>
      </c>
      <c r="D431" s="113" t="str">
        <f>_xlfn.XLOOKUP($C431,'Cost Centers'!$A$2:$A$11,'Cost Centers'!$B$2:$B$11,"")</f>
        <v>M &amp; G</v>
      </c>
      <c r="E431" s="113" t="s">
        <v>121</v>
      </c>
      <c r="F431" s="113" t="str">
        <f>_xlfn.XLOOKUP(E431,'Allocated Transactions'!D:D,'Allocated Transactions'!E:E,"")</f>
        <v>Bank Fees</v>
      </c>
      <c r="G431" s="113" t="s">
        <v>97</v>
      </c>
      <c r="H431" s="113"/>
      <c r="I431" s="113" t="str">
        <f>_xlfn.XLOOKUP($C431,'Cost Centers'!$A$2:$A$11,'Cost Centers'!$C$2:$C$11,"")</f>
        <v>Admin</v>
      </c>
      <c r="J431" s="23">
        <f>MROUND(SUMIFS('Allocated Transactions'!$J:$J,'Allocated Transactions'!$D:$D,$E431,'Allocated Transactions'!$C:$C,$C431,'Allocated Transactions'!$A:$A,"&gt;="&amp;$A431,'Allocated Transactions'!$A:$A,"&lt;="&amp;EOMONTH($A431,0))*0.99,100)</f>
        <v>100</v>
      </c>
      <c r="K431" s="113" t="s">
        <v>637</v>
      </c>
    </row>
    <row r="432" spans="1:11" ht="15" customHeight="1">
      <c r="A432" s="112">
        <f t="shared" si="20"/>
        <v>46174</v>
      </c>
      <c r="B432" s="113">
        <v>2</v>
      </c>
      <c r="C432" s="18" t="str">
        <f t="shared" si="21"/>
        <v>1020</v>
      </c>
      <c r="D432" s="113" t="str">
        <f>_xlfn.XLOOKUP($C432,'Cost Centers'!$A$2:$A$11,'Cost Centers'!$B$2:$B$11,"")</f>
        <v>M &amp; G</v>
      </c>
      <c r="E432" s="113" t="s">
        <v>123</v>
      </c>
      <c r="F432" s="113" t="str">
        <f>_xlfn.XLOOKUP(E432,'Allocated Transactions'!D:D,'Allocated Transactions'!E:E,"")</f>
        <v>Interest Expense</v>
      </c>
      <c r="G432" s="113" t="s">
        <v>97</v>
      </c>
      <c r="H432" s="113"/>
      <c r="I432" s="113" t="str">
        <f>_xlfn.XLOOKUP($C432,'Cost Centers'!$A$2:$A$11,'Cost Centers'!$C$2:$C$11,"")</f>
        <v>Admin</v>
      </c>
      <c r="J432" s="23">
        <f>MROUND(SUMIFS('Allocated Transactions'!$J:$J,'Allocated Transactions'!$D:$D,$E432,'Allocated Transactions'!$C:$C,$C432,'Allocated Transactions'!$A:$A,"&gt;="&amp;$A432,'Allocated Transactions'!$A:$A,"&lt;="&amp;EOMONTH($A432,0))*0.99,100)</f>
        <v>400</v>
      </c>
      <c r="K432" s="113" t="s">
        <v>637</v>
      </c>
    </row>
    <row r="433" spans="1:11" ht="15" customHeight="1">
      <c r="A433" s="112">
        <f t="shared" si="20"/>
        <v>46174</v>
      </c>
      <c r="B433" s="113">
        <v>2</v>
      </c>
      <c r="C433" s="18" t="str">
        <f t="shared" si="21"/>
        <v>1020</v>
      </c>
      <c r="D433" s="113" t="str">
        <f>_xlfn.XLOOKUP($C433,'Cost Centers'!$A$2:$A$11,'Cost Centers'!$B$2:$B$11,"")</f>
        <v>M &amp; G</v>
      </c>
      <c r="E433" s="113" t="s">
        <v>125</v>
      </c>
      <c r="F433" s="113" t="str">
        <f>_xlfn.XLOOKUP(E433,'Allocated Transactions'!D:D,'Allocated Transactions'!E:E,"")</f>
        <v>Miscellaneous Expense</v>
      </c>
      <c r="G433" s="113" t="s">
        <v>97</v>
      </c>
      <c r="H433" s="113"/>
      <c r="I433" s="113" t="str">
        <f>_xlfn.XLOOKUP($C433,'Cost Centers'!$A$2:$A$11,'Cost Centers'!$C$2:$C$11,"")</f>
        <v>Admin</v>
      </c>
      <c r="J433" s="23">
        <f>MROUND(SUMIFS('Allocated Transactions'!$J:$J,'Allocated Transactions'!$D:$D,$E433,'Allocated Transactions'!$C:$C,$C433,'Allocated Transactions'!$A:$A,"&gt;="&amp;$A433,'Allocated Transactions'!$A:$A,"&lt;="&amp;EOMONTH($A433,0))*0.99,100)</f>
        <v>300</v>
      </c>
      <c r="K433" s="113" t="s">
        <v>637</v>
      </c>
    </row>
    <row r="434" spans="1:11" ht="15" customHeight="1">
      <c r="A434" s="112">
        <f t="shared" si="20"/>
        <v>45839</v>
      </c>
      <c r="B434" s="113">
        <v>3</v>
      </c>
      <c r="C434" s="18" t="s">
        <v>6</v>
      </c>
      <c r="D434" s="113" t="str">
        <f>_xlfn.XLOOKUP($C434,'Cost Centers'!$A$2:$A$11,'Cost Centers'!$B$2:$B$11,"")</f>
        <v>Human Resources</v>
      </c>
      <c r="E434" s="113" t="s">
        <v>28</v>
      </c>
      <c r="F434" s="113" t="str">
        <f>_xlfn.XLOOKUP(E434,'Allocated Transactions'!D:D,'Allocated Transactions'!E:E,"")</f>
        <v>Salaries and Wages</v>
      </c>
      <c r="G434" s="113" t="s">
        <v>97</v>
      </c>
      <c r="H434" s="113"/>
      <c r="I434" s="113" t="str">
        <f>_xlfn.XLOOKUP($C434,'Cost Centers'!$A$2:$A$11,'Cost Centers'!$C$2:$C$11,"")</f>
        <v>Admin</v>
      </c>
      <c r="J434" s="23">
        <f>MROUND(SUMIFS('Allocated Transactions'!$J:$J,'Allocated Transactions'!$D:$D,$E434,'Allocated Transactions'!$C:$C,$C434,'Allocated Transactions'!$A:$A,"&gt;="&amp;$A434,'Allocated Transactions'!$A:$A,"&lt;="&amp;EOMONTH($A434,0))*0.99,100)</f>
        <v>9700</v>
      </c>
      <c r="K434" s="113" t="s">
        <v>637</v>
      </c>
    </row>
    <row r="435" spans="1:11" ht="15" customHeight="1">
      <c r="A435" s="112">
        <f t="shared" si="20"/>
        <v>45839</v>
      </c>
      <c r="B435" s="113">
        <v>3</v>
      </c>
      <c r="C435" s="18" t="str">
        <f t="shared" ref="C435:C451" si="22">C434</f>
        <v>1030</v>
      </c>
      <c r="D435" s="113" t="str">
        <f>_xlfn.XLOOKUP($C435,'Cost Centers'!$A$2:$A$11,'Cost Centers'!$B$2:$B$11,"")</f>
        <v>Human Resources</v>
      </c>
      <c r="E435" s="113" t="s">
        <v>29</v>
      </c>
      <c r="F435" s="113" t="str">
        <f>_xlfn.XLOOKUP(E435,'Allocated Transactions'!D:D,'Allocated Transactions'!E:E,"")</f>
        <v>Payroll Taxes</v>
      </c>
      <c r="G435" s="113" t="s">
        <v>97</v>
      </c>
      <c r="H435" s="113"/>
      <c r="I435" s="113" t="str">
        <f>_xlfn.XLOOKUP($C435,'Cost Centers'!$A$2:$A$11,'Cost Centers'!$C$2:$C$11,"")</f>
        <v>Admin</v>
      </c>
      <c r="J435" s="23">
        <f>MROUND(SUMIFS('Allocated Transactions'!$J:$J,'Allocated Transactions'!$D:$D,$E435,'Allocated Transactions'!$C:$C,$C435,'Allocated Transactions'!$A:$A,"&gt;="&amp;$A435,'Allocated Transactions'!$A:$A,"&lt;="&amp;EOMONTH($A435,0))*0.99,100)</f>
        <v>700</v>
      </c>
      <c r="K435" s="113" t="s">
        <v>637</v>
      </c>
    </row>
    <row r="436" spans="1:11" ht="15" customHeight="1">
      <c r="A436" s="112">
        <f t="shared" si="20"/>
        <v>45839</v>
      </c>
      <c r="B436" s="113">
        <v>3</v>
      </c>
      <c r="C436" s="18" t="str">
        <f t="shared" si="22"/>
        <v>1030</v>
      </c>
      <c r="D436" s="113" t="str">
        <f>_xlfn.XLOOKUP($C436,'Cost Centers'!$A$2:$A$11,'Cost Centers'!$B$2:$B$11,"")</f>
        <v>Human Resources</v>
      </c>
      <c r="E436" s="113" t="s">
        <v>30</v>
      </c>
      <c r="F436" s="113" t="str">
        <f>_xlfn.XLOOKUP(E436,'Allocated Transactions'!D:D,'Allocated Transactions'!E:E,"")</f>
        <v>Employee Benefits</v>
      </c>
      <c r="G436" s="113" t="s">
        <v>97</v>
      </c>
      <c r="H436" s="113"/>
      <c r="I436" s="113" t="str">
        <f>_xlfn.XLOOKUP($C436,'Cost Centers'!$A$2:$A$11,'Cost Centers'!$C$2:$C$11,"")</f>
        <v>Admin</v>
      </c>
      <c r="J436" s="23">
        <f>MROUND(SUMIFS('Allocated Transactions'!$J:$J,'Allocated Transactions'!$D:$D,$E436,'Allocated Transactions'!$C:$C,$C436,'Allocated Transactions'!$A:$A,"&gt;="&amp;$A436,'Allocated Transactions'!$A:$A,"&lt;="&amp;EOMONTH($A436,0))*0.99,100)</f>
        <v>2600</v>
      </c>
      <c r="K436" s="113" t="s">
        <v>637</v>
      </c>
    </row>
    <row r="437" spans="1:11" ht="15" customHeight="1">
      <c r="A437" s="112">
        <f t="shared" si="20"/>
        <v>45839</v>
      </c>
      <c r="B437" s="113">
        <v>3</v>
      </c>
      <c r="C437" s="18" t="str">
        <f t="shared" si="22"/>
        <v>1030</v>
      </c>
      <c r="D437" s="113" t="str">
        <f>_xlfn.XLOOKUP($C437,'Cost Centers'!$A$2:$A$11,'Cost Centers'!$B$2:$B$11,"")</f>
        <v>Human Resources</v>
      </c>
      <c r="E437" s="113" t="s">
        <v>31</v>
      </c>
      <c r="F437" s="113" t="str">
        <f>_xlfn.XLOOKUP(E437,'Allocated Transactions'!D:D,'Allocated Transactions'!E:E,"")</f>
        <v>Retirement Contributions</v>
      </c>
      <c r="G437" s="113" t="s">
        <v>97</v>
      </c>
      <c r="H437" s="113"/>
      <c r="I437" s="113" t="str">
        <f>_xlfn.XLOOKUP($C437,'Cost Centers'!$A$2:$A$11,'Cost Centers'!$C$2:$C$11,"")</f>
        <v>Admin</v>
      </c>
      <c r="J437" s="23">
        <f>MROUND(SUMIFS('Allocated Transactions'!$J:$J,'Allocated Transactions'!$D:$D,$E437,'Allocated Transactions'!$C:$C,$C437,'Allocated Transactions'!$A:$A,"&gt;="&amp;$A437,'Allocated Transactions'!$A:$A,"&lt;="&amp;EOMONTH($A437,0))*0.99,100)</f>
        <v>300</v>
      </c>
      <c r="K437" s="113" t="s">
        <v>637</v>
      </c>
    </row>
    <row r="438" spans="1:11" ht="15" customHeight="1">
      <c r="A438" s="112">
        <f t="shared" si="20"/>
        <v>45839</v>
      </c>
      <c r="B438" s="113">
        <v>3</v>
      </c>
      <c r="C438" s="18" t="str">
        <f t="shared" si="22"/>
        <v>1030</v>
      </c>
      <c r="D438" s="113" t="str">
        <f>_xlfn.XLOOKUP($C438,'Cost Centers'!$A$2:$A$11,'Cost Centers'!$B$2:$B$11,"")</f>
        <v>Human Resources</v>
      </c>
      <c r="E438" s="113" t="s">
        <v>101</v>
      </c>
      <c r="F438" s="113" t="str">
        <f>_xlfn.XLOOKUP(E438,'Allocated Transactions'!D:D,'Allocated Transactions'!E:E,"")</f>
        <v>Contract Labor / Consultants</v>
      </c>
      <c r="G438" s="113" t="s">
        <v>97</v>
      </c>
      <c r="H438" s="113"/>
      <c r="I438" s="113" t="str">
        <f>_xlfn.XLOOKUP($C438,'Cost Centers'!$A$2:$A$11,'Cost Centers'!$C$2:$C$11,"")</f>
        <v>Admin</v>
      </c>
      <c r="J438" s="23">
        <f>MROUND(SUMIFS('Allocated Transactions'!$J:$J,'Allocated Transactions'!$D:$D,$E438,'Allocated Transactions'!$C:$C,$C438,'Allocated Transactions'!$A:$A,"&gt;="&amp;$A438,'Allocated Transactions'!$A:$A,"&lt;="&amp;EOMONTH($A438,0))*0.99,100)</f>
        <v>0</v>
      </c>
      <c r="K438" s="113" t="s">
        <v>637</v>
      </c>
    </row>
    <row r="439" spans="1:11" ht="15" customHeight="1">
      <c r="A439" s="112">
        <f t="shared" si="20"/>
        <v>45839</v>
      </c>
      <c r="B439" s="113">
        <v>3</v>
      </c>
      <c r="C439" s="18" t="str">
        <f t="shared" si="22"/>
        <v>1030</v>
      </c>
      <c r="D439" s="113" t="str">
        <f>_xlfn.XLOOKUP($C439,'Cost Centers'!$A$2:$A$11,'Cost Centers'!$B$2:$B$11,"")</f>
        <v>Human Resources</v>
      </c>
      <c r="E439" s="113" t="s">
        <v>32</v>
      </c>
      <c r="F439" s="113" t="str">
        <f>_xlfn.XLOOKUP(E439,'Allocated Transactions'!D:D,'Allocated Transactions'!E:E,"")</f>
        <v>Rent</v>
      </c>
      <c r="G439" s="113" t="s">
        <v>97</v>
      </c>
      <c r="H439" s="113"/>
      <c r="I439" s="113" t="str">
        <f>_xlfn.XLOOKUP($C439,'Cost Centers'!$A$2:$A$11,'Cost Centers'!$C$2:$C$11,"")</f>
        <v>Admin</v>
      </c>
      <c r="J439" s="23">
        <f>MROUND(SUMIFS('Allocated Transactions'!$J:$J,'Allocated Transactions'!$D:$D,$E439,'Allocated Transactions'!$C:$C,$C439,'Allocated Transactions'!$A:$A,"&gt;="&amp;$A439,'Allocated Transactions'!$A:$A,"&lt;="&amp;EOMONTH($A439,0))*0.99,100)</f>
        <v>800</v>
      </c>
      <c r="K439" s="113" t="s">
        <v>637</v>
      </c>
    </row>
    <row r="440" spans="1:11" ht="15" customHeight="1">
      <c r="A440" s="112">
        <f t="shared" si="20"/>
        <v>45839</v>
      </c>
      <c r="B440" s="113">
        <v>3</v>
      </c>
      <c r="C440" s="18" t="str">
        <f t="shared" si="22"/>
        <v>1030</v>
      </c>
      <c r="D440" s="113" t="str">
        <f>_xlfn.XLOOKUP($C440,'Cost Centers'!$A$2:$A$11,'Cost Centers'!$B$2:$B$11,"")</f>
        <v>Human Resources</v>
      </c>
      <c r="E440" s="113" t="s">
        <v>33</v>
      </c>
      <c r="F440" s="113" t="str">
        <f>_xlfn.XLOOKUP(E440,'Allocated Transactions'!D:D,'Allocated Transactions'!E:E,"")</f>
        <v>Utilities</v>
      </c>
      <c r="G440" s="113" t="s">
        <v>97</v>
      </c>
      <c r="H440" s="113"/>
      <c r="I440" s="113" t="str">
        <f>_xlfn.XLOOKUP($C440,'Cost Centers'!$A$2:$A$11,'Cost Centers'!$C$2:$C$11,"")</f>
        <v>Admin</v>
      </c>
      <c r="J440" s="23">
        <f>MROUND(SUMIFS('Allocated Transactions'!$J:$J,'Allocated Transactions'!$D:$D,$E440,'Allocated Transactions'!$C:$C,$C440,'Allocated Transactions'!$A:$A,"&gt;="&amp;$A440,'Allocated Transactions'!$A:$A,"&lt;="&amp;EOMONTH($A440,0))*0.99,100)</f>
        <v>100</v>
      </c>
      <c r="K440" s="113" t="s">
        <v>637</v>
      </c>
    </row>
    <row r="441" spans="1:11" ht="15" customHeight="1">
      <c r="A441" s="112">
        <f t="shared" si="20"/>
        <v>45839</v>
      </c>
      <c r="B441" s="113">
        <v>3</v>
      </c>
      <c r="C441" s="18" t="str">
        <f t="shared" si="22"/>
        <v>1030</v>
      </c>
      <c r="D441" s="113" t="str">
        <f>_xlfn.XLOOKUP($C441,'Cost Centers'!$A$2:$A$11,'Cost Centers'!$B$2:$B$11,"")</f>
        <v>Human Resources</v>
      </c>
      <c r="E441" s="113" t="s">
        <v>105</v>
      </c>
      <c r="F441" s="113" t="str">
        <f>_xlfn.XLOOKUP(E441,'Allocated Transactions'!D:D,'Allocated Transactions'!E:E,"")</f>
        <v>Office Supplies</v>
      </c>
      <c r="G441" s="113" t="s">
        <v>97</v>
      </c>
      <c r="H441" s="113"/>
      <c r="I441" s="113" t="str">
        <f>_xlfn.XLOOKUP($C441,'Cost Centers'!$A$2:$A$11,'Cost Centers'!$C$2:$C$11,"")</f>
        <v>Admin</v>
      </c>
      <c r="J441" s="23">
        <f>MROUND(SUMIFS('Allocated Transactions'!$J:$J,'Allocated Transactions'!$D:$D,$E441,'Allocated Transactions'!$C:$C,$C441,'Allocated Transactions'!$A:$A,"&gt;="&amp;$A441,'Allocated Transactions'!$A:$A,"&lt;="&amp;EOMONTH($A441,0))*0.99,100)</f>
        <v>0</v>
      </c>
      <c r="K441" s="113" t="s">
        <v>637</v>
      </c>
    </row>
    <row r="442" spans="1:11" ht="15" customHeight="1">
      <c r="A442" s="112">
        <f t="shared" si="20"/>
        <v>45839</v>
      </c>
      <c r="B442" s="113">
        <v>3</v>
      </c>
      <c r="C442" s="18" t="str">
        <f t="shared" si="22"/>
        <v>1030</v>
      </c>
      <c r="D442" s="113" t="str">
        <f>_xlfn.XLOOKUP($C442,'Cost Centers'!$A$2:$A$11,'Cost Centers'!$B$2:$B$11,"")</f>
        <v>Human Resources</v>
      </c>
      <c r="E442" s="113" t="s">
        <v>107</v>
      </c>
      <c r="F442" s="113" t="str">
        <f>_xlfn.XLOOKUP(E442,'Allocated Transactions'!D:D,'Allocated Transactions'!E:E,"")</f>
        <v>Software and Subscriptions</v>
      </c>
      <c r="G442" s="113" t="s">
        <v>97</v>
      </c>
      <c r="H442" s="113"/>
      <c r="I442" s="113" t="str">
        <f>_xlfn.XLOOKUP($C442,'Cost Centers'!$A$2:$A$11,'Cost Centers'!$C$2:$C$11,"")</f>
        <v>Admin</v>
      </c>
      <c r="J442" s="23">
        <f>MROUND(SUMIFS('Allocated Transactions'!$J:$J,'Allocated Transactions'!$D:$D,$E442,'Allocated Transactions'!$C:$C,$C442,'Allocated Transactions'!$A:$A,"&gt;="&amp;$A442,'Allocated Transactions'!$A:$A,"&lt;="&amp;EOMONTH($A442,0))*0.99,100)</f>
        <v>0</v>
      </c>
      <c r="K442" s="113" t="s">
        <v>637</v>
      </c>
    </row>
    <row r="443" spans="1:11" ht="15" customHeight="1">
      <c r="A443" s="112">
        <f t="shared" si="20"/>
        <v>45839</v>
      </c>
      <c r="B443" s="113">
        <v>3</v>
      </c>
      <c r="C443" s="18" t="str">
        <f t="shared" si="22"/>
        <v>1030</v>
      </c>
      <c r="D443" s="113" t="str">
        <f>_xlfn.XLOOKUP($C443,'Cost Centers'!$A$2:$A$11,'Cost Centers'!$B$2:$B$11,"")</f>
        <v>Human Resources</v>
      </c>
      <c r="E443" s="113" t="s">
        <v>109</v>
      </c>
      <c r="F443" s="113" t="str">
        <f>_xlfn.XLOOKUP(E443,'Allocated Transactions'!D:D,'Allocated Transactions'!E:E,"")</f>
        <v>Travel</v>
      </c>
      <c r="G443" s="113" t="s">
        <v>97</v>
      </c>
      <c r="H443" s="113"/>
      <c r="I443" s="113" t="str">
        <f>_xlfn.XLOOKUP($C443,'Cost Centers'!$A$2:$A$11,'Cost Centers'!$C$2:$C$11,"")</f>
        <v>Admin</v>
      </c>
      <c r="J443" s="23">
        <f>MROUND(SUMIFS('Allocated Transactions'!$J:$J,'Allocated Transactions'!$D:$D,$E443,'Allocated Transactions'!$C:$C,$C443,'Allocated Transactions'!$A:$A,"&gt;="&amp;$A443,'Allocated Transactions'!$A:$A,"&lt;="&amp;EOMONTH($A443,0))*0.99,100)</f>
        <v>0</v>
      </c>
      <c r="K443" s="113" t="s">
        <v>637</v>
      </c>
    </row>
    <row r="444" spans="1:11" ht="15" customHeight="1">
      <c r="A444" s="112">
        <f t="shared" si="20"/>
        <v>45839</v>
      </c>
      <c r="B444" s="113">
        <v>3</v>
      </c>
      <c r="C444" s="18" t="str">
        <f t="shared" si="22"/>
        <v>1030</v>
      </c>
      <c r="D444" s="113" t="str">
        <f>_xlfn.XLOOKUP($C444,'Cost Centers'!$A$2:$A$11,'Cost Centers'!$B$2:$B$11,"")</f>
        <v>Human Resources</v>
      </c>
      <c r="E444" s="113" t="s">
        <v>111</v>
      </c>
      <c r="F444" s="113" t="str">
        <f>_xlfn.XLOOKUP(E444,'Allocated Transactions'!D:D,'Allocated Transactions'!E:E,"")</f>
        <v>Meals and Entertainment</v>
      </c>
      <c r="G444" s="113" t="s">
        <v>97</v>
      </c>
      <c r="H444" s="113"/>
      <c r="I444" s="113" t="str">
        <f>_xlfn.XLOOKUP($C444,'Cost Centers'!$A$2:$A$11,'Cost Centers'!$C$2:$C$11,"")</f>
        <v>Admin</v>
      </c>
      <c r="J444" s="23">
        <f>MROUND(SUMIFS('Allocated Transactions'!$J:$J,'Allocated Transactions'!$D:$D,$E444,'Allocated Transactions'!$C:$C,$C444,'Allocated Transactions'!$A:$A,"&gt;="&amp;$A444,'Allocated Transactions'!$A:$A,"&lt;="&amp;EOMONTH($A444,0))*0.99,100)</f>
        <v>0</v>
      </c>
      <c r="K444" s="113" t="s">
        <v>637</v>
      </c>
    </row>
    <row r="445" spans="1:11" ht="15" customHeight="1">
      <c r="A445" s="112">
        <f t="shared" si="20"/>
        <v>45839</v>
      </c>
      <c r="B445" s="113">
        <v>3</v>
      </c>
      <c r="C445" s="18" t="str">
        <f t="shared" si="22"/>
        <v>1030</v>
      </c>
      <c r="D445" s="113" t="str">
        <f>_xlfn.XLOOKUP($C445,'Cost Centers'!$A$2:$A$11,'Cost Centers'!$B$2:$B$11,"")</f>
        <v>Human Resources</v>
      </c>
      <c r="E445" s="113" t="s">
        <v>113</v>
      </c>
      <c r="F445" s="113" t="str">
        <f>_xlfn.XLOOKUP(E445,'Allocated Transactions'!D:D,'Allocated Transactions'!E:E,"")</f>
        <v>Professional Fees - Legal</v>
      </c>
      <c r="G445" s="113" t="s">
        <v>97</v>
      </c>
      <c r="H445" s="113"/>
      <c r="I445" s="113" t="str">
        <f>_xlfn.XLOOKUP($C445,'Cost Centers'!$A$2:$A$11,'Cost Centers'!$C$2:$C$11,"")</f>
        <v>Admin</v>
      </c>
      <c r="J445" s="23">
        <f>MROUND(SUMIFS('Allocated Transactions'!$J:$J,'Allocated Transactions'!$D:$D,$E445,'Allocated Transactions'!$C:$C,$C445,'Allocated Transactions'!$A:$A,"&gt;="&amp;$A445,'Allocated Transactions'!$A:$A,"&lt;="&amp;EOMONTH($A445,0))*0.99,100)</f>
        <v>0</v>
      </c>
      <c r="K445" s="113" t="s">
        <v>637</v>
      </c>
    </row>
    <row r="446" spans="1:11" ht="15" customHeight="1">
      <c r="A446" s="112">
        <f t="shared" si="20"/>
        <v>45839</v>
      </c>
      <c r="B446" s="113">
        <v>3</v>
      </c>
      <c r="C446" s="18" t="str">
        <f t="shared" si="22"/>
        <v>1030</v>
      </c>
      <c r="D446" s="113" t="str">
        <f>_xlfn.XLOOKUP($C446,'Cost Centers'!$A$2:$A$11,'Cost Centers'!$B$2:$B$11,"")</f>
        <v>Human Resources</v>
      </c>
      <c r="E446" s="113" t="s">
        <v>115</v>
      </c>
      <c r="F446" s="113" t="str">
        <f>_xlfn.XLOOKUP(E446,'Allocated Transactions'!D:D,'Allocated Transactions'!E:E,"")</f>
        <v>Professional Fees - Accounting/Audit</v>
      </c>
      <c r="G446" s="113" t="s">
        <v>97</v>
      </c>
      <c r="H446" s="113"/>
      <c r="I446" s="113" t="str">
        <f>_xlfn.XLOOKUP($C446,'Cost Centers'!$A$2:$A$11,'Cost Centers'!$C$2:$C$11,"")</f>
        <v>Admin</v>
      </c>
      <c r="J446" s="23">
        <f>MROUND(SUMIFS('Allocated Transactions'!$J:$J,'Allocated Transactions'!$D:$D,$E446,'Allocated Transactions'!$C:$C,$C446,'Allocated Transactions'!$A:$A,"&gt;="&amp;$A446,'Allocated Transactions'!$A:$A,"&lt;="&amp;EOMONTH($A446,0))*0.99,100)</f>
        <v>0</v>
      </c>
      <c r="K446" s="113" t="s">
        <v>637</v>
      </c>
    </row>
    <row r="447" spans="1:11" ht="15" customHeight="1">
      <c r="A447" s="112">
        <f t="shared" si="20"/>
        <v>45839</v>
      </c>
      <c r="B447" s="113">
        <v>3</v>
      </c>
      <c r="C447" s="18" t="str">
        <f t="shared" si="22"/>
        <v>1030</v>
      </c>
      <c r="D447" s="113" t="str">
        <f>_xlfn.XLOOKUP($C447,'Cost Centers'!$A$2:$A$11,'Cost Centers'!$B$2:$B$11,"")</f>
        <v>Human Resources</v>
      </c>
      <c r="E447" s="113" t="s">
        <v>117</v>
      </c>
      <c r="F447" s="113" t="str">
        <f>_xlfn.XLOOKUP(E447,'Allocated Transactions'!D:D,'Allocated Transactions'!E:E,"")</f>
        <v>Insurance</v>
      </c>
      <c r="G447" s="113" t="s">
        <v>97</v>
      </c>
      <c r="H447" s="113"/>
      <c r="I447" s="113" t="str">
        <f>_xlfn.XLOOKUP($C447,'Cost Centers'!$A$2:$A$11,'Cost Centers'!$C$2:$C$11,"")</f>
        <v>Admin</v>
      </c>
      <c r="J447" s="23">
        <f>MROUND(SUMIFS('Allocated Transactions'!$J:$J,'Allocated Transactions'!$D:$D,$E447,'Allocated Transactions'!$C:$C,$C447,'Allocated Transactions'!$A:$A,"&gt;="&amp;$A447,'Allocated Transactions'!$A:$A,"&lt;="&amp;EOMONTH($A447,0))*0.99,100)</f>
        <v>600</v>
      </c>
      <c r="K447" s="113" t="s">
        <v>637</v>
      </c>
    </row>
    <row r="448" spans="1:11" ht="15" customHeight="1">
      <c r="A448" s="112">
        <f t="shared" si="20"/>
        <v>45839</v>
      </c>
      <c r="B448" s="113">
        <v>3</v>
      </c>
      <c r="C448" s="18" t="str">
        <f t="shared" si="22"/>
        <v>1030</v>
      </c>
      <c r="D448" s="113" t="str">
        <f>_xlfn.XLOOKUP($C448,'Cost Centers'!$A$2:$A$11,'Cost Centers'!$B$2:$B$11,"")</f>
        <v>Human Resources</v>
      </c>
      <c r="E448" s="113" t="s">
        <v>119</v>
      </c>
      <c r="F448" s="113" t="str">
        <f>_xlfn.XLOOKUP(E448,'Allocated Transactions'!D:D,'Allocated Transactions'!E:E,"")</f>
        <v>Depreciation Expense</v>
      </c>
      <c r="G448" s="113" t="s">
        <v>97</v>
      </c>
      <c r="H448" s="113"/>
      <c r="I448" s="113" t="str">
        <f>_xlfn.XLOOKUP($C448,'Cost Centers'!$A$2:$A$11,'Cost Centers'!$C$2:$C$11,"")</f>
        <v>Admin</v>
      </c>
      <c r="J448" s="23">
        <f>MROUND(SUMIFS('Allocated Transactions'!$J:$J,'Allocated Transactions'!$D:$D,$E448,'Allocated Transactions'!$C:$C,$C448,'Allocated Transactions'!$A:$A,"&gt;="&amp;$A448,'Allocated Transactions'!$A:$A,"&lt;="&amp;EOMONTH($A448,0))*0.99,100)</f>
        <v>0</v>
      </c>
      <c r="K448" s="113" t="s">
        <v>637</v>
      </c>
    </row>
    <row r="449" spans="1:11" ht="15" customHeight="1">
      <c r="A449" s="112">
        <f t="shared" si="20"/>
        <v>45839</v>
      </c>
      <c r="B449" s="113">
        <v>3</v>
      </c>
      <c r="C449" s="18" t="str">
        <f t="shared" si="22"/>
        <v>1030</v>
      </c>
      <c r="D449" s="113" t="str">
        <f>_xlfn.XLOOKUP($C449,'Cost Centers'!$A$2:$A$11,'Cost Centers'!$B$2:$B$11,"")</f>
        <v>Human Resources</v>
      </c>
      <c r="E449" s="113" t="s">
        <v>121</v>
      </c>
      <c r="F449" s="113" t="str">
        <f>_xlfn.XLOOKUP(E449,'Allocated Transactions'!D:D,'Allocated Transactions'!E:E,"")</f>
        <v>Bank Fees</v>
      </c>
      <c r="G449" s="113" t="s">
        <v>97</v>
      </c>
      <c r="H449" s="113"/>
      <c r="I449" s="113" t="str">
        <f>_xlfn.XLOOKUP($C449,'Cost Centers'!$A$2:$A$11,'Cost Centers'!$C$2:$C$11,"")</f>
        <v>Admin</v>
      </c>
      <c r="J449" s="23">
        <f>MROUND(SUMIFS('Allocated Transactions'!$J:$J,'Allocated Transactions'!$D:$D,$E449,'Allocated Transactions'!$C:$C,$C449,'Allocated Transactions'!$A:$A,"&gt;="&amp;$A449,'Allocated Transactions'!$A:$A,"&lt;="&amp;EOMONTH($A449,0))*0.99,100)</f>
        <v>0</v>
      </c>
      <c r="K449" s="113" t="s">
        <v>637</v>
      </c>
    </row>
    <row r="450" spans="1:11" ht="15" customHeight="1">
      <c r="A450" s="112">
        <f t="shared" si="20"/>
        <v>45839</v>
      </c>
      <c r="B450" s="113">
        <v>3</v>
      </c>
      <c r="C450" s="18" t="str">
        <f t="shared" si="22"/>
        <v>1030</v>
      </c>
      <c r="D450" s="113" t="str">
        <f>_xlfn.XLOOKUP($C450,'Cost Centers'!$A$2:$A$11,'Cost Centers'!$B$2:$B$11,"")</f>
        <v>Human Resources</v>
      </c>
      <c r="E450" s="113" t="s">
        <v>123</v>
      </c>
      <c r="F450" s="113" t="str">
        <f>_xlfn.XLOOKUP(E450,'Allocated Transactions'!D:D,'Allocated Transactions'!E:E,"")</f>
        <v>Interest Expense</v>
      </c>
      <c r="G450" s="113" t="s">
        <v>97</v>
      </c>
      <c r="H450" s="113"/>
      <c r="I450" s="113" t="str">
        <f>_xlfn.XLOOKUP($C450,'Cost Centers'!$A$2:$A$11,'Cost Centers'!$C$2:$C$11,"")</f>
        <v>Admin</v>
      </c>
      <c r="J450" s="23">
        <f>MROUND(SUMIFS('Allocated Transactions'!$J:$J,'Allocated Transactions'!$D:$D,$E450,'Allocated Transactions'!$C:$C,$C450,'Allocated Transactions'!$A:$A,"&gt;="&amp;$A450,'Allocated Transactions'!$A:$A,"&lt;="&amp;EOMONTH($A450,0))*0.99,100)</f>
        <v>0</v>
      </c>
      <c r="K450" s="113" t="s">
        <v>637</v>
      </c>
    </row>
    <row r="451" spans="1:11" ht="15" customHeight="1">
      <c r="A451" s="112">
        <f t="shared" si="20"/>
        <v>45839</v>
      </c>
      <c r="B451" s="113">
        <v>3</v>
      </c>
      <c r="C451" s="18" t="str">
        <f t="shared" si="22"/>
        <v>1030</v>
      </c>
      <c r="D451" s="113" t="str">
        <f>_xlfn.XLOOKUP($C451,'Cost Centers'!$A$2:$A$11,'Cost Centers'!$B$2:$B$11,"")</f>
        <v>Human Resources</v>
      </c>
      <c r="E451" s="113" t="s">
        <v>125</v>
      </c>
      <c r="F451" s="113" t="str">
        <f>_xlfn.XLOOKUP(E451,'Allocated Transactions'!D:D,'Allocated Transactions'!E:E,"")</f>
        <v>Miscellaneous Expense</v>
      </c>
      <c r="G451" s="113" t="s">
        <v>97</v>
      </c>
      <c r="H451" s="113"/>
      <c r="I451" s="113" t="str">
        <f>_xlfn.XLOOKUP($C451,'Cost Centers'!$A$2:$A$11,'Cost Centers'!$C$2:$C$11,"")</f>
        <v>Admin</v>
      </c>
      <c r="J451" s="23">
        <f>MROUND(SUMIFS('Allocated Transactions'!$J:$J,'Allocated Transactions'!$D:$D,$E451,'Allocated Transactions'!$C:$C,$C451,'Allocated Transactions'!$A:$A,"&gt;="&amp;$A451,'Allocated Transactions'!$A:$A,"&lt;="&amp;EOMONTH($A451,0))*0.99,100)</f>
        <v>0</v>
      </c>
      <c r="K451" s="113" t="s">
        <v>637</v>
      </c>
    </row>
    <row r="452" spans="1:11" ht="15" customHeight="1">
      <c r="A452" s="112">
        <f t="shared" si="20"/>
        <v>45870</v>
      </c>
      <c r="B452" s="113">
        <v>3</v>
      </c>
      <c r="C452" s="18" t="s">
        <v>6</v>
      </c>
      <c r="D452" s="113" t="str">
        <f>_xlfn.XLOOKUP($C452,'Cost Centers'!$A$2:$A$11,'Cost Centers'!$B$2:$B$11,"")</f>
        <v>Human Resources</v>
      </c>
      <c r="E452" s="113" t="s">
        <v>28</v>
      </c>
      <c r="F452" s="113" t="str">
        <f>_xlfn.XLOOKUP(E452,'Allocated Transactions'!D:D,'Allocated Transactions'!E:E,"")</f>
        <v>Salaries and Wages</v>
      </c>
      <c r="G452" s="113" t="s">
        <v>97</v>
      </c>
      <c r="H452" s="113"/>
      <c r="I452" s="113" t="str">
        <f>_xlfn.XLOOKUP($C452,'Cost Centers'!$A$2:$A$11,'Cost Centers'!$C$2:$C$11,"")</f>
        <v>Admin</v>
      </c>
      <c r="J452" s="23">
        <f>MROUND(SUMIFS('Allocated Transactions'!$J:$J,'Allocated Transactions'!$D:$D,$E452,'Allocated Transactions'!$C:$C,$C452,'Allocated Transactions'!$A:$A,"&gt;="&amp;$A452,'Allocated Transactions'!$A:$A,"&lt;="&amp;EOMONTH($A452,0))*0.99,100)</f>
        <v>9900</v>
      </c>
      <c r="K452" s="113" t="s">
        <v>637</v>
      </c>
    </row>
    <row r="453" spans="1:11" ht="15" customHeight="1">
      <c r="A453" s="112">
        <f t="shared" si="20"/>
        <v>45870</v>
      </c>
      <c r="B453" s="113">
        <v>3</v>
      </c>
      <c r="C453" s="18" t="str">
        <f t="shared" ref="C453:C469" si="23">C452</f>
        <v>1030</v>
      </c>
      <c r="D453" s="113" t="str">
        <f>_xlfn.XLOOKUP($C453,'Cost Centers'!$A$2:$A$11,'Cost Centers'!$B$2:$B$11,"")</f>
        <v>Human Resources</v>
      </c>
      <c r="E453" s="113" t="s">
        <v>29</v>
      </c>
      <c r="F453" s="113" t="str">
        <f>_xlfn.XLOOKUP(E453,'Allocated Transactions'!D:D,'Allocated Transactions'!E:E,"")</f>
        <v>Payroll Taxes</v>
      </c>
      <c r="G453" s="113" t="s">
        <v>97</v>
      </c>
      <c r="H453" s="113"/>
      <c r="I453" s="113" t="str">
        <f>_xlfn.XLOOKUP($C453,'Cost Centers'!$A$2:$A$11,'Cost Centers'!$C$2:$C$11,"")</f>
        <v>Admin</v>
      </c>
      <c r="J453" s="23">
        <f>MROUND(SUMIFS('Allocated Transactions'!$J:$J,'Allocated Transactions'!$D:$D,$E453,'Allocated Transactions'!$C:$C,$C453,'Allocated Transactions'!$A:$A,"&gt;="&amp;$A453,'Allocated Transactions'!$A:$A,"&lt;="&amp;EOMONTH($A453,0))*0.99,100)</f>
        <v>800</v>
      </c>
      <c r="K453" s="113" t="s">
        <v>637</v>
      </c>
    </row>
    <row r="454" spans="1:11" ht="15" customHeight="1">
      <c r="A454" s="112">
        <f t="shared" si="20"/>
        <v>45870</v>
      </c>
      <c r="B454" s="113">
        <v>3</v>
      </c>
      <c r="C454" s="18" t="str">
        <f t="shared" si="23"/>
        <v>1030</v>
      </c>
      <c r="D454" s="113" t="str">
        <f>_xlfn.XLOOKUP($C454,'Cost Centers'!$A$2:$A$11,'Cost Centers'!$B$2:$B$11,"")</f>
        <v>Human Resources</v>
      </c>
      <c r="E454" s="113" t="s">
        <v>30</v>
      </c>
      <c r="F454" s="113" t="str">
        <f>_xlfn.XLOOKUP(E454,'Allocated Transactions'!D:D,'Allocated Transactions'!E:E,"")</f>
        <v>Employee Benefits</v>
      </c>
      <c r="G454" s="113" t="s">
        <v>97</v>
      </c>
      <c r="H454" s="113"/>
      <c r="I454" s="113" t="str">
        <f>_xlfn.XLOOKUP($C454,'Cost Centers'!$A$2:$A$11,'Cost Centers'!$C$2:$C$11,"")</f>
        <v>Admin</v>
      </c>
      <c r="J454" s="23">
        <f>MROUND(SUMIFS('Allocated Transactions'!$J:$J,'Allocated Transactions'!$D:$D,$E454,'Allocated Transactions'!$C:$C,$C454,'Allocated Transactions'!$A:$A,"&gt;="&amp;$A454,'Allocated Transactions'!$A:$A,"&lt;="&amp;EOMONTH($A454,0))*0.99,100)</f>
        <v>3200</v>
      </c>
      <c r="K454" s="113" t="s">
        <v>637</v>
      </c>
    </row>
    <row r="455" spans="1:11" ht="15" customHeight="1">
      <c r="A455" s="112">
        <f t="shared" si="20"/>
        <v>45870</v>
      </c>
      <c r="B455" s="113">
        <v>3</v>
      </c>
      <c r="C455" s="18" t="str">
        <f t="shared" si="23"/>
        <v>1030</v>
      </c>
      <c r="D455" s="113" t="str">
        <f>_xlfn.XLOOKUP($C455,'Cost Centers'!$A$2:$A$11,'Cost Centers'!$B$2:$B$11,"")</f>
        <v>Human Resources</v>
      </c>
      <c r="E455" s="113" t="s">
        <v>31</v>
      </c>
      <c r="F455" s="113" t="str">
        <f>_xlfn.XLOOKUP(E455,'Allocated Transactions'!D:D,'Allocated Transactions'!E:E,"")</f>
        <v>Retirement Contributions</v>
      </c>
      <c r="G455" s="113" t="s">
        <v>97</v>
      </c>
      <c r="H455" s="113"/>
      <c r="I455" s="113" t="str">
        <f>_xlfn.XLOOKUP($C455,'Cost Centers'!$A$2:$A$11,'Cost Centers'!$C$2:$C$11,"")</f>
        <v>Admin</v>
      </c>
      <c r="J455" s="23">
        <f>MROUND(SUMIFS('Allocated Transactions'!$J:$J,'Allocated Transactions'!$D:$D,$E455,'Allocated Transactions'!$C:$C,$C455,'Allocated Transactions'!$A:$A,"&gt;="&amp;$A455,'Allocated Transactions'!$A:$A,"&lt;="&amp;EOMONTH($A455,0))*0.99,100)</f>
        <v>300</v>
      </c>
      <c r="K455" s="113" t="s">
        <v>637</v>
      </c>
    </row>
    <row r="456" spans="1:11" ht="15" customHeight="1">
      <c r="A456" s="112">
        <f t="shared" si="20"/>
        <v>45870</v>
      </c>
      <c r="B456" s="113">
        <v>3</v>
      </c>
      <c r="C456" s="18" t="str">
        <f t="shared" si="23"/>
        <v>1030</v>
      </c>
      <c r="D456" s="113" t="str">
        <f>_xlfn.XLOOKUP($C456,'Cost Centers'!$A$2:$A$11,'Cost Centers'!$B$2:$B$11,"")</f>
        <v>Human Resources</v>
      </c>
      <c r="E456" s="113" t="s">
        <v>101</v>
      </c>
      <c r="F456" s="113" t="str">
        <f>_xlfn.XLOOKUP(E456,'Allocated Transactions'!D:D,'Allocated Transactions'!E:E,"")</f>
        <v>Contract Labor / Consultants</v>
      </c>
      <c r="G456" s="113" t="s">
        <v>97</v>
      </c>
      <c r="H456" s="113"/>
      <c r="I456" s="113" t="str">
        <f>_xlfn.XLOOKUP($C456,'Cost Centers'!$A$2:$A$11,'Cost Centers'!$C$2:$C$11,"")</f>
        <v>Admin</v>
      </c>
      <c r="J456" s="23">
        <f>MROUND(SUMIFS('Allocated Transactions'!$J:$J,'Allocated Transactions'!$D:$D,$E456,'Allocated Transactions'!$C:$C,$C456,'Allocated Transactions'!$A:$A,"&gt;="&amp;$A456,'Allocated Transactions'!$A:$A,"&lt;="&amp;EOMONTH($A456,0))*0.99,100)</f>
        <v>0</v>
      </c>
      <c r="K456" s="113" t="s">
        <v>637</v>
      </c>
    </row>
    <row r="457" spans="1:11" ht="15" customHeight="1">
      <c r="A457" s="112">
        <f t="shared" si="20"/>
        <v>45870</v>
      </c>
      <c r="B457" s="113">
        <v>3</v>
      </c>
      <c r="C457" s="18" t="str">
        <f t="shared" si="23"/>
        <v>1030</v>
      </c>
      <c r="D457" s="113" t="str">
        <f>_xlfn.XLOOKUP($C457,'Cost Centers'!$A$2:$A$11,'Cost Centers'!$B$2:$B$11,"")</f>
        <v>Human Resources</v>
      </c>
      <c r="E457" s="113" t="s">
        <v>32</v>
      </c>
      <c r="F457" s="113" t="str">
        <f>_xlfn.XLOOKUP(E457,'Allocated Transactions'!D:D,'Allocated Transactions'!E:E,"")</f>
        <v>Rent</v>
      </c>
      <c r="G457" s="113" t="s">
        <v>97</v>
      </c>
      <c r="H457" s="113"/>
      <c r="I457" s="113" t="str">
        <f>_xlfn.XLOOKUP($C457,'Cost Centers'!$A$2:$A$11,'Cost Centers'!$C$2:$C$11,"")</f>
        <v>Admin</v>
      </c>
      <c r="J457" s="23">
        <f>MROUND(SUMIFS('Allocated Transactions'!$J:$J,'Allocated Transactions'!$D:$D,$E457,'Allocated Transactions'!$C:$C,$C457,'Allocated Transactions'!$A:$A,"&gt;="&amp;$A457,'Allocated Transactions'!$A:$A,"&lt;="&amp;EOMONTH($A457,0))*0.99,100)</f>
        <v>800</v>
      </c>
      <c r="K457" s="113" t="s">
        <v>637</v>
      </c>
    </row>
    <row r="458" spans="1:11" ht="15" customHeight="1">
      <c r="A458" s="112">
        <f t="shared" si="20"/>
        <v>45870</v>
      </c>
      <c r="B458" s="113">
        <v>3</v>
      </c>
      <c r="C458" s="18" t="str">
        <f t="shared" si="23"/>
        <v>1030</v>
      </c>
      <c r="D458" s="113" t="str">
        <f>_xlfn.XLOOKUP($C458,'Cost Centers'!$A$2:$A$11,'Cost Centers'!$B$2:$B$11,"")</f>
        <v>Human Resources</v>
      </c>
      <c r="E458" s="113" t="s">
        <v>33</v>
      </c>
      <c r="F458" s="113" t="str">
        <f>_xlfn.XLOOKUP(E458,'Allocated Transactions'!D:D,'Allocated Transactions'!E:E,"")</f>
        <v>Utilities</v>
      </c>
      <c r="G458" s="113" t="s">
        <v>97</v>
      </c>
      <c r="H458" s="113"/>
      <c r="I458" s="113" t="str">
        <f>_xlfn.XLOOKUP($C458,'Cost Centers'!$A$2:$A$11,'Cost Centers'!$C$2:$C$11,"")</f>
        <v>Admin</v>
      </c>
      <c r="J458" s="23">
        <f>MROUND(SUMIFS('Allocated Transactions'!$J:$J,'Allocated Transactions'!$D:$D,$E458,'Allocated Transactions'!$C:$C,$C458,'Allocated Transactions'!$A:$A,"&gt;="&amp;$A458,'Allocated Transactions'!$A:$A,"&lt;="&amp;EOMONTH($A458,0))*0.99,100)</f>
        <v>100</v>
      </c>
      <c r="K458" s="113" t="s">
        <v>637</v>
      </c>
    </row>
    <row r="459" spans="1:11" ht="15" customHeight="1">
      <c r="A459" s="112">
        <f t="shared" si="20"/>
        <v>45870</v>
      </c>
      <c r="B459" s="113">
        <v>3</v>
      </c>
      <c r="C459" s="18" t="str">
        <f t="shared" si="23"/>
        <v>1030</v>
      </c>
      <c r="D459" s="113" t="str">
        <f>_xlfn.XLOOKUP($C459,'Cost Centers'!$A$2:$A$11,'Cost Centers'!$B$2:$B$11,"")</f>
        <v>Human Resources</v>
      </c>
      <c r="E459" s="113" t="s">
        <v>105</v>
      </c>
      <c r="F459" s="113" t="str">
        <f>_xlfn.XLOOKUP(E459,'Allocated Transactions'!D:D,'Allocated Transactions'!E:E,"")</f>
        <v>Office Supplies</v>
      </c>
      <c r="G459" s="113" t="s">
        <v>97</v>
      </c>
      <c r="H459" s="113"/>
      <c r="I459" s="113" t="str">
        <f>_xlfn.XLOOKUP($C459,'Cost Centers'!$A$2:$A$11,'Cost Centers'!$C$2:$C$11,"")</f>
        <v>Admin</v>
      </c>
      <c r="J459" s="23">
        <f>MROUND(SUMIFS('Allocated Transactions'!$J:$J,'Allocated Transactions'!$D:$D,$E459,'Allocated Transactions'!$C:$C,$C459,'Allocated Transactions'!$A:$A,"&gt;="&amp;$A459,'Allocated Transactions'!$A:$A,"&lt;="&amp;EOMONTH($A459,0))*0.99,100)</f>
        <v>200</v>
      </c>
      <c r="K459" s="113" t="s">
        <v>637</v>
      </c>
    </row>
    <row r="460" spans="1:11" ht="15" customHeight="1">
      <c r="A460" s="112">
        <f t="shared" si="20"/>
        <v>45870</v>
      </c>
      <c r="B460" s="113">
        <v>3</v>
      </c>
      <c r="C460" s="18" t="str">
        <f t="shared" si="23"/>
        <v>1030</v>
      </c>
      <c r="D460" s="113" t="str">
        <f>_xlfn.XLOOKUP($C460,'Cost Centers'!$A$2:$A$11,'Cost Centers'!$B$2:$B$11,"")</f>
        <v>Human Resources</v>
      </c>
      <c r="E460" s="113" t="s">
        <v>107</v>
      </c>
      <c r="F460" s="113" t="str">
        <f>_xlfn.XLOOKUP(E460,'Allocated Transactions'!D:D,'Allocated Transactions'!E:E,"")</f>
        <v>Software and Subscriptions</v>
      </c>
      <c r="G460" s="113" t="s">
        <v>97</v>
      </c>
      <c r="H460" s="113"/>
      <c r="I460" s="113" t="str">
        <f>_xlfn.XLOOKUP($C460,'Cost Centers'!$A$2:$A$11,'Cost Centers'!$C$2:$C$11,"")</f>
        <v>Admin</v>
      </c>
      <c r="J460" s="23">
        <f>MROUND(SUMIFS('Allocated Transactions'!$J:$J,'Allocated Transactions'!$D:$D,$E460,'Allocated Transactions'!$C:$C,$C460,'Allocated Transactions'!$A:$A,"&gt;="&amp;$A460,'Allocated Transactions'!$A:$A,"&lt;="&amp;EOMONTH($A460,0))*0.99,100)</f>
        <v>0</v>
      </c>
      <c r="K460" s="113" t="s">
        <v>637</v>
      </c>
    </row>
    <row r="461" spans="1:11" ht="15" customHeight="1">
      <c r="A461" s="112">
        <f t="shared" si="20"/>
        <v>45870</v>
      </c>
      <c r="B461" s="113">
        <v>3</v>
      </c>
      <c r="C461" s="18" t="str">
        <f t="shared" si="23"/>
        <v>1030</v>
      </c>
      <c r="D461" s="113" t="str">
        <f>_xlfn.XLOOKUP($C461,'Cost Centers'!$A$2:$A$11,'Cost Centers'!$B$2:$B$11,"")</f>
        <v>Human Resources</v>
      </c>
      <c r="E461" s="113" t="s">
        <v>109</v>
      </c>
      <c r="F461" s="113" t="str">
        <f>_xlfn.XLOOKUP(E461,'Allocated Transactions'!D:D,'Allocated Transactions'!E:E,"")</f>
        <v>Travel</v>
      </c>
      <c r="G461" s="113" t="s">
        <v>97</v>
      </c>
      <c r="H461" s="113"/>
      <c r="I461" s="113" t="str">
        <f>_xlfn.XLOOKUP($C461,'Cost Centers'!$A$2:$A$11,'Cost Centers'!$C$2:$C$11,"")</f>
        <v>Admin</v>
      </c>
      <c r="J461" s="23">
        <f>MROUND(SUMIFS('Allocated Transactions'!$J:$J,'Allocated Transactions'!$D:$D,$E461,'Allocated Transactions'!$C:$C,$C461,'Allocated Transactions'!$A:$A,"&gt;="&amp;$A461,'Allocated Transactions'!$A:$A,"&lt;="&amp;EOMONTH($A461,0))*0.99,100)</f>
        <v>0</v>
      </c>
      <c r="K461" s="113" t="s">
        <v>637</v>
      </c>
    </row>
    <row r="462" spans="1:11" ht="15" customHeight="1">
      <c r="A462" s="112">
        <f t="shared" si="20"/>
        <v>45870</v>
      </c>
      <c r="B462" s="113">
        <v>3</v>
      </c>
      <c r="C462" s="18" t="str">
        <f t="shared" si="23"/>
        <v>1030</v>
      </c>
      <c r="D462" s="113" t="str">
        <f>_xlfn.XLOOKUP($C462,'Cost Centers'!$A$2:$A$11,'Cost Centers'!$B$2:$B$11,"")</f>
        <v>Human Resources</v>
      </c>
      <c r="E462" s="113" t="s">
        <v>111</v>
      </c>
      <c r="F462" s="113" t="str">
        <f>_xlfn.XLOOKUP(E462,'Allocated Transactions'!D:D,'Allocated Transactions'!E:E,"")</f>
        <v>Meals and Entertainment</v>
      </c>
      <c r="G462" s="113" t="s">
        <v>97</v>
      </c>
      <c r="H462" s="113"/>
      <c r="I462" s="113" t="str">
        <f>_xlfn.XLOOKUP($C462,'Cost Centers'!$A$2:$A$11,'Cost Centers'!$C$2:$C$11,"")</f>
        <v>Admin</v>
      </c>
      <c r="J462" s="23">
        <f>MROUND(SUMIFS('Allocated Transactions'!$J:$J,'Allocated Transactions'!$D:$D,$E462,'Allocated Transactions'!$C:$C,$C462,'Allocated Transactions'!$A:$A,"&gt;="&amp;$A462,'Allocated Transactions'!$A:$A,"&lt;="&amp;EOMONTH($A462,0))*0.99,100)</f>
        <v>0</v>
      </c>
      <c r="K462" s="113" t="s">
        <v>637</v>
      </c>
    </row>
    <row r="463" spans="1:11" ht="15" customHeight="1">
      <c r="A463" s="112">
        <f t="shared" si="20"/>
        <v>45870</v>
      </c>
      <c r="B463" s="113">
        <v>3</v>
      </c>
      <c r="C463" s="18" t="str">
        <f t="shared" si="23"/>
        <v>1030</v>
      </c>
      <c r="D463" s="113" t="str">
        <f>_xlfn.XLOOKUP($C463,'Cost Centers'!$A$2:$A$11,'Cost Centers'!$B$2:$B$11,"")</f>
        <v>Human Resources</v>
      </c>
      <c r="E463" s="113" t="s">
        <v>113</v>
      </c>
      <c r="F463" s="113" t="str">
        <f>_xlfn.XLOOKUP(E463,'Allocated Transactions'!D:D,'Allocated Transactions'!E:E,"")</f>
        <v>Professional Fees - Legal</v>
      </c>
      <c r="G463" s="113" t="s">
        <v>97</v>
      </c>
      <c r="H463" s="113"/>
      <c r="I463" s="113" t="str">
        <f>_xlfn.XLOOKUP($C463,'Cost Centers'!$A$2:$A$11,'Cost Centers'!$C$2:$C$11,"")</f>
        <v>Admin</v>
      </c>
      <c r="J463" s="23">
        <f>MROUND(SUMIFS('Allocated Transactions'!$J:$J,'Allocated Transactions'!$D:$D,$E463,'Allocated Transactions'!$C:$C,$C463,'Allocated Transactions'!$A:$A,"&gt;="&amp;$A463,'Allocated Transactions'!$A:$A,"&lt;="&amp;EOMONTH($A463,0))*0.99,100)</f>
        <v>0</v>
      </c>
      <c r="K463" s="113" t="s">
        <v>637</v>
      </c>
    </row>
    <row r="464" spans="1:11" ht="15" customHeight="1">
      <c r="A464" s="112">
        <f t="shared" si="20"/>
        <v>45870</v>
      </c>
      <c r="B464" s="113">
        <v>3</v>
      </c>
      <c r="C464" s="18" t="str">
        <f t="shared" si="23"/>
        <v>1030</v>
      </c>
      <c r="D464" s="113" t="str">
        <f>_xlfn.XLOOKUP($C464,'Cost Centers'!$A$2:$A$11,'Cost Centers'!$B$2:$B$11,"")</f>
        <v>Human Resources</v>
      </c>
      <c r="E464" s="113" t="s">
        <v>115</v>
      </c>
      <c r="F464" s="113" t="str">
        <f>_xlfn.XLOOKUP(E464,'Allocated Transactions'!D:D,'Allocated Transactions'!E:E,"")</f>
        <v>Professional Fees - Accounting/Audit</v>
      </c>
      <c r="G464" s="113" t="s">
        <v>97</v>
      </c>
      <c r="H464" s="113"/>
      <c r="I464" s="113" t="str">
        <f>_xlfn.XLOOKUP($C464,'Cost Centers'!$A$2:$A$11,'Cost Centers'!$C$2:$C$11,"")</f>
        <v>Admin</v>
      </c>
      <c r="J464" s="23">
        <f>MROUND(SUMIFS('Allocated Transactions'!$J:$J,'Allocated Transactions'!$D:$D,$E464,'Allocated Transactions'!$C:$C,$C464,'Allocated Transactions'!$A:$A,"&gt;="&amp;$A464,'Allocated Transactions'!$A:$A,"&lt;="&amp;EOMONTH($A464,0))*0.99,100)</f>
        <v>0</v>
      </c>
      <c r="K464" s="113" t="s">
        <v>637</v>
      </c>
    </row>
    <row r="465" spans="1:11" ht="15" customHeight="1">
      <c r="A465" s="112">
        <f t="shared" si="20"/>
        <v>45870</v>
      </c>
      <c r="B465" s="113">
        <v>3</v>
      </c>
      <c r="C465" s="18" t="str">
        <f t="shared" si="23"/>
        <v>1030</v>
      </c>
      <c r="D465" s="113" t="str">
        <f>_xlfn.XLOOKUP($C465,'Cost Centers'!$A$2:$A$11,'Cost Centers'!$B$2:$B$11,"")</f>
        <v>Human Resources</v>
      </c>
      <c r="E465" s="113" t="s">
        <v>117</v>
      </c>
      <c r="F465" s="113" t="str">
        <f>_xlfn.XLOOKUP(E465,'Allocated Transactions'!D:D,'Allocated Transactions'!E:E,"")</f>
        <v>Insurance</v>
      </c>
      <c r="G465" s="113" t="s">
        <v>97</v>
      </c>
      <c r="H465" s="113"/>
      <c r="I465" s="113" t="str">
        <f>_xlfn.XLOOKUP($C465,'Cost Centers'!$A$2:$A$11,'Cost Centers'!$C$2:$C$11,"")</f>
        <v>Admin</v>
      </c>
      <c r="J465" s="23">
        <f>MROUND(SUMIFS('Allocated Transactions'!$J:$J,'Allocated Transactions'!$D:$D,$E465,'Allocated Transactions'!$C:$C,$C465,'Allocated Transactions'!$A:$A,"&gt;="&amp;$A465,'Allocated Transactions'!$A:$A,"&lt;="&amp;EOMONTH($A465,0))*0.99,100)</f>
        <v>600</v>
      </c>
      <c r="K465" s="113" t="s">
        <v>637</v>
      </c>
    </row>
    <row r="466" spans="1:11" ht="15" customHeight="1">
      <c r="A466" s="112">
        <f t="shared" si="20"/>
        <v>45870</v>
      </c>
      <c r="B466" s="113">
        <v>3</v>
      </c>
      <c r="C466" s="18" t="str">
        <f t="shared" si="23"/>
        <v>1030</v>
      </c>
      <c r="D466" s="113" t="str">
        <f>_xlfn.XLOOKUP($C466,'Cost Centers'!$A$2:$A$11,'Cost Centers'!$B$2:$B$11,"")</f>
        <v>Human Resources</v>
      </c>
      <c r="E466" s="113" t="s">
        <v>119</v>
      </c>
      <c r="F466" s="113" t="str">
        <f>_xlfn.XLOOKUP(E466,'Allocated Transactions'!D:D,'Allocated Transactions'!E:E,"")</f>
        <v>Depreciation Expense</v>
      </c>
      <c r="G466" s="113" t="s">
        <v>97</v>
      </c>
      <c r="H466" s="113"/>
      <c r="I466" s="113" t="str">
        <f>_xlfn.XLOOKUP($C466,'Cost Centers'!$A$2:$A$11,'Cost Centers'!$C$2:$C$11,"")</f>
        <v>Admin</v>
      </c>
      <c r="J466" s="23">
        <f>MROUND(SUMIFS('Allocated Transactions'!$J:$J,'Allocated Transactions'!$D:$D,$E466,'Allocated Transactions'!$C:$C,$C466,'Allocated Transactions'!$A:$A,"&gt;="&amp;$A466,'Allocated Transactions'!$A:$A,"&lt;="&amp;EOMONTH($A466,0))*0.99,100)</f>
        <v>0</v>
      </c>
      <c r="K466" s="113" t="s">
        <v>637</v>
      </c>
    </row>
    <row r="467" spans="1:11" ht="15" customHeight="1">
      <c r="A467" s="112">
        <f t="shared" si="20"/>
        <v>45870</v>
      </c>
      <c r="B467" s="113">
        <v>3</v>
      </c>
      <c r="C467" s="18" t="str">
        <f t="shared" si="23"/>
        <v>1030</v>
      </c>
      <c r="D467" s="113" t="str">
        <f>_xlfn.XLOOKUP($C467,'Cost Centers'!$A$2:$A$11,'Cost Centers'!$B$2:$B$11,"")</f>
        <v>Human Resources</v>
      </c>
      <c r="E467" s="113" t="s">
        <v>121</v>
      </c>
      <c r="F467" s="113" t="str">
        <f>_xlfn.XLOOKUP(E467,'Allocated Transactions'!D:D,'Allocated Transactions'!E:E,"")</f>
        <v>Bank Fees</v>
      </c>
      <c r="G467" s="113" t="s">
        <v>97</v>
      </c>
      <c r="H467" s="113"/>
      <c r="I467" s="113" t="str">
        <f>_xlfn.XLOOKUP($C467,'Cost Centers'!$A$2:$A$11,'Cost Centers'!$C$2:$C$11,"")</f>
        <v>Admin</v>
      </c>
      <c r="J467" s="23">
        <f>MROUND(SUMIFS('Allocated Transactions'!$J:$J,'Allocated Transactions'!$D:$D,$E467,'Allocated Transactions'!$C:$C,$C467,'Allocated Transactions'!$A:$A,"&gt;="&amp;$A467,'Allocated Transactions'!$A:$A,"&lt;="&amp;EOMONTH($A467,0))*0.99,100)</f>
        <v>0</v>
      </c>
      <c r="K467" s="113" t="s">
        <v>637</v>
      </c>
    </row>
    <row r="468" spans="1:11" ht="15" customHeight="1">
      <c r="A468" s="112">
        <f t="shared" si="20"/>
        <v>45870</v>
      </c>
      <c r="B468" s="113">
        <v>3</v>
      </c>
      <c r="C468" s="18" t="str">
        <f t="shared" si="23"/>
        <v>1030</v>
      </c>
      <c r="D468" s="113" t="str">
        <f>_xlfn.XLOOKUP($C468,'Cost Centers'!$A$2:$A$11,'Cost Centers'!$B$2:$B$11,"")</f>
        <v>Human Resources</v>
      </c>
      <c r="E468" s="113" t="s">
        <v>123</v>
      </c>
      <c r="F468" s="113" t="str">
        <f>_xlfn.XLOOKUP(E468,'Allocated Transactions'!D:D,'Allocated Transactions'!E:E,"")</f>
        <v>Interest Expense</v>
      </c>
      <c r="G468" s="113" t="s">
        <v>97</v>
      </c>
      <c r="H468" s="113"/>
      <c r="I468" s="113" t="str">
        <f>_xlfn.XLOOKUP($C468,'Cost Centers'!$A$2:$A$11,'Cost Centers'!$C$2:$C$11,"")</f>
        <v>Admin</v>
      </c>
      <c r="J468" s="23">
        <f>MROUND(SUMIFS('Allocated Transactions'!$J:$J,'Allocated Transactions'!$D:$D,$E468,'Allocated Transactions'!$C:$C,$C468,'Allocated Transactions'!$A:$A,"&gt;="&amp;$A468,'Allocated Transactions'!$A:$A,"&lt;="&amp;EOMONTH($A468,0))*0.99,100)</f>
        <v>0</v>
      </c>
      <c r="K468" s="113" t="s">
        <v>637</v>
      </c>
    </row>
    <row r="469" spans="1:11" ht="15" customHeight="1">
      <c r="A469" s="112">
        <f t="shared" si="20"/>
        <v>45870</v>
      </c>
      <c r="B469" s="113">
        <v>3</v>
      </c>
      <c r="C469" s="18" t="str">
        <f t="shared" si="23"/>
        <v>1030</v>
      </c>
      <c r="D469" s="113" t="str">
        <f>_xlfn.XLOOKUP($C469,'Cost Centers'!$A$2:$A$11,'Cost Centers'!$B$2:$B$11,"")</f>
        <v>Human Resources</v>
      </c>
      <c r="E469" s="113" t="s">
        <v>125</v>
      </c>
      <c r="F469" s="113" t="str">
        <f>_xlfn.XLOOKUP(E469,'Allocated Transactions'!D:D,'Allocated Transactions'!E:E,"")</f>
        <v>Miscellaneous Expense</v>
      </c>
      <c r="G469" s="113" t="s">
        <v>97</v>
      </c>
      <c r="H469" s="113"/>
      <c r="I469" s="113" t="str">
        <f>_xlfn.XLOOKUP($C469,'Cost Centers'!$A$2:$A$11,'Cost Centers'!$C$2:$C$11,"")</f>
        <v>Admin</v>
      </c>
      <c r="J469" s="23">
        <f>MROUND(SUMIFS('Allocated Transactions'!$J:$J,'Allocated Transactions'!$D:$D,$E469,'Allocated Transactions'!$C:$C,$C469,'Allocated Transactions'!$A:$A,"&gt;="&amp;$A469,'Allocated Transactions'!$A:$A,"&lt;="&amp;EOMONTH($A469,0))*0.99,100)</f>
        <v>0</v>
      </c>
      <c r="K469" s="113" t="s">
        <v>637</v>
      </c>
    </row>
    <row r="470" spans="1:11" ht="15" customHeight="1">
      <c r="A470" s="112">
        <f t="shared" si="20"/>
        <v>45901</v>
      </c>
      <c r="B470" s="113">
        <v>3</v>
      </c>
      <c r="C470" s="18" t="s">
        <v>6</v>
      </c>
      <c r="D470" s="113" t="str">
        <f>_xlfn.XLOOKUP($C470,'Cost Centers'!$A$2:$A$11,'Cost Centers'!$B$2:$B$11,"")</f>
        <v>Human Resources</v>
      </c>
      <c r="E470" s="113" t="s">
        <v>28</v>
      </c>
      <c r="F470" s="113" t="str">
        <f>_xlfn.XLOOKUP(E470,'Allocated Transactions'!D:D,'Allocated Transactions'!E:E,"")</f>
        <v>Salaries and Wages</v>
      </c>
      <c r="G470" s="113" t="s">
        <v>97</v>
      </c>
      <c r="H470" s="113"/>
      <c r="I470" s="113" t="str">
        <f>_xlfn.XLOOKUP($C470,'Cost Centers'!$A$2:$A$11,'Cost Centers'!$C$2:$C$11,"")</f>
        <v>Admin</v>
      </c>
      <c r="J470" s="23">
        <f>MROUND(SUMIFS('Allocated Transactions'!$J:$J,'Allocated Transactions'!$D:$D,$E470,'Allocated Transactions'!$C:$C,$C470,'Allocated Transactions'!$A:$A,"&gt;="&amp;$A470,'Allocated Transactions'!$A:$A,"&lt;="&amp;EOMONTH($A470,0))*0.99,100)</f>
        <v>10100</v>
      </c>
      <c r="K470" s="113" t="s">
        <v>637</v>
      </c>
    </row>
    <row r="471" spans="1:11" ht="15" customHeight="1">
      <c r="A471" s="112">
        <f t="shared" si="20"/>
        <v>45901</v>
      </c>
      <c r="B471" s="113">
        <v>3</v>
      </c>
      <c r="C471" s="18" t="str">
        <f t="shared" ref="C471:C487" si="24">C470</f>
        <v>1030</v>
      </c>
      <c r="D471" s="113" t="str">
        <f>_xlfn.XLOOKUP($C471,'Cost Centers'!$A$2:$A$11,'Cost Centers'!$B$2:$B$11,"")</f>
        <v>Human Resources</v>
      </c>
      <c r="E471" s="113" t="s">
        <v>29</v>
      </c>
      <c r="F471" s="113" t="str">
        <f>_xlfn.XLOOKUP(E471,'Allocated Transactions'!D:D,'Allocated Transactions'!E:E,"")</f>
        <v>Payroll Taxes</v>
      </c>
      <c r="G471" s="113" t="s">
        <v>97</v>
      </c>
      <c r="H471" s="113"/>
      <c r="I471" s="113" t="str">
        <f>_xlfn.XLOOKUP($C471,'Cost Centers'!$A$2:$A$11,'Cost Centers'!$C$2:$C$11,"")</f>
        <v>Admin</v>
      </c>
      <c r="J471" s="23">
        <f>MROUND(SUMIFS('Allocated Transactions'!$J:$J,'Allocated Transactions'!$D:$D,$E471,'Allocated Transactions'!$C:$C,$C471,'Allocated Transactions'!$A:$A,"&gt;="&amp;$A471,'Allocated Transactions'!$A:$A,"&lt;="&amp;EOMONTH($A471,0))*0.99,100)</f>
        <v>800</v>
      </c>
      <c r="K471" s="113" t="s">
        <v>637</v>
      </c>
    </row>
    <row r="472" spans="1:11" ht="15" customHeight="1">
      <c r="A472" s="112">
        <f t="shared" si="20"/>
        <v>45901</v>
      </c>
      <c r="B472" s="113">
        <v>3</v>
      </c>
      <c r="C472" s="18" t="str">
        <f t="shared" si="24"/>
        <v>1030</v>
      </c>
      <c r="D472" s="113" t="str">
        <f>_xlfn.XLOOKUP($C472,'Cost Centers'!$A$2:$A$11,'Cost Centers'!$B$2:$B$11,"")</f>
        <v>Human Resources</v>
      </c>
      <c r="E472" s="113" t="s">
        <v>30</v>
      </c>
      <c r="F472" s="113" t="str">
        <f>_xlfn.XLOOKUP(E472,'Allocated Transactions'!D:D,'Allocated Transactions'!E:E,"")</f>
        <v>Employee Benefits</v>
      </c>
      <c r="G472" s="113" t="s">
        <v>97</v>
      </c>
      <c r="H472" s="113"/>
      <c r="I472" s="113" t="str">
        <f>_xlfn.XLOOKUP($C472,'Cost Centers'!$A$2:$A$11,'Cost Centers'!$C$2:$C$11,"")</f>
        <v>Admin</v>
      </c>
      <c r="J472" s="23">
        <f>MROUND(SUMIFS('Allocated Transactions'!$J:$J,'Allocated Transactions'!$D:$D,$E472,'Allocated Transactions'!$C:$C,$C472,'Allocated Transactions'!$A:$A,"&gt;="&amp;$A472,'Allocated Transactions'!$A:$A,"&lt;="&amp;EOMONTH($A472,0))*0.99,100)</f>
        <v>3700</v>
      </c>
      <c r="K472" s="113" t="s">
        <v>637</v>
      </c>
    </row>
    <row r="473" spans="1:11" ht="15" customHeight="1">
      <c r="A473" s="112">
        <f t="shared" ref="A473:A536" si="25">IF(C473&lt;&gt;C472,DATE(2025,7,1),IF(E473="5000",EOMONTH(A472,0)+1,A472))</f>
        <v>45901</v>
      </c>
      <c r="B473" s="113">
        <v>3</v>
      </c>
      <c r="C473" s="18" t="str">
        <f t="shared" si="24"/>
        <v>1030</v>
      </c>
      <c r="D473" s="113" t="str">
        <f>_xlfn.XLOOKUP($C473,'Cost Centers'!$A$2:$A$11,'Cost Centers'!$B$2:$B$11,"")</f>
        <v>Human Resources</v>
      </c>
      <c r="E473" s="113" t="s">
        <v>31</v>
      </c>
      <c r="F473" s="113" t="str">
        <f>_xlfn.XLOOKUP(E473,'Allocated Transactions'!D:D,'Allocated Transactions'!E:E,"")</f>
        <v>Retirement Contributions</v>
      </c>
      <c r="G473" s="113" t="s">
        <v>97</v>
      </c>
      <c r="H473" s="113"/>
      <c r="I473" s="113" t="str">
        <f>_xlfn.XLOOKUP($C473,'Cost Centers'!$A$2:$A$11,'Cost Centers'!$C$2:$C$11,"")</f>
        <v>Admin</v>
      </c>
      <c r="J473" s="23">
        <f>MROUND(SUMIFS('Allocated Transactions'!$J:$J,'Allocated Transactions'!$D:$D,$E473,'Allocated Transactions'!$C:$C,$C473,'Allocated Transactions'!$A:$A,"&gt;="&amp;$A473,'Allocated Transactions'!$A:$A,"&lt;="&amp;EOMONTH($A473,0))*0.99,100)</f>
        <v>300</v>
      </c>
      <c r="K473" s="113" t="s">
        <v>637</v>
      </c>
    </row>
    <row r="474" spans="1:11" ht="15" customHeight="1">
      <c r="A474" s="112">
        <f t="shared" si="25"/>
        <v>45901</v>
      </c>
      <c r="B474" s="113">
        <v>3</v>
      </c>
      <c r="C474" s="18" t="str">
        <f t="shared" si="24"/>
        <v>1030</v>
      </c>
      <c r="D474" s="113" t="str">
        <f>_xlfn.XLOOKUP($C474,'Cost Centers'!$A$2:$A$11,'Cost Centers'!$B$2:$B$11,"")</f>
        <v>Human Resources</v>
      </c>
      <c r="E474" s="113" t="s">
        <v>101</v>
      </c>
      <c r="F474" s="113" t="str">
        <f>_xlfn.XLOOKUP(E474,'Allocated Transactions'!D:D,'Allocated Transactions'!E:E,"")</f>
        <v>Contract Labor / Consultants</v>
      </c>
      <c r="G474" s="113" t="s">
        <v>97</v>
      </c>
      <c r="H474" s="113"/>
      <c r="I474" s="113" t="str">
        <f>_xlfn.XLOOKUP($C474,'Cost Centers'!$A$2:$A$11,'Cost Centers'!$C$2:$C$11,"")</f>
        <v>Admin</v>
      </c>
      <c r="J474" s="23">
        <f>MROUND(SUMIFS('Allocated Transactions'!$J:$J,'Allocated Transactions'!$D:$D,$E474,'Allocated Transactions'!$C:$C,$C474,'Allocated Transactions'!$A:$A,"&gt;="&amp;$A474,'Allocated Transactions'!$A:$A,"&lt;="&amp;EOMONTH($A474,0))*0.99,100)</f>
        <v>0</v>
      </c>
      <c r="K474" s="113" t="s">
        <v>637</v>
      </c>
    </row>
    <row r="475" spans="1:11" ht="15" customHeight="1">
      <c r="A475" s="112">
        <f t="shared" si="25"/>
        <v>45901</v>
      </c>
      <c r="B475" s="113">
        <v>3</v>
      </c>
      <c r="C475" s="18" t="str">
        <f t="shared" si="24"/>
        <v>1030</v>
      </c>
      <c r="D475" s="113" t="str">
        <f>_xlfn.XLOOKUP($C475,'Cost Centers'!$A$2:$A$11,'Cost Centers'!$B$2:$B$11,"")</f>
        <v>Human Resources</v>
      </c>
      <c r="E475" s="113" t="s">
        <v>32</v>
      </c>
      <c r="F475" s="113" t="str">
        <f>_xlfn.XLOOKUP(E475,'Allocated Transactions'!D:D,'Allocated Transactions'!E:E,"")</f>
        <v>Rent</v>
      </c>
      <c r="G475" s="113" t="s">
        <v>97</v>
      </c>
      <c r="H475" s="113"/>
      <c r="I475" s="113" t="str">
        <f>_xlfn.XLOOKUP($C475,'Cost Centers'!$A$2:$A$11,'Cost Centers'!$C$2:$C$11,"")</f>
        <v>Admin</v>
      </c>
      <c r="J475" s="23">
        <f>MROUND(SUMIFS('Allocated Transactions'!$J:$J,'Allocated Transactions'!$D:$D,$E475,'Allocated Transactions'!$C:$C,$C475,'Allocated Transactions'!$A:$A,"&gt;="&amp;$A475,'Allocated Transactions'!$A:$A,"&lt;="&amp;EOMONTH($A475,0))*0.99,100)</f>
        <v>800</v>
      </c>
      <c r="K475" s="113" t="s">
        <v>637</v>
      </c>
    </row>
    <row r="476" spans="1:11" ht="15" customHeight="1">
      <c r="A476" s="112">
        <f t="shared" si="25"/>
        <v>45901</v>
      </c>
      <c r="B476" s="113">
        <v>3</v>
      </c>
      <c r="C476" s="18" t="str">
        <f t="shared" si="24"/>
        <v>1030</v>
      </c>
      <c r="D476" s="113" t="str">
        <f>_xlfn.XLOOKUP($C476,'Cost Centers'!$A$2:$A$11,'Cost Centers'!$B$2:$B$11,"")</f>
        <v>Human Resources</v>
      </c>
      <c r="E476" s="113" t="s">
        <v>33</v>
      </c>
      <c r="F476" s="113" t="str">
        <f>_xlfn.XLOOKUP(E476,'Allocated Transactions'!D:D,'Allocated Transactions'!E:E,"")</f>
        <v>Utilities</v>
      </c>
      <c r="G476" s="113" t="s">
        <v>97</v>
      </c>
      <c r="H476" s="113"/>
      <c r="I476" s="113" t="str">
        <f>_xlfn.XLOOKUP($C476,'Cost Centers'!$A$2:$A$11,'Cost Centers'!$C$2:$C$11,"")</f>
        <v>Admin</v>
      </c>
      <c r="J476" s="23">
        <f>MROUND(SUMIFS('Allocated Transactions'!$J:$J,'Allocated Transactions'!$D:$D,$E476,'Allocated Transactions'!$C:$C,$C476,'Allocated Transactions'!$A:$A,"&gt;="&amp;$A476,'Allocated Transactions'!$A:$A,"&lt;="&amp;EOMONTH($A476,0))*0.99,100)</f>
        <v>100</v>
      </c>
      <c r="K476" s="113" t="s">
        <v>637</v>
      </c>
    </row>
    <row r="477" spans="1:11" ht="15" customHeight="1">
      <c r="A477" s="112">
        <f t="shared" si="25"/>
        <v>45901</v>
      </c>
      <c r="B477" s="113">
        <v>3</v>
      </c>
      <c r="C477" s="18" t="str">
        <f t="shared" si="24"/>
        <v>1030</v>
      </c>
      <c r="D477" s="113" t="str">
        <f>_xlfn.XLOOKUP($C477,'Cost Centers'!$A$2:$A$11,'Cost Centers'!$B$2:$B$11,"")</f>
        <v>Human Resources</v>
      </c>
      <c r="E477" s="113" t="s">
        <v>105</v>
      </c>
      <c r="F477" s="113" t="str">
        <f>_xlfn.XLOOKUP(E477,'Allocated Transactions'!D:D,'Allocated Transactions'!E:E,"")</f>
        <v>Office Supplies</v>
      </c>
      <c r="G477" s="113" t="s">
        <v>97</v>
      </c>
      <c r="H477" s="113"/>
      <c r="I477" s="113" t="str">
        <f>_xlfn.XLOOKUP($C477,'Cost Centers'!$A$2:$A$11,'Cost Centers'!$C$2:$C$11,"")</f>
        <v>Admin</v>
      </c>
      <c r="J477" s="23">
        <f>MROUND(SUMIFS('Allocated Transactions'!$J:$J,'Allocated Transactions'!$D:$D,$E477,'Allocated Transactions'!$C:$C,$C477,'Allocated Transactions'!$A:$A,"&gt;="&amp;$A477,'Allocated Transactions'!$A:$A,"&lt;="&amp;EOMONTH($A477,0))*0.99,100)</f>
        <v>0</v>
      </c>
      <c r="K477" s="113" t="s">
        <v>637</v>
      </c>
    </row>
    <row r="478" spans="1:11" ht="15" customHeight="1">
      <c r="A478" s="112">
        <f t="shared" si="25"/>
        <v>45901</v>
      </c>
      <c r="B478" s="113">
        <v>3</v>
      </c>
      <c r="C478" s="18" t="str">
        <f t="shared" si="24"/>
        <v>1030</v>
      </c>
      <c r="D478" s="113" t="str">
        <f>_xlfn.XLOOKUP($C478,'Cost Centers'!$A$2:$A$11,'Cost Centers'!$B$2:$B$11,"")</f>
        <v>Human Resources</v>
      </c>
      <c r="E478" s="113" t="s">
        <v>107</v>
      </c>
      <c r="F478" s="113" t="str">
        <f>_xlfn.XLOOKUP(E478,'Allocated Transactions'!D:D,'Allocated Transactions'!E:E,"")</f>
        <v>Software and Subscriptions</v>
      </c>
      <c r="G478" s="113" t="s">
        <v>97</v>
      </c>
      <c r="H478" s="113"/>
      <c r="I478" s="113" t="str">
        <f>_xlfn.XLOOKUP($C478,'Cost Centers'!$A$2:$A$11,'Cost Centers'!$C$2:$C$11,"")</f>
        <v>Admin</v>
      </c>
      <c r="J478" s="23">
        <f>MROUND(SUMIFS('Allocated Transactions'!$J:$J,'Allocated Transactions'!$D:$D,$E478,'Allocated Transactions'!$C:$C,$C478,'Allocated Transactions'!$A:$A,"&gt;="&amp;$A478,'Allocated Transactions'!$A:$A,"&lt;="&amp;EOMONTH($A478,0))*0.99,100)</f>
        <v>0</v>
      </c>
      <c r="K478" s="113" t="s">
        <v>637</v>
      </c>
    </row>
    <row r="479" spans="1:11" ht="15" customHeight="1">
      <c r="A479" s="112">
        <f t="shared" si="25"/>
        <v>45901</v>
      </c>
      <c r="B479" s="113">
        <v>3</v>
      </c>
      <c r="C479" s="18" t="str">
        <f t="shared" si="24"/>
        <v>1030</v>
      </c>
      <c r="D479" s="113" t="str">
        <f>_xlfn.XLOOKUP($C479,'Cost Centers'!$A$2:$A$11,'Cost Centers'!$B$2:$B$11,"")</f>
        <v>Human Resources</v>
      </c>
      <c r="E479" s="113" t="s">
        <v>109</v>
      </c>
      <c r="F479" s="113" t="str">
        <f>_xlfn.XLOOKUP(E479,'Allocated Transactions'!D:D,'Allocated Transactions'!E:E,"")</f>
        <v>Travel</v>
      </c>
      <c r="G479" s="113" t="s">
        <v>97</v>
      </c>
      <c r="H479" s="113"/>
      <c r="I479" s="113" t="str">
        <f>_xlfn.XLOOKUP($C479,'Cost Centers'!$A$2:$A$11,'Cost Centers'!$C$2:$C$11,"")</f>
        <v>Admin</v>
      </c>
      <c r="J479" s="23">
        <f>MROUND(SUMIFS('Allocated Transactions'!$J:$J,'Allocated Transactions'!$D:$D,$E479,'Allocated Transactions'!$C:$C,$C479,'Allocated Transactions'!$A:$A,"&gt;="&amp;$A479,'Allocated Transactions'!$A:$A,"&lt;="&amp;EOMONTH($A479,0))*0.99,100)</f>
        <v>0</v>
      </c>
      <c r="K479" s="113" t="s">
        <v>637</v>
      </c>
    </row>
    <row r="480" spans="1:11" ht="15" customHeight="1">
      <c r="A480" s="112">
        <f t="shared" si="25"/>
        <v>45901</v>
      </c>
      <c r="B480" s="113">
        <v>3</v>
      </c>
      <c r="C480" s="18" t="str">
        <f t="shared" si="24"/>
        <v>1030</v>
      </c>
      <c r="D480" s="113" t="str">
        <f>_xlfn.XLOOKUP($C480,'Cost Centers'!$A$2:$A$11,'Cost Centers'!$B$2:$B$11,"")</f>
        <v>Human Resources</v>
      </c>
      <c r="E480" s="113" t="s">
        <v>111</v>
      </c>
      <c r="F480" s="113" t="str">
        <f>_xlfn.XLOOKUP(E480,'Allocated Transactions'!D:D,'Allocated Transactions'!E:E,"")</f>
        <v>Meals and Entertainment</v>
      </c>
      <c r="G480" s="113" t="s">
        <v>97</v>
      </c>
      <c r="H480" s="113"/>
      <c r="I480" s="113" t="str">
        <f>_xlfn.XLOOKUP($C480,'Cost Centers'!$A$2:$A$11,'Cost Centers'!$C$2:$C$11,"")</f>
        <v>Admin</v>
      </c>
      <c r="J480" s="23">
        <f>MROUND(SUMIFS('Allocated Transactions'!$J:$J,'Allocated Transactions'!$D:$D,$E480,'Allocated Transactions'!$C:$C,$C480,'Allocated Transactions'!$A:$A,"&gt;="&amp;$A480,'Allocated Transactions'!$A:$A,"&lt;="&amp;EOMONTH($A480,0))*0.99,100)</f>
        <v>0</v>
      </c>
      <c r="K480" s="113" t="s">
        <v>637</v>
      </c>
    </row>
    <row r="481" spans="1:11" ht="15" customHeight="1">
      <c r="A481" s="112">
        <f t="shared" si="25"/>
        <v>45901</v>
      </c>
      <c r="B481" s="113">
        <v>3</v>
      </c>
      <c r="C481" s="18" t="str">
        <f t="shared" si="24"/>
        <v>1030</v>
      </c>
      <c r="D481" s="113" t="str">
        <f>_xlfn.XLOOKUP($C481,'Cost Centers'!$A$2:$A$11,'Cost Centers'!$B$2:$B$11,"")</f>
        <v>Human Resources</v>
      </c>
      <c r="E481" s="113" t="s">
        <v>113</v>
      </c>
      <c r="F481" s="113" t="str">
        <f>_xlfn.XLOOKUP(E481,'Allocated Transactions'!D:D,'Allocated Transactions'!E:E,"")</f>
        <v>Professional Fees - Legal</v>
      </c>
      <c r="G481" s="113" t="s">
        <v>97</v>
      </c>
      <c r="H481" s="113"/>
      <c r="I481" s="113" t="str">
        <f>_xlfn.XLOOKUP($C481,'Cost Centers'!$A$2:$A$11,'Cost Centers'!$C$2:$C$11,"")</f>
        <v>Admin</v>
      </c>
      <c r="J481" s="23">
        <f>MROUND(SUMIFS('Allocated Transactions'!$J:$J,'Allocated Transactions'!$D:$D,$E481,'Allocated Transactions'!$C:$C,$C481,'Allocated Transactions'!$A:$A,"&gt;="&amp;$A481,'Allocated Transactions'!$A:$A,"&lt;="&amp;EOMONTH($A481,0))*0.99,100)</f>
        <v>0</v>
      </c>
      <c r="K481" s="113" t="s">
        <v>637</v>
      </c>
    </row>
    <row r="482" spans="1:11" ht="15" customHeight="1">
      <c r="A482" s="112">
        <f t="shared" si="25"/>
        <v>45901</v>
      </c>
      <c r="B482" s="113">
        <v>3</v>
      </c>
      <c r="C482" s="18" t="str">
        <f t="shared" si="24"/>
        <v>1030</v>
      </c>
      <c r="D482" s="113" t="str">
        <f>_xlfn.XLOOKUP($C482,'Cost Centers'!$A$2:$A$11,'Cost Centers'!$B$2:$B$11,"")</f>
        <v>Human Resources</v>
      </c>
      <c r="E482" s="113" t="s">
        <v>115</v>
      </c>
      <c r="F482" s="113" t="str">
        <f>_xlfn.XLOOKUP(E482,'Allocated Transactions'!D:D,'Allocated Transactions'!E:E,"")</f>
        <v>Professional Fees - Accounting/Audit</v>
      </c>
      <c r="G482" s="113" t="s">
        <v>97</v>
      </c>
      <c r="H482" s="113"/>
      <c r="I482" s="113" t="str">
        <f>_xlfn.XLOOKUP($C482,'Cost Centers'!$A$2:$A$11,'Cost Centers'!$C$2:$C$11,"")</f>
        <v>Admin</v>
      </c>
      <c r="J482" s="23">
        <f>MROUND(SUMIFS('Allocated Transactions'!$J:$J,'Allocated Transactions'!$D:$D,$E482,'Allocated Transactions'!$C:$C,$C482,'Allocated Transactions'!$A:$A,"&gt;="&amp;$A482,'Allocated Transactions'!$A:$A,"&lt;="&amp;EOMONTH($A482,0))*0.99,100)</f>
        <v>0</v>
      </c>
      <c r="K482" s="113" t="s">
        <v>637</v>
      </c>
    </row>
    <row r="483" spans="1:11" ht="15" customHeight="1">
      <c r="A483" s="112">
        <f t="shared" si="25"/>
        <v>45901</v>
      </c>
      <c r="B483" s="113">
        <v>3</v>
      </c>
      <c r="C483" s="18" t="str">
        <f t="shared" si="24"/>
        <v>1030</v>
      </c>
      <c r="D483" s="113" t="str">
        <f>_xlfn.XLOOKUP($C483,'Cost Centers'!$A$2:$A$11,'Cost Centers'!$B$2:$B$11,"")</f>
        <v>Human Resources</v>
      </c>
      <c r="E483" s="113" t="s">
        <v>117</v>
      </c>
      <c r="F483" s="113" t="str">
        <f>_xlfn.XLOOKUP(E483,'Allocated Transactions'!D:D,'Allocated Transactions'!E:E,"")</f>
        <v>Insurance</v>
      </c>
      <c r="G483" s="113" t="s">
        <v>97</v>
      </c>
      <c r="H483" s="113"/>
      <c r="I483" s="113" t="str">
        <f>_xlfn.XLOOKUP($C483,'Cost Centers'!$A$2:$A$11,'Cost Centers'!$C$2:$C$11,"")</f>
        <v>Admin</v>
      </c>
      <c r="J483" s="23">
        <f>MROUND(SUMIFS('Allocated Transactions'!$J:$J,'Allocated Transactions'!$D:$D,$E483,'Allocated Transactions'!$C:$C,$C483,'Allocated Transactions'!$A:$A,"&gt;="&amp;$A483,'Allocated Transactions'!$A:$A,"&lt;="&amp;EOMONTH($A483,0))*0.99,100)</f>
        <v>600</v>
      </c>
      <c r="K483" s="113" t="s">
        <v>637</v>
      </c>
    </row>
    <row r="484" spans="1:11" ht="15" customHeight="1">
      <c r="A484" s="112">
        <f t="shared" si="25"/>
        <v>45901</v>
      </c>
      <c r="B484" s="113">
        <v>3</v>
      </c>
      <c r="C484" s="18" t="str">
        <f t="shared" si="24"/>
        <v>1030</v>
      </c>
      <c r="D484" s="113" t="str">
        <f>_xlfn.XLOOKUP($C484,'Cost Centers'!$A$2:$A$11,'Cost Centers'!$B$2:$B$11,"")</f>
        <v>Human Resources</v>
      </c>
      <c r="E484" s="113" t="s">
        <v>119</v>
      </c>
      <c r="F484" s="113" t="str">
        <f>_xlfn.XLOOKUP(E484,'Allocated Transactions'!D:D,'Allocated Transactions'!E:E,"")</f>
        <v>Depreciation Expense</v>
      </c>
      <c r="G484" s="113" t="s">
        <v>97</v>
      </c>
      <c r="H484" s="113"/>
      <c r="I484" s="113" t="str">
        <f>_xlfn.XLOOKUP($C484,'Cost Centers'!$A$2:$A$11,'Cost Centers'!$C$2:$C$11,"")</f>
        <v>Admin</v>
      </c>
      <c r="J484" s="23">
        <f>MROUND(SUMIFS('Allocated Transactions'!$J:$J,'Allocated Transactions'!$D:$D,$E484,'Allocated Transactions'!$C:$C,$C484,'Allocated Transactions'!$A:$A,"&gt;="&amp;$A484,'Allocated Transactions'!$A:$A,"&lt;="&amp;EOMONTH($A484,0))*0.99,100)</f>
        <v>0</v>
      </c>
      <c r="K484" s="113" t="s">
        <v>637</v>
      </c>
    </row>
    <row r="485" spans="1:11" ht="15" customHeight="1">
      <c r="A485" s="112">
        <f t="shared" si="25"/>
        <v>45901</v>
      </c>
      <c r="B485" s="113">
        <v>3</v>
      </c>
      <c r="C485" s="18" t="str">
        <f t="shared" si="24"/>
        <v>1030</v>
      </c>
      <c r="D485" s="113" t="str">
        <f>_xlfn.XLOOKUP($C485,'Cost Centers'!$A$2:$A$11,'Cost Centers'!$B$2:$B$11,"")</f>
        <v>Human Resources</v>
      </c>
      <c r="E485" s="113" t="s">
        <v>121</v>
      </c>
      <c r="F485" s="113" t="str">
        <f>_xlfn.XLOOKUP(E485,'Allocated Transactions'!D:D,'Allocated Transactions'!E:E,"")</f>
        <v>Bank Fees</v>
      </c>
      <c r="G485" s="113" t="s">
        <v>97</v>
      </c>
      <c r="H485" s="113"/>
      <c r="I485" s="113" t="str">
        <f>_xlfn.XLOOKUP($C485,'Cost Centers'!$A$2:$A$11,'Cost Centers'!$C$2:$C$11,"")</f>
        <v>Admin</v>
      </c>
      <c r="J485" s="23">
        <f>MROUND(SUMIFS('Allocated Transactions'!$J:$J,'Allocated Transactions'!$D:$D,$E485,'Allocated Transactions'!$C:$C,$C485,'Allocated Transactions'!$A:$A,"&gt;="&amp;$A485,'Allocated Transactions'!$A:$A,"&lt;="&amp;EOMONTH($A485,0))*0.99,100)</f>
        <v>0</v>
      </c>
      <c r="K485" s="113" t="s">
        <v>637</v>
      </c>
    </row>
    <row r="486" spans="1:11" ht="15" customHeight="1">
      <c r="A486" s="112">
        <f t="shared" si="25"/>
        <v>45901</v>
      </c>
      <c r="B486" s="113">
        <v>3</v>
      </c>
      <c r="C486" s="18" t="str">
        <f t="shared" si="24"/>
        <v>1030</v>
      </c>
      <c r="D486" s="113" t="str">
        <f>_xlfn.XLOOKUP($C486,'Cost Centers'!$A$2:$A$11,'Cost Centers'!$B$2:$B$11,"")</f>
        <v>Human Resources</v>
      </c>
      <c r="E486" s="113" t="s">
        <v>123</v>
      </c>
      <c r="F486" s="113" t="str">
        <f>_xlfn.XLOOKUP(E486,'Allocated Transactions'!D:D,'Allocated Transactions'!E:E,"")</f>
        <v>Interest Expense</v>
      </c>
      <c r="G486" s="113" t="s">
        <v>97</v>
      </c>
      <c r="H486" s="113"/>
      <c r="I486" s="113" t="str">
        <f>_xlfn.XLOOKUP($C486,'Cost Centers'!$A$2:$A$11,'Cost Centers'!$C$2:$C$11,"")</f>
        <v>Admin</v>
      </c>
      <c r="J486" s="23">
        <f>MROUND(SUMIFS('Allocated Transactions'!$J:$J,'Allocated Transactions'!$D:$D,$E486,'Allocated Transactions'!$C:$C,$C486,'Allocated Transactions'!$A:$A,"&gt;="&amp;$A486,'Allocated Transactions'!$A:$A,"&lt;="&amp;EOMONTH($A486,0))*0.99,100)</f>
        <v>0</v>
      </c>
      <c r="K486" s="113" t="s">
        <v>637</v>
      </c>
    </row>
    <row r="487" spans="1:11" ht="15" customHeight="1">
      <c r="A487" s="112">
        <f t="shared" si="25"/>
        <v>45901</v>
      </c>
      <c r="B487" s="113">
        <v>3</v>
      </c>
      <c r="C487" s="18" t="str">
        <f t="shared" si="24"/>
        <v>1030</v>
      </c>
      <c r="D487" s="113" t="str">
        <f>_xlfn.XLOOKUP($C487,'Cost Centers'!$A$2:$A$11,'Cost Centers'!$B$2:$B$11,"")</f>
        <v>Human Resources</v>
      </c>
      <c r="E487" s="113" t="s">
        <v>125</v>
      </c>
      <c r="F487" s="113" t="str">
        <f>_xlfn.XLOOKUP(E487,'Allocated Transactions'!D:D,'Allocated Transactions'!E:E,"")</f>
        <v>Miscellaneous Expense</v>
      </c>
      <c r="G487" s="113" t="s">
        <v>97</v>
      </c>
      <c r="H487" s="113"/>
      <c r="I487" s="113" t="str">
        <f>_xlfn.XLOOKUP($C487,'Cost Centers'!$A$2:$A$11,'Cost Centers'!$C$2:$C$11,"")</f>
        <v>Admin</v>
      </c>
      <c r="J487" s="23">
        <f>MROUND(SUMIFS('Allocated Transactions'!$J:$J,'Allocated Transactions'!$D:$D,$E487,'Allocated Transactions'!$C:$C,$C487,'Allocated Transactions'!$A:$A,"&gt;="&amp;$A487,'Allocated Transactions'!$A:$A,"&lt;="&amp;EOMONTH($A487,0))*0.99,100)</f>
        <v>0</v>
      </c>
      <c r="K487" s="113" t="s">
        <v>637</v>
      </c>
    </row>
    <row r="488" spans="1:11" ht="15" customHeight="1">
      <c r="A488" s="112">
        <f t="shared" si="25"/>
        <v>45931</v>
      </c>
      <c r="B488" s="113">
        <v>3</v>
      </c>
      <c r="C488" s="18" t="s">
        <v>6</v>
      </c>
      <c r="D488" s="113" t="str">
        <f>_xlfn.XLOOKUP($C488,'Cost Centers'!$A$2:$A$11,'Cost Centers'!$B$2:$B$11,"")</f>
        <v>Human Resources</v>
      </c>
      <c r="E488" s="113" t="s">
        <v>28</v>
      </c>
      <c r="F488" s="113" t="str">
        <f>_xlfn.XLOOKUP(E488,'Allocated Transactions'!D:D,'Allocated Transactions'!E:E,"")</f>
        <v>Salaries and Wages</v>
      </c>
      <c r="G488" s="113" t="s">
        <v>97</v>
      </c>
      <c r="H488" s="113"/>
      <c r="I488" s="113" t="str">
        <f>_xlfn.XLOOKUP($C488,'Cost Centers'!$A$2:$A$11,'Cost Centers'!$C$2:$C$11,"")</f>
        <v>Admin</v>
      </c>
      <c r="J488" s="23">
        <f>MROUND(SUMIFS('Allocated Transactions'!$J:$J,'Allocated Transactions'!$D:$D,$E488,'Allocated Transactions'!$C:$C,$C488,'Allocated Transactions'!$A:$A,"&gt;="&amp;$A488,'Allocated Transactions'!$A:$A,"&lt;="&amp;EOMONTH($A488,0))*0.99,100)</f>
        <v>10200</v>
      </c>
      <c r="K488" s="113" t="s">
        <v>637</v>
      </c>
    </row>
    <row r="489" spans="1:11" ht="15" customHeight="1">
      <c r="A489" s="112">
        <f t="shared" si="25"/>
        <v>45931</v>
      </c>
      <c r="B489" s="113">
        <v>3</v>
      </c>
      <c r="C489" s="18" t="str">
        <f t="shared" ref="C489:C505" si="26">C488</f>
        <v>1030</v>
      </c>
      <c r="D489" s="113" t="str">
        <f>_xlfn.XLOOKUP($C489,'Cost Centers'!$A$2:$A$11,'Cost Centers'!$B$2:$B$11,"")</f>
        <v>Human Resources</v>
      </c>
      <c r="E489" s="113" t="s">
        <v>29</v>
      </c>
      <c r="F489" s="113" t="str">
        <f>_xlfn.XLOOKUP(E489,'Allocated Transactions'!D:D,'Allocated Transactions'!E:E,"")</f>
        <v>Payroll Taxes</v>
      </c>
      <c r="G489" s="113" t="s">
        <v>97</v>
      </c>
      <c r="H489" s="113"/>
      <c r="I489" s="113" t="str">
        <f>_xlfn.XLOOKUP($C489,'Cost Centers'!$A$2:$A$11,'Cost Centers'!$C$2:$C$11,"")</f>
        <v>Admin</v>
      </c>
      <c r="J489" s="23">
        <f>MROUND(SUMIFS('Allocated Transactions'!$J:$J,'Allocated Transactions'!$D:$D,$E489,'Allocated Transactions'!$C:$C,$C489,'Allocated Transactions'!$A:$A,"&gt;="&amp;$A489,'Allocated Transactions'!$A:$A,"&lt;="&amp;EOMONTH($A489,0))*0.99,100)</f>
        <v>800</v>
      </c>
      <c r="K489" s="113" t="s">
        <v>637</v>
      </c>
    </row>
    <row r="490" spans="1:11" ht="15" customHeight="1">
      <c r="A490" s="112">
        <f t="shared" si="25"/>
        <v>45931</v>
      </c>
      <c r="B490" s="113">
        <v>3</v>
      </c>
      <c r="C490" s="18" t="str">
        <f t="shared" si="26"/>
        <v>1030</v>
      </c>
      <c r="D490" s="113" t="str">
        <f>_xlfn.XLOOKUP($C490,'Cost Centers'!$A$2:$A$11,'Cost Centers'!$B$2:$B$11,"")</f>
        <v>Human Resources</v>
      </c>
      <c r="E490" s="113" t="s">
        <v>30</v>
      </c>
      <c r="F490" s="113" t="str">
        <f>_xlfn.XLOOKUP(E490,'Allocated Transactions'!D:D,'Allocated Transactions'!E:E,"")</f>
        <v>Employee Benefits</v>
      </c>
      <c r="G490" s="113" t="s">
        <v>97</v>
      </c>
      <c r="H490" s="113"/>
      <c r="I490" s="113" t="str">
        <f>_xlfn.XLOOKUP($C490,'Cost Centers'!$A$2:$A$11,'Cost Centers'!$C$2:$C$11,"")</f>
        <v>Admin</v>
      </c>
      <c r="J490" s="23">
        <f>MROUND(SUMIFS('Allocated Transactions'!$J:$J,'Allocated Transactions'!$D:$D,$E490,'Allocated Transactions'!$C:$C,$C490,'Allocated Transactions'!$A:$A,"&gt;="&amp;$A490,'Allocated Transactions'!$A:$A,"&lt;="&amp;EOMONTH($A490,0))*0.99,100)</f>
        <v>4000</v>
      </c>
      <c r="K490" s="113" t="s">
        <v>637</v>
      </c>
    </row>
    <row r="491" spans="1:11" ht="15" customHeight="1">
      <c r="A491" s="112">
        <f t="shared" si="25"/>
        <v>45931</v>
      </c>
      <c r="B491" s="113">
        <v>3</v>
      </c>
      <c r="C491" s="18" t="str">
        <f t="shared" si="26"/>
        <v>1030</v>
      </c>
      <c r="D491" s="113" t="str">
        <f>_xlfn.XLOOKUP($C491,'Cost Centers'!$A$2:$A$11,'Cost Centers'!$B$2:$B$11,"")</f>
        <v>Human Resources</v>
      </c>
      <c r="E491" s="113" t="s">
        <v>31</v>
      </c>
      <c r="F491" s="113" t="str">
        <f>_xlfn.XLOOKUP(E491,'Allocated Transactions'!D:D,'Allocated Transactions'!E:E,"")</f>
        <v>Retirement Contributions</v>
      </c>
      <c r="G491" s="113" t="s">
        <v>97</v>
      </c>
      <c r="H491" s="113"/>
      <c r="I491" s="113" t="str">
        <f>_xlfn.XLOOKUP($C491,'Cost Centers'!$A$2:$A$11,'Cost Centers'!$C$2:$C$11,"")</f>
        <v>Admin</v>
      </c>
      <c r="J491" s="23">
        <f>MROUND(SUMIFS('Allocated Transactions'!$J:$J,'Allocated Transactions'!$D:$D,$E491,'Allocated Transactions'!$C:$C,$C491,'Allocated Transactions'!$A:$A,"&gt;="&amp;$A491,'Allocated Transactions'!$A:$A,"&lt;="&amp;EOMONTH($A491,0))*0.99,100)</f>
        <v>300</v>
      </c>
      <c r="K491" s="113" t="s">
        <v>637</v>
      </c>
    </row>
    <row r="492" spans="1:11" ht="15" customHeight="1">
      <c r="A492" s="112">
        <f t="shared" si="25"/>
        <v>45931</v>
      </c>
      <c r="B492" s="113">
        <v>3</v>
      </c>
      <c r="C492" s="18" t="str">
        <f t="shared" si="26"/>
        <v>1030</v>
      </c>
      <c r="D492" s="113" t="str">
        <f>_xlfn.XLOOKUP($C492,'Cost Centers'!$A$2:$A$11,'Cost Centers'!$B$2:$B$11,"")</f>
        <v>Human Resources</v>
      </c>
      <c r="E492" s="113" t="s">
        <v>101</v>
      </c>
      <c r="F492" s="113" t="str">
        <f>_xlfn.XLOOKUP(E492,'Allocated Transactions'!D:D,'Allocated Transactions'!E:E,"")</f>
        <v>Contract Labor / Consultants</v>
      </c>
      <c r="G492" s="113" t="s">
        <v>97</v>
      </c>
      <c r="H492" s="113"/>
      <c r="I492" s="113" t="str">
        <f>_xlfn.XLOOKUP($C492,'Cost Centers'!$A$2:$A$11,'Cost Centers'!$C$2:$C$11,"")</f>
        <v>Admin</v>
      </c>
      <c r="J492" s="23">
        <f>MROUND(SUMIFS('Allocated Transactions'!$J:$J,'Allocated Transactions'!$D:$D,$E492,'Allocated Transactions'!$C:$C,$C492,'Allocated Transactions'!$A:$A,"&gt;="&amp;$A492,'Allocated Transactions'!$A:$A,"&lt;="&amp;EOMONTH($A492,0))*0.99,100)</f>
        <v>0</v>
      </c>
      <c r="K492" s="113" t="s">
        <v>637</v>
      </c>
    </row>
    <row r="493" spans="1:11" ht="15" customHeight="1">
      <c r="A493" s="112">
        <f t="shared" si="25"/>
        <v>45931</v>
      </c>
      <c r="B493" s="113">
        <v>3</v>
      </c>
      <c r="C493" s="18" t="str">
        <f t="shared" si="26"/>
        <v>1030</v>
      </c>
      <c r="D493" s="113" t="str">
        <f>_xlfn.XLOOKUP($C493,'Cost Centers'!$A$2:$A$11,'Cost Centers'!$B$2:$B$11,"")</f>
        <v>Human Resources</v>
      </c>
      <c r="E493" s="113" t="s">
        <v>32</v>
      </c>
      <c r="F493" s="113" t="str">
        <f>_xlfn.XLOOKUP(E493,'Allocated Transactions'!D:D,'Allocated Transactions'!E:E,"")</f>
        <v>Rent</v>
      </c>
      <c r="G493" s="113" t="s">
        <v>97</v>
      </c>
      <c r="H493" s="113"/>
      <c r="I493" s="113" t="str">
        <f>_xlfn.XLOOKUP($C493,'Cost Centers'!$A$2:$A$11,'Cost Centers'!$C$2:$C$11,"")</f>
        <v>Admin</v>
      </c>
      <c r="J493" s="23">
        <f>MROUND(SUMIFS('Allocated Transactions'!$J:$J,'Allocated Transactions'!$D:$D,$E493,'Allocated Transactions'!$C:$C,$C493,'Allocated Transactions'!$A:$A,"&gt;="&amp;$A493,'Allocated Transactions'!$A:$A,"&lt;="&amp;EOMONTH($A493,0))*0.99,100)</f>
        <v>800</v>
      </c>
      <c r="K493" s="113" t="s">
        <v>637</v>
      </c>
    </row>
    <row r="494" spans="1:11" ht="15" customHeight="1">
      <c r="A494" s="112">
        <f t="shared" si="25"/>
        <v>45931</v>
      </c>
      <c r="B494" s="113">
        <v>3</v>
      </c>
      <c r="C494" s="18" t="str">
        <f t="shared" si="26"/>
        <v>1030</v>
      </c>
      <c r="D494" s="113" t="str">
        <f>_xlfn.XLOOKUP($C494,'Cost Centers'!$A$2:$A$11,'Cost Centers'!$B$2:$B$11,"")</f>
        <v>Human Resources</v>
      </c>
      <c r="E494" s="113" t="s">
        <v>33</v>
      </c>
      <c r="F494" s="113" t="str">
        <f>_xlfn.XLOOKUP(E494,'Allocated Transactions'!D:D,'Allocated Transactions'!E:E,"")</f>
        <v>Utilities</v>
      </c>
      <c r="G494" s="113" t="s">
        <v>97</v>
      </c>
      <c r="H494" s="113"/>
      <c r="I494" s="113" t="str">
        <f>_xlfn.XLOOKUP($C494,'Cost Centers'!$A$2:$A$11,'Cost Centers'!$C$2:$C$11,"")</f>
        <v>Admin</v>
      </c>
      <c r="J494" s="23">
        <f>MROUND(SUMIFS('Allocated Transactions'!$J:$J,'Allocated Transactions'!$D:$D,$E494,'Allocated Transactions'!$C:$C,$C494,'Allocated Transactions'!$A:$A,"&gt;="&amp;$A494,'Allocated Transactions'!$A:$A,"&lt;="&amp;EOMONTH($A494,0))*0.99,100)</f>
        <v>100</v>
      </c>
      <c r="K494" s="113" t="s">
        <v>637</v>
      </c>
    </row>
    <row r="495" spans="1:11" ht="15" customHeight="1">
      <c r="A495" s="112">
        <f t="shared" si="25"/>
        <v>45931</v>
      </c>
      <c r="B495" s="113">
        <v>3</v>
      </c>
      <c r="C495" s="18" t="str">
        <f t="shared" si="26"/>
        <v>1030</v>
      </c>
      <c r="D495" s="113" t="str">
        <f>_xlfn.XLOOKUP($C495,'Cost Centers'!$A$2:$A$11,'Cost Centers'!$B$2:$B$11,"")</f>
        <v>Human Resources</v>
      </c>
      <c r="E495" s="113" t="s">
        <v>105</v>
      </c>
      <c r="F495" s="113" t="str">
        <f>_xlfn.XLOOKUP(E495,'Allocated Transactions'!D:D,'Allocated Transactions'!E:E,"")</f>
        <v>Office Supplies</v>
      </c>
      <c r="G495" s="113" t="s">
        <v>97</v>
      </c>
      <c r="H495" s="113"/>
      <c r="I495" s="113" t="str">
        <f>_xlfn.XLOOKUP($C495,'Cost Centers'!$A$2:$A$11,'Cost Centers'!$C$2:$C$11,"")</f>
        <v>Admin</v>
      </c>
      <c r="J495" s="23">
        <f>MROUND(SUMIFS('Allocated Transactions'!$J:$J,'Allocated Transactions'!$D:$D,$E495,'Allocated Transactions'!$C:$C,$C495,'Allocated Transactions'!$A:$A,"&gt;="&amp;$A495,'Allocated Transactions'!$A:$A,"&lt;="&amp;EOMONTH($A495,0))*0.99,100)</f>
        <v>0</v>
      </c>
      <c r="K495" s="113" t="s">
        <v>637</v>
      </c>
    </row>
    <row r="496" spans="1:11" ht="15" customHeight="1">
      <c r="A496" s="112">
        <f t="shared" si="25"/>
        <v>45931</v>
      </c>
      <c r="B496" s="113">
        <v>3</v>
      </c>
      <c r="C496" s="18" t="str">
        <f t="shared" si="26"/>
        <v>1030</v>
      </c>
      <c r="D496" s="113" t="str">
        <f>_xlfn.XLOOKUP($C496,'Cost Centers'!$A$2:$A$11,'Cost Centers'!$B$2:$B$11,"")</f>
        <v>Human Resources</v>
      </c>
      <c r="E496" s="113" t="s">
        <v>107</v>
      </c>
      <c r="F496" s="113" t="str">
        <f>_xlfn.XLOOKUP(E496,'Allocated Transactions'!D:D,'Allocated Transactions'!E:E,"")</f>
        <v>Software and Subscriptions</v>
      </c>
      <c r="G496" s="113" t="s">
        <v>97</v>
      </c>
      <c r="H496" s="113"/>
      <c r="I496" s="113" t="str">
        <f>_xlfn.XLOOKUP($C496,'Cost Centers'!$A$2:$A$11,'Cost Centers'!$C$2:$C$11,"")</f>
        <v>Admin</v>
      </c>
      <c r="J496" s="23">
        <f>MROUND(SUMIFS('Allocated Transactions'!$J:$J,'Allocated Transactions'!$D:$D,$E496,'Allocated Transactions'!$C:$C,$C496,'Allocated Transactions'!$A:$A,"&gt;="&amp;$A496,'Allocated Transactions'!$A:$A,"&lt;="&amp;EOMONTH($A496,0))*0.99,100)</f>
        <v>2500</v>
      </c>
      <c r="K496" s="113" t="s">
        <v>637</v>
      </c>
    </row>
    <row r="497" spans="1:11" ht="15" customHeight="1">
      <c r="A497" s="112">
        <f t="shared" si="25"/>
        <v>45931</v>
      </c>
      <c r="B497" s="113">
        <v>3</v>
      </c>
      <c r="C497" s="18" t="str">
        <f t="shared" si="26"/>
        <v>1030</v>
      </c>
      <c r="D497" s="113" t="str">
        <f>_xlfn.XLOOKUP($C497,'Cost Centers'!$A$2:$A$11,'Cost Centers'!$B$2:$B$11,"")</f>
        <v>Human Resources</v>
      </c>
      <c r="E497" s="113" t="s">
        <v>109</v>
      </c>
      <c r="F497" s="113" t="str">
        <f>_xlfn.XLOOKUP(E497,'Allocated Transactions'!D:D,'Allocated Transactions'!E:E,"")</f>
        <v>Travel</v>
      </c>
      <c r="G497" s="113" t="s">
        <v>97</v>
      </c>
      <c r="H497" s="113"/>
      <c r="I497" s="113" t="str">
        <f>_xlfn.XLOOKUP($C497,'Cost Centers'!$A$2:$A$11,'Cost Centers'!$C$2:$C$11,"")</f>
        <v>Admin</v>
      </c>
      <c r="J497" s="23">
        <f>MROUND(SUMIFS('Allocated Transactions'!$J:$J,'Allocated Transactions'!$D:$D,$E497,'Allocated Transactions'!$C:$C,$C497,'Allocated Transactions'!$A:$A,"&gt;="&amp;$A497,'Allocated Transactions'!$A:$A,"&lt;="&amp;EOMONTH($A497,0))*0.99,100)</f>
        <v>0</v>
      </c>
      <c r="K497" s="113" t="s">
        <v>637</v>
      </c>
    </row>
    <row r="498" spans="1:11" ht="15" customHeight="1">
      <c r="A498" s="112">
        <f t="shared" si="25"/>
        <v>45931</v>
      </c>
      <c r="B498" s="113">
        <v>3</v>
      </c>
      <c r="C498" s="18" t="str">
        <f t="shared" si="26"/>
        <v>1030</v>
      </c>
      <c r="D498" s="113" t="str">
        <f>_xlfn.XLOOKUP($C498,'Cost Centers'!$A$2:$A$11,'Cost Centers'!$B$2:$B$11,"")</f>
        <v>Human Resources</v>
      </c>
      <c r="E498" s="113" t="s">
        <v>111</v>
      </c>
      <c r="F498" s="113" t="str">
        <f>_xlfn.XLOOKUP(E498,'Allocated Transactions'!D:D,'Allocated Transactions'!E:E,"")</f>
        <v>Meals and Entertainment</v>
      </c>
      <c r="G498" s="113" t="s">
        <v>97</v>
      </c>
      <c r="H498" s="113"/>
      <c r="I498" s="113" t="str">
        <f>_xlfn.XLOOKUP($C498,'Cost Centers'!$A$2:$A$11,'Cost Centers'!$C$2:$C$11,"")</f>
        <v>Admin</v>
      </c>
      <c r="J498" s="23">
        <f>MROUND(SUMIFS('Allocated Transactions'!$J:$J,'Allocated Transactions'!$D:$D,$E498,'Allocated Transactions'!$C:$C,$C498,'Allocated Transactions'!$A:$A,"&gt;="&amp;$A498,'Allocated Transactions'!$A:$A,"&lt;="&amp;EOMONTH($A498,0))*0.99,100)</f>
        <v>0</v>
      </c>
      <c r="K498" s="113" t="s">
        <v>637</v>
      </c>
    </row>
    <row r="499" spans="1:11" ht="15" customHeight="1">
      <c r="A499" s="112">
        <f t="shared" si="25"/>
        <v>45931</v>
      </c>
      <c r="B499" s="113">
        <v>3</v>
      </c>
      <c r="C499" s="18" t="str">
        <f t="shared" si="26"/>
        <v>1030</v>
      </c>
      <c r="D499" s="113" t="str">
        <f>_xlfn.XLOOKUP($C499,'Cost Centers'!$A$2:$A$11,'Cost Centers'!$B$2:$B$11,"")</f>
        <v>Human Resources</v>
      </c>
      <c r="E499" s="113" t="s">
        <v>113</v>
      </c>
      <c r="F499" s="113" t="str">
        <f>_xlfn.XLOOKUP(E499,'Allocated Transactions'!D:D,'Allocated Transactions'!E:E,"")</f>
        <v>Professional Fees - Legal</v>
      </c>
      <c r="G499" s="113" t="s">
        <v>97</v>
      </c>
      <c r="H499" s="113"/>
      <c r="I499" s="113" t="str">
        <f>_xlfn.XLOOKUP($C499,'Cost Centers'!$A$2:$A$11,'Cost Centers'!$C$2:$C$11,"")</f>
        <v>Admin</v>
      </c>
      <c r="J499" s="23">
        <f>MROUND(SUMIFS('Allocated Transactions'!$J:$J,'Allocated Transactions'!$D:$D,$E499,'Allocated Transactions'!$C:$C,$C499,'Allocated Transactions'!$A:$A,"&gt;="&amp;$A499,'Allocated Transactions'!$A:$A,"&lt;="&amp;EOMONTH($A499,0))*0.99,100)</f>
        <v>0</v>
      </c>
      <c r="K499" s="113" t="s">
        <v>637</v>
      </c>
    </row>
    <row r="500" spans="1:11" ht="15" customHeight="1">
      <c r="A500" s="112">
        <f t="shared" si="25"/>
        <v>45931</v>
      </c>
      <c r="B500" s="113">
        <v>3</v>
      </c>
      <c r="C500" s="18" t="str">
        <f t="shared" si="26"/>
        <v>1030</v>
      </c>
      <c r="D500" s="113" t="str">
        <f>_xlfn.XLOOKUP($C500,'Cost Centers'!$A$2:$A$11,'Cost Centers'!$B$2:$B$11,"")</f>
        <v>Human Resources</v>
      </c>
      <c r="E500" s="113" t="s">
        <v>115</v>
      </c>
      <c r="F500" s="113" t="str">
        <f>_xlfn.XLOOKUP(E500,'Allocated Transactions'!D:D,'Allocated Transactions'!E:E,"")</f>
        <v>Professional Fees - Accounting/Audit</v>
      </c>
      <c r="G500" s="113" t="s">
        <v>97</v>
      </c>
      <c r="H500" s="113"/>
      <c r="I500" s="113" t="str">
        <f>_xlfn.XLOOKUP($C500,'Cost Centers'!$A$2:$A$11,'Cost Centers'!$C$2:$C$11,"")</f>
        <v>Admin</v>
      </c>
      <c r="J500" s="23">
        <f>MROUND(SUMIFS('Allocated Transactions'!$J:$J,'Allocated Transactions'!$D:$D,$E500,'Allocated Transactions'!$C:$C,$C500,'Allocated Transactions'!$A:$A,"&gt;="&amp;$A500,'Allocated Transactions'!$A:$A,"&lt;="&amp;EOMONTH($A500,0))*0.99,100)</f>
        <v>0</v>
      </c>
      <c r="K500" s="113" t="s">
        <v>637</v>
      </c>
    </row>
    <row r="501" spans="1:11" ht="15" customHeight="1">
      <c r="A501" s="112">
        <f t="shared" si="25"/>
        <v>45931</v>
      </c>
      <c r="B501" s="113">
        <v>3</v>
      </c>
      <c r="C501" s="18" t="str">
        <f t="shared" si="26"/>
        <v>1030</v>
      </c>
      <c r="D501" s="113" t="str">
        <f>_xlfn.XLOOKUP($C501,'Cost Centers'!$A$2:$A$11,'Cost Centers'!$B$2:$B$11,"")</f>
        <v>Human Resources</v>
      </c>
      <c r="E501" s="113" t="s">
        <v>117</v>
      </c>
      <c r="F501" s="113" t="str">
        <f>_xlfn.XLOOKUP(E501,'Allocated Transactions'!D:D,'Allocated Transactions'!E:E,"")</f>
        <v>Insurance</v>
      </c>
      <c r="G501" s="113" t="s">
        <v>97</v>
      </c>
      <c r="H501" s="113"/>
      <c r="I501" s="113" t="str">
        <f>_xlfn.XLOOKUP($C501,'Cost Centers'!$A$2:$A$11,'Cost Centers'!$C$2:$C$11,"")</f>
        <v>Admin</v>
      </c>
      <c r="J501" s="23">
        <f>MROUND(SUMIFS('Allocated Transactions'!$J:$J,'Allocated Transactions'!$D:$D,$E501,'Allocated Transactions'!$C:$C,$C501,'Allocated Transactions'!$A:$A,"&gt;="&amp;$A501,'Allocated Transactions'!$A:$A,"&lt;="&amp;EOMONTH($A501,0))*0.99,100)</f>
        <v>600</v>
      </c>
      <c r="K501" s="113" t="s">
        <v>637</v>
      </c>
    </row>
    <row r="502" spans="1:11" ht="15" customHeight="1">
      <c r="A502" s="112">
        <f t="shared" si="25"/>
        <v>45931</v>
      </c>
      <c r="B502" s="113">
        <v>3</v>
      </c>
      <c r="C502" s="18" t="str">
        <f t="shared" si="26"/>
        <v>1030</v>
      </c>
      <c r="D502" s="113" t="str">
        <f>_xlfn.XLOOKUP($C502,'Cost Centers'!$A$2:$A$11,'Cost Centers'!$B$2:$B$11,"")</f>
        <v>Human Resources</v>
      </c>
      <c r="E502" s="113" t="s">
        <v>119</v>
      </c>
      <c r="F502" s="113" t="str">
        <f>_xlfn.XLOOKUP(E502,'Allocated Transactions'!D:D,'Allocated Transactions'!E:E,"")</f>
        <v>Depreciation Expense</v>
      </c>
      <c r="G502" s="113" t="s">
        <v>97</v>
      </c>
      <c r="H502" s="113"/>
      <c r="I502" s="113" t="str">
        <f>_xlfn.XLOOKUP($C502,'Cost Centers'!$A$2:$A$11,'Cost Centers'!$C$2:$C$11,"")</f>
        <v>Admin</v>
      </c>
      <c r="J502" s="23">
        <f>MROUND(SUMIFS('Allocated Transactions'!$J:$J,'Allocated Transactions'!$D:$D,$E502,'Allocated Transactions'!$C:$C,$C502,'Allocated Transactions'!$A:$A,"&gt;="&amp;$A502,'Allocated Transactions'!$A:$A,"&lt;="&amp;EOMONTH($A502,0))*0.99,100)</f>
        <v>0</v>
      </c>
      <c r="K502" s="113" t="s">
        <v>637</v>
      </c>
    </row>
    <row r="503" spans="1:11" ht="15" customHeight="1">
      <c r="A503" s="112">
        <f t="shared" si="25"/>
        <v>45931</v>
      </c>
      <c r="B503" s="113">
        <v>3</v>
      </c>
      <c r="C503" s="18" t="str">
        <f t="shared" si="26"/>
        <v>1030</v>
      </c>
      <c r="D503" s="113" t="str">
        <f>_xlfn.XLOOKUP($C503,'Cost Centers'!$A$2:$A$11,'Cost Centers'!$B$2:$B$11,"")</f>
        <v>Human Resources</v>
      </c>
      <c r="E503" s="113" t="s">
        <v>121</v>
      </c>
      <c r="F503" s="113" t="str">
        <f>_xlfn.XLOOKUP(E503,'Allocated Transactions'!D:D,'Allocated Transactions'!E:E,"")</f>
        <v>Bank Fees</v>
      </c>
      <c r="G503" s="113" t="s">
        <v>97</v>
      </c>
      <c r="H503" s="113"/>
      <c r="I503" s="113" t="str">
        <f>_xlfn.XLOOKUP($C503,'Cost Centers'!$A$2:$A$11,'Cost Centers'!$C$2:$C$11,"")</f>
        <v>Admin</v>
      </c>
      <c r="J503" s="23">
        <f>MROUND(SUMIFS('Allocated Transactions'!$J:$J,'Allocated Transactions'!$D:$D,$E503,'Allocated Transactions'!$C:$C,$C503,'Allocated Transactions'!$A:$A,"&gt;="&amp;$A503,'Allocated Transactions'!$A:$A,"&lt;="&amp;EOMONTH($A503,0))*0.99,100)</f>
        <v>0</v>
      </c>
      <c r="K503" s="113" t="s">
        <v>637</v>
      </c>
    </row>
    <row r="504" spans="1:11" ht="15" customHeight="1">
      <c r="A504" s="112">
        <f t="shared" si="25"/>
        <v>45931</v>
      </c>
      <c r="B504" s="113">
        <v>3</v>
      </c>
      <c r="C504" s="18" t="str">
        <f t="shared" si="26"/>
        <v>1030</v>
      </c>
      <c r="D504" s="113" t="str">
        <f>_xlfn.XLOOKUP($C504,'Cost Centers'!$A$2:$A$11,'Cost Centers'!$B$2:$B$11,"")</f>
        <v>Human Resources</v>
      </c>
      <c r="E504" s="113" t="s">
        <v>123</v>
      </c>
      <c r="F504" s="113" t="str">
        <f>_xlfn.XLOOKUP(E504,'Allocated Transactions'!D:D,'Allocated Transactions'!E:E,"")</f>
        <v>Interest Expense</v>
      </c>
      <c r="G504" s="113" t="s">
        <v>97</v>
      </c>
      <c r="H504" s="113"/>
      <c r="I504" s="113" t="str">
        <f>_xlfn.XLOOKUP($C504,'Cost Centers'!$A$2:$A$11,'Cost Centers'!$C$2:$C$11,"")</f>
        <v>Admin</v>
      </c>
      <c r="J504" s="23">
        <f>MROUND(SUMIFS('Allocated Transactions'!$J:$J,'Allocated Transactions'!$D:$D,$E504,'Allocated Transactions'!$C:$C,$C504,'Allocated Transactions'!$A:$A,"&gt;="&amp;$A504,'Allocated Transactions'!$A:$A,"&lt;="&amp;EOMONTH($A504,0))*0.99,100)</f>
        <v>0</v>
      </c>
      <c r="K504" s="113" t="s">
        <v>637</v>
      </c>
    </row>
    <row r="505" spans="1:11" ht="15" customHeight="1">
      <c r="A505" s="112">
        <f t="shared" si="25"/>
        <v>45931</v>
      </c>
      <c r="B505" s="113">
        <v>3</v>
      </c>
      <c r="C505" s="18" t="str">
        <f t="shared" si="26"/>
        <v>1030</v>
      </c>
      <c r="D505" s="113" t="str">
        <f>_xlfn.XLOOKUP($C505,'Cost Centers'!$A$2:$A$11,'Cost Centers'!$B$2:$B$11,"")</f>
        <v>Human Resources</v>
      </c>
      <c r="E505" s="113" t="s">
        <v>125</v>
      </c>
      <c r="F505" s="113" t="str">
        <f>_xlfn.XLOOKUP(E505,'Allocated Transactions'!D:D,'Allocated Transactions'!E:E,"")</f>
        <v>Miscellaneous Expense</v>
      </c>
      <c r="G505" s="113" t="s">
        <v>97</v>
      </c>
      <c r="H505" s="113"/>
      <c r="I505" s="113" t="str">
        <f>_xlfn.XLOOKUP($C505,'Cost Centers'!$A$2:$A$11,'Cost Centers'!$C$2:$C$11,"")</f>
        <v>Admin</v>
      </c>
      <c r="J505" s="23">
        <f>MROUND(SUMIFS('Allocated Transactions'!$J:$J,'Allocated Transactions'!$D:$D,$E505,'Allocated Transactions'!$C:$C,$C505,'Allocated Transactions'!$A:$A,"&gt;="&amp;$A505,'Allocated Transactions'!$A:$A,"&lt;="&amp;EOMONTH($A505,0))*0.99,100)</f>
        <v>0</v>
      </c>
      <c r="K505" s="113" t="s">
        <v>637</v>
      </c>
    </row>
    <row r="506" spans="1:11" ht="15" customHeight="1">
      <c r="A506" s="112">
        <f t="shared" si="25"/>
        <v>45962</v>
      </c>
      <c r="B506" s="113">
        <v>3</v>
      </c>
      <c r="C506" s="18" t="s">
        <v>6</v>
      </c>
      <c r="D506" s="113" t="str">
        <f>_xlfn.XLOOKUP($C506,'Cost Centers'!$A$2:$A$11,'Cost Centers'!$B$2:$B$11,"")</f>
        <v>Human Resources</v>
      </c>
      <c r="E506" s="113" t="s">
        <v>28</v>
      </c>
      <c r="F506" s="113" t="str">
        <f>_xlfn.XLOOKUP(E506,'Allocated Transactions'!D:D,'Allocated Transactions'!E:E,"")</f>
        <v>Salaries and Wages</v>
      </c>
      <c r="G506" s="113" t="s">
        <v>97</v>
      </c>
      <c r="H506" s="113"/>
      <c r="I506" s="113" t="str">
        <f>_xlfn.XLOOKUP($C506,'Cost Centers'!$A$2:$A$11,'Cost Centers'!$C$2:$C$11,"")</f>
        <v>Admin</v>
      </c>
      <c r="J506" s="23">
        <f>MROUND(SUMIFS('Allocated Transactions'!$J:$J,'Allocated Transactions'!$D:$D,$E506,'Allocated Transactions'!$C:$C,$C506,'Allocated Transactions'!$A:$A,"&gt;="&amp;$A506,'Allocated Transactions'!$A:$A,"&lt;="&amp;EOMONTH($A506,0))*0.99,100)</f>
        <v>9500</v>
      </c>
      <c r="K506" s="113" t="s">
        <v>637</v>
      </c>
    </row>
    <row r="507" spans="1:11" ht="15" customHeight="1">
      <c r="A507" s="112">
        <f t="shared" si="25"/>
        <v>45962</v>
      </c>
      <c r="B507" s="113">
        <v>3</v>
      </c>
      <c r="C507" s="18" t="str">
        <f t="shared" ref="C507:C523" si="27">C506</f>
        <v>1030</v>
      </c>
      <c r="D507" s="113" t="str">
        <f>_xlfn.XLOOKUP($C507,'Cost Centers'!$A$2:$A$11,'Cost Centers'!$B$2:$B$11,"")</f>
        <v>Human Resources</v>
      </c>
      <c r="E507" s="113" t="s">
        <v>29</v>
      </c>
      <c r="F507" s="113" t="str">
        <f>_xlfn.XLOOKUP(E507,'Allocated Transactions'!D:D,'Allocated Transactions'!E:E,"")</f>
        <v>Payroll Taxes</v>
      </c>
      <c r="G507" s="113" t="s">
        <v>97</v>
      </c>
      <c r="H507" s="113"/>
      <c r="I507" s="113" t="str">
        <f>_xlfn.XLOOKUP($C507,'Cost Centers'!$A$2:$A$11,'Cost Centers'!$C$2:$C$11,"")</f>
        <v>Admin</v>
      </c>
      <c r="J507" s="23">
        <f>MROUND(SUMIFS('Allocated Transactions'!$J:$J,'Allocated Transactions'!$D:$D,$E507,'Allocated Transactions'!$C:$C,$C507,'Allocated Transactions'!$A:$A,"&gt;="&amp;$A507,'Allocated Transactions'!$A:$A,"&lt;="&amp;EOMONTH($A507,0))*0.99,100)</f>
        <v>700</v>
      </c>
      <c r="K507" s="113" t="s">
        <v>637</v>
      </c>
    </row>
    <row r="508" spans="1:11" ht="15" customHeight="1">
      <c r="A508" s="112">
        <f t="shared" si="25"/>
        <v>45962</v>
      </c>
      <c r="B508" s="113">
        <v>3</v>
      </c>
      <c r="C508" s="18" t="str">
        <f t="shared" si="27"/>
        <v>1030</v>
      </c>
      <c r="D508" s="113" t="str">
        <f>_xlfn.XLOOKUP($C508,'Cost Centers'!$A$2:$A$11,'Cost Centers'!$B$2:$B$11,"")</f>
        <v>Human Resources</v>
      </c>
      <c r="E508" s="113" t="s">
        <v>30</v>
      </c>
      <c r="F508" s="113" t="str">
        <f>_xlfn.XLOOKUP(E508,'Allocated Transactions'!D:D,'Allocated Transactions'!E:E,"")</f>
        <v>Employee Benefits</v>
      </c>
      <c r="G508" s="113" t="s">
        <v>97</v>
      </c>
      <c r="H508" s="113"/>
      <c r="I508" s="113" t="str">
        <f>_xlfn.XLOOKUP($C508,'Cost Centers'!$A$2:$A$11,'Cost Centers'!$C$2:$C$11,"")</f>
        <v>Admin</v>
      </c>
      <c r="J508" s="23">
        <f>MROUND(SUMIFS('Allocated Transactions'!$J:$J,'Allocated Transactions'!$D:$D,$E508,'Allocated Transactions'!$C:$C,$C508,'Allocated Transactions'!$A:$A,"&gt;="&amp;$A508,'Allocated Transactions'!$A:$A,"&lt;="&amp;EOMONTH($A508,0))*0.99,100)</f>
        <v>4700</v>
      </c>
      <c r="K508" s="113" t="s">
        <v>637</v>
      </c>
    </row>
    <row r="509" spans="1:11" ht="15" customHeight="1">
      <c r="A509" s="112">
        <f t="shared" si="25"/>
        <v>45962</v>
      </c>
      <c r="B509" s="113">
        <v>3</v>
      </c>
      <c r="C509" s="18" t="str">
        <f t="shared" si="27"/>
        <v>1030</v>
      </c>
      <c r="D509" s="113" t="str">
        <f>_xlfn.XLOOKUP($C509,'Cost Centers'!$A$2:$A$11,'Cost Centers'!$B$2:$B$11,"")</f>
        <v>Human Resources</v>
      </c>
      <c r="E509" s="113" t="s">
        <v>31</v>
      </c>
      <c r="F509" s="113" t="str">
        <f>_xlfn.XLOOKUP(E509,'Allocated Transactions'!D:D,'Allocated Transactions'!E:E,"")</f>
        <v>Retirement Contributions</v>
      </c>
      <c r="G509" s="113" t="s">
        <v>97</v>
      </c>
      <c r="H509" s="113"/>
      <c r="I509" s="113" t="str">
        <f>_xlfn.XLOOKUP($C509,'Cost Centers'!$A$2:$A$11,'Cost Centers'!$C$2:$C$11,"")</f>
        <v>Admin</v>
      </c>
      <c r="J509" s="23">
        <f>MROUND(SUMIFS('Allocated Transactions'!$J:$J,'Allocated Transactions'!$D:$D,$E509,'Allocated Transactions'!$C:$C,$C509,'Allocated Transactions'!$A:$A,"&gt;="&amp;$A509,'Allocated Transactions'!$A:$A,"&lt;="&amp;EOMONTH($A509,0))*0.99,100)</f>
        <v>300</v>
      </c>
      <c r="K509" s="113" t="s">
        <v>637</v>
      </c>
    </row>
    <row r="510" spans="1:11" ht="15" customHeight="1">
      <c r="A510" s="112">
        <f t="shared" si="25"/>
        <v>45962</v>
      </c>
      <c r="B510" s="113">
        <v>3</v>
      </c>
      <c r="C510" s="18" t="str">
        <f t="shared" si="27"/>
        <v>1030</v>
      </c>
      <c r="D510" s="113" t="str">
        <f>_xlfn.XLOOKUP($C510,'Cost Centers'!$A$2:$A$11,'Cost Centers'!$B$2:$B$11,"")</f>
        <v>Human Resources</v>
      </c>
      <c r="E510" s="113" t="s">
        <v>101</v>
      </c>
      <c r="F510" s="113" t="str">
        <f>_xlfn.XLOOKUP(E510,'Allocated Transactions'!D:D,'Allocated Transactions'!E:E,"")</f>
        <v>Contract Labor / Consultants</v>
      </c>
      <c r="G510" s="113" t="s">
        <v>97</v>
      </c>
      <c r="H510" s="113"/>
      <c r="I510" s="113" t="str">
        <f>_xlfn.XLOOKUP($C510,'Cost Centers'!$A$2:$A$11,'Cost Centers'!$C$2:$C$11,"")</f>
        <v>Admin</v>
      </c>
      <c r="J510" s="23">
        <f>MROUND(SUMIFS('Allocated Transactions'!$J:$J,'Allocated Transactions'!$D:$D,$E510,'Allocated Transactions'!$C:$C,$C510,'Allocated Transactions'!$A:$A,"&gt;="&amp;$A510,'Allocated Transactions'!$A:$A,"&lt;="&amp;EOMONTH($A510,0))*0.99,100)</f>
        <v>0</v>
      </c>
      <c r="K510" s="113" t="s">
        <v>637</v>
      </c>
    </row>
    <row r="511" spans="1:11" ht="15" customHeight="1">
      <c r="A511" s="112">
        <f t="shared" si="25"/>
        <v>45962</v>
      </c>
      <c r="B511" s="113">
        <v>3</v>
      </c>
      <c r="C511" s="18" t="str">
        <f t="shared" si="27"/>
        <v>1030</v>
      </c>
      <c r="D511" s="113" t="str">
        <f>_xlfn.XLOOKUP($C511,'Cost Centers'!$A$2:$A$11,'Cost Centers'!$B$2:$B$11,"")</f>
        <v>Human Resources</v>
      </c>
      <c r="E511" s="113" t="s">
        <v>32</v>
      </c>
      <c r="F511" s="113" t="str">
        <f>_xlfn.XLOOKUP(E511,'Allocated Transactions'!D:D,'Allocated Transactions'!E:E,"")</f>
        <v>Rent</v>
      </c>
      <c r="G511" s="113" t="s">
        <v>97</v>
      </c>
      <c r="H511" s="113"/>
      <c r="I511" s="113" t="str">
        <f>_xlfn.XLOOKUP($C511,'Cost Centers'!$A$2:$A$11,'Cost Centers'!$C$2:$C$11,"")</f>
        <v>Admin</v>
      </c>
      <c r="J511" s="23">
        <f>MROUND(SUMIFS('Allocated Transactions'!$J:$J,'Allocated Transactions'!$D:$D,$E511,'Allocated Transactions'!$C:$C,$C511,'Allocated Transactions'!$A:$A,"&gt;="&amp;$A511,'Allocated Transactions'!$A:$A,"&lt;="&amp;EOMONTH($A511,0))*0.99,100)</f>
        <v>700</v>
      </c>
      <c r="K511" s="113" t="s">
        <v>637</v>
      </c>
    </row>
    <row r="512" spans="1:11" ht="15" customHeight="1">
      <c r="A512" s="112">
        <f t="shared" si="25"/>
        <v>45962</v>
      </c>
      <c r="B512" s="113">
        <v>3</v>
      </c>
      <c r="C512" s="18" t="str">
        <f t="shared" si="27"/>
        <v>1030</v>
      </c>
      <c r="D512" s="113" t="str">
        <f>_xlfn.XLOOKUP($C512,'Cost Centers'!$A$2:$A$11,'Cost Centers'!$B$2:$B$11,"")</f>
        <v>Human Resources</v>
      </c>
      <c r="E512" s="113" t="s">
        <v>33</v>
      </c>
      <c r="F512" s="113" t="str">
        <f>_xlfn.XLOOKUP(E512,'Allocated Transactions'!D:D,'Allocated Transactions'!E:E,"")</f>
        <v>Utilities</v>
      </c>
      <c r="G512" s="113" t="s">
        <v>97</v>
      </c>
      <c r="H512" s="113"/>
      <c r="I512" s="113" t="str">
        <f>_xlfn.XLOOKUP($C512,'Cost Centers'!$A$2:$A$11,'Cost Centers'!$C$2:$C$11,"")</f>
        <v>Admin</v>
      </c>
      <c r="J512" s="23">
        <f>MROUND(SUMIFS('Allocated Transactions'!$J:$J,'Allocated Transactions'!$D:$D,$E512,'Allocated Transactions'!$C:$C,$C512,'Allocated Transactions'!$A:$A,"&gt;="&amp;$A512,'Allocated Transactions'!$A:$A,"&lt;="&amp;EOMONTH($A512,0))*0.99,100)</f>
        <v>100</v>
      </c>
      <c r="K512" s="113" t="s">
        <v>637</v>
      </c>
    </row>
    <row r="513" spans="1:11" ht="15" customHeight="1">
      <c r="A513" s="112">
        <f t="shared" si="25"/>
        <v>45962</v>
      </c>
      <c r="B513" s="113">
        <v>3</v>
      </c>
      <c r="C513" s="18" t="str">
        <f t="shared" si="27"/>
        <v>1030</v>
      </c>
      <c r="D513" s="113" t="str">
        <f>_xlfn.XLOOKUP($C513,'Cost Centers'!$A$2:$A$11,'Cost Centers'!$B$2:$B$11,"")</f>
        <v>Human Resources</v>
      </c>
      <c r="E513" s="113" t="s">
        <v>105</v>
      </c>
      <c r="F513" s="113" t="str">
        <f>_xlfn.XLOOKUP(E513,'Allocated Transactions'!D:D,'Allocated Transactions'!E:E,"")</f>
        <v>Office Supplies</v>
      </c>
      <c r="G513" s="113" t="s">
        <v>97</v>
      </c>
      <c r="H513" s="113"/>
      <c r="I513" s="113" t="str">
        <f>_xlfn.XLOOKUP($C513,'Cost Centers'!$A$2:$A$11,'Cost Centers'!$C$2:$C$11,"")</f>
        <v>Admin</v>
      </c>
      <c r="J513" s="23">
        <f>MROUND(SUMIFS('Allocated Transactions'!$J:$J,'Allocated Transactions'!$D:$D,$E513,'Allocated Transactions'!$C:$C,$C513,'Allocated Transactions'!$A:$A,"&gt;="&amp;$A513,'Allocated Transactions'!$A:$A,"&lt;="&amp;EOMONTH($A513,0))*0.99,100)</f>
        <v>0</v>
      </c>
      <c r="K513" s="113" t="s">
        <v>637</v>
      </c>
    </row>
    <row r="514" spans="1:11" ht="15" customHeight="1">
      <c r="A514" s="112">
        <f t="shared" si="25"/>
        <v>45962</v>
      </c>
      <c r="B514" s="113">
        <v>3</v>
      </c>
      <c r="C514" s="18" t="str">
        <f t="shared" si="27"/>
        <v>1030</v>
      </c>
      <c r="D514" s="113" t="str">
        <f>_xlfn.XLOOKUP($C514,'Cost Centers'!$A$2:$A$11,'Cost Centers'!$B$2:$B$11,"")</f>
        <v>Human Resources</v>
      </c>
      <c r="E514" s="113" t="s">
        <v>107</v>
      </c>
      <c r="F514" s="113" t="str">
        <f>_xlfn.XLOOKUP(E514,'Allocated Transactions'!D:D,'Allocated Transactions'!E:E,"")</f>
        <v>Software and Subscriptions</v>
      </c>
      <c r="G514" s="113" t="s">
        <v>97</v>
      </c>
      <c r="H514" s="113"/>
      <c r="I514" s="113" t="str">
        <f>_xlfn.XLOOKUP($C514,'Cost Centers'!$A$2:$A$11,'Cost Centers'!$C$2:$C$11,"")</f>
        <v>Admin</v>
      </c>
      <c r="J514" s="23">
        <f>MROUND(SUMIFS('Allocated Transactions'!$J:$J,'Allocated Transactions'!$D:$D,$E514,'Allocated Transactions'!$C:$C,$C514,'Allocated Transactions'!$A:$A,"&gt;="&amp;$A514,'Allocated Transactions'!$A:$A,"&lt;="&amp;EOMONTH($A514,0))*0.99,100)</f>
        <v>0</v>
      </c>
      <c r="K514" s="113" t="s">
        <v>637</v>
      </c>
    </row>
    <row r="515" spans="1:11" ht="15" customHeight="1">
      <c r="A515" s="112">
        <f t="shared" si="25"/>
        <v>45962</v>
      </c>
      <c r="B515" s="113">
        <v>3</v>
      </c>
      <c r="C515" s="18" t="str">
        <f t="shared" si="27"/>
        <v>1030</v>
      </c>
      <c r="D515" s="113" t="str">
        <f>_xlfn.XLOOKUP($C515,'Cost Centers'!$A$2:$A$11,'Cost Centers'!$B$2:$B$11,"")</f>
        <v>Human Resources</v>
      </c>
      <c r="E515" s="113" t="s">
        <v>109</v>
      </c>
      <c r="F515" s="113" t="str">
        <f>_xlfn.XLOOKUP(E515,'Allocated Transactions'!D:D,'Allocated Transactions'!E:E,"")</f>
        <v>Travel</v>
      </c>
      <c r="G515" s="113" t="s">
        <v>97</v>
      </c>
      <c r="H515" s="113"/>
      <c r="I515" s="113" t="str">
        <f>_xlfn.XLOOKUP($C515,'Cost Centers'!$A$2:$A$11,'Cost Centers'!$C$2:$C$11,"")</f>
        <v>Admin</v>
      </c>
      <c r="J515" s="23">
        <f>MROUND(SUMIFS('Allocated Transactions'!$J:$J,'Allocated Transactions'!$D:$D,$E515,'Allocated Transactions'!$C:$C,$C515,'Allocated Transactions'!$A:$A,"&gt;="&amp;$A515,'Allocated Transactions'!$A:$A,"&lt;="&amp;EOMONTH($A515,0))*0.99,100)</f>
        <v>0</v>
      </c>
      <c r="K515" s="113" t="s">
        <v>637</v>
      </c>
    </row>
    <row r="516" spans="1:11" ht="15" customHeight="1">
      <c r="A516" s="112">
        <f t="shared" si="25"/>
        <v>45962</v>
      </c>
      <c r="B516" s="113">
        <v>3</v>
      </c>
      <c r="C516" s="18" t="str">
        <f t="shared" si="27"/>
        <v>1030</v>
      </c>
      <c r="D516" s="113" t="str">
        <f>_xlfn.XLOOKUP($C516,'Cost Centers'!$A$2:$A$11,'Cost Centers'!$B$2:$B$11,"")</f>
        <v>Human Resources</v>
      </c>
      <c r="E516" s="113" t="s">
        <v>111</v>
      </c>
      <c r="F516" s="113" t="str">
        <f>_xlfn.XLOOKUP(E516,'Allocated Transactions'!D:D,'Allocated Transactions'!E:E,"")</f>
        <v>Meals and Entertainment</v>
      </c>
      <c r="G516" s="113" t="s">
        <v>97</v>
      </c>
      <c r="H516" s="113"/>
      <c r="I516" s="113" t="str">
        <f>_xlfn.XLOOKUP($C516,'Cost Centers'!$A$2:$A$11,'Cost Centers'!$C$2:$C$11,"")</f>
        <v>Admin</v>
      </c>
      <c r="J516" s="23">
        <f>MROUND(SUMIFS('Allocated Transactions'!$J:$J,'Allocated Transactions'!$D:$D,$E516,'Allocated Transactions'!$C:$C,$C516,'Allocated Transactions'!$A:$A,"&gt;="&amp;$A516,'Allocated Transactions'!$A:$A,"&lt;="&amp;EOMONTH($A516,0))*0.99,100)</f>
        <v>0</v>
      </c>
      <c r="K516" s="113" t="s">
        <v>637</v>
      </c>
    </row>
    <row r="517" spans="1:11" ht="15" customHeight="1">
      <c r="A517" s="112">
        <f t="shared" si="25"/>
        <v>45962</v>
      </c>
      <c r="B517" s="113">
        <v>3</v>
      </c>
      <c r="C517" s="18" t="str">
        <f t="shared" si="27"/>
        <v>1030</v>
      </c>
      <c r="D517" s="113" t="str">
        <f>_xlfn.XLOOKUP($C517,'Cost Centers'!$A$2:$A$11,'Cost Centers'!$B$2:$B$11,"")</f>
        <v>Human Resources</v>
      </c>
      <c r="E517" s="113" t="s">
        <v>113</v>
      </c>
      <c r="F517" s="113" t="str">
        <f>_xlfn.XLOOKUP(E517,'Allocated Transactions'!D:D,'Allocated Transactions'!E:E,"")</f>
        <v>Professional Fees - Legal</v>
      </c>
      <c r="G517" s="113" t="s">
        <v>97</v>
      </c>
      <c r="H517" s="113"/>
      <c r="I517" s="113" t="str">
        <f>_xlfn.XLOOKUP($C517,'Cost Centers'!$A$2:$A$11,'Cost Centers'!$C$2:$C$11,"")</f>
        <v>Admin</v>
      </c>
      <c r="J517" s="23">
        <f>MROUND(SUMIFS('Allocated Transactions'!$J:$J,'Allocated Transactions'!$D:$D,$E517,'Allocated Transactions'!$C:$C,$C517,'Allocated Transactions'!$A:$A,"&gt;="&amp;$A517,'Allocated Transactions'!$A:$A,"&lt;="&amp;EOMONTH($A517,0))*0.99,100)</f>
        <v>0</v>
      </c>
      <c r="K517" s="113" t="s">
        <v>637</v>
      </c>
    </row>
    <row r="518" spans="1:11" ht="15" customHeight="1">
      <c r="A518" s="112">
        <f t="shared" si="25"/>
        <v>45962</v>
      </c>
      <c r="B518" s="113">
        <v>3</v>
      </c>
      <c r="C518" s="18" t="str">
        <f t="shared" si="27"/>
        <v>1030</v>
      </c>
      <c r="D518" s="113" t="str">
        <f>_xlfn.XLOOKUP($C518,'Cost Centers'!$A$2:$A$11,'Cost Centers'!$B$2:$B$11,"")</f>
        <v>Human Resources</v>
      </c>
      <c r="E518" s="113" t="s">
        <v>115</v>
      </c>
      <c r="F518" s="113" t="str">
        <f>_xlfn.XLOOKUP(E518,'Allocated Transactions'!D:D,'Allocated Transactions'!E:E,"")</f>
        <v>Professional Fees - Accounting/Audit</v>
      </c>
      <c r="G518" s="113" t="s">
        <v>97</v>
      </c>
      <c r="H518" s="113"/>
      <c r="I518" s="113" t="str">
        <f>_xlfn.XLOOKUP($C518,'Cost Centers'!$A$2:$A$11,'Cost Centers'!$C$2:$C$11,"")</f>
        <v>Admin</v>
      </c>
      <c r="J518" s="23">
        <f>MROUND(SUMIFS('Allocated Transactions'!$J:$J,'Allocated Transactions'!$D:$D,$E518,'Allocated Transactions'!$C:$C,$C518,'Allocated Transactions'!$A:$A,"&gt;="&amp;$A518,'Allocated Transactions'!$A:$A,"&lt;="&amp;EOMONTH($A518,0))*0.99,100)</f>
        <v>0</v>
      </c>
      <c r="K518" s="113" t="s">
        <v>637</v>
      </c>
    </row>
    <row r="519" spans="1:11" ht="15" customHeight="1">
      <c r="A519" s="112">
        <f t="shared" si="25"/>
        <v>45962</v>
      </c>
      <c r="B519" s="113">
        <v>3</v>
      </c>
      <c r="C519" s="18" t="str">
        <f t="shared" si="27"/>
        <v>1030</v>
      </c>
      <c r="D519" s="113" t="str">
        <f>_xlfn.XLOOKUP($C519,'Cost Centers'!$A$2:$A$11,'Cost Centers'!$B$2:$B$11,"")</f>
        <v>Human Resources</v>
      </c>
      <c r="E519" s="113" t="s">
        <v>117</v>
      </c>
      <c r="F519" s="113" t="str">
        <f>_xlfn.XLOOKUP(E519,'Allocated Transactions'!D:D,'Allocated Transactions'!E:E,"")</f>
        <v>Insurance</v>
      </c>
      <c r="G519" s="113" t="s">
        <v>97</v>
      </c>
      <c r="H519" s="113"/>
      <c r="I519" s="113" t="str">
        <f>_xlfn.XLOOKUP($C519,'Cost Centers'!$A$2:$A$11,'Cost Centers'!$C$2:$C$11,"")</f>
        <v>Admin</v>
      </c>
      <c r="J519" s="23">
        <f>MROUND(SUMIFS('Allocated Transactions'!$J:$J,'Allocated Transactions'!$D:$D,$E519,'Allocated Transactions'!$C:$C,$C519,'Allocated Transactions'!$A:$A,"&gt;="&amp;$A519,'Allocated Transactions'!$A:$A,"&lt;="&amp;EOMONTH($A519,0))*0.99,100)</f>
        <v>600</v>
      </c>
      <c r="K519" s="113" t="s">
        <v>637</v>
      </c>
    </row>
    <row r="520" spans="1:11" ht="15" customHeight="1">
      <c r="A520" s="112">
        <f t="shared" si="25"/>
        <v>45962</v>
      </c>
      <c r="B520" s="113">
        <v>3</v>
      </c>
      <c r="C520" s="18" t="str">
        <f t="shared" si="27"/>
        <v>1030</v>
      </c>
      <c r="D520" s="113" t="str">
        <f>_xlfn.XLOOKUP($C520,'Cost Centers'!$A$2:$A$11,'Cost Centers'!$B$2:$B$11,"")</f>
        <v>Human Resources</v>
      </c>
      <c r="E520" s="113" t="s">
        <v>119</v>
      </c>
      <c r="F520" s="113" t="str">
        <f>_xlfn.XLOOKUP(E520,'Allocated Transactions'!D:D,'Allocated Transactions'!E:E,"")</f>
        <v>Depreciation Expense</v>
      </c>
      <c r="G520" s="113" t="s">
        <v>97</v>
      </c>
      <c r="H520" s="113"/>
      <c r="I520" s="113" t="str">
        <f>_xlfn.XLOOKUP($C520,'Cost Centers'!$A$2:$A$11,'Cost Centers'!$C$2:$C$11,"")</f>
        <v>Admin</v>
      </c>
      <c r="J520" s="23">
        <f>MROUND(SUMIFS('Allocated Transactions'!$J:$J,'Allocated Transactions'!$D:$D,$E520,'Allocated Transactions'!$C:$C,$C520,'Allocated Transactions'!$A:$A,"&gt;="&amp;$A520,'Allocated Transactions'!$A:$A,"&lt;="&amp;EOMONTH($A520,0))*0.99,100)</f>
        <v>0</v>
      </c>
      <c r="K520" s="113" t="s">
        <v>637</v>
      </c>
    </row>
    <row r="521" spans="1:11" ht="15" customHeight="1">
      <c r="A521" s="112">
        <f t="shared" si="25"/>
        <v>45962</v>
      </c>
      <c r="B521" s="113">
        <v>3</v>
      </c>
      <c r="C521" s="18" t="str">
        <f t="shared" si="27"/>
        <v>1030</v>
      </c>
      <c r="D521" s="113" t="str">
        <f>_xlfn.XLOOKUP($C521,'Cost Centers'!$A$2:$A$11,'Cost Centers'!$B$2:$B$11,"")</f>
        <v>Human Resources</v>
      </c>
      <c r="E521" s="113" t="s">
        <v>121</v>
      </c>
      <c r="F521" s="113" t="str">
        <f>_xlfn.XLOOKUP(E521,'Allocated Transactions'!D:D,'Allocated Transactions'!E:E,"")</f>
        <v>Bank Fees</v>
      </c>
      <c r="G521" s="113" t="s">
        <v>97</v>
      </c>
      <c r="H521" s="113"/>
      <c r="I521" s="113" t="str">
        <f>_xlfn.XLOOKUP($C521,'Cost Centers'!$A$2:$A$11,'Cost Centers'!$C$2:$C$11,"")</f>
        <v>Admin</v>
      </c>
      <c r="J521" s="23">
        <f>MROUND(SUMIFS('Allocated Transactions'!$J:$J,'Allocated Transactions'!$D:$D,$E521,'Allocated Transactions'!$C:$C,$C521,'Allocated Transactions'!$A:$A,"&gt;="&amp;$A521,'Allocated Transactions'!$A:$A,"&lt;="&amp;EOMONTH($A521,0))*0.99,100)</f>
        <v>0</v>
      </c>
      <c r="K521" s="113" t="s">
        <v>637</v>
      </c>
    </row>
    <row r="522" spans="1:11" ht="15" customHeight="1">
      <c r="A522" s="112">
        <f t="shared" si="25"/>
        <v>45962</v>
      </c>
      <c r="B522" s="113">
        <v>3</v>
      </c>
      <c r="C522" s="18" t="str">
        <f t="shared" si="27"/>
        <v>1030</v>
      </c>
      <c r="D522" s="113" t="str">
        <f>_xlfn.XLOOKUP($C522,'Cost Centers'!$A$2:$A$11,'Cost Centers'!$B$2:$B$11,"")</f>
        <v>Human Resources</v>
      </c>
      <c r="E522" s="113" t="s">
        <v>123</v>
      </c>
      <c r="F522" s="113" t="str">
        <f>_xlfn.XLOOKUP(E522,'Allocated Transactions'!D:D,'Allocated Transactions'!E:E,"")</f>
        <v>Interest Expense</v>
      </c>
      <c r="G522" s="113" t="s">
        <v>97</v>
      </c>
      <c r="H522" s="113"/>
      <c r="I522" s="113" t="str">
        <f>_xlfn.XLOOKUP($C522,'Cost Centers'!$A$2:$A$11,'Cost Centers'!$C$2:$C$11,"")</f>
        <v>Admin</v>
      </c>
      <c r="J522" s="23">
        <f>MROUND(SUMIFS('Allocated Transactions'!$J:$J,'Allocated Transactions'!$D:$D,$E522,'Allocated Transactions'!$C:$C,$C522,'Allocated Transactions'!$A:$A,"&gt;="&amp;$A522,'Allocated Transactions'!$A:$A,"&lt;="&amp;EOMONTH($A522,0))*0.99,100)</f>
        <v>0</v>
      </c>
      <c r="K522" s="113" t="s">
        <v>637</v>
      </c>
    </row>
    <row r="523" spans="1:11" ht="15" customHeight="1">
      <c r="A523" s="112">
        <f t="shared" si="25"/>
        <v>45962</v>
      </c>
      <c r="B523" s="113">
        <v>3</v>
      </c>
      <c r="C523" s="18" t="str">
        <f t="shared" si="27"/>
        <v>1030</v>
      </c>
      <c r="D523" s="113" t="str">
        <f>_xlfn.XLOOKUP($C523,'Cost Centers'!$A$2:$A$11,'Cost Centers'!$B$2:$B$11,"")</f>
        <v>Human Resources</v>
      </c>
      <c r="E523" s="113" t="s">
        <v>125</v>
      </c>
      <c r="F523" s="113" t="str">
        <f>_xlfn.XLOOKUP(E523,'Allocated Transactions'!D:D,'Allocated Transactions'!E:E,"")</f>
        <v>Miscellaneous Expense</v>
      </c>
      <c r="G523" s="113" t="s">
        <v>97</v>
      </c>
      <c r="H523" s="113"/>
      <c r="I523" s="113" t="str">
        <f>_xlfn.XLOOKUP($C523,'Cost Centers'!$A$2:$A$11,'Cost Centers'!$C$2:$C$11,"")</f>
        <v>Admin</v>
      </c>
      <c r="J523" s="23">
        <f>MROUND(SUMIFS('Allocated Transactions'!$J:$J,'Allocated Transactions'!$D:$D,$E523,'Allocated Transactions'!$C:$C,$C523,'Allocated Transactions'!$A:$A,"&gt;="&amp;$A523,'Allocated Transactions'!$A:$A,"&lt;="&amp;EOMONTH($A523,0))*0.99,100)</f>
        <v>0</v>
      </c>
      <c r="K523" s="113" t="s">
        <v>637</v>
      </c>
    </row>
    <row r="524" spans="1:11" ht="15" customHeight="1">
      <c r="A524" s="112">
        <f t="shared" si="25"/>
        <v>45992</v>
      </c>
      <c r="B524" s="113">
        <v>3</v>
      </c>
      <c r="C524" s="18" t="s">
        <v>6</v>
      </c>
      <c r="D524" s="113" t="str">
        <f>_xlfn.XLOOKUP($C524,'Cost Centers'!$A$2:$A$11,'Cost Centers'!$B$2:$B$11,"")</f>
        <v>Human Resources</v>
      </c>
      <c r="E524" s="113" t="s">
        <v>28</v>
      </c>
      <c r="F524" s="113" t="str">
        <f>_xlfn.XLOOKUP(E524,'Allocated Transactions'!D:D,'Allocated Transactions'!E:E,"")</f>
        <v>Salaries and Wages</v>
      </c>
      <c r="G524" s="113" t="s">
        <v>97</v>
      </c>
      <c r="H524" s="113"/>
      <c r="I524" s="113" t="str">
        <f>_xlfn.XLOOKUP($C524,'Cost Centers'!$A$2:$A$11,'Cost Centers'!$C$2:$C$11,"")</f>
        <v>Admin</v>
      </c>
      <c r="J524" s="23">
        <f>MROUND(SUMIFS('Allocated Transactions'!$J:$J,'Allocated Transactions'!$D:$D,$E524,'Allocated Transactions'!$C:$C,$C524,'Allocated Transactions'!$A:$A,"&gt;="&amp;$A524,'Allocated Transactions'!$A:$A,"&lt;="&amp;EOMONTH($A524,0))*0.99,100)</f>
        <v>9700</v>
      </c>
      <c r="K524" s="113" t="s">
        <v>637</v>
      </c>
    </row>
    <row r="525" spans="1:11" ht="15" customHeight="1">
      <c r="A525" s="112">
        <f t="shared" si="25"/>
        <v>45992</v>
      </c>
      <c r="B525" s="113">
        <v>3</v>
      </c>
      <c r="C525" s="18" t="str">
        <f t="shared" ref="C525:C541" si="28">C524</f>
        <v>1030</v>
      </c>
      <c r="D525" s="113" t="str">
        <f>_xlfn.XLOOKUP($C525,'Cost Centers'!$A$2:$A$11,'Cost Centers'!$B$2:$B$11,"")</f>
        <v>Human Resources</v>
      </c>
      <c r="E525" s="113" t="s">
        <v>29</v>
      </c>
      <c r="F525" s="113" t="str">
        <f>_xlfn.XLOOKUP(E525,'Allocated Transactions'!D:D,'Allocated Transactions'!E:E,"")</f>
        <v>Payroll Taxes</v>
      </c>
      <c r="G525" s="113" t="s">
        <v>97</v>
      </c>
      <c r="H525" s="113"/>
      <c r="I525" s="113" t="str">
        <f>_xlfn.XLOOKUP($C525,'Cost Centers'!$A$2:$A$11,'Cost Centers'!$C$2:$C$11,"")</f>
        <v>Admin</v>
      </c>
      <c r="J525" s="23">
        <f>MROUND(SUMIFS('Allocated Transactions'!$J:$J,'Allocated Transactions'!$D:$D,$E525,'Allocated Transactions'!$C:$C,$C525,'Allocated Transactions'!$A:$A,"&gt;="&amp;$A525,'Allocated Transactions'!$A:$A,"&lt;="&amp;EOMONTH($A525,0))*0.99,100)</f>
        <v>700</v>
      </c>
      <c r="K525" s="113" t="s">
        <v>637</v>
      </c>
    </row>
    <row r="526" spans="1:11" ht="15" customHeight="1">
      <c r="A526" s="112">
        <f t="shared" si="25"/>
        <v>45992</v>
      </c>
      <c r="B526" s="113">
        <v>3</v>
      </c>
      <c r="C526" s="18" t="str">
        <f t="shared" si="28"/>
        <v>1030</v>
      </c>
      <c r="D526" s="113" t="str">
        <f>_xlfn.XLOOKUP($C526,'Cost Centers'!$A$2:$A$11,'Cost Centers'!$B$2:$B$11,"")</f>
        <v>Human Resources</v>
      </c>
      <c r="E526" s="113" t="s">
        <v>30</v>
      </c>
      <c r="F526" s="113" t="str">
        <f>_xlfn.XLOOKUP(E526,'Allocated Transactions'!D:D,'Allocated Transactions'!E:E,"")</f>
        <v>Employee Benefits</v>
      </c>
      <c r="G526" s="113" t="s">
        <v>97</v>
      </c>
      <c r="H526" s="113"/>
      <c r="I526" s="113" t="str">
        <f>_xlfn.XLOOKUP($C526,'Cost Centers'!$A$2:$A$11,'Cost Centers'!$C$2:$C$11,"")</f>
        <v>Admin</v>
      </c>
      <c r="J526" s="23">
        <f>MROUND(SUMIFS('Allocated Transactions'!$J:$J,'Allocated Transactions'!$D:$D,$E526,'Allocated Transactions'!$C:$C,$C526,'Allocated Transactions'!$A:$A,"&gt;="&amp;$A526,'Allocated Transactions'!$A:$A,"&lt;="&amp;EOMONTH($A526,0))*0.99,100)</f>
        <v>4800</v>
      </c>
      <c r="K526" s="113" t="s">
        <v>637</v>
      </c>
    </row>
    <row r="527" spans="1:11" ht="15" customHeight="1">
      <c r="A527" s="112">
        <f t="shared" si="25"/>
        <v>45992</v>
      </c>
      <c r="B527" s="113">
        <v>3</v>
      </c>
      <c r="C527" s="18" t="str">
        <f t="shared" si="28"/>
        <v>1030</v>
      </c>
      <c r="D527" s="113" t="str">
        <f>_xlfn.XLOOKUP($C527,'Cost Centers'!$A$2:$A$11,'Cost Centers'!$B$2:$B$11,"")</f>
        <v>Human Resources</v>
      </c>
      <c r="E527" s="113" t="s">
        <v>31</v>
      </c>
      <c r="F527" s="113" t="str">
        <f>_xlfn.XLOOKUP(E527,'Allocated Transactions'!D:D,'Allocated Transactions'!E:E,"")</f>
        <v>Retirement Contributions</v>
      </c>
      <c r="G527" s="113" t="s">
        <v>97</v>
      </c>
      <c r="H527" s="113"/>
      <c r="I527" s="113" t="str">
        <f>_xlfn.XLOOKUP($C527,'Cost Centers'!$A$2:$A$11,'Cost Centers'!$C$2:$C$11,"")</f>
        <v>Admin</v>
      </c>
      <c r="J527" s="23">
        <f>MROUND(SUMIFS('Allocated Transactions'!$J:$J,'Allocated Transactions'!$D:$D,$E527,'Allocated Transactions'!$C:$C,$C527,'Allocated Transactions'!$A:$A,"&gt;="&amp;$A527,'Allocated Transactions'!$A:$A,"&lt;="&amp;EOMONTH($A527,0))*0.99,100)</f>
        <v>300</v>
      </c>
      <c r="K527" s="113" t="s">
        <v>637</v>
      </c>
    </row>
    <row r="528" spans="1:11" ht="15" customHeight="1">
      <c r="A528" s="112">
        <f t="shared" si="25"/>
        <v>45992</v>
      </c>
      <c r="B528" s="113">
        <v>3</v>
      </c>
      <c r="C528" s="18" t="str">
        <f t="shared" si="28"/>
        <v>1030</v>
      </c>
      <c r="D528" s="113" t="str">
        <f>_xlfn.XLOOKUP($C528,'Cost Centers'!$A$2:$A$11,'Cost Centers'!$B$2:$B$11,"")</f>
        <v>Human Resources</v>
      </c>
      <c r="E528" s="113" t="s">
        <v>101</v>
      </c>
      <c r="F528" s="113" t="str">
        <f>_xlfn.XLOOKUP(E528,'Allocated Transactions'!D:D,'Allocated Transactions'!E:E,"")</f>
        <v>Contract Labor / Consultants</v>
      </c>
      <c r="G528" s="113" t="s">
        <v>97</v>
      </c>
      <c r="H528" s="113"/>
      <c r="I528" s="113" t="str">
        <f>_xlfn.XLOOKUP($C528,'Cost Centers'!$A$2:$A$11,'Cost Centers'!$C$2:$C$11,"")</f>
        <v>Admin</v>
      </c>
      <c r="J528" s="23">
        <f>MROUND(SUMIFS('Allocated Transactions'!$J:$J,'Allocated Transactions'!$D:$D,$E528,'Allocated Transactions'!$C:$C,$C528,'Allocated Transactions'!$A:$A,"&gt;="&amp;$A528,'Allocated Transactions'!$A:$A,"&lt;="&amp;EOMONTH($A528,0))*0.99,100)</f>
        <v>0</v>
      </c>
      <c r="K528" s="113" t="s">
        <v>637</v>
      </c>
    </row>
    <row r="529" spans="1:11" ht="15" customHeight="1">
      <c r="A529" s="112">
        <f t="shared" si="25"/>
        <v>45992</v>
      </c>
      <c r="B529" s="113">
        <v>3</v>
      </c>
      <c r="C529" s="18" t="str">
        <f t="shared" si="28"/>
        <v>1030</v>
      </c>
      <c r="D529" s="113" t="str">
        <f>_xlfn.XLOOKUP($C529,'Cost Centers'!$A$2:$A$11,'Cost Centers'!$B$2:$B$11,"")</f>
        <v>Human Resources</v>
      </c>
      <c r="E529" s="113" t="s">
        <v>32</v>
      </c>
      <c r="F529" s="113" t="str">
        <f>_xlfn.XLOOKUP(E529,'Allocated Transactions'!D:D,'Allocated Transactions'!E:E,"")</f>
        <v>Rent</v>
      </c>
      <c r="G529" s="113" t="s">
        <v>97</v>
      </c>
      <c r="H529" s="113"/>
      <c r="I529" s="113" t="str">
        <f>_xlfn.XLOOKUP($C529,'Cost Centers'!$A$2:$A$11,'Cost Centers'!$C$2:$C$11,"")</f>
        <v>Admin</v>
      </c>
      <c r="J529" s="23">
        <f>MROUND(SUMIFS('Allocated Transactions'!$J:$J,'Allocated Transactions'!$D:$D,$E529,'Allocated Transactions'!$C:$C,$C529,'Allocated Transactions'!$A:$A,"&gt;="&amp;$A529,'Allocated Transactions'!$A:$A,"&lt;="&amp;EOMONTH($A529,0))*0.99,100)</f>
        <v>700</v>
      </c>
      <c r="K529" s="113" t="s">
        <v>637</v>
      </c>
    </row>
    <row r="530" spans="1:11" ht="15" customHeight="1">
      <c r="A530" s="112">
        <f t="shared" si="25"/>
        <v>45992</v>
      </c>
      <c r="B530" s="113">
        <v>3</v>
      </c>
      <c r="C530" s="18" t="str">
        <f t="shared" si="28"/>
        <v>1030</v>
      </c>
      <c r="D530" s="113" t="str">
        <f>_xlfn.XLOOKUP($C530,'Cost Centers'!$A$2:$A$11,'Cost Centers'!$B$2:$B$11,"")</f>
        <v>Human Resources</v>
      </c>
      <c r="E530" s="113" t="s">
        <v>33</v>
      </c>
      <c r="F530" s="113" t="str">
        <f>_xlfn.XLOOKUP(E530,'Allocated Transactions'!D:D,'Allocated Transactions'!E:E,"")</f>
        <v>Utilities</v>
      </c>
      <c r="G530" s="113" t="s">
        <v>97</v>
      </c>
      <c r="H530" s="113"/>
      <c r="I530" s="113" t="str">
        <f>_xlfn.XLOOKUP($C530,'Cost Centers'!$A$2:$A$11,'Cost Centers'!$C$2:$C$11,"")</f>
        <v>Admin</v>
      </c>
      <c r="J530" s="23">
        <f>MROUND(SUMIFS('Allocated Transactions'!$J:$J,'Allocated Transactions'!$D:$D,$E530,'Allocated Transactions'!$C:$C,$C530,'Allocated Transactions'!$A:$A,"&gt;="&amp;$A530,'Allocated Transactions'!$A:$A,"&lt;="&amp;EOMONTH($A530,0))*0.99,100)</f>
        <v>100</v>
      </c>
      <c r="K530" s="113" t="s">
        <v>637</v>
      </c>
    </row>
    <row r="531" spans="1:11" ht="15" customHeight="1">
      <c r="A531" s="112">
        <f t="shared" si="25"/>
        <v>45992</v>
      </c>
      <c r="B531" s="113">
        <v>3</v>
      </c>
      <c r="C531" s="18" t="str">
        <f t="shared" si="28"/>
        <v>1030</v>
      </c>
      <c r="D531" s="113" t="str">
        <f>_xlfn.XLOOKUP($C531,'Cost Centers'!$A$2:$A$11,'Cost Centers'!$B$2:$B$11,"")</f>
        <v>Human Resources</v>
      </c>
      <c r="E531" s="113" t="s">
        <v>105</v>
      </c>
      <c r="F531" s="113" t="str">
        <f>_xlfn.XLOOKUP(E531,'Allocated Transactions'!D:D,'Allocated Transactions'!E:E,"")</f>
        <v>Office Supplies</v>
      </c>
      <c r="G531" s="113" t="s">
        <v>97</v>
      </c>
      <c r="H531" s="113"/>
      <c r="I531" s="113" t="str">
        <f>_xlfn.XLOOKUP($C531,'Cost Centers'!$A$2:$A$11,'Cost Centers'!$C$2:$C$11,"")</f>
        <v>Admin</v>
      </c>
      <c r="J531" s="23">
        <f>MROUND(SUMIFS('Allocated Transactions'!$J:$J,'Allocated Transactions'!$D:$D,$E531,'Allocated Transactions'!$C:$C,$C531,'Allocated Transactions'!$A:$A,"&gt;="&amp;$A531,'Allocated Transactions'!$A:$A,"&lt;="&amp;EOMONTH($A531,0))*0.99,100)</f>
        <v>400</v>
      </c>
      <c r="K531" s="113" t="s">
        <v>637</v>
      </c>
    </row>
    <row r="532" spans="1:11" ht="15" customHeight="1">
      <c r="A532" s="112">
        <f t="shared" si="25"/>
        <v>45992</v>
      </c>
      <c r="B532" s="113">
        <v>3</v>
      </c>
      <c r="C532" s="18" t="str">
        <f t="shared" si="28"/>
        <v>1030</v>
      </c>
      <c r="D532" s="113" t="str">
        <f>_xlfn.XLOOKUP($C532,'Cost Centers'!$A$2:$A$11,'Cost Centers'!$B$2:$B$11,"")</f>
        <v>Human Resources</v>
      </c>
      <c r="E532" s="113" t="s">
        <v>107</v>
      </c>
      <c r="F532" s="113" t="str">
        <f>_xlfn.XLOOKUP(E532,'Allocated Transactions'!D:D,'Allocated Transactions'!E:E,"")</f>
        <v>Software and Subscriptions</v>
      </c>
      <c r="G532" s="113" t="s">
        <v>97</v>
      </c>
      <c r="H532" s="113"/>
      <c r="I532" s="113" t="str">
        <f>_xlfn.XLOOKUP($C532,'Cost Centers'!$A$2:$A$11,'Cost Centers'!$C$2:$C$11,"")</f>
        <v>Admin</v>
      </c>
      <c r="J532" s="23">
        <f>MROUND(SUMIFS('Allocated Transactions'!$J:$J,'Allocated Transactions'!$D:$D,$E532,'Allocated Transactions'!$C:$C,$C532,'Allocated Transactions'!$A:$A,"&gt;="&amp;$A532,'Allocated Transactions'!$A:$A,"&lt;="&amp;EOMONTH($A532,0))*0.99,100)</f>
        <v>0</v>
      </c>
      <c r="K532" s="113" t="s">
        <v>637</v>
      </c>
    </row>
    <row r="533" spans="1:11" ht="15" customHeight="1">
      <c r="A533" s="112">
        <f t="shared" si="25"/>
        <v>45992</v>
      </c>
      <c r="B533" s="113">
        <v>3</v>
      </c>
      <c r="C533" s="18" t="str">
        <f t="shared" si="28"/>
        <v>1030</v>
      </c>
      <c r="D533" s="113" t="str">
        <f>_xlfn.XLOOKUP($C533,'Cost Centers'!$A$2:$A$11,'Cost Centers'!$B$2:$B$11,"")</f>
        <v>Human Resources</v>
      </c>
      <c r="E533" s="113" t="s">
        <v>109</v>
      </c>
      <c r="F533" s="113" t="str">
        <f>_xlfn.XLOOKUP(E533,'Allocated Transactions'!D:D,'Allocated Transactions'!E:E,"")</f>
        <v>Travel</v>
      </c>
      <c r="G533" s="113" t="s">
        <v>97</v>
      </c>
      <c r="H533" s="113"/>
      <c r="I533" s="113" t="str">
        <f>_xlfn.XLOOKUP($C533,'Cost Centers'!$A$2:$A$11,'Cost Centers'!$C$2:$C$11,"")</f>
        <v>Admin</v>
      </c>
      <c r="J533" s="23">
        <f>MROUND(SUMIFS('Allocated Transactions'!$J:$J,'Allocated Transactions'!$D:$D,$E533,'Allocated Transactions'!$C:$C,$C533,'Allocated Transactions'!$A:$A,"&gt;="&amp;$A533,'Allocated Transactions'!$A:$A,"&lt;="&amp;EOMONTH($A533,0))*0.99,100)</f>
        <v>0</v>
      </c>
      <c r="K533" s="113" t="s">
        <v>637</v>
      </c>
    </row>
    <row r="534" spans="1:11" ht="15" customHeight="1">
      <c r="A534" s="112">
        <f t="shared" si="25"/>
        <v>45992</v>
      </c>
      <c r="B534" s="113">
        <v>3</v>
      </c>
      <c r="C534" s="18" t="str">
        <f t="shared" si="28"/>
        <v>1030</v>
      </c>
      <c r="D534" s="113" t="str">
        <f>_xlfn.XLOOKUP($C534,'Cost Centers'!$A$2:$A$11,'Cost Centers'!$B$2:$B$11,"")</f>
        <v>Human Resources</v>
      </c>
      <c r="E534" s="113" t="s">
        <v>111</v>
      </c>
      <c r="F534" s="113" t="str">
        <f>_xlfn.XLOOKUP(E534,'Allocated Transactions'!D:D,'Allocated Transactions'!E:E,"")</f>
        <v>Meals and Entertainment</v>
      </c>
      <c r="G534" s="113" t="s">
        <v>97</v>
      </c>
      <c r="H534" s="113"/>
      <c r="I534" s="113" t="str">
        <f>_xlfn.XLOOKUP($C534,'Cost Centers'!$A$2:$A$11,'Cost Centers'!$C$2:$C$11,"")</f>
        <v>Admin</v>
      </c>
      <c r="J534" s="23">
        <f>MROUND(SUMIFS('Allocated Transactions'!$J:$J,'Allocated Transactions'!$D:$D,$E534,'Allocated Transactions'!$C:$C,$C534,'Allocated Transactions'!$A:$A,"&gt;="&amp;$A534,'Allocated Transactions'!$A:$A,"&lt;="&amp;EOMONTH($A534,0))*0.99,100)</f>
        <v>0</v>
      </c>
      <c r="K534" s="113" t="s">
        <v>637</v>
      </c>
    </row>
    <row r="535" spans="1:11" ht="15" customHeight="1">
      <c r="A535" s="112">
        <f t="shared" si="25"/>
        <v>45992</v>
      </c>
      <c r="B535" s="113">
        <v>3</v>
      </c>
      <c r="C535" s="18" t="str">
        <f t="shared" si="28"/>
        <v>1030</v>
      </c>
      <c r="D535" s="113" t="str">
        <f>_xlfn.XLOOKUP($C535,'Cost Centers'!$A$2:$A$11,'Cost Centers'!$B$2:$B$11,"")</f>
        <v>Human Resources</v>
      </c>
      <c r="E535" s="113" t="s">
        <v>113</v>
      </c>
      <c r="F535" s="113" t="str">
        <f>_xlfn.XLOOKUP(E535,'Allocated Transactions'!D:D,'Allocated Transactions'!E:E,"")</f>
        <v>Professional Fees - Legal</v>
      </c>
      <c r="G535" s="113" t="s">
        <v>97</v>
      </c>
      <c r="H535" s="113"/>
      <c r="I535" s="113" t="str">
        <f>_xlfn.XLOOKUP($C535,'Cost Centers'!$A$2:$A$11,'Cost Centers'!$C$2:$C$11,"")</f>
        <v>Admin</v>
      </c>
      <c r="J535" s="23">
        <f>MROUND(SUMIFS('Allocated Transactions'!$J:$J,'Allocated Transactions'!$D:$D,$E535,'Allocated Transactions'!$C:$C,$C535,'Allocated Transactions'!$A:$A,"&gt;="&amp;$A535,'Allocated Transactions'!$A:$A,"&lt;="&amp;EOMONTH($A535,0))*0.99,100)</f>
        <v>0</v>
      </c>
      <c r="K535" s="113" t="s">
        <v>637</v>
      </c>
    </row>
    <row r="536" spans="1:11" ht="15" customHeight="1">
      <c r="A536" s="112">
        <f t="shared" si="25"/>
        <v>45992</v>
      </c>
      <c r="B536" s="113">
        <v>3</v>
      </c>
      <c r="C536" s="18" t="str">
        <f t="shared" si="28"/>
        <v>1030</v>
      </c>
      <c r="D536" s="113" t="str">
        <f>_xlfn.XLOOKUP($C536,'Cost Centers'!$A$2:$A$11,'Cost Centers'!$B$2:$B$11,"")</f>
        <v>Human Resources</v>
      </c>
      <c r="E536" s="113" t="s">
        <v>115</v>
      </c>
      <c r="F536" s="113" t="str">
        <f>_xlfn.XLOOKUP(E536,'Allocated Transactions'!D:D,'Allocated Transactions'!E:E,"")</f>
        <v>Professional Fees - Accounting/Audit</v>
      </c>
      <c r="G536" s="113" t="s">
        <v>97</v>
      </c>
      <c r="H536" s="113"/>
      <c r="I536" s="113" t="str">
        <f>_xlfn.XLOOKUP($C536,'Cost Centers'!$A$2:$A$11,'Cost Centers'!$C$2:$C$11,"")</f>
        <v>Admin</v>
      </c>
      <c r="J536" s="23">
        <f>MROUND(SUMIFS('Allocated Transactions'!$J:$J,'Allocated Transactions'!$D:$D,$E536,'Allocated Transactions'!$C:$C,$C536,'Allocated Transactions'!$A:$A,"&gt;="&amp;$A536,'Allocated Transactions'!$A:$A,"&lt;="&amp;EOMONTH($A536,0))*0.99,100)</f>
        <v>0</v>
      </c>
      <c r="K536" s="113" t="s">
        <v>637</v>
      </c>
    </row>
    <row r="537" spans="1:11" ht="15" customHeight="1">
      <c r="A537" s="112">
        <f t="shared" ref="A537:A600" si="29">IF(C537&lt;&gt;C536,DATE(2025,7,1),IF(E537="5000",EOMONTH(A536,0)+1,A536))</f>
        <v>45992</v>
      </c>
      <c r="B537" s="113">
        <v>3</v>
      </c>
      <c r="C537" s="18" t="str">
        <f t="shared" si="28"/>
        <v>1030</v>
      </c>
      <c r="D537" s="113" t="str">
        <f>_xlfn.XLOOKUP($C537,'Cost Centers'!$A$2:$A$11,'Cost Centers'!$B$2:$B$11,"")</f>
        <v>Human Resources</v>
      </c>
      <c r="E537" s="113" t="s">
        <v>117</v>
      </c>
      <c r="F537" s="113" t="str">
        <f>_xlfn.XLOOKUP(E537,'Allocated Transactions'!D:D,'Allocated Transactions'!E:E,"")</f>
        <v>Insurance</v>
      </c>
      <c r="G537" s="113" t="s">
        <v>97</v>
      </c>
      <c r="H537" s="113"/>
      <c r="I537" s="113" t="str">
        <f>_xlfn.XLOOKUP($C537,'Cost Centers'!$A$2:$A$11,'Cost Centers'!$C$2:$C$11,"")</f>
        <v>Admin</v>
      </c>
      <c r="J537" s="23">
        <f>MROUND(SUMIFS('Allocated Transactions'!$J:$J,'Allocated Transactions'!$D:$D,$E537,'Allocated Transactions'!$C:$C,$C537,'Allocated Transactions'!$A:$A,"&gt;="&amp;$A537,'Allocated Transactions'!$A:$A,"&lt;="&amp;EOMONTH($A537,0))*0.99,100)</f>
        <v>600</v>
      </c>
      <c r="K537" s="113" t="s">
        <v>637</v>
      </c>
    </row>
    <row r="538" spans="1:11" ht="15" customHeight="1">
      <c r="A538" s="112">
        <f t="shared" si="29"/>
        <v>45992</v>
      </c>
      <c r="B538" s="113">
        <v>3</v>
      </c>
      <c r="C538" s="18" t="str">
        <f t="shared" si="28"/>
        <v>1030</v>
      </c>
      <c r="D538" s="113" t="str">
        <f>_xlfn.XLOOKUP($C538,'Cost Centers'!$A$2:$A$11,'Cost Centers'!$B$2:$B$11,"")</f>
        <v>Human Resources</v>
      </c>
      <c r="E538" s="113" t="s">
        <v>119</v>
      </c>
      <c r="F538" s="113" t="str">
        <f>_xlfn.XLOOKUP(E538,'Allocated Transactions'!D:D,'Allocated Transactions'!E:E,"")</f>
        <v>Depreciation Expense</v>
      </c>
      <c r="G538" s="113" t="s">
        <v>97</v>
      </c>
      <c r="H538" s="113"/>
      <c r="I538" s="113" t="str">
        <f>_xlfn.XLOOKUP($C538,'Cost Centers'!$A$2:$A$11,'Cost Centers'!$C$2:$C$11,"")</f>
        <v>Admin</v>
      </c>
      <c r="J538" s="23">
        <f>MROUND(SUMIFS('Allocated Transactions'!$J:$J,'Allocated Transactions'!$D:$D,$E538,'Allocated Transactions'!$C:$C,$C538,'Allocated Transactions'!$A:$A,"&gt;="&amp;$A538,'Allocated Transactions'!$A:$A,"&lt;="&amp;EOMONTH($A538,0))*0.99,100)</f>
        <v>0</v>
      </c>
      <c r="K538" s="113" t="s">
        <v>637</v>
      </c>
    </row>
    <row r="539" spans="1:11" ht="15" customHeight="1">
      <c r="A539" s="112">
        <f t="shared" si="29"/>
        <v>45992</v>
      </c>
      <c r="B539" s="113">
        <v>3</v>
      </c>
      <c r="C539" s="18" t="str">
        <f t="shared" si="28"/>
        <v>1030</v>
      </c>
      <c r="D539" s="113" t="str">
        <f>_xlfn.XLOOKUP($C539,'Cost Centers'!$A$2:$A$11,'Cost Centers'!$B$2:$B$11,"")</f>
        <v>Human Resources</v>
      </c>
      <c r="E539" s="113" t="s">
        <v>121</v>
      </c>
      <c r="F539" s="113" t="str">
        <f>_xlfn.XLOOKUP(E539,'Allocated Transactions'!D:D,'Allocated Transactions'!E:E,"")</f>
        <v>Bank Fees</v>
      </c>
      <c r="G539" s="113" t="s">
        <v>97</v>
      </c>
      <c r="H539" s="113"/>
      <c r="I539" s="113" t="str">
        <f>_xlfn.XLOOKUP($C539,'Cost Centers'!$A$2:$A$11,'Cost Centers'!$C$2:$C$11,"")</f>
        <v>Admin</v>
      </c>
      <c r="J539" s="23">
        <f>MROUND(SUMIFS('Allocated Transactions'!$J:$J,'Allocated Transactions'!$D:$D,$E539,'Allocated Transactions'!$C:$C,$C539,'Allocated Transactions'!$A:$A,"&gt;="&amp;$A539,'Allocated Transactions'!$A:$A,"&lt;="&amp;EOMONTH($A539,0))*0.99,100)</f>
        <v>0</v>
      </c>
      <c r="K539" s="113" t="s">
        <v>637</v>
      </c>
    </row>
    <row r="540" spans="1:11" ht="15" customHeight="1">
      <c r="A540" s="112">
        <f t="shared" si="29"/>
        <v>45992</v>
      </c>
      <c r="B540" s="113">
        <v>3</v>
      </c>
      <c r="C540" s="18" t="str">
        <f t="shared" si="28"/>
        <v>1030</v>
      </c>
      <c r="D540" s="113" t="str">
        <f>_xlfn.XLOOKUP($C540,'Cost Centers'!$A$2:$A$11,'Cost Centers'!$B$2:$B$11,"")</f>
        <v>Human Resources</v>
      </c>
      <c r="E540" s="113" t="s">
        <v>123</v>
      </c>
      <c r="F540" s="113" t="str">
        <f>_xlfn.XLOOKUP(E540,'Allocated Transactions'!D:D,'Allocated Transactions'!E:E,"")</f>
        <v>Interest Expense</v>
      </c>
      <c r="G540" s="113" t="s">
        <v>97</v>
      </c>
      <c r="H540" s="113"/>
      <c r="I540" s="113" t="str">
        <f>_xlfn.XLOOKUP($C540,'Cost Centers'!$A$2:$A$11,'Cost Centers'!$C$2:$C$11,"")</f>
        <v>Admin</v>
      </c>
      <c r="J540" s="23">
        <f>MROUND(SUMIFS('Allocated Transactions'!$J:$J,'Allocated Transactions'!$D:$D,$E540,'Allocated Transactions'!$C:$C,$C540,'Allocated Transactions'!$A:$A,"&gt;="&amp;$A540,'Allocated Transactions'!$A:$A,"&lt;="&amp;EOMONTH($A540,0))*0.99,100)</f>
        <v>0</v>
      </c>
      <c r="K540" s="113" t="s">
        <v>637</v>
      </c>
    </row>
    <row r="541" spans="1:11" ht="15" customHeight="1">
      <c r="A541" s="112">
        <f t="shared" si="29"/>
        <v>45992</v>
      </c>
      <c r="B541" s="113">
        <v>3</v>
      </c>
      <c r="C541" s="18" t="str">
        <f t="shared" si="28"/>
        <v>1030</v>
      </c>
      <c r="D541" s="113" t="str">
        <f>_xlfn.XLOOKUP($C541,'Cost Centers'!$A$2:$A$11,'Cost Centers'!$B$2:$B$11,"")</f>
        <v>Human Resources</v>
      </c>
      <c r="E541" s="113" t="s">
        <v>125</v>
      </c>
      <c r="F541" s="113" t="str">
        <f>_xlfn.XLOOKUP(E541,'Allocated Transactions'!D:D,'Allocated Transactions'!E:E,"")</f>
        <v>Miscellaneous Expense</v>
      </c>
      <c r="G541" s="113" t="s">
        <v>97</v>
      </c>
      <c r="H541" s="113"/>
      <c r="I541" s="113" t="str">
        <f>_xlfn.XLOOKUP($C541,'Cost Centers'!$A$2:$A$11,'Cost Centers'!$C$2:$C$11,"")</f>
        <v>Admin</v>
      </c>
      <c r="J541" s="23">
        <f>MROUND(SUMIFS('Allocated Transactions'!$J:$J,'Allocated Transactions'!$D:$D,$E541,'Allocated Transactions'!$C:$C,$C541,'Allocated Transactions'!$A:$A,"&gt;="&amp;$A541,'Allocated Transactions'!$A:$A,"&lt;="&amp;EOMONTH($A541,0))*0.99,100)</f>
        <v>0</v>
      </c>
      <c r="K541" s="113" t="s">
        <v>637</v>
      </c>
    </row>
    <row r="542" spans="1:11" ht="15" customHeight="1">
      <c r="A542" s="112">
        <f t="shared" si="29"/>
        <v>46023</v>
      </c>
      <c r="B542" s="113">
        <v>3</v>
      </c>
      <c r="C542" s="18" t="s">
        <v>6</v>
      </c>
      <c r="D542" s="113" t="str">
        <f>_xlfn.XLOOKUP($C542,'Cost Centers'!$A$2:$A$11,'Cost Centers'!$B$2:$B$11,"")</f>
        <v>Human Resources</v>
      </c>
      <c r="E542" s="113" t="s">
        <v>28</v>
      </c>
      <c r="F542" s="113" t="str">
        <f>_xlfn.XLOOKUP(E542,'Allocated Transactions'!D:D,'Allocated Transactions'!E:E,"")</f>
        <v>Salaries and Wages</v>
      </c>
      <c r="G542" s="113" t="s">
        <v>97</v>
      </c>
      <c r="H542" s="113"/>
      <c r="I542" s="113" t="str">
        <f>_xlfn.XLOOKUP($C542,'Cost Centers'!$A$2:$A$11,'Cost Centers'!$C$2:$C$11,"")</f>
        <v>Admin</v>
      </c>
      <c r="J542" s="23">
        <f>MROUND(SUMIFS('Allocated Transactions'!$J:$J,'Allocated Transactions'!$D:$D,$E542,'Allocated Transactions'!$C:$C,$C542,'Allocated Transactions'!$A:$A,"&gt;="&amp;$A542,'Allocated Transactions'!$A:$A,"&lt;="&amp;EOMONTH($A542,0))*0.99,100)</f>
        <v>9900</v>
      </c>
      <c r="K542" s="113" t="s">
        <v>637</v>
      </c>
    </row>
    <row r="543" spans="1:11" ht="15" customHeight="1">
      <c r="A543" s="112">
        <f t="shared" si="29"/>
        <v>46023</v>
      </c>
      <c r="B543" s="113">
        <v>3</v>
      </c>
      <c r="C543" s="18" t="str">
        <f t="shared" ref="C543:C559" si="30">C542</f>
        <v>1030</v>
      </c>
      <c r="D543" s="113" t="str">
        <f>_xlfn.XLOOKUP($C543,'Cost Centers'!$A$2:$A$11,'Cost Centers'!$B$2:$B$11,"")</f>
        <v>Human Resources</v>
      </c>
      <c r="E543" s="113" t="s">
        <v>29</v>
      </c>
      <c r="F543" s="113" t="str">
        <f>_xlfn.XLOOKUP(E543,'Allocated Transactions'!D:D,'Allocated Transactions'!E:E,"")</f>
        <v>Payroll Taxes</v>
      </c>
      <c r="G543" s="113" t="s">
        <v>97</v>
      </c>
      <c r="H543" s="113"/>
      <c r="I543" s="113" t="str">
        <f>_xlfn.XLOOKUP($C543,'Cost Centers'!$A$2:$A$11,'Cost Centers'!$C$2:$C$11,"")</f>
        <v>Admin</v>
      </c>
      <c r="J543" s="23">
        <f>MROUND(SUMIFS('Allocated Transactions'!$J:$J,'Allocated Transactions'!$D:$D,$E543,'Allocated Transactions'!$C:$C,$C543,'Allocated Transactions'!$A:$A,"&gt;="&amp;$A543,'Allocated Transactions'!$A:$A,"&lt;="&amp;EOMONTH($A543,0))*0.99,100)</f>
        <v>800</v>
      </c>
      <c r="K543" s="113" t="s">
        <v>637</v>
      </c>
    </row>
    <row r="544" spans="1:11" ht="15" customHeight="1">
      <c r="A544" s="112">
        <f t="shared" si="29"/>
        <v>46023</v>
      </c>
      <c r="B544" s="113">
        <v>3</v>
      </c>
      <c r="C544" s="18" t="str">
        <f t="shared" si="30"/>
        <v>1030</v>
      </c>
      <c r="D544" s="113" t="str">
        <f>_xlfn.XLOOKUP($C544,'Cost Centers'!$A$2:$A$11,'Cost Centers'!$B$2:$B$11,"")</f>
        <v>Human Resources</v>
      </c>
      <c r="E544" s="113" t="s">
        <v>30</v>
      </c>
      <c r="F544" s="113" t="str">
        <f>_xlfn.XLOOKUP(E544,'Allocated Transactions'!D:D,'Allocated Transactions'!E:E,"")</f>
        <v>Employee Benefits</v>
      </c>
      <c r="G544" s="113" t="s">
        <v>97</v>
      </c>
      <c r="H544" s="113"/>
      <c r="I544" s="113" t="str">
        <f>_xlfn.XLOOKUP($C544,'Cost Centers'!$A$2:$A$11,'Cost Centers'!$C$2:$C$11,"")</f>
        <v>Admin</v>
      </c>
      <c r="J544" s="23">
        <f>MROUND(SUMIFS('Allocated Transactions'!$J:$J,'Allocated Transactions'!$D:$D,$E544,'Allocated Transactions'!$C:$C,$C544,'Allocated Transactions'!$A:$A,"&gt;="&amp;$A544,'Allocated Transactions'!$A:$A,"&lt;="&amp;EOMONTH($A544,0))*0.99,100)</f>
        <v>5700</v>
      </c>
      <c r="K544" s="113" t="s">
        <v>637</v>
      </c>
    </row>
    <row r="545" spans="1:11" ht="15" customHeight="1">
      <c r="A545" s="112">
        <f t="shared" si="29"/>
        <v>46023</v>
      </c>
      <c r="B545" s="113">
        <v>3</v>
      </c>
      <c r="C545" s="18" t="str">
        <f t="shared" si="30"/>
        <v>1030</v>
      </c>
      <c r="D545" s="113" t="str">
        <f>_xlfn.XLOOKUP($C545,'Cost Centers'!$A$2:$A$11,'Cost Centers'!$B$2:$B$11,"")</f>
        <v>Human Resources</v>
      </c>
      <c r="E545" s="113" t="s">
        <v>31</v>
      </c>
      <c r="F545" s="113" t="str">
        <f>_xlfn.XLOOKUP(E545,'Allocated Transactions'!D:D,'Allocated Transactions'!E:E,"")</f>
        <v>Retirement Contributions</v>
      </c>
      <c r="G545" s="113" t="s">
        <v>97</v>
      </c>
      <c r="H545" s="113"/>
      <c r="I545" s="113" t="str">
        <f>_xlfn.XLOOKUP($C545,'Cost Centers'!$A$2:$A$11,'Cost Centers'!$C$2:$C$11,"")</f>
        <v>Admin</v>
      </c>
      <c r="J545" s="23">
        <f>MROUND(SUMIFS('Allocated Transactions'!$J:$J,'Allocated Transactions'!$D:$D,$E545,'Allocated Transactions'!$C:$C,$C545,'Allocated Transactions'!$A:$A,"&gt;="&amp;$A545,'Allocated Transactions'!$A:$A,"&lt;="&amp;EOMONTH($A545,0))*0.99,100)</f>
        <v>300</v>
      </c>
      <c r="K545" s="113" t="s">
        <v>637</v>
      </c>
    </row>
    <row r="546" spans="1:11" ht="15" customHeight="1">
      <c r="A546" s="112">
        <f t="shared" si="29"/>
        <v>46023</v>
      </c>
      <c r="B546" s="113">
        <v>3</v>
      </c>
      <c r="C546" s="18" t="str">
        <f t="shared" si="30"/>
        <v>1030</v>
      </c>
      <c r="D546" s="113" t="str">
        <f>_xlfn.XLOOKUP($C546,'Cost Centers'!$A$2:$A$11,'Cost Centers'!$B$2:$B$11,"")</f>
        <v>Human Resources</v>
      </c>
      <c r="E546" s="113" t="s">
        <v>101</v>
      </c>
      <c r="F546" s="113" t="str">
        <f>_xlfn.XLOOKUP(E546,'Allocated Transactions'!D:D,'Allocated Transactions'!E:E,"")</f>
        <v>Contract Labor / Consultants</v>
      </c>
      <c r="G546" s="113" t="s">
        <v>97</v>
      </c>
      <c r="H546" s="113"/>
      <c r="I546" s="113" t="str">
        <f>_xlfn.XLOOKUP($C546,'Cost Centers'!$A$2:$A$11,'Cost Centers'!$C$2:$C$11,"")</f>
        <v>Admin</v>
      </c>
      <c r="J546" s="23">
        <f>MROUND(SUMIFS('Allocated Transactions'!$J:$J,'Allocated Transactions'!$D:$D,$E546,'Allocated Transactions'!$C:$C,$C546,'Allocated Transactions'!$A:$A,"&gt;="&amp;$A546,'Allocated Transactions'!$A:$A,"&lt;="&amp;EOMONTH($A546,0))*0.99,100)</f>
        <v>0</v>
      </c>
      <c r="K546" s="113" t="s">
        <v>637</v>
      </c>
    </row>
    <row r="547" spans="1:11" ht="15" customHeight="1">
      <c r="A547" s="112">
        <f t="shared" si="29"/>
        <v>46023</v>
      </c>
      <c r="B547" s="113">
        <v>3</v>
      </c>
      <c r="C547" s="18" t="str">
        <f t="shared" si="30"/>
        <v>1030</v>
      </c>
      <c r="D547" s="113" t="str">
        <f>_xlfn.XLOOKUP($C547,'Cost Centers'!$A$2:$A$11,'Cost Centers'!$B$2:$B$11,"")</f>
        <v>Human Resources</v>
      </c>
      <c r="E547" s="113" t="s">
        <v>32</v>
      </c>
      <c r="F547" s="113" t="str">
        <f>_xlfn.XLOOKUP(E547,'Allocated Transactions'!D:D,'Allocated Transactions'!E:E,"")</f>
        <v>Rent</v>
      </c>
      <c r="G547" s="113" t="s">
        <v>97</v>
      </c>
      <c r="H547" s="113"/>
      <c r="I547" s="113" t="str">
        <f>_xlfn.XLOOKUP($C547,'Cost Centers'!$A$2:$A$11,'Cost Centers'!$C$2:$C$11,"")</f>
        <v>Admin</v>
      </c>
      <c r="J547" s="23">
        <f>MROUND(SUMIFS('Allocated Transactions'!$J:$J,'Allocated Transactions'!$D:$D,$E547,'Allocated Transactions'!$C:$C,$C547,'Allocated Transactions'!$A:$A,"&gt;="&amp;$A547,'Allocated Transactions'!$A:$A,"&lt;="&amp;EOMONTH($A547,0))*0.99,100)</f>
        <v>800</v>
      </c>
      <c r="K547" s="113" t="s">
        <v>637</v>
      </c>
    </row>
    <row r="548" spans="1:11" ht="15" customHeight="1">
      <c r="A548" s="112">
        <f t="shared" si="29"/>
        <v>46023</v>
      </c>
      <c r="B548" s="113">
        <v>3</v>
      </c>
      <c r="C548" s="18" t="str">
        <f t="shared" si="30"/>
        <v>1030</v>
      </c>
      <c r="D548" s="113" t="str">
        <f>_xlfn.XLOOKUP($C548,'Cost Centers'!$A$2:$A$11,'Cost Centers'!$B$2:$B$11,"")</f>
        <v>Human Resources</v>
      </c>
      <c r="E548" s="113" t="s">
        <v>33</v>
      </c>
      <c r="F548" s="113" t="str">
        <f>_xlfn.XLOOKUP(E548,'Allocated Transactions'!D:D,'Allocated Transactions'!E:E,"")</f>
        <v>Utilities</v>
      </c>
      <c r="G548" s="113" t="s">
        <v>97</v>
      </c>
      <c r="H548" s="113"/>
      <c r="I548" s="113" t="str">
        <f>_xlfn.XLOOKUP($C548,'Cost Centers'!$A$2:$A$11,'Cost Centers'!$C$2:$C$11,"")</f>
        <v>Admin</v>
      </c>
      <c r="J548" s="23">
        <f>MROUND(SUMIFS('Allocated Transactions'!$J:$J,'Allocated Transactions'!$D:$D,$E548,'Allocated Transactions'!$C:$C,$C548,'Allocated Transactions'!$A:$A,"&gt;="&amp;$A548,'Allocated Transactions'!$A:$A,"&lt;="&amp;EOMONTH($A548,0))*0.99,100)</f>
        <v>100</v>
      </c>
      <c r="K548" s="113" t="s">
        <v>637</v>
      </c>
    </row>
    <row r="549" spans="1:11" ht="15" customHeight="1">
      <c r="A549" s="112">
        <f t="shared" si="29"/>
        <v>46023</v>
      </c>
      <c r="B549" s="113">
        <v>3</v>
      </c>
      <c r="C549" s="18" t="str">
        <f t="shared" si="30"/>
        <v>1030</v>
      </c>
      <c r="D549" s="113" t="str">
        <f>_xlfn.XLOOKUP($C549,'Cost Centers'!$A$2:$A$11,'Cost Centers'!$B$2:$B$11,"")</f>
        <v>Human Resources</v>
      </c>
      <c r="E549" s="113" t="s">
        <v>105</v>
      </c>
      <c r="F549" s="113" t="str">
        <f>_xlfn.XLOOKUP(E549,'Allocated Transactions'!D:D,'Allocated Transactions'!E:E,"")</f>
        <v>Office Supplies</v>
      </c>
      <c r="G549" s="113" t="s">
        <v>97</v>
      </c>
      <c r="H549" s="113"/>
      <c r="I549" s="113" t="str">
        <f>_xlfn.XLOOKUP($C549,'Cost Centers'!$A$2:$A$11,'Cost Centers'!$C$2:$C$11,"")</f>
        <v>Admin</v>
      </c>
      <c r="J549" s="23">
        <f>MROUND(SUMIFS('Allocated Transactions'!$J:$J,'Allocated Transactions'!$D:$D,$E549,'Allocated Transactions'!$C:$C,$C549,'Allocated Transactions'!$A:$A,"&gt;="&amp;$A549,'Allocated Transactions'!$A:$A,"&lt;="&amp;EOMONTH($A549,0))*0.99,100)</f>
        <v>0</v>
      </c>
      <c r="K549" s="113" t="s">
        <v>637</v>
      </c>
    </row>
    <row r="550" spans="1:11" ht="15" customHeight="1">
      <c r="A550" s="112">
        <f t="shared" si="29"/>
        <v>46023</v>
      </c>
      <c r="B550" s="113">
        <v>3</v>
      </c>
      <c r="C550" s="18" t="str">
        <f t="shared" si="30"/>
        <v>1030</v>
      </c>
      <c r="D550" s="113" t="str">
        <f>_xlfn.XLOOKUP($C550,'Cost Centers'!$A$2:$A$11,'Cost Centers'!$B$2:$B$11,"")</f>
        <v>Human Resources</v>
      </c>
      <c r="E550" s="113" t="s">
        <v>107</v>
      </c>
      <c r="F550" s="113" t="str">
        <f>_xlfn.XLOOKUP(E550,'Allocated Transactions'!D:D,'Allocated Transactions'!E:E,"")</f>
        <v>Software and Subscriptions</v>
      </c>
      <c r="G550" s="113" t="s">
        <v>97</v>
      </c>
      <c r="H550" s="113"/>
      <c r="I550" s="113" t="str">
        <f>_xlfn.XLOOKUP($C550,'Cost Centers'!$A$2:$A$11,'Cost Centers'!$C$2:$C$11,"")</f>
        <v>Admin</v>
      </c>
      <c r="J550" s="23">
        <f>MROUND(SUMIFS('Allocated Transactions'!$J:$J,'Allocated Transactions'!$D:$D,$E550,'Allocated Transactions'!$C:$C,$C550,'Allocated Transactions'!$A:$A,"&gt;="&amp;$A550,'Allocated Transactions'!$A:$A,"&lt;="&amp;EOMONTH($A550,0))*0.99,100)</f>
        <v>0</v>
      </c>
      <c r="K550" s="113" t="s">
        <v>637</v>
      </c>
    </row>
    <row r="551" spans="1:11" ht="15" customHeight="1">
      <c r="A551" s="112">
        <f t="shared" si="29"/>
        <v>46023</v>
      </c>
      <c r="B551" s="113">
        <v>3</v>
      </c>
      <c r="C551" s="18" t="str">
        <f t="shared" si="30"/>
        <v>1030</v>
      </c>
      <c r="D551" s="113" t="str">
        <f>_xlfn.XLOOKUP($C551,'Cost Centers'!$A$2:$A$11,'Cost Centers'!$B$2:$B$11,"")</f>
        <v>Human Resources</v>
      </c>
      <c r="E551" s="113" t="s">
        <v>109</v>
      </c>
      <c r="F551" s="113" t="str">
        <f>_xlfn.XLOOKUP(E551,'Allocated Transactions'!D:D,'Allocated Transactions'!E:E,"")</f>
        <v>Travel</v>
      </c>
      <c r="G551" s="113" t="s">
        <v>97</v>
      </c>
      <c r="H551" s="113"/>
      <c r="I551" s="113" t="str">
        <f>_xlfn.XLOOKUP($C551,'Cost Centers'!$A$2:$A$11,'Cost Centers'!$C$2:$C$11,"")</f>
        <v>Admin</v>
      </c>
      <c r="J551" s="23">
        <f>MROUND(SUMIFS('Allocated Transactions'!$J:$J,'Allocated Transactions'!$D:$D,$E551,'Allocated Transactions'!$C:$C,$C551,'Allocated Transactions'!$A:$A,"&gt;="&amp;$A551,'Allocated Transactions'!$A:$A,"&lt;="&amp;EOMONTH($A551,0))*0.99,100)</f>
        <v>0</v>
      </c>
      <c r="K551" s="113" t="s">
        <v>637</v>
      </c>
    </row>
    <row r="552" spans="1:11" ht="15" customHeight="1">
      <c r="A552" s="112">
        <f t="shared" si="29"/>
        <v>46023</v>
      </c>
      <c r="B552" s="113">
        <v>3</v>
      </c>
      <c r="C552" s="18" t="str">
        <f t="shared" si="30"/>
        <v>1030</v>
      </c>
      <c r="D552" s="113" t="str">
        <f>_xlfn.XLOOKUP($C552,'Cost Centers'!$A$2:$A$11,'Cost Centers'!$B$2:$B$11,"")</f>
        <v>Human Resources</v>
      </c>
      <c r="E552" s="113" t="s">
        <v>111</v>
      </c>
      <c r="F552" s="113" t="str">
        <f>_xlfn.XLOOKUP(E552,'Allocated Transactions'!D:D,'Allocated Transactions'!E:E,"")</f>
        <v>Meals and Entertainment</v>
      </c>
      <c r="G552" s="113" t="s">
        <v>97</v>
      </c>
      <c r="H552" s="113"/>
      <c r="I552" s="113" t="str">
        <f>_xlfn.XLOOKUP($C552,'Cost Centers'!$A$2:$A$11,'Cost Centers'!$C$2:$C$11,"")</f>
        <v>Admin</v>
      </c>
      <c r="J552" s="23">
        <f>MROUND(SUMIFS('Allocated Transactions'!$J:$J,'Allocated Transactions'!$D:$D,$E552,'Allocated Transactions'!$C:$C,$C552,'Allocated Transactions'!$A:$A,"&gt;="&amp;$A552,'Allocated Transactions'!$A:$A,"&lt;="&amp;EOMONTH($A552,0))*0.99,100)</f>
        <v>0</v>
      </c>
      <c r="K552" s="113" t="s">
        <v>637</v>
      </c>
    </row>
    <row r="553" spans="1:11" ht="15" customHeight="1">
      <c r="A553" s="112">
        <f t="shared" si="29"/>
        <v>46023</v>
      </c>
      <c r="B553" s="113">
        <v>3</v>
      </c>
      <c r="C553" s="18" t="str">
        <f t="shared" si="30"/>
        <v>1030</v>
      </c>
      <c r="D553" s="113" t="str">
        <f>_xlfn.XLOOKUP($C553,'Cost Centers'!$A$2:$A$11,'Cost Centers'!$B$2:$B$11,"")</f>
        <v>Human Resources</v>
      </c>
      <c r="E553" s="113" t="s">
        <v>113</v>
      </c>
      <c r="F553" s="113" t="str">
        <f>_xlfn.XLOOKUP(E553,'Allocated Transactions'!D:D,'Allocated Transactions'!E:E,"")</f>
        <v>Professional Fees - Legal</v>
      </c>
      <c r="G553" s="113" t="s">
        <v>97</v>
      </c>
      <c r="H553" s="113"/>
      <c r="I553" s="113" t="str">
        <f>_xlfn.XLOOKUP($C553,'Cost Centers'!$A$2:$A$11,'Cost Centers'!$C$2:$C$11,"")</f>
        <v>Admin</v>
      </c>
      <c r="J553" s="23">
        <f>MROUND(SUMIFS('Allocated Transactions'!$J:$J,'Allocated Transactions'!$D:$D,$E553,'Allocated Transactions'!$C:$C,$C553,'Allocated Transactions'!$A:$A,"&gt;="&amp;$A553,'Allocated Transactions'!$A:$A,"&lt;="&amp;EOMONTH($A553,0))*0.99,100)</f>
        <v>0</v>
      </c>
      <c r="K553" s="113" t="s">
        <v>637</v>
      </c>
    </row>
    <row r="554" spans="1:11" ht="15" customHeight="1">
      <c r="A554" s="112">
        <f t="shared" si="29"/>
        <v>46023</v>
      </c>
      <c r="B554" s="113">
        <v>3</v>
      </c>
      <c r="C554" s="18" t="str">
        <f t="shared" si="30"/>
        <v>1030</v>
      </c>
      <c r="D554" s="113" t="str">
        <f>_xlfn.XLOOKUP($C554,'Cost Centers'!$A$2:$A$11,'Cost Centers'!$B$2:$B$11,"")</f>
        <v>Human Resources</v>
      </c>
      <c r="E554" s="113" t="s">
        <v>115</v>
      </c>
      <c r="F554" s="113" t="str">
        <f>_xlfn.XLOOKUP(E554,'Allocated Transactions'!D:D,'Allocated Transactions'!E:E,"")</f>
        <v>Professional Fees - Accounting/Audit</v>
      </c>
      <c r="G554" s="113" t="s">
        <v>97</v>
      </c>
      <c r="H554" s="113"/>
      <c r="I554" s="113" t="str">
        <f>_xlfn.XLOOKUP($C554,'Cost Centers'!$A$2:$A$11,'Cost Centers'!$C$2:$C$11,"")</f>
        <v>Admin</v>
      </c>
      <c r="J554" s="23">
        <f>MROUND(SUMIFS('Allocated Transactions'!$J:$J,'Allocated Transactions'!$D:$D,$E554,'Allocated Transactions'!$C:$C,$C554,'Allocated Transactions'!$A:$A,"&gt;="&amp;$A554,'Allocated Transactions'!$A:$A,"&lt;="&amp;EOMONTH($A554,0))*0.99,100)</f>
        <v>0</v>
      </c>
      <c r="K554" s="113" t="s">
        <v>637</v>
      </c>
    </row>
    <row r="555" spans="1:11" ht="15" customHeight="1">
      <c r="A555" s="112">
        <f t="shared" si="29"/>
        <v>46023</v>
      </c>
      <c r="B555" s="113">
        <v>3</v>
      </c>
      <c r="C555" s="18" t="str">
        <f t="shared" si="30"/>
        <v>1030</v>
      </c>
      <c r="D555" s="113" t="str">
        <f>_xlfn.XLOOKUP($C555,'Cost Centers'!$A$2:$A$11,'Cost Centers'!$B$2:$B$11,"")</f>
        <v>Human Resources</v>
      </c>
      <c r="E555" s="113" t="s">
        <v>117</v>
      </c>
      <c r="F555" s="113" t="str">
        <f>_xlfn.XLOOKUP(E555,'Allocated Transactions'!D:D,'Allocated Transactions'!E:E,"")</f>
        <v>Insurance</v>
      </c>
      <c r="G555" s="113" t="s">
        <v>97</v>
      </c>
      <c r="H555" s="113"/>
      <c r="I555" s="113" t="str">
        <f>_xlfn.XLOOKUP($C555,'Cost Centers'!$A$2:$A$11,'Cost Centers'!$C$2:$C$11,"")</f>
        <v>Admin</v>
      </c>
      <c r="J555" s="23">
        <f>MROUND(SUMIFS('Allocated Transactions'!$J:$J,'Allocated Transactions'!$D:$D,$E555,'Allocated Transactions'!$C:$C,$C555,'Allocated Transactions'!$A:$A,"&gt;="&amp;$A555,'Allocated Transactions'!$A:$A,"&lt;="&amp;EOMONTH($A555,0))*0.99,100)</f>
        <v>600</v>
      </c>
      <c r="K555" s="113" t="s">
        <v>637</v>
      </c>
    </row>
    <row r="556" spans="1:11" ht="15" customHeight="1">
      <c r="A556" s="112">
        <f t="shared" si="29"/>
        <v>46023</v>
      </c>
      <c r="B556" s="113">
        <v>3</v>
      </c>
      <c r="C556" s="18" t="str">
        <f t="shared" si="30"/>
        <v>1030</v>
      </c>
      <c r="D556" s="113" t="str">
        <f>_xlfn.XLOOKUP($C556,'Cost Centers'!$A$2:$A$11,'Cost Centers'!$B$2:$B$11,"")</f>
        <v>Human Resources</v>
      </c>
      <c r="E556" s="113" t="s">
        <v>119</v>
      </c>
      <c r="F556" s="113" t="str">
        <f>_xlfn.XLOOKUP(E556,'Allocated Transactions'!D:D,'Allocated Transactions'!E:E,"")</f>
        <v>Depreciation Expense</v>
      </c>
      <c r="G556" s="113" t="s">
        <v>97</v>
      </c>
      <c r="H556" s="113"/>
      <c r="I556" s="113" t="str">
        <f>_xlfn.XLOOKUP($C556,'Cost Centers'!$A$2:$A$11,'Cost Centers'!$C$2:$C$11,"")</f>
        <v>Admin</v>
      </c>
      <c r="J556" s="23">
        <f>MROUND(SUMIFS('Allocated Transactions'!$J:$J,'Allocated Transactions'!$D:$D,$E556,'Allocated Transactions'!$C:$C,$C556,'Allocated Transactions'!$A:$A,"&gt;="&amp;$A556,'Allocated Transactions'!$A:$A,"&lt;="&amp;EOMONTH($A556,0))*0.99,100)</f>
        <v>0</v>
      </c>
      <c r="K556" s="113" t="s">
        <v>637</v>
      </c>
    </row>
    <row r="557" spans="1:11" ht="15" customHeight="1">
      <c r="A557" s="112">
        <f t="shared" si="29"/>
        <v>46023</v>
      </c>
      <c r="B557" s="113">
        <v>3</v>
      </c>
      <c r="C557" s="18" t="str">
        <f t="shared" si="30"/>
        <v>1030</v>
      </c>
      <c r="D557" s="113" t="str">
        <f>_xlfn.XLOOKUP($C557,'Cost Centers'!$A$2:$A$11,'Cost Centers'!$B$2:$B$11,"")</f>
        <v>Human Resources</v>
      </c>
      <c r="E557" s="113" t="s">
        <v>121</v>
      </c>
      <c r="F557" s="113" t="str">
        <f>_xlfn.XLOOKUP(E557,'Allocated Transactions'!D:D,'Allocated Transactions'!E:E,"")</f>
        <v>Bank Fees</v>
      </c>
      <c r="G557" s="113" t="s">
        <v>97</v>
      </c>
      <c r="H557" s="113"/>
      <c r="I557" s="113" t="str">
        <f>_xlfn.XLOOKUP($C557,'Cost Centers'!$A$2:$A$11,'Cost Centers'!$C$2:$C$11,"")</f>
        <v>Admin</v>
      </c>
      <c r="J557" s="23">
        <f>MROUND(SUMIFS('Allocated Transactions'!$J:$J,'Allocated Transactions'!$D:$D,$E557,'Allocated Transactions'!$C:$C,$C557,'Allocated Transactions'!$A:$A,"&gt;="&amp;$A557,'Allocated Transactions'!$A:$A,"&lt;="&amp;EOMONTH($A557,0))*0.99,100)</f>
        <v>0</v>
      </c>
      <c r="K557" s="113" t="s">
        <v>637</v>
      </c>
    </row>
    <row r="558" spans="1:11" ht="15" customHeight="1">
      <c r="A558" s="112">
        <f t="shared" si="29"/>
        <v>46023</v>
      </c>
      <c r="B558" s="113">
        <v>3</v>
      </c>
      <c r="C558" s="18" t="str">
        <f t="shared" si="30"/>
        <v>1030</v>
      </c>
      <c r="D558" s="113" t="str">
        <f>_xlfn.XLOOKUP($C558,'Cost Centers'!$A$2:$A$11,'Cost Centers'!$B$2:$B$11,"")</f>
        <v>Human Resources</v>
      </c>
      <c r="E558" s="113" t="s">
        <v>123</v>
      </c>
      <c r="F558" s="113" t="str">
        <f>_xlfn.XLOOKUP(E558,'Allocated Transactions'!D:D,'Allocated Transactions'!E:E,"")</f>
        <v>Interest Expense</v>
      </c>
      <c r="G558" s="113" t="s">
        <v>97</v>
      </c>
      <c r="H558" s="113"/>
      <c r="I558" s="113" t="str">
        <f>_xlfn.XLOOKUP($C558,'Cost Centers'!$A$2:$A$11,'Cost Centers'!$C$2:$C$11,"")</f>
        <v>Admin</v>
      </c>
      <c r="J558" s="23">
        <f>MROUND(SUMIFS('Allocated Transactions'!$J:$J,'Allocated Transactions'!$D:$D,$E558,'Allocated Transactions'!$C:$C,$C558,'Allocated Transactions'!$A:$A,"&gt;="&amp;$A558,'Allocated Transactions'!$A:$A,"&lt;="&amp;EOMONTH($A558,0))*0.99,100)</f>
        <v>0</v>
      </c>
      <c r="K558" s="113" t="s">
        <v>637</v>
      </c>
    </row>
    <row r="559" spans="1:11" ht="15" customHeight="1">
      <c r="A559" s="112">
        <f t="shared" si="29"/>
        <v>46023</v>
      </c>
      <c r="B559" s="113">
        <v>3</v>
      </c>
      <c r="C559" s="18" t="str">
        <f t="shared" si="30"/>
        <v>1030</v>
      </c>
      <c r="D559" s="113" t="str">
        <f>_xlfn.XLOOKUP($C559,'Cost Centers'!$A$2:$A$11,'Cost Centers'!$B$2:$B$11,"")</f>
        <v>Human Resources</v>
      </c>
      <c r="E559" s="113" t="s">
        <v>125</v>
      </c>
      <c r="F559" s="113" t="str">
        <f>_xlfn.XLOOKUP(E559,'Allocated Transactions'!D:D,'Allocated Transactions'!E:E,"")</f>
        <v>Miscellaneous Expense</v>
      </c>
      <c r="G559" s="113" t="s">
        <v>97</v>
      </c>
      <c r="H559" s="113"/>
      <c r="I559" s="113" t="str">
        <f>_xlfn.XLOOKUP($C559,'Cost Centers'!$A$2:$A$11,'Cost Centers'!$C$2:$C$11,"")</f>
        <v>Admin</v>
      </c>
      <c r="J559" s="23">
        <f>MROUND(SUMIFS('Allocated Transactions'!$J:$J,'Allocated Transactions'!$D:$D,$E559,'Allocated Transactions'!$C:$C,$C559,'Allocated Transactions'!$A:$A,"&gt;="&amp;$A559,'Allocated Transactions'!$A:$A,"&lt;="&amp;EOMONTH($A559,0))*0.99,100)</f>
        <v>0</v>
      </c>
      <c r="K559" s="113" t="s">
        <v>637</v>
      </c>
    </row>
    <row r="560" spans="1:11" ht="15" customHeight="1">
      <c r="A560" s="112">
        <f t="shared" si="29"/>
        <v>46054</v>
      </c>
      <c r="B560" s="113">
        <v>3</v>
      </c>
      <c r="C560" s="18" t="s">
        <v>6</v>
      </c>
      <c r="D560" s="113" t="str">
        <f>_xlfn.XLOOKUP($C560,'Cost Centers'!$A$2:$A$11,'Cost Centers'!$B$2:$B$11,"")</f>
        <v>Human Resources</v>
      </c>
      <c r="E560" s="113" t="s">
        <v>28</v>
      </c>
      <c r="F560" s="113" t="str">
        <f>_xlfn.XLOOKUP(E560,'Allocated Transactions'!D:D,'Allocated Transactions'!E:E,"")</f>
        <v>Salaries and Wages</v>
      </c>
      <c r="G560" s="113" t="s">
        <v>97</v>
      </c>
      <c r="H560" s="113"/>
      <c r="I560" s="113" t="str">
        <f>_xlfn.XLOOKUP($C560,'Cost Centers'!$A$2:$A$11,'Cost Centers'!$C$2:$C$11,"")</f>
        <v>Admin</v>
      </c>
      <c r="J560" s="23">
        <f>MROUND(SUMIFS('Allocated Transactions'!$J:$J,'Allocated Transactions'!$D:$D,$E560,'Allocated Transactions'!$C:$C,$C560,'Allocated Transactions'!$A:$A,"&gt;="&amp;$A560,'Allocated Transactions'!$A:$A,"&lt;="&amp;EOMONTH($A560,0))*0.99,100)</f>
        <v>9800</v>
      </c>
      <c r="K560" s="113" t="s">
        <v>637</v>
      </c>
    </row>
    <row r="561" spans="1:11" ht="15" customHeight="1">
      <c r="A561" s="112">
        <f t="shared" si="29"/>
        <v>46054</v>
      </c>
      <c r="B561" s="113">
        <v>3</v>
      </c>
      <c r="C561" s="18" t="str">
        <f t="shared" ref="C561:C577" si="31">C560</f>
        <v>1030</v>
      </c>
      <c r="D561" s="113" t="str">
        <f>_xlfn.XLOOKUP($C561,'Cost Centers'!$A$2:$A$11,'Cost Centers'!$B$2:$B$11,"")</f>
        <v>Human Resources</v>
      </c>
      <c r="E561" s="113" t="s">
        <v>29</v>
      </c>
      <c r="F561" s="113" t="str">
        <f>_xlfn.XLOOKUP(E561,'Allocated Transactions'!D:D,'Allocated Transactions'!E:E,"")</f>
        <v>Payroll Taxes</v>
      </c>
      <c r="G561" s="113" t="s">
        <v>97</v>
      </c>
      <c r="H561" s="113"/>
      <c r="I561" s="113" t="str">
        <f>_xlfn.XLOOKUP($C561,'Cost Centers'!$A$2:$A$11,'Cost Centers'!$C$2:$C$11,"")</f>
        <v>Admin</v>
      </c>
      <c r="J561" s="23">
        <f>MROUND(SUMIFS('Allocated Transactions'!$J:$J,'Allocated Transactions'!$D:$D,$E561,'Allocated Transactions'!$C:$C,$C561,'Allocated Transactions'!$A:$A,"&gt;="&amp;$A561,'Allocated Transactions'!$A:$A,"&lt;="&amp;EOMONTH($A561,0))*0.99,100)</f>
        <v>800</v>
      </c>
      <c r="K561" s="113" t="s">
        <v>637</v>
      </c>
    </row>
    <row r="562" spans="1:11" ht="15" customHeight="1">
      <c r="A562" s="112">
        <f t="shared" si="29"/>
        <v>46054</v>
      </c>
      <c r="B562" s="113">
        <v>3</v>
      </c>
      <c r="C562" s="18" t="str">
        <f t="shared" si="31"/>
        <v>1030</v>
      </c>
      <c r="D562" s="113" t="str">
        <f>_xlfn.XLOOKUP($C562,'Cost Centers'!$A$2:$A$11,'Cost Centers'!$B$2:$B$11,"")</f>
        <v>Human Resources</v>
      </c>
      <c r="E562" s="113" t="s">
        <v>30</v>
      </c>
      <c r="F562" s="113" t="str">
        <f>_xlfn.XLOOKUP(E562,'Allocated Transactions'!D:D,'Allocated Transactions'!E:E,"")</f>
        <v>Employee Benefits</v>
      </c>
      <c r="G562" s="113" t="s">
        <v>97</v>
      </c>
      <c r="H562" s="113"/>
      <c r="I562" s="113" t="str">
        <f>_xlfn.XLOOKUP($C562,'Cost Centers'!$A$2:$A$11,'Cost Centers'!$C$2:$C$11,"")</f>
        <v>Admin</v>
      </c>
      <c r="J562" s="23">
        <f>MROUND(SUMIFS('Allocated Transactions'!$J:$J,'Allocated Transactions'!$D:$D,$E562,'Allocated Transactions'!$C:$C,$C562,'Allocated Transactions'!$A:$A,"&gt;="&amp;$A562,'Allocated Transactions'!$A:$A,"&lt;="&amp;EOMONTH($A562,0))*0.99,100)</f>
        <v>6700</v>
      </c>
      <c r="K562" s="113" t="s">
        <v>637</v>
      </c>
    </row>
    <row r="563" spans="1:11" ht="15" customHeight="1">
      <c r="A563" s="112">
        <f t="shared" si="29"/>
        <v>46054</v>
      </c>
      <c r="B563" s="113">
        <v>3</v>
      </c>
      <c r="C563" s="18" t="str">
        <f t="shared" si="31"/>
        <v>1030</v>
      </c>
      <c r="D563" s="113" t="str">
        <f>_xlfn.XLOOKUP($C563,'Cost Centers'!$A$2:$A$11,'Cost Centers'!$B$2:$B$11,"")</f>
        <v>Human Resources</v>
      </c>
      <c r="E563" s="113" t="s">
        <v>31</v>
      </c>
      <c r="F563" s="113" t="str">
        <f>_xlfn.XLOOKUP(E563,'Allocated Transactions'!D:D,'Allocated Transactions'!E:E,"")</f>
        <v>Retirement Contributions</v>
      </c>
      <c r="G563" s="113" t="s">
        <v>97</v>
      </c>
      <c r="H563" s="113"/>
      <c r="I563" s="113" t="str">
        <f>_xlfn.XLOOKUP($C563,'Cost Centers'!$A$2:$A$11,'Cost Centers'!$C$2:$C$11,"")</f>
        <v>Admin</v>
      </c>
      <c r="J563" s="23">
        <f>MROUND(SUMIFS('Allocated Transactions'!$J:$J,'Allocated Transactions'!$D:$D,$E563,'Allocated Transactions'!$C:$C,$C563,'Allocated Transactions'!$A:$A,"&gt;="&amp;$A563,'Allocated Transactions'!$A:$A,"&lt;="&amp;EOMONTH($A563,0))*0.99,100)</f>
        <v>300</v>
      </c>
      <c r="K563" s="113" t="s">
        <v>637</v>
      </c>
    </row>
    <row r="564" spans="1:11" ht="15" customHeight="1">
      <c r="A564" s="112">
        <f t="shared" si="29"/>
        <v>46054</v>
      </c>
      <c r="B564" s="113">
        <v>3</v>
      </c>
      <c r="C564" s="18" t="str">
        <f t="shared" si="31"/>
        <v>1030</v>
      </c>
      <c r="D564" s="113" t="str">
        <f>_xlfn.XLOOKUP($C564,'Cost Centers'!$A$2:$A$11,'Cost Centers'!$B$2:$B$11,"")</f>
        <v>Human Resources</v>
      </c>
      <c r="E564" s="113" t="s">
        <v>101</v>
      </c>
      <c r="F564" s="113" t="str">
        <f>_xlfn.XLOOKUP(E564,'Allocated Transactions'!D:D,'Allocated Transactions'!E:E,"")</f>
        <v>Contract Labor / Consultants</v>
      </c>
      <c r="G564" s="113" t="s">
        <v>97</v>
      </c>
      <c r="H564" s="113"/>
      <c r="I564" s="113" t="str">
        <f>_xlfn.XLOOKUP($C564,'Cost Centers'!$A$2:$A$11,'Cost Centers'!$C$2:$C$11,"")</f>
        <v>Admin</v>
      </c>
      <c r="J564" s="23">
        <f>MROUND(SUMIFS('Allocated Transactions'!$J:$J,'Allocated Transactions'!$D:$D,$E564,'Allocated Transactions'!$C:$C,$C564,'Allocated Transactions'!$A:$A,"&gt;="&amp;$A564,'Allocated Transactions'!$A:$A,"&lt;="&amp;EOMONTH($A564,0))*0.99,100)</f>
        <v>0</v>
      </c>
      <c r="K564" s="113" t="s">
        <v>637</v>
      </c>
    </row>
    <row r="565" spans="1:11" ht="15" customHeight="1">
      <c r="A565" s="112">
        <f t="shared" si="29"/>
        <v>46054</v>
      </c>
      <c r="B565" s="113">
        <v>3</v>
      </c>
      <c r="C565" s="18" t="str">
        <f t="shared" si="31"/>
        <v>1030</v>
      </c>
      <c r="D565" s="113" t="str">
        <f>_xlfn.XLOOKUP($C565,'Cost Centers'!$A$2:$A$11,'Cost Centers'!$B$2:$B$11,"")</f>
        <v>Human Resources</v>
      </c>
      <c r="E565" s="113" t="s">
        <v>32</v>
      </c>
      <c r="F565" s="113" t="str">
        <f>_xlfn.XLOOKUP(E565,'Allocated Transactions'!D:D,'Allocated Transactions'!E:E,"")</f>
        <v>Rent</v>
      </c>
      <c r="G565" s="113" t="s">
        <v>97</v>
      </c>
      <c r="H565" s="113"/>
      <c r="I565" s="113" t="str">
        <f>_xlfn.XLOOKUP($C565,'Cost Centers'!$A$2:$A$11,'Cost Centers'!$C$2:$C$11,"")</f>
        <v>Admin</v>
      </c>
      <c r="J565" s="23">
        <f>MROUND(SUMIFS('Allocated Transactions'!$J:$J,'Allocated Transactions'!$D:$D,$E565,'Allocated Transactions'!$C:$C,$C565,'Allocated Transactions'!$A:$A,"&gt;="&amp;$A565,'Allocated Transactions'!$A:$A,"&lt;="&amp;EOMONTH($A565,0))*0.99,100)</f>
        <v>700</v>
      </c>
      <c r="K565" s="113" t="s">
        <v>637</v>
      </c>
    </row>
    <row r="566" spans="1:11" ht="15" customHeight="1">
      <c r="A566" s="112">
        <f t="shared" si="29"/>
        <v>46054</v>
      </c>
      <c r="B566" s="113">
        <v>3</v>
      </c>
      <c r="C566" s="18" t="str">
        <f t="shared" si="31"/>
        <v>1030</v>
      </c>
      <c r="D566" s="113" t="str">
        <f>_xlfn.XLOOKUP($C566,'Cost Centers'!$A$2:$A$11,'Cost Centers'!$B$2:$B$11,"")</f>
        <v>Human Resources</v>
      </c>
      <c r="E566" s="113" t="s">
        <v>33</v>
      </c>
      <c r="F566" s="113" t="str">
        <f>_xlfn.XLOOKUP(E566,'Allocated Transactions'!D:D,'Allocated Transactions'!E:E,"")</f>
        <v>Utilities</v>
      </c>
      <c r="G566" s="113" t="s">
        <v>97</v>
      </c>
      <c r="H566" s="113"/>
      <c r="I566" s="113" t="str">
        <f>_xlfn.XLOOKUP($C566,'Cost Centers'!$A$2:$A$11,'Cost Centers'!$C$2:$C$11,"")</f>
        <v>Admin</v>
      </c>
      <c r="J566" s="23">
        <f>MROUND(SUMIFS('Allocated Transactions'!$J:$J,'Allocated Transactions'!$D:$D,$E566,'Allocated Transactions'!$C:$C,$C566,'Allocated Transactions'!$A:$A,"&gt;="&amp;$A566,'Allocated Transactions'!$A:$A,"&lt;="&amp;EOMONTH($A566,0))*0.99,100)</f>
        <v>100</v>
      </c>
      <c r="K566" s="113" t="s">
        <v>637</v>
      </c>
    </row>
    <row r="567" spans="1:11" ht="15" customHeight="1">
      <c r="A567" s="112">
        <f t="shared" si="29"/>
        <v>46054</v>
      </c>
      <c r="B567" s="113">
        <v>3</v>
      </c>
      <c r="C567" s="18" t="str">
        <f t="shared" si="31"/>
        <v>1030</v>
      </c>
      <c r="D567" s="113" t="str">
        <f>_xlfn.XLOOKUP($C567,'Cost Centers'!$A$2:$A$11,'Cost Centers'!$B$2:$B$11,"")</f>
        <v>Human Resources</v>
      </c>
      <c r="E567" s="113" t="s">
        <v>105</v>
      </c>
      <c r="F567" s="113" t="str">
        <f>_xlfn.XLOOKUP(E567,'Allocated Transactions'!D:D,'Allocated Transactions'!E:E,"")</f>
        <v>Office Supplies</v>
      </c>
      <c r="G567" s="113" t="s">
        <v>97</v>
      </c>
      <c r="H567" s="113"/>
      <c r="I567" s="113" t="str">
        <f>_xlfn.XLOOKUP($C567,'Cost Centers'!$A$2:$A$11,'Cost Centers'!$C$2:$C$11,"")</f>
        <v>Admin</v>
      </c>
      <c r="J567" s="23">
        <f>MROUND(SUMIFS('Allocated Transactions'!$J:$J,'Allocated Transactions'!$D:$D,$E567,'Allocated Transactions'!$C:$C,$C567,'Allocated Transactions'!$A:$A,"&gt;="&amp;$A567,'Allocated Transactions'!$A:$A,"&lt;="&amp;EOMONTH($A567,0))*0.99,100)</f>
        <v>0</v>
      </c>
      <c r="K567" s="113" t="s">
        <v>637</v>
      </c>
    </row>
    <row r="568" spans="1:11" ht="15" customHeight="1">
      <c r="A568" s="112">
        <f t="shared" si="29"/>
        <v>46054</v>
      </c>
      <c r="B568" s="113">
        <v>3</v>
      </c>
      <c r="C568" s="18" t="str">
        <f t="shared" si="31"/>
        <v>1030</v>
      </c>
      <c r="D568" s="113" t="str">
        <f>_xlfn.XLOOKUP($C568,'Cost Centers'!$A$2:$A$11,'Cost Centers'!$B$2:$B$11,"")</f>
        <v>Human Resources</v>
      </c>
      <c r="E568" s="113" t="s">
        <v>107</v>
      </c>
      <c r="F568" s="113" t="str">
        <f>_xlfn.XLOOKUP(E568,'Allocated Transactions'!D:D,'Allocated Transactions'!E:E,"")</f>
        <v>Software and Subscriptions</v>
      </c>
      <c r="G568" s="113" t="s">
        <v>97</v>
      </c>
      <c r="H568" s="113"/>
      <c r="I568" s="113" t="str">
        <f>_xlfn.XLOOKUP($C568,'Cost Centers'!$A$2:$A$11,'Cost Centers'!$C$2:$C$11,"")</f>
        <v>Admin</v>
      </c>
      <c r="J568" s="23">
        <f>MROUND(SUMIFS('Allocated Transactions'!$J:$J,'Allocated Transactions'!$D:$D,$E568,'Allocated Transactions'!$C:$C,$C568,'Allocated Transactions'!$A:$A,"&gt;="&amp;$A568,'Allocated Transactions'!$A:$A,"&lt;="&amp;EOMONTH($A568,0))*0.99,100)</f>
        <v>0</v>
      </c>
      <c r="K568" s="113" t="s">
        <v>637</v>
      </c>
    </row>
    <row r="569" spans="1:11" ht="15" customHeight="1">
      <c r="A569" s="112">
        <f t="shared" si="29"/>
        <v>46054</v>
      </c>
      <c r="B569" s="113">
        <v>3</v>
      </c>
      <c r="C569" s="18" t="str">
        <f t="shared" si="31"/>
        <v>1030</v>
      </c>
      <c r="D569" s="113" t="str">
        <f>_xlfn.XLOOKUP($C569,'Cost Centers'!$A$2:$A$11,'Cost Centers'!$B$2:$B$11,"")</f>
        <v>Human Resources</v>
      </c>
      <c r="E569" s="113" t="s">
        <v>109</v>
      </c>
      <c r="F569" s="113" t="str">
        <f>_xlfn.XLOOKUP(E569,'Allocated Transactions'!D:D,'Allocated Transactions'!E:E,"")</f>
        <v>Travel</v>
      </c>
      <c r="G569" s="113" t="s">
        <v>97</v>
      </c>
      <c r="H569" s="113"/>
      <c r="I569" s="113" t="str">
        <f>_xlfn.XLOOKUP($C569,'Cost Centers'!$A$2:$A$11,'Cost Centers'!$C$2:$C$11,"")</f>
        <v>Admin</v>
      </c>
      <c r="J569" s="23">
        <f>MROUND(SUMIFS('Allocated Transactions'!$J:$J,'Allocated Transactions'!$D:$D,$E569,'Allocated Transactions'!$C:$C,$C569,'Allocated Transactions'!$A:$A,"&gt;="&amp;$A569,'Allocated Transactions'!$A:$A,"&lt;="&amp;EOMONTH($A569,0))*0.99,100)</f>
        <v>0</v>
      </c>
      <c r="K569" s="113" t="s">
        <v>637</v>
      </c>
    </row>
    <row r="570" spans="1:11" ht="15" customHeight="1">
      <c r="A570" s="112">
        <f t="shared" si="29"/>
        <v>46054</v>
      </c>
      <c r="B570" s="113">
        <v>3</v>
      </c>
      <c r="C570" s="18" t="str">
        <f t="shared" si="31"/>
        <v>1030</v>
      </c>
      <c r="D570" s="113" t="str">
        <f>_xlfn.XLOOKUP($C570,'Cost Centers'!$A$2:$A$11,'Cost Centers'!$B$2:$B$11,"")</f>
        <v>Human Resources</v>
      </c>
      <c r="E570" s="113" t="s">
        <v>111</v>
      </c>
      <c r="F570" s="113" t="str">
        <f>_xlfn.XLOOKUP(E570,'Allocated Transactions'!D:D,'Allocated Transactions'!E:E,"")</f>
        <v>Meals and Entertainment</v>
      </c>
      <c r="G570" s="113" t="s">
        <v>97</v>
      </c>
      <c r="H570" s="113"/>
      <c r="I570" s="113" t="str">
        <f>_xlfn.XLOOKUP($C570,'Cost Centers'!$A$2:$A$11,'Cost Centers'!$C$2:$C$11,"")</f>
        <v>Admin</v>
      </c>
      <c r="J570" s="23">
        <f>MROUND(SUMIFS('Allocated Transactions'!$J:$J,'Allocated Transactions'!$D:$D,$E570,'Allocated Transactions'!$C:$C,$C570,'Allocated Transactions'!$A:$A,"&gt;="&amp;$A570,'Allocated Transactions'!$A:$A,"&lt;="&amp;EOMONTH($A570,0))*0.99,100)</f>
        <v>0</v>
      </c>
      <c r="K570" s="113" t="s">
        <v>637</v>
      </c>
    </row>
    <row r="571" spans="1:11" ht="15" customHeight="1">
      <c r="A571" s="112">
        <f t="shared" si="29"/>
        <v>46054</v>
      </c>
      <c r="B571" s="113">
        <v>3</v>
      </c>
      <c r="C571" s="18" t="str">
        <f t="shared" si="31"/>
        <v>1030</v>
      </c>
      <c r="D571" s="113" t="str">
        <f>_xlfn.XLOOKUP($C571,'Cost Centers'!$A$2:$A$11,'Cost Centers'!$B$2:$B$11,"")</f>
        <v>Human Resources</v>
      </c>
      <c r="E571" s="113" t="s">
        <v>113</v>
      </c>
      <c r="F571" s="113" t="str">
        <f>_xlfn.XLOOKUP(E571,'Allocated Transactions'!D:D,'Allocated Transactions'!E:E,"")</f>
        <v>Professional Fees - Legal</v>
      </c>
      <c r="G571" s="113" t="s">
        <v>97</v>
      </c>
      <c r="H571" s="113"/>
      <c r="I571" s="113" t="str">
        <f>_xlfn.XLOOKUP($C571,'Cost Centers'!$A$2:$A$11,'Cost Centers'!$C$2:$C$11,"")</f>
        <v>Admin</v>
      </c>
      <c r="J571" s="23">
        <f>MROUND(SUMIFS('Allocated Transactions'!$J:$J,'Allocated Transactions'!$D:$D,$E571,'Allocated Transactions'!$C:$C,$C571,'Allocated Transactions'!$A:$A,"&gt;="&amp;$A571,'Allocated Transactions'!$A:$A,"&lt;="&amp;EOMONTH($A571,0))*0.99,100)</f>
        <v>0</v>
      </c>
      <c r="K571" s="113" t="s">
        <v>637</v>
      </c>
    </row>
    <row r="572" spans="1:11" ht="15" customHeight="1">
      <c r="A572" s="112">
        <f t="shared" si="29"/>
        <v>46054</v>
      </c>
      <c r="B572" s="113">
        <v>3</v>
      </c>
      <c r="C572" s="18" t="str">
        <f t="shared" si="31"/>
        <v>1030</v>
      </c>
      <c r="D572" s="113" t="str">
        <f>_xlfn.XLOOKUP($C572,'Cost Centers'!$A$2:$A$11,'Cost Centers'!$B$2:$B$11,"")</f>
        <v>Human Resources</v>
      </c>
      <c r="E572" s="113" t="s">
        <v>115</v>
      </c>
      <c r="F572" s="113" t="str">
        <f>_xlfn.XLOOKUP(E572,'Allocated Transactions'!D:D,'Allocated Transactions'!E:E,"")</f>
        <v>Professional Fees - Accounting/Audit</v>
      </c>
      <c r="G572" s="113" t="s">
        <v>97</v>
      </c>
      <c r="H572" s="113"/>
      <c r="I572" s="113" t="str">
        <f>_xlfn.XLOOKUP($C572,'Cost Centers'!$A$2:$A$11,'Cost Centers'!$C$2:$C$11,"")</f>
        <v>Admin</v>
      </c>
      <c r="J572" s="23">
        <f>MROUND(SUMIFS('Allocated Transactions'!$J:$J,'Allocated Transactions'!$D:$D,$E572,'Allocated Transactions'!$C:$C,$C572,'Allocated Transactions'!$A:$A,"&gt;="&amp;$A572,'Allocated Transactions'!$A:$A,"&lt;="&amp;EOMONTH($A572,0))*0.99,100)</f>
        <v>0</v>
      </c>
      <c r="K572" s="113" t="s">
        <v>637</v>
      </c>
    </row>
    <row r="573" spans="1:11" ht="15" customHeight="1">
      <c r="A573" s="112">
        <f t="shared" si="29"/>
        <v>46054</v>
      </c>
      <c r="B573" s="113">
        <v>3</v>
      </c>
      <c r="C573" s="18" t="str">
        <f t="shared" si="31"/>
        <v>1030</v>
      </c>
      <c r="D573" s="113" t="str">
        <f>_xlfn.XLOOKUP($C573,'Cost Centers'!$A$2:$A$11,'Cost Centers'!$B$2:$B$11,"")</f>
        <v>Human Resources</v>
      </c>
      <c r="E573" s="113" t="s">
        <v>117</v>
      </c>
      <c r="F573" s="113" t="str">
        <f>_xlfn.XLOOKUP(E573,'Allocated Transactions'!D:D,'Allocated Transactions'!E:E,"")</f>
        <v>Insurance</v>
      </c>
      <c r="G573" s="113" t="s">
        <v>97</v>
      </c>
      <c r="H573" s="113"/>
      <c r="I573" s="113" t="str">
        <f>_xlfn.XLOOKUP($C573,'Cost Centers'!$A$2:$A$11,'Cost Centers'!$C$2:$C$11,"")</f>
        <v>Admin</v>
      </c>
      <c r="J573" s="23">
        <f>MROUND(SUMIFS('Allocated Transactions'!$J:$J,'Allocated Transactions'!$D:$D,$E573,'Allocated Transactions'!$C:$C,$C573,'Allocated Transactions'!$A:$A,"&gt;="&amp;$A573,'Allocated Transactions'!$A:$A,"&lt;="&amp;EOMONTH($A573,0))*0.99,100)</f>
        <v>600</v>
      </c>
      <c r="K573" s="113" t="s">
        <v>637</v>
      </c>
    </row>
    <row r="574" spans="1:11" ht="15" customHeight="1">
      <c r="A574" s="112">
        <f t="shared" si="29"/>
        <v>46054</v>
      </c>
      <c r="B574" s="113">
        <v>3</v>
      </c>
      <c r="C574" s="18" t="str">
        <f t="shared" si="31"/>
        <v>1030</v>
      </c>
      <c r="D574" s="113" t="str">
        <f>_xlfn.XLOOKUP($C574,'Cost Centers'!$A$2:$A$11,'Cost Centers'!$B$2:$B$11,"")</f>
        <v>Human Resources</v>
      </c>
      <c r="E574" s="113" t="s">
        <v>119</v>
      </c>
      <c r="F574" s="113" t="str">
        <f>_xlfn.XLOOKUP(E574,'Allocated Transactions'!D:D,'Allocated Transactions'!E:E,"")</f>
        <v>Depreciation Expense</v>
      </c>
      <c r="G574" s="113" t="s">
        <v>97</v>
      </c>
      <c r="H574" s="113"/>
      <c r="I574" s="113" t="str">
        <f>_xlfn.XLOOKUP($C574,'Cost Centers'!$A$2:$A$11,'Cost Centers'!$C$2:$C$11,"")</f>
        <v>Admin</v>
      </c>
      <c r="J574" s="23">
        <f>MROUND(SUMIFS('Allocated Transactions'!$J:$J,'Allocated Transactions'!$D:$D,$E574,'Allocated Transactions'!$C:$C,$C574,'Allocated Transactions'!$A:$A,"&gt;="&amp;$A574,'Allocated Transactions'!$A:$A,"&lt;="&amp;EOMONTH($A574,0))*0.99,100)</f>
        <v>0</v>
      </c>
      <c r="K574" s="113" t="s">
        <v>637</v>
      </c>
    </row>
    <row r="575" spans="1:11" ht="15" customHeight="1">
      <c r="A575" s="112">
        <f t="shared" si="29"/>
        <v>46054</v>
      </c>
      <c r="B575" s="113">
        <v>3</v>
      </c>
      <c r="C575" s="18" t="str">
        <f t="shared" si="31"/>
        <v>1030</v>
      </c>
      <c r="D575" s="113" t="str">
        <f>_xlfn.XLOOKUP($C575,'Cost Centers'!$A$2:$A$11,'Cost Centers'!$B$2:$B$11,"")</f>
        <v>Human Resources</v>
      </c>
      <c r="E575" s="113" t="s">
        <v>121</v>
      </c>
      <c r="F575" s="113" t="str">
        <f>_xlfn.XLOOKUP(E575,'Allocated Transactions'!D:D,'Allocated Transactions'!E:E,"")</f>
        <v>Bank Fees</v>
      </c>
      <c r="G575" s="113" t="s">
        <v>97</v>
      </c>
      <c r="H575" s="113"/>
      <c r="I575" s="113" t="str">
        <f>_xlfn.XLOOKUP($C575,'Cost Centers'!$A$2:$A$11,'Cost Centers'!$C$2:$C$11,"")</f>
        <v>Admin</v>
      </c>
      <c r="J575" s="23">
        <f>MROUND(SUMIFS('Allocated Transactions'!$J:$J,'Allocated Transactions'!$D:$D,$E575,'Allocated Transactions'!$C:$C,$C575,'Allocated Transactions'!$A:$A,"&gt;="&amp;$A575,'Allocated Transactions'!$A:$A,"&lt;="&amp;EOMONTH($A575,0))*0.99,100)</f>
        <v>0</v>
      </c>
      <c r="K575" s="113" t="s">
        <v>637</v>
      </c>
    </row>
    <row r="576" spans="1:11" ht="15" customHeight="1">
      <c r="A576" s="112">
        <f t="shared" si="29"/>
        <v>46054</v>
      </c>
      <c r="B576" s="113">
        <v>3</v>
      </c>
      <c r="C576" s="18" t="str">
        <f t="shared" si="31"/>
        <v>1030</v>
      </c>
      <c r="D576" s="113" t="str">
        <f>_xlfn.XLOOKUP($C576,'Cost Centers'!$A$2:$A$11,'Cost Centers'!$B$2:$B$11,"")</f>
        <v>Human Resources</v>
      </c>
      <c r="E576" s="113" t="s">
        <v>123</v>
      </c>
      <c r="F576" s="113" t="str">
        <f>_xlfn.XLOOKUP(E576,'Allocated Transactions'!D:D,'Allocated Transactions'!E:E,"")</f>
        <v>Interest Expense</v>
      </c>
      <c r="G576" s="113" t="s">
        <v>97</v>
      </c>
      <c r="H576" s="113"/>
      <c r="I576" s="113" t="str">
        <f>_xlfn.XLOOKUP($C576,'Cost Centers'!$A$2:$A$11,'Cost Centers'!$C$2:$C$11,"")</f>
        <v>Admin</v>
      </c>
      <c r="J576" s="23">
        <f>MROUND(SUMIFS('Allocated Transactions'!$J:$J,'Allocated Transactions'!$D:$D,$E576,'Allocated Transactions'!$C:$C,$C576,'Allocated Transactions'!$A:$A,"&gt;="&amp;$A576,'Allocated Transactions'!$A:$A,"&lt;="&amp;EOMONTH($A576,0))*0.99,100)</f>
        <v>0</v>
      </c>
      <c r="K576" s="113" t="s">
        <v>637</v>
      </c>
    </row>
    <row r="577" spans="1:11" ht="15" customHeight="1">
      <c r="A577" s="112">
        <f t="shared" si="29"/>
        <v>46054</v>
      </c>
      <c r="B577" s="113">
        <v>3</v>
      </c>
      <c r="C577" s="18" t="str">
        <f t="shared" si="31"/>
        <v>1030</v>
      </c>
      <c r="D577" s="113" t="str">
        <f>_xlfn.XLOOKUP($C577,'Cost Centers'!$A$2:$A$11,'Cost Centers'!$B$2:$B$11,"")</f>
        <v>Human Resources</v>
      </c>
      <c r="E577" s="113" t="s">
        <v>125</v>
      </c>
      <c r="F577" s="113" t="str">
        <f>_xlfn.XLOOKUP(E577,'Allocated Transactions'!D:D,'Allocated Transactions'!E:E,"")</f>
        <v>Miscellaneous Expense</v>
      </c>
      <c r="G577" s="113" t="s">
        <v>97</v>
      </c>
      <c r="H577" s="113"/>
      <c r="I577" s="113" t="str">
        <f>_xlfn.XLOOKUP($C577,'Cost Centers'!$A$2:$A$11,'Cost Centers'!$C$2:$C$11,"")</f>
        <v>Admin</v>
      </c>
      <c r="J577" s="23">
        <f>MROUND(SUMIFS('Allocated Transactions'!$J:$J,'Allocated Transactions'!$D:$D,$E577,'Allocated Transactions'!$C:$C,$C577,'Allocated Transactions'!$A:$A,"&gt;="&amp;$A577,'Allocated Transactions'!$A:$A,"&lt;="&amp;EOMONTH($A577,0))*0.99,100)</f>
        <v>0</v>
      </c>
      <c r="K577" s="113" t="s">
        <v>637</v>
      </c>
    </row>
    <row r="578" spans="1:11" ht="15" customHeight="1">
      <c r="A578" s="112">
        <f t="shared" si="29"/>
        <v>46082</v>
      </c>
      <c r="B578" s="113">
        <v>3</v>
      </c>
      <c r="C578" s="18" t="s">
        <v>6</v>
      </c>
      <c r="D578" s="113" t="str">
        <f>_xlfn.XLOOKUP($C578,'Cost Centers'!$A$2:$A$11,'Cost Centers'!$B$2:$B$11,"")</f>
        <v>Human Resources</v>
      </c>
      <c r="E578" s="113" t="s">
        <v>28</v>
      </c>
      <c r="F578" s="113" t="str">
        <f>_xlfn.XLOOKUP(E578,'Allocated Transactions'!D:D,'Allocated Transactions'!E:E,"")</f>
        <v>Salaries and Wages</v>
      </c>
      <c r="G578" s="113" t="s">
        <v>97</v>
      </c>
      <c r="H578" s="113"/>
      <c r="I578" s="113" t="str">
        <f>_xlfn.XLOOKUP($C578,'Cost Centers'!$A$2:$A$11,'Cost Centers'!$C$2:$C$11,"")</f>
        <v>Admin</v>
      </c>
      <c r="J578" s="23">
        <f>MROUND(SUMIFS('Allocated Transactions'!$J:$J,'Allocated Transactions'!$D:$D,$E578,'Allocated Transactions'!$C:$C,$C578,'Allocated Transactions'!$A:$A,"&gt;="&amp;$A578,'Allocated Transactions'!$A:$A,"&lt;="&amp;EOMONTH($A578,0))*0.99,100)</f>
        <v>9600</v>
      </c>
      <c r="K578" s="113" t="s">
        <v>637</v>
      </c>
    </row>
    <row r="579" spans="1:11" ht="15" customHeight="1">
      <c r="A579" s="112">
        <f t="shared" si="29"/>
        <v>46082</v>
      </c>
      <c r="B579" s="113">
        <v>3</v>
      </c>
      <c r="C579" s="18" t="str">
        <f t="shared" ref="C579:C595" si="32">C578</f>
        <v>1030</v>
      </c>
      <c r="D579" s="113" t="str">
        <f>_xlfn.XLOOKUP($C579,'Cost Centers'!$A$2:$A$11,'Cost Centers'!$B$2:$B$11,"")</f>
        <v>Human Resources</v>
      </c>
      <c r="E579" s="113" t="s">
        <v>29</v>
      </c>
      <c r="F579" s="113" t="str">
        <f>_xlfn.XLOOKUP(E579,'Allocated Transactions'!D:D,'Allocated Transactions'!E:E,"")</f>
        <v>Payroll Taxes</v>
      </c>
      <c r="G579" s="113" t="s">
        <v>97</v>
      </c>
      <c r="H579" s="113"/>
      <c r="I579" s="113" t="str">
        <f>_xlfn.XLOOKUP($C579,'Cost Centers'!$A$2:$A$11,'Cost Centers'!$C$2:$C$11,"")</f>
        <v>Admin</v>
      </c>
      <c r="J579" s="23">
        <f>MROUND(SUMIFS('Allocated Transactions'!$J:$J,'Allocated Transactions'!$D:$D,$E579,'Allocated Transactions'!$C:$C,$C579,'Allocated Transactions'!$A:$A,"&gt;="&amp;$A579,'Allocated Transactions'!$A:$A,"&lt;="&amp;EOMONTH($A579,0))*0.99,100)</f>
        <v>700</v>
      </c>
      <c r="K579" s="113" t="s">
        <v>637</v>
      </c>
    </row>
    <row r="580" spans="1:11" ht="15" customHeight="1">
      <c r="A580" s="112">
        <f t="shared" si="29"/>
        <v>46082</v>
      </c>
      <c r="B580" s="113">
        <v>3</v>
      </c>
      <c r="C580" s="18" t="str">
        <f t="shared" si="32"/>
        <v>1030</v>
      </c>
      <c r="D580" s="113" t="str">
        <f>_xlfn.XLOOKUP($C580,'Cost Centers'!$A$2:$A$11,'Cost Centers'!$B$2:$B$11,"")</f>
        <v>Human Resources</v>
      </c>
      <c r="E580" s="113" t="s">
        <v>30</v>
      </c>
      <c r="F580" s="113" t="str">
        <f>_xlfn.XLOOKUP(E580,'Allocated Transactions'!D:D,'Allocated Transactions'!E:E,"")</f>
        <v>Employee Benefits</v>
      </c>
      <c r="G580" s="113" t="s">
        <v>97</v>
      </c>
      <c r="H580" s="113"/>
      <c r="I580" s="113" t="str">
        <f>_xlfn.XLOOKUP($C580,'Cost Centers'!$A$2:$A$11,'Cost Centers'!$C$2:$C$11,"")</f>
        <v>Admin</v>
      </c>
      <c r="J580" s="23">
        <f>MROUND(SUMIFS('Allocated Transactions'!$J:$J,'Allocated Transactions'!$D:$D,$E580,'Allocated Transactions'!$C:$C,$C580,'Allocated Transactions'!$A:$A,"&gt;="&amp;$A580,'Allocated Transactions'!$A:$A,"&lt;="&amp;EOMONTH($A580,0))*0.99,100)</f>
        <v>4800</v>
      </c>
      <c r="K580" s="113" t="s">
        <v>637</v>
      </c>
    </row>
    <row r="581" spans="1:11" ht="15" customHeight="1">
      <c r="A581" s="112">
        <f t="shared" si="29"/>
        <v>46082</v>
      </c>
      <c r="B581" s="113">
        <v>3</v>
      </c>
      <c r="C581" s="18" t="str">
        <f t="shared" si="32"/>
        <v>1030</v>
      </c>
      <c r="D581" s="113" t="str">
        <f>_xlfn.XLOOKUP($C581,'Cost Centers'!$A$2:$A$11,'Cost Centers'!$B$2:$B$11,"")</f>
        <v>Human Resources</v>
      </c>
      <c r="E581" s="113" t="s">
        <v>31</v>
      </c>
      <c r="F581" s="113" t="str">
        <f>_xlfn.XLOOKUP(E581,'Allocated Transactions'!D:D,'Allocated Transactions'!E:E,"")</f>
        <v>Retirement Contributions</v>
      </c>
      <c r="G581" s="113" t="s">
        <v>97</v>
      </c>
      <c r="H581" s="113"/>
      <c r="I581" s="113" t="str">
        <f>_xlfn.XLOOKUP($C581,'Cost Centers'!$A$2:$A$11,'Cost Centers'!$C$2:$C$11,"")</f>
        <v>Admin</v>
      </c>
      <c r="J581" s="23">
        <f>MROUND(SUMIFS('Allocated Transactions'!$J:$J,'Allocated Transactions'!$D:$D,$E581,'Allocated Transactions'!$C:$C,$C581,'Allocated Transactions'!$A:$A,"&gt;="&amp;$A581,'Allocated Transactions'!$A:$A,"&lt;="&amp;EOMONTH($A581,0))*0.99,100)</f>
        <v>300</v>
      </c>
      <c r="K581" s="113" t="s">
        <v>637</v>
      </c>
    </row>
    <row r="582" spans="1:11" ht="15" customHeight="1">
      <c r="A582" s="112">
        <f t="shared" si="29"/>
        <v>46082</v>
      </c>
      <c r="B582" s="113">
        <v>3</v>
      </c>
      <c r="C582" s="18" t="str">
        <f t="shared" si="32"/>
        <v>1030</v>
      </c>
      <c r="D582" s="113" t="str">
        <f>_xlfn.XLOOKUP($C582,'Cost Centers'!$A$2:$A$11,'Cost Centers'!$B$2:$B$11,"")</f>
        <v>Human Resources</v>
      </c>
      <c r="E582" s="113" t="s">
        <v>101</v>
      </c>
      <c r="F582" s="113" t="str">
        <f>_xlfn.XLOOKUP(E582,'Allocated Transactions'!D:D,'Allocated Transactions'!E:E,"")</f>
        <v>Contract Labor / Consultants</v>
      </c>
      <c r="G582" s="113" t="s">
        <v>97</v>
      </c>
      <c r="H582" s="113"/>
      <c r="I582" s="113" t="str">
        <f>_xlfn.XLOOKUP($C582,'Cost Centers'!$A$2:$A$11,'Cost Centers'!$C$2:$C$11,"")</f>
        <v>Admin</v>
      </c>
      <c r="J582" s="23">
        <f>MROUND(SUMIFS('Allocated Transactions'!$J:$J,'Allocated Transactions'!$D:$D,$E582,'Allocated Transactions'!$C:$C,$C582,'Allocated Transactions'!$A:$A,"&gt;="&amp;$A582,'Allocated Transactions'!$A:$A,"&lt;="&amp;EOMONTH($A582,0))*0.99,100)</f>
        <v>0</v>
      </c>
      <c r="K582" s="113" t="s">
        <v>637</v>
      </c>
    </row>
    <row r="583" spans="1:11" ht="15" customHeight="1">
      <c r="A583" s="112">
        <f t="shared" si="29"/>
        <v>46082</v>
      </c>
      <c r="B583" s="113">
        <v>3</v>
      </c>
      <c r="C583" s="18" t="str">
        <f t="shared" si="32"/>
        <v>1030</v>
      </c>
      <c r="D583" s="113" t="str">
        <f>_xlfn.XLOOKUP($C583,'Cost Centers'!$A$2:$A$11,'Cost Centers'!$B$2:$B$11,"")</f>
        <v>Human Resources</v>
      </c>
      <c r="E583" s="113" t="s">
        <v>32</v>
      </c>
      <c r="F583" s="113" t="str">
        <f>_xlfn.XLOOKUP(E583,'Allocated Transactions'!D:D,'Allocated Transactions'!E:E,"")</f>
        <v>Rent</v>
      </c>
      <c r="G583" s="113" t="s">
        <v>97</v>
      </c>
      <c r="H583" s="113"/>
      <c r="I583" s="113" t="str">
        <f>_xlfn.XLOOKUP($C583,'Cost Centers'!$A$2:$A$11,'Cost Centers'!$C$2:$C$11,"")</f>
        <v>Admin</v>
      </c>
      <c r="J583" s="23">
        <f>MROUND(SUMIFS('Allocated Transactions'!$J:$J,'Allocated Transactions'!$D:$D,$E583,'Allocated Transactions'!$C:$C,$C583,'Allocated Transactions'!$A:$A,"&gt;="&amp;$A583,'Allocated Transactions'!$A:$A,"&lt;="&amp;EOMONTH($A583,0))*0.99,100)</f>
        <v>700</v>
      </c>
      <c r="K583" s="113" t="s">
        <v>637</v>
      </c>
    </row>
    <row r="584" spans="1:11" ht="15" customHeight="1">
      <c r="A584" s="112">
        <f t="shared" si="29"/>
        <v>46082</v>
      </c>
      <c r="B584" s="113">
        <v>3</v>
      </c>
      <c r="C584" s="18" t="str">
        <f t="shared" si="32"/>
        <v>1030</v>
      </c>
      <c r="D584" s="113" t="str">
        <f>_xlfn.XLOOKUP($C584,'Cost Centers'!$A$2:$A$11,'Cost Centers'!$B$2:$B$11,"")</f>
        <v>Human Resources</v>
      </c>
      <c r="E584" s="113" t="s">
        <v>33</v>
      </c>
      <c r="F584" s="113" t="str">
        <f>_xlfn.XLOOKUP(E584,'Allocated Transactions'!D:D,'Allocated Transactions'!E:E,"")</f>
        <v>Utilities</v>
      </c>
      <c r="G584" s="113" t="s">
        <v>97</v>
      </c>
      <c r="H584" s="113"/>
      <c r="I584" s="113" t="str">
        <f>_xlfn.XLOOKUP($C584,'Cost Centers'!$A$2:$A$11,'Cost Centers'!$C$2:$C$11,"")</f>
        <v>Admin</v>
      </c>
      <c r="J584" s="23">
        <f>MROUND(SUMIFS('Allocated Transactions'!$J:$J,'Allocated Transactions'!$D:$D,$E584,'Allocated Transactions'!$C:$C,$C584,'Allocated Transactions'!$A:$A,"&gt;="&amp;$A584,'Allocated Transactions'!$A:$A,"&lt;="&amp;EOMONTH($A584,0))*0.99,100)</f>
        <v>100</v>
      </c>
      <c r="K584" s="113" t="s">
        <v>637</v>
      </c>
    </row>
    <row r="585" spans="1:11" ht="15" customHeight="1">
      <c r="A585" s="112">
        <f t="shared" si="29"/>
        <v>46082</v>
      </c>
      <c r="B585" s="113">
        <v>3</v>
      </c>
      <c r="C585" s="18" t="str">
        <f t="shared" si="32"/>
        <v>1030</v>
      </c>
      <c r="D585" s="113" t="str">
        <f>_xlfn.XLOOKUP($C585,'Cost Centers'!$A$2:$A$11,'Cost Centers'!$B$2:$B$11,"")</f>
        <v>Human Resources</v>
      </c>
      <c r="E585" s="113" t="s">
        <v>105</v>
      </c>
      <c r="F585" s="113" t="str">
        <f>_xlfn.XLOOKUP(E585,'Allocated Transactions'!D:D,'Allocated Transactions'!E:E,"")</f>
        <v>Office Supplies</v>
      </c>
      <c r="G585" s="113" t="s">
        <v>97</v>
      </c>
      <c r="H585" s="113"/>
      <c r="I585" s="113" t="str">
        <f>_xlfn.XLOOKUP($C585,'Cost Centers'!$A$2:$A$11,'Cost Centers'!$C$2:$C$11,"")</f>
        <v>Admin</v>
      </c>
      <c r="J585" s="23">
        <f>MROUND(SUMIFS('Allocated Transactions'!$J:$J,'Allocated Transactions'!$D:$D,$E585,'Allocated Transactions'!$C:$C,$C585,'Allocated Transactions'!$A:$A,"&gt;="&amp;$A585,'Allocated Transactions'!$A:$A,"&lt;="&amp;EOMONTH($A585,0))*0.99,100)</f>
        <v>1400</v>
      </c>
      <c r="K585" s="113" t="s">
        <v>637</v>
      </c>
    </row>
    <row r="586" spans="1:11" ht="15" customHeight="1">
      <c r="A586" s="112">
        <f t="shared" si="29"/>
        <v>46082</v>
      </c>
      <c r="B586" s="113">
        <v>3</v>
      </c>
      <c r="C586" s="18" t="str">
        <f t="shared" si="32"/>
        <v>1030</v>
      </c>
      <c r="D586" s="113" t="str">
        <f>_xlfn.XLOOKUP($C586,'Cost Centers'!$A$2:$A$11,'Cost Centers'!$B$2:$B$11,"")</f>
        <v>Human Resources</v>
      </c>
      <c r="E586" s="113" t="s">
        <v>107</v>
      </c>
      <c r="F586" s="113" t="str">
        <f>_xlfn.XLOOKUP(E586,'Allocated Transactions'!D:D,'Allocated Transactions'!E:E,"")</f>
        <v>Software and Subscriptions</v>
      </c>
      <c r="G586" s="113" t="s">
        <v>97</v>
      </c>
      <c r="H586" s="113"/>
      <c r="I586" s="113" t="str">
        <f>_xlfn.XLOOKUP($C586,'Cost Centers'!$A$2:$A$11,'Cost Centers'!$C$2:$C$11,"")</f>
        <v>Admin</v>
      </c>
      <c r="J586" s="23">
        <f>MROUND(SUMIFS('Allocated Transactions'!$J:$J,'Allocated Transactions'!$D:$D,$E586,'Allocated Transactions'!$C:$C,$C586,'Allocated Transactions'!$A:$A,"&gt;="&amp;$A586,'Allocated Transactions'!$A:$A,"&lt;="&amp;EOMONTH($A586,0))*0.99,100)</f>
        <v>0</v>
      </c>
      <c r="K586" s="113" t="s">
        <v>637</v>
      </c>
    </row>
    <row r="587" spans="1:11" ht="15" customHeight="1">
      <c r="A587" s="112">
        <f t="shared" si="29"/>
        <v>46082</v>
      </c>
      <c r="B587" s="113">
        <v>3</v>
      </c>
      <c r="C587" s="18" t="str">
        <f t="shared" si="32"/>
        <v>1030</v>
      </c>
      <c r="D587" s="113" t="str">
        <f>_xlfn.XLOOKUP($C587,'Cost Centers'!$A$2:$A$11,'Cost Centers'!$B$2:$B$11,"")</f>
        <v>Human Resources</v>
      </c>
      <c r="E587" s="113" t="s">
        <v>109</v>
      </c>
      <c r="F587" s="113" t="str">
        <f>_xlfn.XLOOKUP(E587,'Allocated Transactions'!D:D,'Allocated Transactions'!E:E,"")</f>
        <v>Travel</v>
      </c>
      <c r="G587" s="113" t="s">
        <v>97</v>
      </c>
      <c r="H587" s="113"/>
      <c r="I587" s="113" t="str">
        <f>_xlfn.XLOOKUP($C587,'Cost Centers'!$A$2:$A$11,'Cost Centers'!$C$2:$C$11,"")</f>
        <v>Admin</v>
      </c>
      <c r="J587" s="23">
        <f>MROUND(SUMIFS('Allocated Transactions'!$J:$J,'Allocated Transactions'!$D:$D,$E587,'Allocated Transactions'!$C:$C,$C587,'Allocated Transactions'!$A:$A,"&gt;="&amp;$A587,'Allocated Transactions'!$A:$A,"&lt;="&amp;EOMONTH($A587,0))*0.99,100)</f>
        <v>0</v>
      </c>
      <c r="K587" s="113" t="s">
        <v>637</v>
      </c>
    </row>
    <row r="588" spans="1:11" ht="15" customHeight="1">
      <c r="A588" s="112">
        <f t="shared" si="29"/>
        <v>46082</v>
      </c>
      <c r="B588" s="113">
        <v>3</v>
      </c>
      <c r="C588" s="18" t="str">
        <f t="shared" si="32"/>
        <v>1030</v>
      </c>
      <c r="D588" s="113" t="str">
        <f>_xlfn.XLOOKUP($C588,'Cost Centers'!$A$2:$A$11,'Cost Centers'!$B$2:$B$11,"")</f>
        <v>Human Resources</v>
      </c>
      <c r="E588" s="113" t="s">
        <v>111</v>
      </c>
      <c r="F588" s="113" t="str">
        <f>_xlfn.XLOOKUP(E588,'Allocated Transactions'!D:D,'Allocated Transactions'!E:E,"")</f>
        <v>Meals and Entertainment</v>
      </c>
      <c r="G588" s="113" t="s">
        <v>97</v>
      </c>
      <c r="H588" s="113"/>
      <c r="I588" s="113" t="str">
        <f>_xlfn.XLOOKUP($C588,'Cost Centers'!$A$2:$A$11,'Cost Centers'!$C$2:$C$11,"")</f>
        <v>Admin</v>
      </c>
      <c r="J588" s="23">
        <f>MROUND(SUMIFS('Allocated Transactions'!$J:$J,'Allocated Transactions'!$D:$D,$E588,'Allocated Transactions'!$C:$C,$C588,'Allocated Transactions'!$A:$A,"&gt;="&amp;$A588,'Allocated Transactions'!$A:$A,"&lt;="&amp;EOMONTH($A588,0))*0.99,100)</f>
        <v>0</v>
      </c>
      <c r="K588" s="113" t="s">
        <v>637</v>
      </c>
    </row>
    <row r="589" spans="1:11" ht="15" customHeight="1">
      <c r="A589" s="112">
        <f t="shared" si="29"/>
        <v>46082</v>
      </c>
      <c r="B589" s="113">
        <v>3</v>
      </c>
      <c r="C589" s="18" t="str">
        <f t="shared" si="32"/>
        <v>1030</v>
      </c>
      <c r="D589" s="113" t="str">
        <f>_xlfn.XLOOKUP($C589,'Cost Centers'!$A$2:$A$11,'Cost Centers'!$B$2:$B$11,"")</f>
        <v>Human Resources</v>
      </c>
      <c r="E589" s="113" t="s">
        <v>113</v>
      </c>
      <c r="F589" s="113" t="str">
        <f>_xlfn.XLOOKUP(E589,'Allocated Transactions'!D:D,'Allocated Transactions'!E:E,"")</f>
        <v>Professional Fees - Legal</v>
      </c>
      <c r="G589" s="113" t="s">
        <v>97</v>
      </c>
      <c r="H589" s="113"/>
      <c r="I589" s="113" t="str">
        <f>_xlfn.XLOOKUP($C589,'Cost Centers'!$A$2:$A$11,'Cost Centers'!$C$2:$C$11,"")</f>
        <v>Admin</v>
      </c>
      <c r="J589" s="23">
        <f>MROUND(SUMIFS('Allocated Transactions'!$J:$J,'Allocated Transactions'!$D:$D,$E589,'Allocated Transactions'!$C:$C,$C589,'Allocated Transactions'!$A:$A,"&gt;="&amp;$A589,'Allocated Transactions'!$A:$A,"&lt;="&amp;EOMONTH($A589,0))*0.99,100)</f>
        <v>0</v>
      </c>
      <c r="K589" s="113" t="s">
        <v>637</v>
      </c>
    </row>
    <row r="590" spans="1:11" ht="15" customHeight="1">
      <c r="A590" s="112">
        <f t="shared" si="29"/>
        <v>46082</v>
      </c>
      <c r="B590" s="113">
        <v>3</v>
      </c>
      <c r="C590" s="18" t="str">
        <f t="shared" si="32"/>
        <v>1030</v>
      </c>
      <c r="D590" s="113" t="str">
        <f>_xlfn.XLOOKUP($C590,'Cost Centers'!$A$2:$A$11,'Cost Centers'!$B$2:$B$11,"")</f>
        <v>Human Resources</v>
      </c>
      <c r="E590" s="113" t="s">
        <v>115</v>
      </c>
      <c r="F590" s="113" t="str">
        <f>_xlfn.XLOOKUP(E590,'Allocated Transactions'!D:D,'Allocated Transactions'!E:E,"")</f>
        <v>Professional Fees - Accounting/Audit</v>
      </c>
      <c r="G590" s="113" t="s">
        <v>97</v>
      </c>
      <c r="H590" s="113"/>
      <c r="I590" s="113" t="str">
        <f>_xlfn.XLOOKUP($C590,'Cost Centers'!$A$2:$A$11,'Cost Centers'!$C$2:$C$11,"")</f>
        <v>Admin</v>
      </c>
      <c r="J590" s="23">
        <f>MROUND(SUMIFS('Allocated Transactions'!$J:$J,'Allocated Transactions'!$D:$D,$E590,'Allocated Transactions'!$C:$C,$C590,'Allocated Transactions'!$A:$A,"&gt;="&amp;$A590,'Allocated Transactions'!$A:$A,"&lt;="&amp;EOMONTH($A590,0))*0.99,100)</f>
        <v>0</v>
      </c>
      <c r="K590" s="113" t="s">
        <v>637</v>
      </c>
    </row>
    <row r="591" spans="1:11" ht="15" customHeight="1">
      <c r="A591" s="112">
        <f t="shared" si="29"/>
        <v>46082</v>
      </c>
      <c r="B591" s="113">
        <v>3</v>
      </c>
      <c r="C591" s="18" t="str">
        <f t="shared" si="32"/>
        <v>1030</v>
      </c>
      <c r="D591" s="113" t="str">
        <f>_xlfn.XLOOKUP($C591,'Cost Centers'!$A$2:$A$11,'Cost Centers'!$B$2:$B$11,"")</f>
        <v>Human Resources</v>
      </c>
      <c r="E591" s="113" t="s">
        <v>117</v>
      </c>
      <c r="F591" s="113" t="str">
        <f>_xlfn.XLOOKUP(E591,'Allocated Transactions'!D:D,'Allocated Transactions'!E:E,"")</f>
        <v>Insurance</v>
      </c>
      <c r="G591" s="113" t="s">
        <v>97</v>
      </c>
      <c r="H591" s="113"/>
      <c r="I591" s="113" t="str">
        <f>_xlfn.XLOOKUP($C591,'Cost Centers'!$A$2:$A$11,'Cost Centers'!$C$2:$C$11,"")</f>
        <v>Admin</v>
      </c>
      <c r="J591" s="23">
        <f>MROUND(SUMIFS('Allocated Transactions'!$J:$J,'Allocated Transactions'!$D:$D,$E591,'Allocated Transactions'!$C:$C,$C591,'Allocated Transactions'!$A:$A,"&gt;="&amp;$A591,'Allocated Transactions'!$A:$A,"&lt;="&amp;EOMONTH($A591,0))*0.99,100)</f>
        <v>600</v>
      </c>
      <c r="K591" s="113" t="s">
        <v>637</v>
      </c>
    </row>
    <row r="592" spans="1:11" ht="15" customHeight="1">
      <c r="A592" s="112">
        <f t="shared" si="29"/>
        <v>46082</v>
      </c>
      <c r="B592" s="113">
        <v>3</v>
      </c>
      <c r="C592" s="18" t="str">
        <f t="shared" si="32"/>
        <v>1030</v>
      </c>
      <c r="D592" s="113" t="str">
        <f>_xlfn.XLOOKUP($C592,'Cost Centers'!$A$2:$A$11,'Cost Centers'!$B$2:$B$11,"")</f>
        <v>Human Resources</v>
      </c>
      <c r="E592" s="113" t="s">
        <v>119</v>
      </c>
      <c r="F592" s="113" t="str">
        <f>_xlfn.XLOOKUP(E592,'Allocated Transactions'!D:D,'Allocated Transactions'!E:E,"")</f>
        <v>Depreciation Expense</v>
      </c>
      <c r="G592" s="113" t="s">
        <v>97</v>
      </c>
      <c r="H592" s="113"/>
      <c r="I592" s="113" t="str">
        <f>_xlfn.XLOOKUP($C592,'Cost Centers'!$A$2:$A$11,'Cost Centers'!$C$2:$C$11,"")</f>
        <v>Admin</v>
      </c>
      <c r="J592" s="23">
        <f>MROUND(SUMIFS('Allocated Transactions'!$J:$J,'Allocated Transactions'!$D:$D,$E592,'Allocated Transactions'!$C:$C,$C592,'Allocated Transactions'!$A:$A,"&gt;="&amp;$A592,'Allocated Transactions'!$A:$A,"&lt;="&amp;EOMONTH($A592,0))*0.99,100)</f>
        <v>0</v>
      </c>
      <c r="K592" s="113" t="s">
        <v>637</v>
      </c>
    </row>
    <row r="593" spans="1:11" ht="15" customHeight="1">
      <c r="A593" s="112">
        <f t="shared" si="29"/>
        <v>46082</v>
      </c>
      <c r="B593" s="113">
        <v>3</v>
      </c>
      <c r="C593" s="18" t="str">
        <f t="shared" si="32"/>
        <v>1030</v>
      </c>
      <c r="D593" s="113" t="str">
        <f>_xlfn.XLOOKUP($C593,'Cost Centers'!$A$2:$A$11,'Cost Centers'!$B$2:$B$11,"")</f>
        <v>Human Resources</v>
      </c>
      <c r="E593" s="113" t="s">
        <v>121</v>
      </c>
      <c r="F593" s="113" t="str">
        <f>_xlfn.XLOOKUP(E593,'Allocated Transactions'!D:D,'Allocated Transactions'!E:E,"")</f>
        <v>Bank Fees</v>
      </c>
      <c r="G593" s="113" t="s">
        <v>97</v>
      </c>
      <c r="H593" s="113"/>
      <c r="I593" s="113" t="str">
        <f>_xlfn.XLOOKUP($C593,'Cost Centers'!$A$2:$A$11,'Cost Centers'!$C$2:$C$11,"")</f>
        <v>Admin</v>
      </c>
      <c r="J593" s="23">
        <f>MROUND(SUMIFS('Allocated Transactions'!$J:$J,'Allocated Transactions'!$D:$D,$E593,'Allocated Transactions'!$C:$C,$C593,'Allocated Transactions'!$A:$A,"&gt;="&amp;$A593,'Allocated Transactions'!$A:$A,"&lt;="&amp;EOMONTH($A593,0))*0.99,100)</f>
        <v>0</v>
      </c>
      <c r="K593" s="113" t="s">
        <v>637</v>
      </c>
    </row>
    <row r="594" spans="1:11" ht="15" customHeight="1">
      <c r="A594" s="112">
        <f t="shared" si="29"/>
        <v>46082</v>
      </c>
      <c r="B594" s="113">
        <v>3</v>
      </c>
      <c r="C594" s="18" t="str">
        <f t="shared" si="32"/>
        <v>1030</v>
      </c>
      <c r="D594" s="113" t="str">
        <f>_xlfn.XLOOKUP($C594,'Cost Centers'!$A$2:$A$11,'Cost Centers'!$B$2:$B$11,"")</f>
        <v>Human Resources</v>
      </c>
      <c r="E594" s="113" t="s">
        <v>123</v>
      </c>
      <c r="F594" s="113" t="str">
        <f>_xlfn.XLOOKUP(E594,'Allocated Transactions'!D:D,'Allocated Transactions'!E:E,"")</f>
        <v>Interest Expense</v>
      </c>
      <c r="G594" s="113" t="s">
        <v>97</v>
      </c>
      <c r="H594" s="113"/>
      <c r="I594" s="113" t="str">
        <f>_xlfn.XLOOKUP($C594,'Cost Centers'!$A$2:$A$11,'Cost Centers'!$C$2:$C$11,"")</f>
        <v>Admin</v>
      </c>
      <c r="J594" s="23">
        <f>MROUND(SUMIFS('Allocated Transactions'!$J:$J,'Allocated Transactions'!$D:$D,$E594,'Allocated Transactions'!$C:$C,$C594,'Allocated Transactions'!$A:$A,"&gt;="&amp;$A594,'Allocated Transactions'!$A:$A,"&lt;="&amp;EOMONTH($A594,0))*0.99,100)</f>
        <v>0</v>
      </c>
      <c r="K594" s="113" t="s">
        <v>637</v>
      </c>
    </row>
    <row r="595" spans="1:11" ht="15" customHeight="1">
      <c r="A595" s="112">
        <f t="shared" si="29"/>
        <v>46082</v>
      </c>
      <c r="B595" s="113">
        <v>3</v>
      </c>
      <c r="C595" s="18" t="str">
        <f t="shared" si="32"/>
        <v>1030</v>
      </c>
      <c r="D595" s="113" t="str">
        <f>_xlfn.XLOOKUP($C595,'Cost Centers'!$A$2:$A$11,'Cost Centers'!$B$2:$B$11,"")</f>
        <v>Human Resources</v>
      </c>
      <c r="E595" s="113" t="s">
        <v>125</v>
      </c>
      <c r="F595" s="113" t="str">
        <f>_xlfn.XLOOKUP(E595,'Allocated Transactions'!D:D,'Allocated Transactions'!E:E,"")</f>
        <v>Miscellaneous Expense</v>
      </c>
      <c r="G595" s="113" t="s">
        <v>97</v>
      </c>
      <c r="H595" s="113"/>
      <c r="I595" s="113" t="str">
        <f>_xlfn.XLOOKUP($C595,'Cost Centers'!$A$2:$A$11,'Cost Centers'!$C$2:$C$11,"")</f>
        <v>Admin</v>
      </c>
      <c r="J595" s="23">
        <f>MROUND(SUMIFS('Allocated Transactions'!$J:$J,'Allocated Transactions'!$D:$D,$E595,'Allocated Transactions'!$C:$C,$C595,'Allocated Transactions'!$A:$A,"&gt;="&amp;$A595,'Allocated Transactions'!$A:$A,"&lt;="&amp;EOMONTH($A595,0))*0.99,100)</f>
        <v>0</v>
      </c>
      <c r="K595" s="113" t="s">
        <v>637</v>
      </c>
    </row>
    <row r="596" spans="1:11" ht="15" customHeight="1">
      <c r="A596" s="112">
        <f t="shared" si="29"/>
        <v>46113</v>
      </c>
      <c r="B596" s="113">
        <v>3</v>
      </c>
      <c r="C596" s="18" t="s">
        <v>6</v>
      </c>
      <c r="D596" s="113" t="str">
        <f>_xlfn.XLOOKUP($C596,'Cost Centers'!$A$2:$A$11,'Cost Centers'!$B$2:$B$11,"")</f>
        <v>Human Resources</v>
      </c>
      <c r="E596" s="113" t="s">
        <v>28</v>
      </c>
      <c r="F596" s="113" t="str">
        <f>_xlfn.XLOOKUP(E596,'Allocated Transactions'!D:D,'Allocated Transactions'!E:E,"")</f>
        <v>Salaries and Wages</v>
      </c>
      <c r="G596" s="113" t="s">
        <v>97</v>
      </c>
      <c r="H596" s="113"/>
      <c r="I596" s="113" t="str">
        <f>_xlfn.XLOOKUP($C596,'Cost Centers'!$A$2:$A$11,'Cost Centers'!$C$2:$C$11,"")</f>
        <v>Admin</v>
      </c>
      <c r="J596" s="23">
        <f>MROUND(SUMIFS('Allocated Transactions'!$J:$J,'Allocated Transactions'!$D:$D,$E596,'Allocated Transactions'!$C:$C,$C596,'Allocated Transactions'!$A:$A,"&gt;="&amp;$A596,'Allocated Transactions'!$A:$A,"&lt;="&amp;EOMONTH($A596,0))*0.99,100)</f>
        <v>9700</v>
      </c>
      <c r="K596" s="113" t="s">
        <v>637</v>
      </c>
    </row>
    <row r="597" spans="1:11" ht="15" customHeight="1">
      <c r="A597" s="112">
        <f t="shared" si="29"/>
        <v>46113</v>
      </c>
      <c r="B597" s="113">
        <v>3</v>
      </c>
      <c r="C597" s="18" t="str">
        <f t="shared" ref="C597:C613" si="33">C596</f>
        <v>1030</v>
      </c>
      <c r="D597" s="113" t="str">
        <f>_xlfn.XLOOKUP($C597,'Cost Centers'!$A$2:$A$11,'Cost Centers'!$B$2:$B$11,"")</f>
        <v>Human Resources</v>
      </c>
      <c r="E597" s="113" t="s">
        <v>29</v>
      </c>
      <c r="F597" s="113" t="str">
        <f>_xlfn.XLOOKUP(E597,'Allocated Transactions'!D:D,'Allocated Transactions'!E:E,"")</f>
        <v>Payroll Taxes</v>
      </c>
      <c r="G597" s="113" t="s">
        <v>97</v>
      </c>
      <c r="H597" s="113"/>
      <c r="I597" s="113" t="str">
        <f>_xlfn.XLOOKUP($C597,'Cost Centers'!$A$2:$A$11,'Cost Centers'!$C$2:$C$11,"")</f>
        <v>Admin</v>
      </c>
      <c r="J597" s="23">
        <f>MROUND(SUMIFS('Allocated Transactions'!$J:$J,'Allocated Transactions'!$D:$D,$E597,'Allocated Transactions'!$C:$C,$C597,'Allocated Transactions'!$A:$A,"&gt;="&amp;$A597,'Allocated Transactions'!$A:$A,"&lt;="&amp;EOMONTH($A597,0))*0.99,100)</f>
        <v>700</v>
      </c>
      <c r="K597" s="113" t="s">
        <v>637</v>
      </c>
    </row>
    <row r="598" spans="1:11" ht="15" customHeight="1">
      <c r="A598" s="112">
        <f t="shared" si="29"/>
        <v>46113</v>
      </c>
      <c r="B598" s="113">
        <v>3</v>
      </c>
      <c r="C598" s="18" t="str">
        <f t="shared" si="33"/>
        <v>1030</v>
      </c>
      <c r="D598" s="113" t="str">
        <f>_xlfn.XLOOKUP($C598,'Cost Centers'!$A$2:$A$11,'Cost Centers'!$B$2:$B$11,"")</f>
        <v>Human Resources</v>
      </c>
      <c r="E598" s="113" t="s">
        <v>30</v>
      </c>
      <c r="F598" s="113" t="str">
        <f>_xlfn.XLOOKUP(E598,'Allocated Transactions'!D:D,'Allocated Transactions'!E:E,"")</f>
        <v>Employee Benefits</v>
      </c>
      <c r="G598" s="113" t="s">
        <v>97</v>
      </c>
      <c r="H598" s="113"/>
      <c r="I598" s="113" t="str">
        <f>_xlfn.XLOOKUP($C598,'Cost Centers'!$A$2:$A$11,'Cost Centers'!$C$2:$C$11,"")</f>
        <v>Admin</v>
      </c>
      <c r="J598" s="23">
        <f>MROUND(SUMIFS('Allocated Transactions'!$J:$J,'Allocated Transactions'!$D:$D,$E598,'Allocated Transactions'!$C:$C,$C598,'Allocated Transactions'!$A:$A,"&gt;="&amp;$A598,'Allocated Transactions'!$A:$A,"&lt;="&amp;EOMONTH($A598,0))*0.99,100)</f>
        <v>5400</v>
      </c>
      <c r="K598" s="113" t="s">
        <v>637</v>
      </c>
    </row>
    <row r="599" spans="1:11" ht="15" customHeight="1">
      <c r="A599" s="112">
        <f t="shared" si="29"/>
        <v>46113</v>
      </c>
      <c r="B599" s="113">
        <v>3</v>
      </c>
      <c r="C599" s="18" t="str">
        <f t="shared" si="33"/>
        <v>1030</v>
      </c>
      <c r="D599" s="113" t="str">
        <f>_xlfn.XLOOKUP($C599,'Cost Centers'!$A$2:$A$11,'Cost Centers'!$B$2:$B$11,"")</f>
        <v>Human Resources</v>
      </c>
      <c r="E599" s="113" t="s">
        <v>31</v>
      </c>
      <c r="F599" s="113" t="str">
        <f>_xlfn.XLOOKUP(E599,'Allocated Transactions'!D:D,'Allocated Transactions'!E:E,"")</f>
        <v>Retirement Contributions</v>
      </c>
      <c r="G599" s="113" t="s">
        <v>97</v>
      </c>
      <c r="H599" s="113"/>
      <c r="I599" s="113" t="str">
        <f>_xlfn.XLOOKUP($C599,'Cost Centers'!$A$2:$A$11,'Cost Centers'!$C$2:$C$11,"")</f>
        <v>Admin</v>
      </c>
      <c r="J599" s="23">
        <f>MROUND(SUMIFS('Allocated Transactions'!$J:$J,'Allocated Transactions'!$D:$D,$E599,'Allocated Transactions'!$C:$C,$C599,'Allocated Transactions'!$A:$A,"&gt;="&amp;$A599,'Allocated Transactions'!$A:$A,"&lt;="&amp;EOMONTH($A599,0))*0.99,100)</f>
        <v>300</v>
      </c>
      <c r="K599" s="113" t="s">
        <v>637</v>
      </c>
    </row>
    <row r="600" spans="1:11" ht="15" customHeight="1">
      <c r="A600" s="112">
        <f t="shared" si="29"/>
        <v>46113</v>
      </c>
      <c r="B600" s="113">
        <v>3</v>
      </c>
      <c r="C600" s="18" t="str">
        <f t="shared" si="33"/>
        <v>1030</v>
      </c>
      <c r="D600" s="113" t="str">
        <f>_xlfn.XLOOKUP($C600,'Cost Centers'!$A$2:$A$11,'Cost Centers'!$B$2:$B$11,"")</f>
        <v>Human Resources</v>
      </c>
      <c r="E600" s="113" t="s">
        <v>101</v>
      </c>
      <c r="F600" s="113" t="str">
        <f>_xlfn.XLOOKUP(E600,'Allocated Transactions'!D:D,'Allocated Transactions'!E:E,"")</f>
        <v>Contract Labor / Consultants</v>
      </c>
      <c r="G600" s="113" t="s">
        <v>97</v>
      </c>
      <c r="H600" s="113"/>
      <c r="I600" s="113" t="str">
        <f>_xlfn.XLOOKUP($C600,'Cost Centers'!$A$2:$A$11,'Cost Centers'!$C$2:$C$11,"")</f>
        <v>Admin</v>
      </c>
      <c r="J600" s="23">
        <f>MROUND(SUMIFS('Allocated Transactions'!$J:$J,'Allocated Transactions'!$D:$D,$E600,'Allocated Transactions'!$C:$C,$C600,'Allocated Transactions'!$A:$A,"&gt;="&amp;$A600,'Allocated Transactions'!$A:$A,"&lt;="&amp;EOMONTH($A600,0))*0.99,100)</f>
        <v>0</v>
      </c>
      <c r="K600" s="113" t="s">
        <v>637</v>
      </c>
    </row>
    <row r="601" spans="1:11" ht="15" customHeight="1">
      <c r="A601" s="112">
        <f t="shared" ref="A601:A664" si="34">IF(C601&lt;&gt;C600,DATE(2025,7,1),IF(E601="5000",EOMONTH(A600,0)+1,A600))</f>
        <v>46113</v>
      </c>
      <c r="B601" s="113">
        <v>3</v>
      </c>
      <c r="C601" s="18" t="str">
        <f t="shared" si="33"/>
        <v>1030</v>
      </c>
      <c r="D601" s="113" t="str">
        <f>_xlfn.XLOOKUP($C601,'Cost Centers'!$A$2:$A$11,'Cost Centers'!$B$2:$B$11,"")</f>
        <v>Human Resources</v>
      </c>
      <c r="E601" s="113" t="s">
        <v>32</v>
      </c>
      <c r="F601" s="113" t="str">
        <f>_xlfn.XLOOKUP(E601,'Allocated Transactions'!D:D,'Allocated Transactions'!E:E,"")</f>
        <v>Rent</v>
      </c>
      <c r="G601" s="113" t="s">
        <v>97</v>
      </c>
      <c r="H601" s="113"/>
      <c r="I601" s="113" t="str">
        <f>_xlfn.XLOOKUP($C601,'Cost Centers'!$A$2:$A$11,'Cost Centers'!$C$2:$C$11,"")</f>
        <v>Admin</v>
      </c>
      <c r="J601" s="23">
        <f>MROUND(SUMIFS('Allocated Transactions'!$J:$J,'Allocated Transactions'!$D:$D,$E601,'Allocated Transactions'!$C:$C,$C601,'Allocated Transactions'!$A:$A,"&gt;="&amp;$A601,'Allocated Transactions'!$A:$A,"&lt;="&amp;EOMONTH($A601,0))*0.99,100)</f>
        <v>700</v>
      </c>
      <c r="K601" s="113" t="s">
        <v>637</v>
      </c>
    </row>
    <row r="602" spans="1:11" ht="15" customHeight="1">
      <c r="A602" s="112">
        <f t="shared" si="34"/>
        <v>46113</v>
      </c>
      <c r="B602" s="113">
        <v>3</v>
      </c>
      <c r="C602" s="18" t="str">
        <f t="shared" si="33"/>
        <v>1030</v>
      </c>
      <c r="D602" s="113" t="str">
        <f>_xlfn.XLOOKUP($C602,'Cost Centers'!$A$2:$A$11,'Cost Centers'!$B$2:$B$11,"")</f>
        <v>Human Resources</v>
      </c>
      <c r="E602" s="113" t="s">
        <v>33</v>
      </c>
      <c r="F602" s="113" t="str">
        <f>_xlfn.XLOOKUP(E602,'Allocated Transactions'!D:D,'Allocated Transactions'!E:E,"")</f>
        <v>Utilities</v>
      </c>
      <c r="G602" s="113" t="s">
        <v>97</v>
      </c>
      <c r="H602" s="113"/>
      <c r="I602" s="113" t="str">
        <f>_xlfn.XLOOKUP($C602,'Cost Centers'!$A$2:$A$11,'Cost Centers'!$C$2:$C$11,"")</f>
        <v>Admin</v>
      </c>
      <c r="J602" s="23">
        <f>MROUND(SUMIFS('Allocated Transactions'!$J:$J,'Allocated Transactions'!$D:$D,$E602,'Allocated Transactions'!$C:$C,$C602,'Allocated Transactions'!$A:$A,"&gt;="&amp;$A602,'Allocated Transactions'!$A:$A,"&lt;="&amp;EOMONTH($A602,0))*0.99,100)</f>
        <v>100</v>
      </c>
      <c r="K602" s="113" t="s">
        <v>637</v>
      </c>
    </row>
    <row r="603" spans="1:11" ht="15" customHeight="1">
      <c r="A603" s="112">
        <f t="shared" si="34"/>
        <v>46113</v>
      </c>
      <c r="B603" s="113">
        <v>3</v>
      </c>
      <c r="C603" s="18" t="str">
        <f t="shared" si="33"/>
        <v>1030</v>
      </c>
      <c r="D603" s="113" t="str">
        <f>_xlfn.XLOOKUP($C603,'Cost Centers'!$A$2:$A$11,'Cost Centers'!$B$2:$B$11,"")</f>
        <v>Human Resources</v>
      </c>
      <c r="E603" s="113" t="s">
        <v>105</v>
      </c>
      <c r="F603" s="113" t="str">
        <f>_xlfn.XLOOKUP(E603,'Allocated Transactions'!D:D,'Allocated Transactions'!E:E,"")</f>
        <v>Office Supplies</v>
      </c>
      <c r="G603" s="113" t="s">
        <v>97</v>
      </c>
      <c r="H603" s="113"/>
      <c r="I603" s="113" t="str">
        <f>_xlfn.XLOOKUP($C603,'Cost Centers'!$A$2:$A$11,'Cost Centers'!$C$2:$C$11,"")</f>
        <v>Admin</v>
      </c>
      <c r="J603" s="23">
        <f>MROUND(SUMIFS('Allocated Transactions'!$J:$J,'Allocated Transactions'!$D:$D,$E603,'Allocated Transactions'!$C:$C,$C603,'Allocated Transactions'!$A:$A,"&gt;="&amp;$A603,'Allocated Transactions'!$A:$A,"&lt;="&amp;EOMONTH($A603,0))*0.99,100)</f>
        <v>0</v>
      </c>
      <c r="K603" s="113" t="s">
        <v>637</v>
      </c>
    </row>
    <row r="604" spans="1:11" ht="15" customHeight="1">
      <c r="A604" s="112">
        <f t="shared" si="34"/>
        <v>46113</v>
      </c>
      <c r="B604" s="113">
        <v>3</v>
      </c>
      <c r="C604" s="18" t="str">
        <f t="shared" si="33"/>
        <v>1030</v>
      </c>
      <c r="D604" s="113" t="str">
        <f>_xlfn.XLOOKUP($C604,'Cost Centers'!$A$2:$A$11,'Cost Centers'!$B$2:$B$11,"")</f>
        <v>Human Resources</v>
      </c>
      <c r="E604" s="113" t="s">
        <v>107</v>
      </c>
      <c r="F604" s="113" t="str">
        <f>_xlfn.XLOOKUP(E604,'Allocated Transactions'!D:D,'Allocated Transactions'!E:E,"")</f>
        <v>Software and Subscriptions</v>
      </c>
      <c r="G604" s="113" t="s">
        <v>97</v>
      </c>
      <c r="H604" s="113"/>
      <c r="I604" s="113" t="str">
        <f>_xlfn.XLOOKUP($C604,'Cost Centers'!$A$2:$A$11,'Cost Centers'!$C$2:$C$11,"")</f>
        <v>Admin</v>
      </c>
      <c r="J604" s="23">
        <f>MROUND(SUMIFS('Allocated Transactions'!$J:$J,'Allocated Transactions'!$D:$D,$E604,'Allocated Transactions'!$C:$C,$C604,'Allocated Transactions'!$A:$A,"&gt;="&amp;$A604,'Allocated Transactions'!$A:$A,"&lt;="&amp;EOMONTH($A604,0))*0.99,100)</f>
        <v>0</v>
      </c>
      <c r="K604" s="113" t="s">
        <v>637</v>
      </c>
    </row>
    <row r="605" spans="1:11" ht="15" customHeight="1">
      <c r="A605" s="112">
        <f t="shared" si="34"/>
        <v>46113</v>
      </c>
      <c r="B605" s="113">
        <v>3</v>
      </c>
      <c r="C605" s="18" t="str">
        <f t="shared" si="33"/>
        <v>1030</v>
      </c>
      <c r="D605" s="113" t="str">
        <f>_xlfn.XLOOKUP($C605,'Cost Centers'!$A$2:$A$11,'Cost Centers'!$B$2:$B$11,"")</f>
        <v>Human Resources</v>
      </c>
      <c r="E605" s="113" t="s">
        <v>109</v>
      </c>
      <c r="F605" s="113" t="str">
        <f>_xlfn.XLOOKUP(E605,'Allocated Transactions'!D:D,'Allocated Transactions'!E:E,"")</f>
        <v>Travel</v>
      </c>
      <c r="G605" s="113" t="s">
        <v>97</v>
      </c>
      <c r="H605" s="113"/>
      <c r="I605" s="113" t="str">
        <f>_xlfn.XLOOKUP($C605,'Cost Centers'!$A$2:$A$11,'Cost Centers'!$C$2:$C$11,"")</f>
        <v>Admin</v>
      </c>
      <c r="J605" s="23">
        <f>MROUND(SUMIFS('Allocated Transactions'!$J:$J,'Allocated Transactions'!$D:$D,$E605,'Allocated Transactions'!$C:$C,$C605,'Allocated Transactions'!$A:$A,"&gt;="&amp;$A605,'Allocated Transactions'!$A:$A,"&lt;="&amp;EOMONTH($A605,0))*0.99,100)</f>
        <v>0</v>
      </c>
      <c r="K605" s="113" t="s">
        <v>637</v>
      </c>
    </row>
    <row r="606" spans="1:11" ht="15" customHeight="1">
      <c r="A606" s="112">
        <f t="shared" si="34"/>
        <v>46113</v>
      </c>
      <c r="B606" s="113">
        <v>3</v>
      </c>
      <c r="C606" s="18" t="str">
        <f t="shared" si="33"/>
        <v>1030</v>
      </c>
      <c r="D606" s="113" t="str">
        <f>_xlfn.XLOOKUP($C606,'Cost Centers'!$A$2:$A$11,'Cost Centers'!$B$2:$B$11,"")</f>
        <v>Human Resources</v>
      </c>
      <c r="E606" s="113" t="s">
        <v>111</v>
      </c>
      <c r="F606" s="113" t="str">
        <f>_xlfn.XLOOKUP(E606,'Allocated Transactions'!D:D,'Allocated Transactions'!E:E,"")</f>
        <v>Meals and Entertainment</v>
      </c>
      <c r="G606" s="113" t="s">
        <v>97</v>
      </c>
      <c r="H606" s="113"/>
      <c r="I606" s="113" t="str">
        <f>_xlfn.XLOOKUP($C606,'Cost Centers'!$A$2:$A$11,'Cost Centers'!$C$2:$C$11,"")</f>
        <v>Admin</v>
      </c>
      <c r="J606" s="23">
        <f>MROUND(SUMIFS('Allocated Transactions'!$J:$J,'Allocated Transactions'!$D:$D,$E606,'Allocated Transactions'!$C:$C,$C606,'Allocated Transactions'!$A:$A,"&gt;="&amp;$A606,'Allocated Transactions'!$A:$A,"&lt;="&amp;EOMONTH($A606,0))*0.99,100)</f>
        <v>0</v>
      </c>
      <c r="K606" s="113" t="s">
        <v>637</v>
      </c>
    </row>
    <row r="607" spans="1:11" ht="15" customHeight="1">
      <c r="A607" s="112">
        <f t="shared" si="34"/>
        <v>46113</v>
      </c>
      <c r="B607" s="113">
        <v>3</v>
      </c>
      <c r="C607" s="18" t="str">
        <f t="shared" si="33"/>
        <v>1030</v>
      </c>
      <c r="D607" s="113" t="str">
        <f>_xlfn.XLOOKUP($C607,'Cost Centers'!$A$2:$A$11,'Cost Centers'!$B$2:$B$11,"")</f>
        <v>Human Resources</v>
      </c>
      <c r="E607" s="113" t="s">
        <v>113</v>
      </c>
      <c r="F607" s="113" t="str">
        <f>_xlfn.XLOOKUP(E607,'Allocated Transactions'!D:D,'Allocated Transactions'!E:E,"")</f>
        <v>Professional Fees - Legal</v>
      </c>
      <c r="G607" s="113" t="s">
        <v>97</v>
      </c>
      <c r="H607" s="113"/>
      <c r="I607" s="113" t="str">
        <f>_xlfn.XLOOKUP($C607,'Cost Centers'!$A$2:$A$11,'Cost Centers'!$C$2:$C$11,"")</f>
        <v>Admin</v>
      </c>
      <c r="J607" s="23">
        <f>MROUND(SUMIFS('Allocated Transactions'!$J:$J,'Allocated Transactions'!$D:$D,$E607,'Allocated Transactions'!$C:$C,$C607,'Allocated Transactions'!$A:$A,"&gt;="&amp;$A607,'Allocated Transactions'!$A:$A,"&lt;="&amp;EOMONTH($A607,0))*0.99,100)</f>
        <v>0</v>
      </c>
      <c r="K607" s="113" t="s">
        <v>637</v>
      </c>
    </row>
    <row r="608" spans="1:11" ht="15" customHeight="1">
      <c r="A608" s="112">
        <f t="shared" si="34"/>
        <v>46113</v>
      </c>
      <c r="B608" s="113">
        <v>3</v>
      </c>
      <c r="C608" s="18" t="str">
        <f t="shared" si="33"/>
        <v>1030</v>
      </c>
      <c r="D608" s="113" t="str">
        <f>_xlfn.XLOOKUP($C608,'Cost Centers'!$A$2:$A$11,'Cost Centers'!$B$2:$B$11,"")</f>
        <v>Human Resources</v>
      </c>
      <c r="E608" s="113" t="s">
        <v>115</v>
      </c>
      <c r="F608" s="113" t="str">
        <f>_xlfn.XLOOKUP(E608,'Allocated Transactions'!D:D,'Allocated Transactions'!E:E,"")</f>
        <v>Professional Fees - Accounting/Audit</v>
      </c>
      <c r="G608" s="113" t="s">
        <v>97</v>
      </c>
      <c r="H608" s="113"/>
      <c r="I608" s="113" t="str">
        <f>_xlfn.XLOOKUP($C608,'Cost Centers'!$A$2:$A$11,'Cost Centers'!$C$2:$C$11,"")</f>
        <v>Admin</v>
      </c>
      <c r="J608" s="23">
        <f>MROUND(SUMIFS('Allocated Transactions'!$J:$J,'Allocated Transactions'!$D:$D,$E608,'Allocated Transactions'!$C:$C,$C608,'Allocated Transactions'!$A:$A,"&gt;="&amp;$A608,'Allocated Transactions'!$A:$A,"&lt;="&amp;EOMONTH($A608,0))*0.99,100)</f>
        <v>0</v>
      </c>
      <c r="K608" s="113" t="s">
        <v>637</v>
      </c>
    </row>
    <row r="609" spans="1:11" ht="15" customHeight="1">
      <c r="A609" s="112">
        <f t="shared" si="34"/>
        <v>46113</v>
      </c>
      <c r="B609" s="113">
        <v>3</v>
      </c>
      <c r="C609" s="18" t="str">
        <f t="shared" si="33"/>
        <v>1030</v>
      </c>
      <c r="D609" s="113" t="str">
        <f>_xlfn.XLOOKUP($C609,'Cost Centers'!$A$2:$A$11,'Cost Centers'!$B$2:$B$11,"")</f>
        <v>Human Resources</v>
      </c>
      <c r="E609" s="113" t="s">
        <v>117</v>
      </c>
      <c r="F609" s="113" t="str">
        <f>_xlfn.XLOOKUP(E609,'Allocated Transactions'!D:D,'Allocated Transactions'!E:E,"")</f>
        <v>Insurance</v>
      </c>
      <c r="G609" s="113" t="s">
        <v>97</v>
      </c>
      <c r="H609" s="113"/>
      <c r="I609" s="113" t="str">
        <f>_xlfn.XLOOKUP($C609,'Cost Centers'!$A$2:$A$11,'Cost Centers'!$C$2:$C$11,"")</f>
        <v>Admin</v>
      </c>
      <c r="J609" s="23">
        <f>MROUND(SUMIFS('Allocated Transactions'!$J:$J,'Allocated Transactions'!$D:$D,$E609,'Allocated Transactions'!$C:$C,$C609,'Allocated Transactions'!$A:$A,"&gt;="&amp;$A609,'Allocated Transactions'!$A:$A,"&lt;="&amp;EOMONTH($A609,0))*0.99,100)</f>
        <v>600</v>
      </c>
      <c r="K609" s="113" t="s">
        <v>637</v>
      </c>
    </row>
    <row r="610" spans="1:11" ht="15" customHeight="1">
      <c r="A610" s="112">
        <f t="shared" si="34"/>
        <v>46113</v>
      </c>
      <c r="B610" s="113">
        <v>3</v>
      </c>
      <c r="C610" s="18" t="str">
        <f t="shared" si="33"/>
        <v>1030</v>
      </c>
      <c r="D610" s="113" t="str">
        <f>_xlfn.XLOOKUP($C610,'Cost Centers'!$A$2:$A$11,'Cost Centers'!$B$2:$B$11,"")</f>
        <v>Human Resources</v>
      </c>
      <c r="E610" s="113" t="s">
        <v>119</v>
      </c>
      <c r="F610" s="113" t="str">
        <f>_xlfn.XLOOKUP(E610,'Allocated Transactions'!D:D,'Allocated Transactions'!E:E,"")</f>
        <v>Depreciation Expense</v>
      </c>
      <c r="G610" s="113" t="s">
        <v>97</v>
      </c>
      <c r="H610" s="113"/>
      <c r="I610" s="113" t="str">
        <f>_xlfn.XLOOKUP($C610,'Cost Centers'!$A$2:$A$11,'Cost Centers'!$C$2:$C$11,"")</f>
        <v>Admin</v>
      </c>
      <c r="J610" s="23">
        <f>MROUND(SUMIFS('Allocated Transactions'!$J:$J,'Allocated Transactions'!$D:$D,$E610,'Allocated Transactions'!$C:$C,$C610,'Allocated Transactions'!$A:$A,"&gt;="&amp;$A610,'Allocated Transactions'!$A:$A,"&lt;="&amp;EOMONTH($A610,0))*0.99,100)</f>
        <v>0</v>
      </c>
      <c r="K610" s="113" t="s">
        <v>637</v>
      </c>
    </row>
    <row r="611" spans="1:11" ht="15" customHeight="1">
      <c r="A611" s="112">
        <f t="shared" si="34"/>
        <v>46113</v>
      </c>
      <c r="B611" s="113">
        <v>3</v>
      </c>
      <c r="C611" s="18" t="str">
        <f t="shared" si="33"/>
        <v>1030</v>
      </c>
      <c r="D611" s="113" t="str">
        <f>_xlfn.XLOOKUP($C611,'Cost Centers'!$A$2:$A$11,'Cost Centers'!$B$2:$B$11,"")</f>
        <v>Human Resources</v>
      </c>
      <c r="E611" s="113" t="s">
        <v>121</v>
      </c>
      <c r="F611" s="113" t="str">
        <f>_xlfn.XLOOKUP(E611,'Allocated Transactions'!D:D,'Allocated Transactions'!E:E,"")</f>
        <v>Bank Fees</v>
      </c>
      <c r="G611" s="113" t="s">
        <v>97</v>
      </c>
      <c r="H611" s="113"/>
      <c r="I611" s="113" t="str">
        <f>_xlfn.XLOOKUP($C611,'Cost Centers'!$A$2:$A$11,'Cost Centers'!$C$2:$C$11,"")</f>
        <v>Admin</v>
      </c>
      <c r="J611" s="23">
        <f>MROUND(SUMIFS('Allocated Transactions'!$J:$J,'Allocated Transactions'!$D:$D,$E611,'Allocated Transactions'!$C:$C,$C611,'Allocated Transactions'!$A:$A,"&gt;="&amp;$A611,'Allocated Transactions'!$A:$A,"&lt;="&amp;EOMONTH($A611,0))*0.99,100)</f>
        <v>0</v>
      </c>
      <c r="K611" s="113" t="s">
        <v>637</v>
      </c>
    </row>
    <row r="612" spans="1:11" ht="15" customHeight="1">
      <c r="A612" s="112">
        <f t="shared" si="34"/>
        <v>46113</v>
      </c>
      <c r="B612" s="113">
        <v>3</v>
      </c>
      <c r="C612" s="18" t="str">
        <f t="shared" si="33"/>
        <v>1030</v>
      </c>
      <c r="D612" s="113" t="str">
        <f>_xlfn.XLOOKUP($C612,'Cost Centers'!$A$2:$A$11,'Cost Centers'!$B$2:$B$11,"")</f>
        <v>Human Resources</v>
      </c>
      <c r="E612" s="113" t="s">
        <v>123</v>
      </c>
      <c r="F612" s="113" t="str">
        <f>_xlfn.XLOOKUP(E612,'Allocated Transactions'!D:D,'Allocated Transactions'!E:E,"")</f>
        <v>Interest Expense</v>
      </c>
      <c r="G612" s="113" t="s">
        <v>97</v>
      </c>
      <c r="H612" s="113"/>
      <c r="I612" s="113" t="str">
        <f>_xlfn.XLOOKUP($C612,'Cost Centers'!$A$2:$A$11,'Cost Centers'!$C$2:$C$11,"")</f>
        <v>Admin</v>
      </c>
      <c r="J612" s="23">
        <f>MROUND(SUMIFS('Allocated Transactions'!$J:$J,'Allocated Transactions'!$D:$D,$E612,'Allocated Transactions'!$C:$C,$C612,'Allocated Transactions'!$A:$A,"&gt;="&amp;$A612,'Allocated Transactions'!$A:$A,"&lt;="&amp;EOMONTH($A612,0))*0.99,100)</f>
        <v>0</v>
      </c>
      <c r="K612" s="113" t="s">
        <v>637</v>
      </c>
    </row>
    <row r="613" spans="1:11" ht="15" customHeight="1">
      <c r="A613" s="112">
        <f t="shared" si="34"/>
        <v>46113</v>
      </c>
      <c r="B613" s="113">
        <v>3</v>
      </c>
      <c r="C613" s="18" t="str">
        <f t="shared" si="33"/>
        <v>1030</v>
      </c>
      <c r="D613" s="113" t="str">
        <f>_xlfn.XLOOKUP($C613,'Cost Centers'!$A$2:$A$11,'Cost Centers'!$B$2:$B$11,"")</f>
        <v>Human Resources</v>
      </c>
      <c r="E613" s="113" t="s">
        <v>125</v>
      </c>
      <c r="F613" s="113" t="str">
        <f>_xlfn.XLOOKUP(E613,'Allocated Transactions'!D:D,'Allocated Transactions'!E:E,"")</f>
        <v>Miscellaneous Expense</v>
      </c>
      <c r="G613" s="113" t="s">
        <v>97</v>
      </c>
      <c r="H613" s="113"/>
      <c r="I613" s="113" t="str">
        <f>_xlfn.XLOOKUP($C613,'Cost Centers'!$A$2:$A$11,'Cost Centers'!$C$2:$C$11,"")</f>
        <v>Admin</v>
      </c>
      <c r="J613" s="23">
        <f>MROUND(SUMIFS('Allocated Transactions'!$J:$J,'Allocated Transactions'!$D:$D,$E613,'Allocated Transactions'!$C:$C,$C613,'Allocated Transactions'!$A:$A,"&gt;="&amp;$A613,'Allocated Transactions'!$A:$A,"&lt;="&amp;EOMONTH($A613,0))*0.99,100)</f>
        <v>0</v>
      </c>
      <c r="K613" s="113" t="s">
        <v>637</v>
      </c>
    </row>
    <row r="614" spans="1:11" ht="15" customHeight="1">
      <c r="A614" s="112">
        <f t="shared" si="34"/>
        <v>46143</v>
      </c>
      <c r="B614" s="113">
        <v>3</v>
      </c>
      <c r="C614" s="18" t="s">
        <v>6</v>
      </c>
      <c r="D614" s="113" t="str">
        <f>_xlfn.XLOOKUP($C614,'Cost Centers'!$A$2:$A$11,'Cost Centers'!$B$2:$B$11,"")</f>
        <v>Human Resources</v>
      </c>
      <c r="E614" s="113" t="s">
        <v>28</v>
      </c>
      <c r="F614" s="113" t="str">
        <f>_xlfn.XLOOKUP(E614,'Allocated Transactions'!D:D,'Allocated Transactions'!E:E,"")</f>
        <v>Salaries and Wages</v>
      </c>
      <c r="G614" s="113" t="s">
        <v>97</v>
      </c>
      <c r="H614" s="113"/>
      <c r="I614" s="113" t="str">
        <f>_xlfn.XLOOKUP($C614,'Cost Centers'!$A$2:$A$11,'Cost Centers'!$C$2:$C$11,"")</f>
        <v>Admin</v>
      </c>
      <c r="J614" s="23">
        <f>MROUND(SUMIFS('Allocated Transactions'!$J:$J,'Allocated Transactions'!$D:$D,$E614,'Allocated Transactions'!$C:$C,$C614,'Allocated Transactions'!$A:$A,"&gt;="&amp;$A614,'Allocated Transactions'!$A:$A,"&lt;="&amp;EOMONTH($A614,0))*0.99,100)</f>
        <v>9100</v>
      </c>
      <c r="K614" s="113" t="s">
        <v>637</v>
      </c>
    </row>
    <row r="615" spans="1:11" ht="15" customHeight="1">
      <c r="A615" s="112">
        <f t="shared" si="34"/>
        <v>46143</v>
      </c>
      <c r="B615" s="113">
        <v>3</v>
      </c>
      <c r="C615" s="18" t="str">
        <f t="shared" ref="C615:C631" si="35">C614</f>
        <v>1030</v>
      </c>
      <c r="D615" s="113" t="str">
        <f>_xlfn.XLOOKUP($C615,'Cost Centers'!$A$2:$A$11,'Cost Centers'!$B$2:$B$11,"")</f>
        <v>Human Resources</v>
      </c>
      <c r="E615" s="113" t="s">
        <v>29</v>
      </c>
      <c r="F615" s="113" t="str">
        <f>_xlfn.XLOOKUP(E615,'Allocated Transactions'!D:D,'Allocated Transactions'!E:E,"")</f>
        <v>Payroll Taxes</v>
      </c>
      <c r="G615" s="113" t="s">
        <v>97</v>
      </c>
      <c r="H615" s="113"/>
      <c r="I615" s="113" t="str">
        <f>_xlfn.XLOOKUP($C615,'Cost Centers'!$A$2:$A$11,'Cost Centers'!$C$2:$C$11,"")</f>
        <v>Admin</v>
      </c>
      <c r="J615" s="23">
        <f>MROUND(SUMIFS('Allocated Transactions'!$J:$J,'Allocated Transactions'!$D:$D,$E615,'Allocated Transactions'!$C:$C,$C615,'Allocated Transactions'!$A:$A,"&gt;="&amp;$A615,'Allocated Transactions'!$A:$A,"&lt;="&amp;EOMONTH($A615,0))*0.99,100)</f>
        <v>700</v>
      </c>
      <c r="K615" s="113" t="s">
        <v>637</v>
      </c>
    </row>
    <row r="616" spans="1:11" ht="15" customHeight="1">
      <c r="A616" s="112">
        <f t="shared" si="34"/>
        <v>46143</v>
      </c>
      <c r="B616" s="113">
        <v>3</v>
      </c>
      <c r="C616" s="18" t="str">
        <f t="shared" si="35"/>
        <v>1030</v>
      </c>
      <c r="D616" s="113" t="str">
        <f>_xlfn.XLOOKUP($C616,'Cost Centers'!$A$2:$A$11,'Cost Centers'!$B$2:$B$11,"")</f>
        <v>Human Resources</v>
      </c>
      <c r="E616" s="113" t="s">
        <v>30</v>
      </c>
      <c r="F616" s="113" t="str">
        <f>_xlfn.XLOOKUP(E616,'Allocated Transactions'!D:D,'Allocated Transactions'!E:E,"")</f>
        <v>Employee Benefits</v>
      </c>
      <c r="G616" s="113" t="s">
        <v>97</v>
      </c>
      <c r="H616" s="113"/>
      <c r="I616" s="113" t="str">
        <f>_xlfn.XLOOKUP($C616,'Cost Centers'!$A$2:$A$11,'Cost Centers'!$C$2:$C$11,"")</f>
        <v>Admin</v>
      </c>
      <c r="J616" s="23">
        <f>MROUND(SUMIFS('Allocated Transactions'!$J:$J,'Allocated Transactions'!$D:$D,$E616,'Allocated Transactions'!$C:$C,$C616,'Allocated Transactions'!$A:$A,"&gt;="&amp;$A616,'Allocated Transactions'!$A:$A,"&lt;="&amp;EOMONTH($A616,0))*0.99,100)</f>
        <v>4900</v>
      </c>
      <c r="K616" s="113" t="s">
        <v>637</v>
      </c>
    </row>
    <row r="617" spans="1:11" ht="15" customHeight="1">
      <c r="A617" s="112">
        <f t="shared" si="34"/>
        <v>46143</v>
      </c>
      <c r="B617" s="113">
        <v>3</v>
      </c>
      <c r="C617" s="18" t="str">
        <f t="shared" si="35"/>
        <v>1030</v>
      </c>
      <c r="D617" s="113" t="str">
        <f>_xlfn.XLOOKUP($C617,'Cost Centers'!$A$2:$A$11,'Cost Centers'!$B$2:$B$11,"")</f>
        <v>Human Resources</v>
      </c>
      <c r="E617" s="113" t="s">
        <v>31</v>
      </c>
      <c r="F617" s="113" t="str">
        <f>_xlfn.XLOOKUP(E617,'Allocated Transactions'!D:D,'Allocated Transactions'!E:E,"")</f>
        <v>Retirement Contributions</v>
      </c>
      <c r="G617" s="113" t="s">
        <v>97</v>
      </c>
      <c r="H617" s="113"/>
      <c r="I617" s="113" t="str">
        <f>_xlfn.XLOOKUP($C617,'Cost Centers'!$A$2:$A$11,'Cost Centers'!$C$2:$C$11,"")</f>
        <v>Admin</v>
      </c>
      <c r="J617" s="23">
        <f>MROUND(SUMIFS('Allocated Transactions'!$J:$J,'Allocated Transactions'!$D:$D,$E617,'Allocated Transactions'!$C:$C,$C617,'Allocated Transactions'!$A:$A,"&gt;="&amp;$A617,'Allocated Transactions'!$A:$A,"&lt;="&amp;EOMONTH($A617,0))*0.99,100)</f>
        <v>300</v>
      </c>
      <c r="K617" s="113" t="s">
        <v>637</v>
      </c>
    </row>
    <row r="618" spans="1:11" ht="15" customHeight="1">
      <c r="A618" s="112">
        <f t="shared" si="34"/>
        <v>46143</v>
      </c>
      <c r="B618" s="113">
        <v>3</v>
      </c>
      <c r="C618" s="18" t="str">
        <f t="shared" si="35"/>
        <v>1030</v>
      </c>
      <c r="D618" s="113" t="str">
        <f>_xlfn.XLOOKUP($C618,'Cost Centers'!$A$2:$A$11,'Cost Centers'!$B$2:$B$11,"")</f>
        <v>Human Resources</v>
      </c>
      <c r="E618" s="113" t="s">
        <v>101</v>
      </c>
      <c r="F618" s="113" t="str">
        <f>_xlfn.XLOOKUP(E618,'Allocated Transactions'!D:D,'Allocated Transactions'!E:E,"")</f>
        <v>Contract Labor / Consultants</v>
      </c>
      <c r="G618" s="113" t="s">
        <v>97</v>
      </c>
      <c r="H618" s="113"/>
      <c r="I618" s="113" t="str">
        <f>_xlfn.XLOOKUP($C618,'Cost Centers'!$A$2:$A$11,'Cost Centers'!$C$2:$C$11,"")</f>
        <v>Admin</v>
      </c>
      <c r="J618" s="23">
        <f>MROUND(SUMIFS('Allocated Transactions'!$J:$J,'Allocated Transactions'!$D:$D,$E618,'Allocated Transactions'!$C:$C,$C618,'Allocated Transactions'!$A:$A,"&gt;="&amp;$A618,'Allocated Transactions'!$A:$A,"&lt;="&amp;EOMONTH($A618,0))*0.99,100)</f>
        <v>0</v>
      </c>
      <c r="K618" s="113" t="s">
        <v>637</v>
      </c>
    </row>
    <row r="619" spans="1:11" ht="15" customHeight="1">
      <c r="A619" s="112">
        <f t="shared" si="34"/>
        <v>46143</v>
      </c>
      <c r="B619" s="113">
        <v>3</v>
      </c>
      <c r="C619" s="18" t="str">
        <f t="shared" si="35"/>
        <v>1030</v>
      </c>
      <c r="D619" s="113" t="str">
        <f>_xlfn.XLOOKUP($C619,'Cost Centers'!$A$2:$A$11,'Cost Centers'!$B$2:$B$11,"")</f>
        <v>Human Resources</v>
      </c>
      <c r="E619" s="113" t="s">
        <v>32</v>
      </c>
      <c r="F619" s="113" t="str">
        <f>_xlfn.XLOOKUP(E619,'Allocated Transactions'!D:D,'Allocated Transactions'!E:E,"")</f>
        <v>Rent</v>
      </c>
      <c r="G619" s="113" t="s">
        <v>97</v>
      </c>
      <c r="H619" s="113"/>
      <c r="I619" s="113" t="str">
        <f>_xlfn.XLOOKUP($C619,'Cost Centers'!$A$2:$A$11,'Cost Centers'!$C$2:$C$11,"")</f>
        <v>Admin</v>
      </c>
      <c r="J619" s="23">
        <f>MROUND(SUMIFS('Allocated Transactions'!$J:$J,'Allocated Transactions'!$D:$D,$E619,'Allocated Transactions'!$C:$C,$C619,'Allocated Transactions'!$A:$A,"&gt;="&amp;$A619,'Allocated Transactions'!$A:$A,"&lt;="&amp;EOMONTH($A619,0))*0.99,100)</f>
        <v>700</v>
      </c>
      <c r="K619" s="113" t="s">
        <v>637</v>
      </c>
    </row>
    <row r="620" spans="1:11" ht="15" customHeight="1">
      <c r="A620" s="112">
        <f t="shared" si="34"/>
        <v>46143</v>
      </c>
      <c r="B620" s="113">
        <v>3</v>
      </c>
      <c r="C620" s="18" t="str">
        <f t="shared" si="35"/>
        <v>1030</v>
      </c>
      <c r="D620" s="113" t="str">
        <f>_xlfn.XLOOKUP($C620,'Cost Centers'!$A$2:$A$11,'Cost Centers'!$B$2:$B$11,"")</f>
        <v>Human Resources</v>
      </c>
      <c r="E620" s="113" t="s">
        <v>33</v>
      </c>
      <c r="F620" s="113" t="str">
        <f>_xlfn.XLOOKUP(E620,'Allocated Transactions'!D:D,'Allocated Transactions'!E:E,"")</f>
        <v>Utilities</v>
      </c>
      <c r="G620" s="113" t="s">
        <v>97</v>
      </c>
      <c r="H620" s="113"/>
      <c r="I620" s="113" t="str">
        <f>_xlfn.XLOOKUP($C620,'Cost Centers'!$A$2:$A$11,'Cost Centers'!$C$2:$C$11,"")</f>
        <v>Admin</v>
      </c>
      <c r="J620" s="23">
        <f>MROUND(SUMIFS('Allocated Transactions'!$J:$J,'Allocated Transactions'!$D:$D,$E620,'Allocated Transactions'!$C:$C,$C620,'Allocated Transactions'!$A:$A,"&gt;="&amp;$A620,'Allocated Transactions'!$A:$A,"&lt;="&amp;EOMONTH($A620,0))*0.99,100)</f>
        <v>100</v>
      </c>
      <c r="K620" s="113" t="s">
        <v>637</v>
      </c>
    </row>
    <row r="621" spans="1:11" ht="15" customHeight="1">
      <c r="A621" s="112">
        <f t="shared" si="34"/>
        <v>46143</v>
      </c>
      <c r="B621" s="113">
        <v>3</v>
      </c>
      <c r="C621" s="18" t="str">
        <f t="shared" si="35"/>
        <v>1030</v>
      </c>
      <c r="D621" s="113" t="str">
        <f>_xlfn.XLOOKUP($C621,'Cost Centers'!$A$2:$A$11,'Cost Centers'!$B$2:$B$11,"")</f>
        <v>Human Resources</v>
      </c>
      <c r="E621" s="113" t="s">
        <v>105</v>
      </c>
      <c r="F621" s="113" t="str">
        <f>_xlfn.XLOOKUP(E621,'Allocated Transactions'!D:D,'Allocated Transactions'!E:E,"")</f>
        <v>Office Supplies</v>
      </c>
      <c r="G621" s="113" t="s">
        <v>97</v>
      </c>
      <c r="H621" s="113"/>
      <c r="I621" s="113" t="str">
        <f>_xlfn.XLOOKUP($C621,'Cost Centers'!$A$2:$A$11,'Cost Centers'!$C$2:$C$11,"")</f>
        <v>Admin</v>
      </c>
      <c r="J621" s="23">
        <f>MROUND(SUMIFS('Allocated Transactions'!$J:$J,'Allocated Transactions'!$D:$D,$E621,'Allocated Transactions'!$C:$C,$C621,'Allocated Transactions'!$A:$A,"&gt;="&amp;$A621,'Allocated Transactions'!$A:$A,"&lt;="&amp;EOMONTH($A621,0))*0.99,100)</f>
        <v>0</v>
      </c>
      <c r="K621" s="113" t="s">
        <v>637</v>
      </c>
    </row>
    <row r="622" spans="1:11" ht="15" customHeight="1">
      <c r="A622" s="112">
        <f t="shared" si="34"/>
        <v>46143</v>
      </c>
      <c r="B622" s="113">
        <v>3</v>
      </c>
      <c r="C622" s="18" t="str">
        <f t="shared" si="35"/>
        <v>1030</v>
      </c>
      <c r="D622" s="113" t="str">
        <f>_xlfn.XLOOKUP($C622,'Cost Centers'!$A$2:$A$11,'Cost Centers'!$B$2:$B$11,"")</f>
        <v>Human Resources</v>
      </c>
      <c r="E622" s="113" t="s">
        <v>107</v>
      </c>
      <c r="F622" s="113" t="str">
        <f>_xlfn.XLOOKUP(E622,'Allocated Transactions'!D:D,'Allocated Transactions'!E:E,"")</f>
        <v>Software and Subscriptions</v>
      </c>
      <c r="G622" s="113" t="s">
        <v>97</v>
      </c>
      <c r="H622" s="113"/>
      <c r="I622" s="113" t="str">
        <f>_xlfn.XLOOKUP($C622,'Cost Centers'!$A$2:$A$11,'Cost Centers'!$C$2:$C$11,"")</f>
        <v>Admin</v>
      </c>
      <c r="J622" s="23">
        <f>MROUND(SUMIFS('Allocated Transactions'!$J:$J,'Allocated Transactions'!$D:$D,$E622,'Allocated Transactions'!$C:$C,$C622,'Allocated Transactions'!$A:$A,"&gt;="&amp;$A622,'Allocated Transactions'!$A:$A,"&lt;="&amp;EOMONTH($A622,0))*0.99,100)</f>
        <v>0</v>
      </c>
      <c r="K622" s="113" t="s">
        <v>637</v>
      </c>
    </row>
    <row r="623" spans="1:11" ht="15" customHeight="1">
      <c r="A623" s="112">
        <f t="shared" si="34"/>
        <v>46143</v>
      </c>
      <c r="B623" s="113">
        <v>3</v>
      </c>
      <c r="C623" s="18" t="str">
        <f t="shared" si="35"/>
        <v>1030</v>
      </c>
      <c r="D623" s="113" t="str">
        <f>_xlfn.XLOOKUP($C623,'Cost Centers'!$A$2:$A$11,'Cost Centers'!$B$2:$B$11,"")</f>
        <v>Human Resources</v>
      </c>
      <c r="E623" s="113" t="s">
        <v>109</v>
      </c>
      <c r="F623" s="113" t="str">
        <f>_xlfn.XLOOKUP(E623,'Allocated Transactions'!D:D,'Allocated Transactions'!E:E,"")</f>
        <v>Travel</v>
      </c>
      <c r="G623" s="113" t="s">
        <v>97</v>
      </c>
      <c r="H623" s="113"/>
      <c r="I623" s="113" t="str">
        <f>_xlfn.XLOOKUP($C623,'Cost Centers'!$A$2:$A$11,'Cost Centers'!$C$2:$C$11,"")</f>
        <v>Admin</v>
      </c>
      <c r="J623" s="23">
        <f>MROUND(SUMIFS('Allocated Transactions'!$J:$J,'Allocated Transactions'!$D:$D,$E623,'Allocated Transactions'!$C:$C,$C623,'Allocated Transactions'!$A:$A,"&gt;="&amp;$A623,'Allocated Transactions'!$A:$A,"&lt;="&amp;EOMONTH($A623,0))*0.99,100)</f>
        <v>0</v>
      </c>
      <c r="K623" s="113" t="s">
        <v>637</v>
      </c>
    </row>
    <row r="624" spans="1:11" ht="15" customHeight="1">
      <c r="A624" s="112">
        <f t="shared" si="34"/>
        <v>46143</v>
      </c>
      <c r="B624" s="113">
        <v>3</v>
      </c>
      <c r="C624" s="18" t="str">
        <f t="shared" si="35"/>
        <v>1030</v>
      </c>
      <c r="D624" s="113" t="str">
        <f>_xlfn.XLOOKUP($C624,'Cost Centers'!$A$2:$A$11,'Cost Centers'!$B$2:$B$11,"")</f>
        <v>Human Resources</v>
      </c>
      <c r="E624" s="113" t="s">
        <v>111</v>
      </c>
      <c r="F624" s="113" t="str">
        <f>_xlfn.XLOOKUP(E624,'Allocated Transactions'!D:D,'Allocated Transactions'!E:E,"")</f>
        <v>Meals and Entertainment</v>
      </c>
      <c r="G624" s="113" t="s">
        <v>97</v>
      </c>
      <c r="H624" s="113"/>
      <c r="I624" s="113" t="str">
        <f>_xlfn.XLOOKUP($C624,'Cost Centers'!$A$2:$A$11,'Cost Centers'!$C$2:$C$11,"")</f>
        <v>Admin</v>
      </c>
      <c r="J624" s="23">
        <f>MROUND(SUMIFS('Allocated Transactions'!$J:$J,'Allocated Transactions'!$D:$D,$E624,'Allocated Transactions'!$C:$C,$C624,'Allocated Transactions'!$A:$A,"&gt;="&amp;$A624,'Allocated Transactions'!$A:$A,"&lt;="&amp;EOMONTH($A624,0))*0.99,100)</f>
        <v>0</v>
      </c>
      <c r="K624" s="113" t="s">
        <v>637</v>
      </c>
    </row>
    <row r="625" spans="1:11" ht="15" customHeight="1">
      <c r="A625" s="112">
        <f t="shared" si="34"/>
        <v>46143</v>
      </c>
      <c r="B625" s="113">
        <v>3</v>
      </c>
      <c r="C625" s="18" t="str">
        <f t="shared" si="35"/>
        <v>1030</v>
      </c>
      <c r="D625" s="113" t="str">
        <f>_xlfn.XLOOKUP($C625,'Cost Centers'!$A$2:$A$11,'Cost Centers'!$B$2:$B$11,"")</f>
        <v>Human Resources</v>
      </c>
      <c r="E625" s="113" t="s">
        <v>113</v>
      </c>
      <c r="F625" s="113" t="str">
        <f>_xlfn.XLOOKUP(E625,'Allocated Transactions'!D:D,'Allocated Transactions'!E:E,"")</f>
        <v>Professional Fees - Legal</v>
      </c>
      <c r="G625" s="113" t="s">
        <v>97</v>
      </c>
      <c r="H625" s="113"/>
      <c r="I625" s="113" t="str">
        <f>_xlfn.XLOOKUP($C625,'Cost Centers'!$A$2:$A$11,'Cost Centers'!$C$2:$C$11,"")</f>
        <v>Admin</v>
      </c>
      <c r="J625" s="23">
        <f>MROUND(SUMIFS('Allocated Transactions'!$J:$J,'Allocated Transactions'!$D:$D,$E625,'Allocated Transactions'!$C:$C,$C625,'Allocated Transactions'!$A:$A,"&gt;="&amp;$A625,'Allocated Transactions'!$A:$A,"&lt;="&amp;EOMONTH($A625,0))*0.99,100)</f>
        <v>0</v>
      </c>
      <c r="K625" s="113" t="s">
        <v>637</v>
      </c>
    </row>
    <row r="626" spans="1:11" ht="15" customHeight="1">
      <c r="A626" s="112">
        <f t="shared" si="34"/>
        <v>46143</v>
      </c>
      <c r="B626" s="113">
        <v>3</v>
      </c>
      <c r="C626" s="18" t="str">
        <f t="shared" si="35"/>
        <v>1030</v>
      </c>
      <c r="D626" s="113" t="str">
        <f>_xlfn.XLOOKUP($C626,'Cost Centers'!$A$2:$A$11,'Cost Centers'!$B$2:$B$11,"")</f>
        <v>Human Resources</v>
      </c>
      <c r="E626" s="113" t="s">
        <v>115</v>
      </c>
      <c r="F626" s="113" t="str">
        <f>_xlfn.XLOOKUP(E626,'Allocated Transactions'!D:D,'Allocated Transactions'!E:E,"")</f>
        <v>Professional Fees - Accounting/Audit</v>
      </c>
      <c r="G626" s="113" t="s">
        <v>97</v>
      </c>
      <c r="H626" s="113"/>
      <c r="I626" s="113" t="str">
        <f>_xlfn.XLOOKUP($C626,'Cost Centers'!$A$2:$A$11,'Cost Centers'!$C$2:$C$11,"")</f>
        <v>Admin</v>
      </c>
      <c r="J626" s="23">
        <f>MROUND(SUMIFS('Allocated Transactions'!$J:$J,'Allocated Transactions'!$D:$D,$E626,'Allocated Transactions'!$C:$C,$C626,'Allocated Transactions'!$A:$A,"&gt;="&amp;$A626,'Allocated Transactions'!$A:$A,"&lt;="&amp;EOMONTH($A626,0))*0.99,100)</f>
        <v>0</v>
      </c>
      <c r="K626" s="113" t="s">
        <v>637</v>
      </c>
    </row>
    <row r="627" spans="1:11" ht="15" customHeight="1">
      <c r="A627" s="112">
        <f t="shared" si="34"/>
        <v>46143</v>
      </c>
      <c r="B627" s="113">
        <v>3</v>
      </c>
      <c r="C627" s="18" t="str">
        <f t="shared" si="35"/>
        <v>1030</v>
      </c>
      <c r="D627" s="113" t="str">
        <f>_xlfn.XLOOKUP($C627,'Cost Centers'!$A$2:$A$11,'Cost Centers'!$B$2:$B$11,"")</f>
        <v>Human Resources</v>
      </c>
      <c r="E627" s="113" t="s">
        <v>117</v>
      </c>
      <c r="F627" s="113" t="str">
        <f>_xlfn.XLOOKUP(E627,'Allocated Transactions'!D:D,'Allocated Transactions'!E:E,"")</f>
        <v>Insurance</v>
      </c>
      <c r="G627" s="113" t="s">
        <v>97</v>
      </c>
      <c r="H627" s="113"/>
      <c r="I627" s="113" t="str">
        <f>_xlfn.XLOOKUP($C627,'Cost Centers'!$A$2:$A$11,'Cost Centers'!$C$2:$C$11,"")</f>
        <v>Admin</v>
      </c>
      <c r="J627" s="23">
        <f>MROUND(SUMIFS('Allocated Transactions'!$J:$J,'Allocated Transactions'!$D:$D,$E627,'Allocated Transactions'!$C:$C,$C627,'Allocated Transactions'!$A:$A,"&gt;="&amp;$A627,'Allocated Transactions'!$A:$A,"&lt;="&amp;EOMONTH($A627,0))*0.99,100)</f>
        <v>600</v>
      </c>
      <c r="K627" s="113" t="s">
        <v>637</v>
      </c>
    </row>
    <row r="628" spans="1:11" ht="15" customHeight="1">
      <c r="A628" s="112">
        <f t="shared" si="34"/>
        <v>46143</v>
      </c>
      <c r="B628" s="113">
        <v>3</v>
      </c>
      <c r="C628" s="18" t="str">
        <f t="shared" si="35"/>
        <v>1030</v>
      </c>
      <c r="D628" s="113" t="str">
        <f>_xlfn.XLOOKUP($C628,'Cost Centers'!$A$2:$A$11,'Cost Centers'!$B$2:$B$11,"")</f>
        <v>Human Resources</v>
      </c>
      <c r="E628" s="113" t="s">
        <v>119</v>
      </c>
      <c r="F628" s="113" t="str">
        <f>_xlfn.XLOOKUP(E628,'Allocated Transactions'!D:D,'Allocated Transactions'!E:E,"")</f>
        <v>Depreciation Expense</v>
      </c>
      <c r="G628" s="113" t="s">
        <v>97</v>
      </c>
      <c r="H628" s="113"/>
      <c r="I628" s="113" t="str">
        <f>_xlfn.XLOOKUP($C628,'Cost Centers'!$A$2:$A$11,'Cost Centers'!$C$2:$C$11,"")</f>
        <v>Admin</v>
      </c>
      <c r="J628" s="23">
        <f>MROUND(SUMIFS('Allocated Transactions'!$J:$J,'Allocated Transactions'!$D:$D,$E628,'Allocated Transactions'!$C:$C,$C628,'Allocated Transactions'!$A:$A,"&gt;="&amp;$A628,'Allocated Transactions'!$A:$A,"&lt;="&amp;EOMONTH($A628,0))*0.99,100)</f>
        <v>0</v>
      </c>
      <c r="K628" s="113" t="s">
        <v>637</v>
      </c>
    </row>
    <row r="629" spans="1:11" ht="15" customHeight="1">
      <c r="A629" s="112">
        <f t="shared" si="34"/>
        <v>46143</v>
      </c>
      <c r="B629" s="113">
        <v>3</v>
      </c>
      <c r="C629" s="18" t="str">
        <f t="shared" si="35"/>
        <v>1030</v>
      </c>
      <c r="D629" s="113" t="str">
        <f>_xlfn.XLOOKUP($C629,'Cost Centers'!$A$2:$A$11,'Cost Centers'!$B$2:$B$11,"")</f>
        <v>Human Resources</v>
      </c>
      <c r="E629" s="113" t="s">
        <v>121</v>
      </c>
      <c r="F629" s="113" t="str">
        <f>_xlfn.XLOOKUP(E629,'Allocated Transactions'!D:D,'Allocated Transactions'!E:E,"")</f>
        <v>Bank Fees</v>
      </c>
      <c r="G629" s="113" t="s">
        <v>97</v>
      </c>
      <c r="H629" s="113"/>
      <c r="I629" s="113" t="str">
        <f>_xlfn.XLOOKUP($C629,'Cost Centers'!$A$2:$A$11,'Cost Centers'!$C$2:$C$11,"")</f>
        <v>Admin</v>
      </c>
      <c r="J629" s="23">
        <f>MROUND(SUMIFS('Allocated Transactions'!$J:$J,'Allocated Transactions'!$D:$D,$E629,'Allocated Transactions'!$C:$C,$C629,'Allocated Transactions'!$A:$A,"&gt;="&amp;$A629,'Allocated Transactions'!$A:$A,"&lt;="&amp;EOMONTH($A629,0))*0.99,100)</f>
        <v>0</v>
      </c>
      <c r="K629" s="113" t="s">
        <v>637</v>
      </c>
    </row>
    <row r="630" spans="1:11" ht="15" customHeight="1">
      <c r="A630" s="112">
        <f t="shared" si="34"/>
        <v>46143</v>
      </c>
      <c r="B630" s="113">
        <v>3</v>
      </c>
      <c r="C630" s="18" t="str">
        <f t="shared" si="35"/>
        <v>1030</v>
      </c>
      <c r="D630" s="113" t="str">
        <f>_xlfn.XLOOKUP($C630,'Cost Centers'!$A$2:$A$11,'Cost Centers'!$B$2:$B$11,"")</f>
        <v>Human Resources</v>
      </c>
      <c r="E630" s="113" t="s">
        <v>123</v>
      </c>
      <c r="F630" s="113" t="str">
        <f>_xlfn.XLOOKUP(E630,'Allocated Transactions'!D:D,'Allocated Transactions'!E:E,"")</f>
        <v>Interest Expense</v>
      </c>
      <c r="G630" s="113" t="s">
        <v>97</v>
      </c>
      <c r="H630" s="113"/>
      <c r="I630" s="113" t="str">
        <f>_xlfn.XLOOKUP($C630,'Cost Centers'!$A$2:$A$11,'Cost Centers'!$C$2:$C$11,"")</f>
        <v>Admin</v>
      </c>
      <c r="J630" s="23">
        <f>MROUND(SUMIFS('Allocated Transactions'!$J:$J,'Allocated Transactions'!$D:$D,$E630,'Allocated Transactions'!$C:$C,$C630,'Allocated Transactions'!$A:$A,"&gt;="&amp;$A630,'Allocated Transactions'!$A:$A,"&lt;="&amp;EOMONTH($A630,0))*0.99,100)</f>
        <v>0</v>
      </c>
      <c r="K630" s="113" t="s">
        <v>637</v>
      </c>
    </row>
    <row r="631" spans="1:11" ht="15" customHeight="1">
      <c r="A631" s="112">
        <f t="shared" si="34"/>
        <v>46143</v>
      </c>
      <c r="B631" s="113">
        <v>3</v>
      </c>
      <c r="C631" s="18" t="str">
        <f t="shared" si="35"/>
        <v>1030</v>
      </c>
      <c r="D631" s="113" t="str">
        <f>_xlfn.XLOOKUP($C631,'Cost Centers'!$A$2:$A$11,'Cost Centers'!$B$2:$B$11,"")</f>
        <v>Human Resources</v>
      </c>
      <c r="E631" s="113" t="s">
        <v>125</v>
      </c>
      <c r="F631" s="113" t="str">
        <f>_xlfn.XLOOKUP(E631,'Allocated Transactions'!D:D,'Allocated Transactions'!E:E,"")</f>
        <v>Miscellaneous Expense</v>
      </c>
      <c r="G631" s="113" t="s">
        <v>97</v>
      </c>
      <c r="H631" s="113"/>
      <c r="I631" s="113" t="str">
        <f>_xlfn.XLOOKUP($C631,'Cost Centers'!$A$2:$A$11,'Cost Centers'!$C$2:$C$11,"")</f>
        <v>Admin</v>
      </c>
      <c r="J631" s="23">
        <f>MROUND(SUMIFS('Allocated Transactions'!$J:$J,'Allocated Transactions'!$D:$D,$E631,'Allocated Transactions'!$C:$C,$C631,'Allocated Transactions'!$A:$A,"&gt;="&amp;$A631,'Allocated Transactions'!$A:$A,"&lt;="&amp;EOMONTH($A631,0))*0.99,100)</f>
        <v>0</v>
      </c>
      <c r="K631" s="113" t="s">
        <v>637</v>
      </c>
    </row>
    <row r="632" spans="1:11" ht="15" customHeight="1">
      <c r="A632" s="112">
        <f t="shared" si="34"/>
        <v>46174</v>
      </c>
      <c r="B632" s="113">
        <v>3</v>
      </c>
      <c r="C632" s="18" t="s">
        <v>6</v>
      </c>
      <c r="D632" s="113" t="str">
        <f>_xlfn.XLOOKUP($C632,'Cost Centers'!$A$2:$A$11,'Cost Centers'!$B$2:$B$11,"")</f>
        <v>Human Resources</v>
      </c>
      <c r="E632" s="113" t="s">
        <v>28</v>
      </c>
      <c r="F632" s="113" t="str">
        <f>_xlfn.XLOOKUP(E632,'Allocated Transactions'!D:D,'Allocated Transactions'!E:E,"")</f>
        <v>Salaries and Wages</v>
      </c>
      <c r="G632" s="113" t="s">
        <v>97</v>
      </c>
      <c r="H632" s="113"/>
      <c r="I632" s="113" t="str">
        <f>_xlfn.XLOOKUP($C632,'Cost Centers'!$A$2:$A$11,'Cost Centers'!$C$2:$C$11,"")</f>
        <v>Admin</v>
      </c>
      <c r="J632" s="23">
        <f>MROUND(SUMIFS('Allocated Transactions'!$J:$J,'Allocated Transactions'!$D:$D,$E632,'Allocated Transactions'!$C:$C,$C632,'Allocated Transactions'!$A:$A,"&gt;="&amp;$A632,'Allocated Transactions'!$A:$A,"&lt;="&amp;EOMONTH($A632,0))*0.99,100)</f>
        <v>9500</v>
      </c>
      <c r="K632" s="113" t="s">
        <v>637</v>
      </c>
    </row>
    <row r="633" spans="1:11" ht="15" customHeight="1">
      <c r="A633" s="112">
        <f t="shared" si="34"/>
        <v>46174</v>
      </c>
      <c r="B633" s="113">
        <v>3</v>
      </c>
      <c r="C633" s="18" t="str">
        <f t="shared" ref="C633:C649" si="36">C632</f>
        <v>1030</v>
      </c>
      <c r="D633" s="113" t="str">
        <f>_xlfn.XLOOKUP($C633,'Cost Centers'!$A$2:$A$11,'Cost Centers'!$B$2:$B$11,"")</f>
        <v>Human Resources</v>
      </c>
      <c r="E633" s="113" t="s">
        <v>29</v>
      </c>
      <c r="F633" s="113" t="str">
        <f>_xlfn.XLOOKUP(E633,'Allocated Transactions'!D:D,'Allocated Transactions'!E:E,"")</f>
        <v>Payroll Taxes</v>
      </c>
      <c r="G633" s="113" t="s">
        <v>97</v>
      </c>
      <c r="H633" s="113"/>
      <c r="I633" s="113" t="str">
        <f>_xlfn.XLOOKUP($C633,'Cost Centers'!$A$2:$A$11,'Cost Centers'!$C$2:$C$11,"")</f>
        <v>Admin</v>
      </c>
      <c r="J633" s="23">
        <f>MROUND(SUMIFS('Allocated Transactions'!$J:$J,'Allocated Transactions'!$D:$D,$E633,'Allocated Transactions'!$C:$C,$C633,'Allocated Transactions'!$A:$A,"&gt;="&amp;$A633,'Allocated Transactions'!$A:$A,"&lt;="&amp;EOMONTH($A633,0))*0.99,100)</f>
        <v>700</v>
      </c>
      <c r="K633" s="113" t="s">
        <v>637</v>
      </c>
    </row>
    <row r="634" spans="1:11" ht="15" customHeight="1">
      <c r="A634" s="112">
        <f t="shared" si="34"/>
        <v>46174</v>
      </c>
      <c r="B634" s="113">
        <v>3</v>
      </c>
      <c r="C634" s="18" t="str">
        <f t="shared" si="36"/>
        <v>1030</v>
      </c>
      <c r="D634" s="113" t="str">
        <f>_xlfn.XLOOKUP($C634,'Cost Centers'!$A$2:$A$11,'Cost Centers'!$B$2:$B$11,"")</f>
        <v>Human Resources</v>
      </c>
      <c r="E634" s="113" t="s">
        <v>30</v>
      </c>
      <c r="F634" s="113" t="str">
        <f>_xlfn.XLOOKUP(E634,'Allocated Transactions'!D:D,'Allocated Transactions'!E:E,"")</f>
        <v>Employee Benefits</v>
      </c>
      <c r="G634" s="113" t="s">
        <v>97</v>
      </c>
      <c r="H634" s="113"/>
      <c r="I634" s="113" t="str">
        <f>_xlfn.XLOOKUP($C634,'Cost Centers'!$A$2:$A$11,'Cost Centers'!$C$2:$C$11,"")</f>
        <v>Admin</v>
      </c>
      <c r="J634" s="23">
        <f>MROUND(SUMIFS('Allocated Transactions'!$J:$J,'Allocated Transactions'!$D:$D,$E634,'Allocated Transactions'!$C:$C,$C634,'Allocated Transactions'!$A:$A,"&gt;="&amp;$A634,'Allocated Transactions'!$A:$A,"&lt;="&amp;EOMONTH($A634,0))*0.99,100)</f>
        <v>5500</v>
      </c>
      <c r="K634" s="113" t="s">
        <v>637</v>
      </c>
    </row>
    <row r="635" spans="1:11" ht="15" customHeight="1">
      <c r="A635" s="112">
        <f t="shared" si="34"/>
        <v>46174</v>
      </c>
      <c r="B635" s="113">
        <v>3</v>
      </c>
      <c r="C635" s="18" t="str">
        <f t="shared" si="36"/>
        <v>1030</v>
      </c>
      <c r="D635" s="113" t="str">
        <f>_xlfn.XLOOKUP($C635,'Cost Centers'!$A$2:$A$11,'Cost Centers'!$B$2:$B$11,"")</f>
        <v>Human Resources</v>
      </c>
      <c r="E635" s="113" t="s">
        <v>31</v>
      </c>
      <c r="F635" s="113" t="str">
        <f>_xlfn.XLOOKUP(E635,'Allocated Transactions'!D:D,'Allocated Transactions'!E:E,"")</f>
        <v>Retirement Contributions</v>
      </c>
      <c r="G635" s="113" t="s">
        <v>97</v>
      </c>
      <c r="H635" s="113"/>
      <c r="I635" s="113" t="str">
        <f>_xlfn.XLOOKUP($C635,'Cost Centers'!$A$2:$A$11,'Cost Centers'!$C$2:$C$11,"")</f>
        <v>Admin</v>
      </c>
      <c r="J635" s="23">
        <f>MROUND(SUMIFS('Allocated Transactions'!$J:$J,'Allocated Transactions'!$D:$D,$E635,'Allocated Transactions'!$C:$C,$C635,'Allocated Transactions'!$A:$A,"&gt;="&amp;$A635,'Allocated Transactions'!$A:$A,"&lt;="&amp;EOMONTH($A635,0))*0.99,100)</f>
        <v>300</v>
      </c>
      <c r="K635" s="113" t="s">
        <v>637</v>
      </c>
    </row>
    <row r="636" spans="1:11" ht="15" customHeight="1">
      <c r="A636" s="112">
        <f t="shared" si="34"/>
        <v>46174</v>
      </c>
      <c r="B636" s="113">
        <v>3</v>
      </c>
      <c r="C636" s="18" t="str">
        <f t="shared" si="36"/>
        <v>1030</v>
      </c>
      <c r="D636" s="113" t="str">
        <f>_xlfn.XLOOKUP($C636,'Cost Centers'!$A$2:$A$11,'Cost Centers'!$B$2:$B$11,"")</f>
        <v>Human Resources</v>
      </c>
      <c r="E636" s="113" t="s">
        <v>101</v>
      </c>
      <c r="F636" s="113" t="str">
        <f>_xlfn.XLOOKUP(E636,'Allocated Transactions'!D:D,'Allocated Transactions'!E:E,"")</f>
        <v>Contract Labor / Consultants</v>
      </c>
      <c r="G636" s="113" t="s">
        <v>97</v>
      </c>
      <c r="H636" s="113"/>
      <c r="I636" s="113" t="str">
        <f>_xlfn.XLOOKUP($C636,'Cost Centers'!$A$2:$A$11,'Cost Centers'!$C$2:$C$11,"")</f>
        <v>Admin</v>
      </c>
      <c r="J636" s="23">
        <f>MROUND(SUMIFS('Allocated Transactions'!$J:$J,'Allocated Transactions'!$D:$D,$E636,'Allocated Transactions'!$C:$C,$C636,'Allocated Transactions'!$A:$A,"&gt;="&amp;$A636,'Allocated Transactions'!$A:$A,"&lt;="&amp;EOMONTH($A636,0))*0.99,100)</f>
        <v>0</v>
      </c>
      <c r="K636" s="113" t="s">
        <v>637</v>
      </c>
    </row>
    <row r="637" spans="1:11" ht="15" customHeight="1">
      <c r="A637" s="112">
        <f t="shared" si="34"/>
        <v>46174</v>
      </c>
      <c r="B637" s="113">
        <v>3</v>
      </c>
      <c r="C637" s="18" t="str">
        <f t="shared" si="36"/>
        <v>1030</v>
      </c>
      <c r="D637" s="113" t="str">
        <f>_xlfn.XLOOKUP($C637,'Cost Centers'!$A$2:$A$11,'Cost Centers'!$B$2:$B$11,"")</f>
        <v>Human Resources</v>
      </c>
      <c r="E637" s="113" t="s">
        <v>32</v>
      </c>
      <c r="F637" s="113" t="str">
        <f>_xlfn.XLOOKUP(E637,'Allocated Transactions'!D:D,'Allocated Transactions'!E:E,"")</f>
        <v>Rent</v>
      </c>
      <c r="G637" s="113" t="s">
        <v>97</v>
      </c>
      <c r="H637" s="113"/>
      <c r="I637" s="113" t="str">
        <f>_xlfn.XLOOKUP($C637,'Cost Centers'!$A$2:$A$11,'Cost Centers'!$C$2:$C$11,"")</f>
        <v>Admin</v>
      </c>
      <c r="J637" s="23">
        <f>MROUND(SUMIFS('Allocated Transactions'!$J:$J,'Allocated Transactions'!$D:$D,$E637,'Allocated Transactions'!$C:$C,$C637,'Allocated Transactions'!$A:$A,"&gt;="&amp;$A637,'Allocated Transactions'!$A:$A,"&lt;="&amp;EOMONTH($A637,0))*0.99,100)</f>
        <v>700</v>
      </c>
      <c r="K637" s="113" t="s">
        <v>637</v>
      </c>
    </row>
    <row r="638" spans="1:11" ht="15" customHeight="1">
      <c r="A638" s="112">
        <f t="shared" si="34"/>
        <v>46174</v>
      </c>
      <c r="B638" s="113">
        <v>3</v>
      </c>
      <c r="C638" s="18" t="str">
        <f t="shared" si="36"/>
        <v>1030</v>
      </c>
      <c r="D638" s="113" t="str">
        <f>_xlfn.XLOOKUP($C638,'Cost Centers'!$A$2:$A$11,'Cost Centers'!$B$2:$B$11,"")</f>
        <v>Human Resources</v>
      </c>
      <c r="E638" s="113" t="s">
        <v>33</v>
      </c>
      <c r="F638" s="113" t="str">
        <f>_xlfn.XLOOKUP(E638,'Allocated Transactions'!D:D,'Allocated Transactions'!E:E,"")</f>
        <v>Utilities</v>
      </c>
      <c r="G638" s="113" t="s">
        <v>97</v>
      </c>
      <c r="H638" s="113"/>
      <c r="I638" s="113" t="str">
        <f>_xlfn.XLOOKUP($C638,'Cost Centers'!$A$2:$A$11,'Cost Centers'!$C$2:$C$11,"")</f>
        <v>Admin</v>
      </c>
      <c r="J638" s="23">
        <f>MROUND(SUMIFS('Allocated Transactions'!$J:$J,'Allocated Transactions'!$D:$D,$E638,'Allocated Transactions'!$C:$C,$C638,'Allocated Transactions'!$A:$A,"&gt;="&amp;$A638,'Allocated Transactions'!$A:$A,"&lt;="&amp;EOMONTH($A638,0))*0.99,100)</f>
        <v>100</v>
      </c>
      <c r="K638" s="113" t="s">
        <v>637</v>
      </c>
    </row>
    <row r="639" spans="1:11" ht="15" customHeight="1">
      <c r="A639" s="112">
        <f t="shared" si="34"/>
        <v>46174</v>
      </c>
      <c r="B639" s="113">
        <v>3</v>
      </c>
      <c r="C639" s="18" t="str">
        <f t="shared" si="36"/>
        <v>1030</v>
      </c>
      <c r="D639" s="113" t="str">
        <f>_xlfn.XLOOKUP($C639,'Cost Centers'!$A$2:$A$11,'Cost Centers'!$B$2:$B$11,"")</f>
        <v>Human Resources</v>
      </c>
      <c r="E639" s="113" t="s">
        <v>105</v>
      </c>
      <c r="F639" s="113" t="str">
        <f>_xlfn.XLOOKUP(E639,'Allocated Transactions'!D:D,'Allocated Transactions'!E:E,"")</f>
        <v>Office Supplies</v>
      </c>
      <c r="G639" s="113" t="s">
        <v>97</v>
      </c>
      <c r="H639" s="113"/>
      <c r="I639" s="113" t="str">
        <f>_xlfn.XLOOKUP($C639,'Cost Centers'!$A$2:$A$11,'Cost Centers'!$C$2:$C$11,"")</f>
        <v>Admin</v>
      </c>
      <c r="J639" s="23">
        <f>MROUND(SUMIFS('Allocated Transactions'!$J:$J,'Allocated Transactions'!$D:$D,$E639,'Allocated Transactions'!$C:$C,$C639,'Allocated Transactions'!$A:$A,"&gt;="&amp;$A639,'Allocated Transactions'!$A:$A,"&lt;="&amp;EOMONTH($A639,0))*0.99,100)</f>
        <v>0</v>
      </c>
      <c r="K639" s="113" t="s">
        <v>637</v>
      </c>
    </row>
    <row r="640" spans="1:11" ht="15" customHeight="1">
      <c r="A640" s="112">
        <f t="shared" si="34"/>
        <v>46174</v>
      </c>
      <c r="B640" s="113">
        <v>3</v>
      </c>
      <c r="C640" s="18" t="str">
        <f t="shared" si="36"/>
        <v>1030</v>
      </c>
      <c r="D640" s="113" t="str">
        <f>_xlfn.XLOOKUP($C640,'Cost Centers'!$A$2:$A$11,'Cost Centers'!$B$2:$B$11,"")</f>
        <v>Human Resources</v>
      </c>
      <c r="E640" s="113" t="s">
        <v>107</v>
      </c>
      <c r="F640" s="113" t="str">
        <f>_xlfn.XLOOKUP(E640,'Allocated Transactions'!D:D,'Allocated Transactions'!E:E,"")</f>
        <v>Software and Subscriptions</v>
      </c>
      <c r="G640" s="113" t="s">
        <v>97</v>
      </c>
      <c r="H640" s="113"/>
      <c r="I640" s="113" t="str">
        <f>_xlfn.XLOOKUP($C640,'Cost Centers'!$A$2:$A$11,'Cost Centers'!$C$2:$C$11,"")</f>
        <v>Admin</v>
      </c>
      <c r="J640" s="23">
        <f>MROUND(SUMIFS('Allocated Transactions'!$J:$J,'Allocated Transactions'!$D:$D,$E640,'Allocated Transactions'!$C:$C,$C640,'Allocated Transactions'!$A:$A,"&gt;="&amp;$A640,'Allocated Transactions'!$A:$A,"&lt;="&amp;EOMONTH($A640,0))*0.99,100)</f>
        <v>0</v>
      </c>
      <c r="K640" s="113" t="s">
        <v>637</v>
      </c>
    </row>
    <row r="641" spans="1:11" ht="15" customHeight="1">
      <c r="A641" s="112">
        <f t="shared" si="34"/>
        <v>46174</v>
      </c>
      <c r="B641" s="113">
        <v>3</v>
      </c>
      <c r="C641" s="18" t="str">
        <f t="shared" si="36"/>
        <v>1030</v>
      </c>
      <c r="D641" s="113" t="str">
        <f>_xlfn.XLOOKUP($C641,'Cost Centers'!$A$2:$A$11,'Cost Centers'!$B$2:$B$11,"")</f>
        <v>Human Resources</v>
      </c>
      <c r="E641" s="113" t="s">
        <v>109</v>
      </c>
      <c r="F641" s="113" t="str">
        <f>_xlfn.XLOOKUP(E641,'Allocated Transactions'!D:D,'Allocated Transactions'!E:E,"")</f>
        <v>Travel</v>
      </c>
      <c r="G641" s="113" t="s">
        <v>97</v>
      </c>
      <c r="H641" s="113"/>
      <c r="I641" s="113" t="str">
        <f>_xlfn.XLOOKUP($C641,'Cost Centers'!$A$2:$A$11,'Cost Centers'!$C$2:$C$11,"")</f>
        <v>Admin</v>
      </c>
      <c r="J641" s="23">
        <f>MROUND(SUMIFS('Allocated Transactions'!$J:$J,'Allocated Transactions'!$D:$D,$E641,'Allocated Transactions'!$C:$C,$C641,'Allocated Transactions'!$A:$A,"&gt;="&amp;$A641,'Allocated Transactions'!$A:$A,"&lt;="&amp;EOMONTH($A641,0))*0.99,100)</f>
        <v>0</v>
      </c>
      <c r="K641" s="113" t="s">
        <v>637</v>
      </c>
    </row>
    <row r="642" spans="1:11" ht="15" customHeight="1">
      <c r="A642" s="112">
        <f t="shared" si="34"/>
        <v>46174</v>
      </c>
      <c r="B642" s="113">
        <v>3</v>
      </c>
      <c r="C642" s="18" t="str">
        <f t="shared" si="36"/>
        <v>1030</v>
      </c>
      <c r="D642" s="113" t="str">
        <f>_xlfn.XLOOKUP($C642,'Cost Centers'!$A$2:$A$11,'Cost Centers'!$B$2:$B$11,"")</f>
        <v>Human Resources</v>
      </c>
      <c r="E642" s="113" t="s">
        <v>111</v>
      </c>
      <c r="F642" s="113" t="str">
        <f>_xlfn.XLOOKUP(E642,'Allocated Transactions'!D:D,'Allocated Transactions'!E:E,"")</f>
        <v>Meals and Entertainment</v>
      </c>
      <c r="G642" s="113" t="s">
        <v>97</v>
      </c>
      <c r="H642" s="113"/>
      <c r="I642" s="113" t="str">
        <f>_xlfn.XLOOKUP($C642,'Cost Centers'!$A$2:$A$11,'Cost Centers'!$C$2:$C$11,"")</f>
        <v>Admin</v>
      </c>
      <c r="J642" s="23">
        <f>MROUND(SUMIFS('Allocated Transactions'!$J:$J,'Allocated Transactions'!$D:$D,$E642,'Allocated Transactions'!$C:$C,$C642,'Allocated Transactions'!$A:$A,"&gt;="&amp;$A642,'Allocated Transactions'!$A:$A,"&lt;="&amp;EOMONTH($A642,0))*0.99,100)</f>
        <v>0</v>
      </c>
      <c r="K642" s="113" t="s">
        <v>637</v>
      </c>
    </row>
    <row r="643" spans="1:11" ht="15" customHeight="1">
      <c r="A643" s="112">
        <f t="shared" si="34"/>
        <v>46174</v>
      </c>
      <c r="B643" s="113">
        <v>3</v>
      </c>
      <c r="C643" s="18" t="str">
        <f t="shared" si="36"/>
        <v>1030</v>
      </c>
      <c r="D643" s="113" t="str">
        <f>_xlfn.XLOOKUP($C643,'Cost Centers'!$A$2:$A$11,'Cost Centers'!$B$2:$B$11,"")</f>
        <v>Human Resources</v>
      </c>
      <c r="E643" s="113" t="s">
        <v>113</v>
      </c>
      <c r="F643" s="113" t="str">
        <f>_xlfn.XLOOKUP(E643,'Allocated Transactions'!D:D,'Allocated Transactions'!E:E,"")</f>
        <v>Professional Fees - Legal</v>
      </c>
      <c r="G643" s="113" t="s">
        <v>97</v>
      </c>
      <c r="H643" s="113"/>
      <c r="I643" s="113" t="str">
        <f>_xlfn.XLOOKUP($C643,'Cost Centers'!$A$2:$A$11,'Cost Centers'!$C$2:$C$11,"")</f>
        <v>Admin</v>
      </c>
      <c r="J643" s="23">
        <f>MROUND(SUMIFS('Allocated Transactions'!$J:$J,'Allocated Transactions'!$D:$D,$E643,'Allocated Transactions'!$C:$C,$C643,'Allocated Transactions'!$A:$A,"&gt;="&amp;$A643,'Allocated Transactions'!$A:$A,"&lt;="&amp;EOMONTH($A643,0))*0.99,100)</f>
        <v>0</v>
      </c>
      <c r="K643" s="113" t="s">
        <v>637</v>
      </c>
    </row>
    <row r="644" spans="1:11" ht="15" customHeight="1">
      <c r="A644" s="112">
        <f t="shared" si="34"/>
        <v>46174</v>
      </c>
      <c r="B644" s="113">
        <v>3</v>
      </c>
      <c r="C644" s="18" t="str">
        <f t="shared" si="36"/>
        <v>1030</v>
      </c>
      <c r="D644" s="113" t="str">
        <f>_xlfn.XLOOKUP($C644,'Cost Centers'!$A$2:$A$11,'Cost Centers'!$B$2:$B$11,"")</f>
        <v>Human Resources</v>
      </c>
      <c r="E644" s="113" t="s">
        <v>115</v>
      </c>
      <c r="F644" s="113" t="str">
        <f>_xlfn.XLOOKUP(E644,'Allocated Transactions'!D:D,'Allocated Transactions'!E:E,"")</f>
        <v>Professional Fees - Accounting/Audit</v>
      </c>
      <c r="G644" s="113" t="s">
        <v>97</v>
      </c>
      <c r="H644" s="113"/>
      <c r="I644" s="113" t="str">
        <f>_xlfn.XLOOKUP($C644,'Cost Centers'!$A$2:$A$11,'Cost Centers'!$C$2:$C$11,"")</f>
        <v>Admin</v>
      </c>
      <c r="J644" s="23">
        <f>MROUND(SUMIFS('Allocated Transactions'!$J:$J,'Allocated Transactions'!$D:$D,$E644,'Allocated Transactions'!$C:$C,$C644,'Allocated Transactions'!$A:$A,"&gt;="&amp;$A644,'Allocated Transactions'!$A:$A,"&lt;="&amp;EOMONTH($A644,0))*0.99,100)</f>
        <v>0</v>
      </c>
      <c r="K644" s="113" t="s">
        <v>637</v>
      </c>
    </row>
    <row r="645" spans="1:11" ht="15" customHeight="1">
      <c r="A645" s="112">
        <f t="shared" si="34"/>
        <v>46174</v>
      </c>
      <c r="B645" s="113">
        <v>3</v>
      </c>
      <c r="C645" s="18" t="str">
        <f t="shared" si="36"/>
        <v>1030</v>
      </c>
      <c r="D645" s="113" t="str">
        <f>_xlfn.XLOOKUP($C645,'Cost Centers'!$A$2:$A$11,'Cost Centers'!$B$2:$B$11,"")</f>
        <v>Human Resources</v>
      </c>
      <c r="E645" s="113" t="s">
        <v>117</v>
      </c>
      <c r="F645" s="113" t="str">
        <f>_xlfn.XLOOKUP(E645,'Allocated Transactions'!D:D,'Allocated Transactions'!E:E,"")</f>
        <v>Insurance</v>
      </c>
      <c r="G645" s="113" t="s">
        <v>97</v>
      </c>
      <c r="H645" s="113"/>
      <c r="I645" s="113" t="str">
        <f>_xlfn.XLOOKUP($C645,'Cost Centers'!$A$2:$A$11,'Cost Centers'!$C$2:$C$11,"")</f>
        <v>Admin</v>
      </c>
      <c r="J645" s="23">
        <f>MROUND(SUMIFS('Allocated Transactions'!$J:$J,'Allocated Transactions'!$D:$D,$E645,'Allocated Transactions'!$C:$C,$C645,'Allocated Transactions'!$A:$A,"&gt;="&amp;$A645,'Allocated Transactions'!$A:$A,"&lt;="&amp;EOMONTH($A645,0))*0.99,100)</f>
        <v>600</v>
      </c>
      <c r="K645" s="113" t="s">
        <v>637</v>
      </c>
    </row>
    <row r="646" spans="1:11" ht="15" customHeight="1">
      <c r="A646" s="112">
        <f t="shared" si="34"/>
        <v>46174</v>
      </c>
      <c r="B646" s="113">
        <v>3</v>
      </c>
      <c r="C646" s="18" t="str">
        <f t="shared" si="36"/>
        <v>1030</v>
      </c>
      <c r="D646" s="113" t="str">
        <f>_xlfn.XLOOKUP($C646,'Cost Centers'!$A$2:$A$11,'Cost Centers'!$B$2:$B$11,"")</f>
        <v>Human Resources</v>
      </c>
      <c r="E646" s="113" t="s">
        <v>119</v>
      </c>
      <c r="F646" s="113" t="str">
        <f>_xlfn.XLOOKUP(E646,'Allocated Transactions'!D:D,'Allocated Transactions'!E:E,"")</f>
        <v>Depreciation Expense</v>
      </c>
      <c r="G646" s="113" t="s">
        <v>97</v>
      </c>
      <c r="H646" s="113"/>
      <c r="I646" s="113" t="str">
        <f>_xlfn.XLOOKUP($C646,'Cost Centers'!$A$2:$A$11,'Cost Centers'!$C$2:$C$11,"")</f>
        <v>Admin</v>
      </c>
      <c r="J646" s="23">
        <f>MROUND(SUMIFS('Allocated Transactions'!$J:$J,'Allocated Transactions'!$D:$D,$E646,'Allocated Transactions'!$C:$C,$C646,'Allocated Transactions'!$A:$A,"&gt;="&amp;$A646,'Allocated Transactions'!$A:$A,"&lt;="&amp;EOMONTH($A646,0))*0.99,100)</f>
        <v>0</v>
      </c>
      <c r="K646" s="113" t="s">
        <v>637</v>
      </c>
    </row>
    <row r="647" spans="1:11" ht="15" customHeight="1">
      <c r="A647" s="112">
        <f t="shared" si="34"/>
        <v>46174</v>
      </c>
      <c r="B647" s="113">
        <v>3</v>
      </c>
      <c r="C647" s="18" t="str">
        <f t="shared" si="36"/>
        <v>1030</v>
      </c>
      <c r="D647" s="113" t="str">
        <f>_xlfn.XLOOKUP($C647,'Cost Centers'!$A$2:$A$11,'Cost Centers'!$B$2:$B$11,"")</f>
        <v>Human Resources</v>
      </c>
      <c r="E647" s="113" t="s">
        <v>121</v>
      </c>
      <c r="F647" s="113" t="str">
        <f>_xlfn.XLOOKUP(E647,'Allocated Transactions'!D:D,'Allocated Transactions'!E:E,"")</f>
        <v>Bank Fees</v>
      </c>
      <c r="G647" s="113" t="s">
        <v>97</v>
      </c>
      <c r="H647" s="113"/>
      <c r="I647" s="113" t="str">
        <f>_xlfn.XLOOKUP($C647,'Cost Centers'!$A$2:$A$11,'Cost Centers'!$C$2:$C$11,"")</f>
        <v>Admin</v>
      </c>
      <c r="J647" s="23">
        <f>MROUND(SUMIFS('Allocated Transactions'!$J:$J,'Allocated Transactions'!$D:$D,$E647,'Allocated Transactions'!$C:$C,$C647,'Allocated Transactions'!$A:$A,"&gt;="&amp;$A647,'Allocated Transactions'!$A:$A,"&lt;="&amp;EOMONTH($A647,0))*0.99,100)</f>
        <v>0</v>
      </c>
      <c r="K647" s="113" t="s">
        <v>637</v>
      </c>
    </row>
    <row r="648" spans="1:11" ht="15" customHeight="1">
      <c r="A648" s="112">
        <f t="shared" si="34"/>
        <v>46174</v>
      </c>
      <c r="B648" s="113">
        <v>3</v>
      </c>
      <c r="C648" s="18" t="str">
        <f t="shared" si="36"/>
        <v>1030</v>
      </c>
      <c r="D648" s="113" t="str">
        <f>_xlfn.XLOOKUP($C648,'Cost Centers'!$A$2:$A$11,'Cost Centers'!$B$2:$B$11,"")</f>
        <v>Human Resources</v>
      </c>
      <c r="E648" s="113" t="s">
        <v>123</v>
      </c>
      <c r="F648" s="113" t="str">
        <f>_xlfn.XLOOKUP(E648,'Allocated Transactions'!D:D,'Allocated Transactions'!E:E,"")</f>
        <v>Interest Expense</v>
      </c>
      <c r="G648" s="113" t="s">
        <v>97</v>
      </c>
      <c r="H648" s="113"/>
      <c r="I648" s="113" t="str">
        <f>_xlfn.XLOOKUP($C648,'Cost Centers'!$A$2:$A$11,'Cost Centers'!$C$2:$C$11,"")</f>
        <v>Admin</v>
      </c>
      <c r="J648" s="23">
        <f>MROUND(SUMIFS('Allocated Transactions'!$J:$J,'Allocated Transactions'!$D:$D,$E648,'Allocated Transactions'!$C:$C,$C648,'Allocated Transactions'!$A:$A,"&gt;="&amp;$A648,'Allocated Transactions'!$A:$A,"&lt;="&amp;EOMONTH($A648,0))*0.99,100)</f>
        <v>0</v>
      </c>
      <c r="K648" s="113" t="s">
        <v>637</v>
      </c>
    </row>
    <row r="649" spans="1:11" ht="15" customHeight="1">
      <c r="A649" s="112">
        <f t="shared" si="34"/>
        <v>46174</v>
      </c>
      <c r="B649" s="113">
        <v>3</v>
      </c>
      <c r="C649" s="18" t="str">
        <f t="shared" si="36"/>
        <v>1030</v>
      </c>
      <c r="D649" s="113" t="str">
        <f>_xlfn.XLOOKUP($C649,'Cost Centers'!$A$2:$A$11,'Cost Centers'!$B$2:$B$11,"")</f>
        <v>Human Resources</v>
      </c>
      <c r="E649" s="113" t="s">
        <v>125</v>
      </c>
      <c r="F649" s="113" t="str">
        <f>_xlfn.XLOOKUP(E649,'Allocated Transactions'!D:D,'Allocated Transactions'!E:E,"")</f>
        <v>Miscellaneous Expense</v>
      </c>
      <c r="G649" s="113" t="s">
        <v>97</v>
      </c>
      <c r="H649" s="113"/>
      <c r="I649" s="113" t="str">
        <f>_xlfn.XLOOKUP($C649,'Cost Centers'!$A$2:$A$11,'Cost Centers'!$C$2:$C$11,"")</f>
        <v>Admin</v>
      </c>
      <c r="J649" s="23">
        <f>MROUND(SUMIFS('Allocated Transactions'!$J:$J,'Allocated Transactions'!$D:$D,$E649,'Allocated Transactions'!$C:$C,$C649,'Allocated Transactions'!$A:$A,"&gt;="&amp;$A649,'Allocated Transactions'!$A:$A,"&lt;="&amp;EOMONTH($A649,0))*0.99,100)</f>
        <v>0</v>
      </c>
      <c r="K649" s="113" t="s">
        <v>637</v>
      </c>
    </row>
    <row r="650" spans="1:11" ht="15" customHeight="1">
      <c r="A650" s="112">
        <f t="shared" si="34"/>
        <v>45839</v>
      </c>
      <c r="B650" s="113">
        <v>4</v>
      </c>
      <c r="C650" s="18" t="s">
        <v>8</v>
      </c>
      <c r="D650" s="113" t="str">
        <f>_xlfn.XLOOKUP($C650,'Cost Centers'!$A$2:$A$11,'Cost Centers'!$B$2:$B$11,"")</f>
        <v>Finance</v>
      </c>
      <c r="E650" s="113" t="s">
        <v>28</v>
      </c>
      <c r="F650" s="113" t="str">
        <f>_xlfn.XLOOKUP(E650,'Allocated Transactions'!D:D,'Allocated Transactions'!E:E,"")</f>
        <v>Salaries and Wages</v>
      </c>
      <c r="G650" s="113" t="s">
        <v>97</v>
      </c>
      <c r="H650" s="113"/>
      <c r="I650" s="113" t="str">
        <f>_xlfn.XLOOKUP($C650,'Cost Centers'!$A$2:$A$11,'Cost Centers'!$C$2:$C$11,"")</f>
        <v>Admin</v>
      </c>
      <c r="J650" s="23">
        <f>MROUND(SUMIFS('Allocated Transactions'!$J:$J,'Allocated Transactions'!$D:$D,$E650,'Allocated Transactions'!$C:$C,$C650,'Allocated Transactions'!$A:$A,"&gt;="&amp;$A650,'Allocated Transactions'!$A:$A,"&lt;="&amp;EOMONTH($A650,0))*0.99,100)</f>
        <v>9700</v>
      </c>
      <c r="K650" s="113" t="s">
        <v>637</v>
      </c>
    </row>
    <row r="651" spans="1:11" ht="15" customHeight="1">
      <c r="A651" s="112">
        <f t="shared" si="34"/>
        <v>45839</v>
      </c>
      <c r="B651" s="113">
        <v>4</v>
      </c>
      <c r="C651" s="18" t="str">
        <f t="shared" ref="C651:C667" si="37">C650</f>
        <v>1040</v>
      </c>
      <c r="D651" s="113" t="str">
        <f>_xlfn.XLOOKUP($C651,'Cost Centers'!$A$2:$A$11,'Cost Centers'!$B$2:$B$11,"")</f>
        <v>Finance</v>
      </c>
      <c r="E651" s="113" t="s">
        <v>29</v>
      </c>
      <c r="F651" s="113" t="str">
        <f>_xlfn.XLOOKUP(E651,'Allocated Transactions'!D:D,'Allocated Transactions'!E:E,"")</f>
        <v>Payroll Taxes</v>
      </c>
      <c r="G651" s="113" t="s">
        <v>97</v>
      </c>
      <c r="H651" s="113"/>
      <c r="I651" s="113" t="str">
        <f>_xlfn.XLOOKUP($C651,'Cost Centers'!$A$2:$A$11,'Cost Centers'!$C$2:$C$11,"")</f>
        <v>Admin</v>
      </c>
      <c r="J651" s="23">
        <f>MROUND(SUMIFS('Allocated Transactions'!$J:$J,'Allocated Transactions'!$D:$D,$E651,'Allocated Transactions'!$C:$C,$C651,'Allocated Transactions'!$A:$A,"&gt;="&amp;$A651,'Allocated Transactions'!$A:$A,"&lt;="&amp;EOMONTH($A651,0))*0.99,100)</f>
        <v>700</v>
      </c>
      <c r="K651" s="113" t="s">
        <v>637</v>
      </c>
    </row>
    <row r="652" spans="1:11" ht="15" customHeight="1">
      <c r="A652" s="112">
        <f t="shared" si="34"/>
        <v>45839</v>
      </c>
      <c r="B652" s="113">
        <v>4</v>
      </c>
      <c r="C652" s="18" t="str">
        <f t="shared" si="37"/>
        <v>1040</v>
      </c>
      <c r="D652" s="113" t="str">
        <f>_xlfn.XLOOKUP($C652,'Cost Centers'!$A$2:$A$11,'Cost Centers'!$B$2:$B$11,"")</f>
        <v>Finance</v>
      </c>
      <c r="E652" s="113" t="s">
        <v>30</v>
      </c>
      <c r="F652" s="113" t="str">
        <f>_xlfn.XLOOKUP(E652,'Allocated Transactions'!D:D,'Allocated Transactions'!E:E,"")</f>
        <v>Employee Benefits</v>
      </c>
      <c r="G652" s="113" t="s">
        <v>97</v>
      </c>
      <c r="H652" s="113"/>
      <c r="I652" s="113" t="str">
        <f>_xlfn.XLOOKUP($C652,'Cost Centers'!$A$2:$A$11,'Cost Centers'!$C$2:$C$11,"")</f>
        <v>Admin</v>
      </c>
      <c r="J652" s="23">
        <f>MROUND(SUMIFS('Allocated Transactions'!$J:$J,'Allocated Transactions'!$D:$D,$E652,'Allocated Transactions'!$C:$C,$C652,'Allocated Transactions'!$A:$A,"&gt;="&amp;$A652,'Allocated Transactions'!$A:$A,"&lt;="&amp;EOMONTH($A652,0))*0.99,100)</f>
        <v>1700</v>
      </c>
      <c r="K652" s="113" t="s">
        <v>637</v>
      </c>
    </row>
    <row r="653" spans="1:11" ht="15" customHeight="1">
      <c r="A653" s="112">
        <f t="shared" si="34"/>
        <v>45839</v>
      </c>
      <c r="B653" s="113">
        <v>4</v>
      </c>
      <c r="C653" s="18" t="str">
        <f t="shared" si="37"/>
        <v>1040</v>
      </c>
      <c r="D653" s="113" t="str">
        <f>_xlfn.XLOOKUP($C653,'Cost Centers'!$A$2:$A$11,'Cost Centers'!$B$2:$B$11,"")</f>
        <v>Finance</v>
      </c>
      <c r="E653" s="113" t="s">
        <v>31</v>
      </c>
      <c r="F653" s="113" t="str">
        <f>_xlfn.XLOOKUP(E653,'Allocated Transactions'!D:D,'Allocated Transactions'!E:E,"")</f>
        <v>Retirement Contributions</v>
      </c>
      <c r="G653" s="113" t="s">
        <v>97</v>
      </c>
      <c r="H653" s="113"/>
      <c r="I653" s="113" t="str">
        <f>_xlfn.XLOOKUP($C653,'Cost Centers'!$A$2:$A$11,'Cost Centers'!$C$2:$C$11,"")</f>
        <v>Admin</v>
      </c>
      <c r="J653" s="23">
        <f>MROUND(SUMIFS('Allocated Transactions'!$J:$J,'Allocated Transactions'!$D:$D,$E653,'Allocated Transactions'!$C:$C,$C653,'Allocated Transactions'!$A:$A,"&gt;="&amp;$A653,'Allocated Transactions'!$A:$A,"&lt;="&amp;EOMONTH($A653,0))*0.99,100)</f>
        <v>300</v>
      </c>
      <c r="K653" s="113" t="s">
        <v>637</v>
      </c>
    </row>
    <row r="654" spans="1:11" ht="15" customHeight="1">
      <c r="A654" s="112">
        <f t="shared" si="34"/>
        <v>45839</v>
      </c>
      <c r="B654" s="113">
        <v>4</v>
      </c>
      <c r="C654" s="18" t="str">
        <f t="shared" si="37"/>
        <v>1040</v>
      </c>
      <c r="D654" s="113" t="str">
        <f>_xlfn.XLOOKUP($C654,'Cost Centers'!$A$2:$A$11,'Cost Centers'!$B$2:$B$11,"")</f>
        <v>Finance</v>
      </c>
      <c r="E654" s="113" t="s">
        <v>101</v>
      </c>
      <c r="F654" s="113" t="str">
        <f>_xlfn.XLOOKUP(E654,'Allocated Transactions'!D:D,'Allocated Transactions'!E:E,"")</f>
        <v>Contract Labor / Consultants</v>
      </c>
      <c r="G654" s="113" t="s">
        <v>97</v>
      </c>
      <c r="H654" s="113"/>
      <c r="I654" s="113" t="str">
        <f>_xlfn.XLOOKUP($C654,'Cost Centers'!$A$2:$A$11,'Cost Centers'!$C$2:$C$11,"")</f>
        <v>Admin</v>
      </c>
      <c r="J654" s="23">
        <f>MROUND(SUMIFS('Allocated Transactions'!$J:$J,'Allocated Transactions'!$D:$D,$E654,'Allocated Transactions'!$C:$C,$C654,'Allocated Transactions'!$A:$A,"&gt;="&amp;$A654,'Allocated Transactions'!$A:$A,"&lt;="&amp;EOMONTH($A654,0))*0.99,100)</f>
        <v>0</v>
      </c>
      <c r="K654" s="113" t="s">
        <v>637</v>
      </c>
    </row>
    <row r="655" spans="1:11" ht="15" customHeight="1">
      <c r="A655" s="112">
        <f t="shared" si="34"/>
        <v>45839</v>
      </c>
      <c r="B655" s="113">
        <v>4</v>
      </c>
      <c r="C655" s="18" t="str">
        <f t="shared" si="37"/>
        <v>1040</v>
      </c>
      <c r="D655" s="113" t="str">
        <f>_xlfn.XLOOKUP($C655,'Cost Centers'!$A$2:$A$11,'Cost Centers'!$B$2:$B$11,"")</f>
        <v>Finance</v>
      </c>
      <c r="E655" s="113" t="s">
        <v>32</v>
      </c>
      <c r="F655" s="113" t="str">
        <f>_xlfn.XLOOKUP(E655,'Allocated Transactions'!D:D,'Allocated Transactions'!E:E,"")</f>
        <v>Rent</v>
      </c>
      <c r="G655" s="113" t="s">
        <v>97</v>
      </c>
      <c r="H655" s="113"/>
      <c r="I655" s="113" t="str">
        <f>_xlfn.XLOOKUP($C655,'Cost Centers'!$A$2:$A$11,'Cost Centers'!$C$2:$C$11,"")</f>
        <v>Admin</v>
      </c>
      <c r="J655" s="23">
        <f>MROUND(SUMIFS('Allocated Transactions'!$J:$J,'Allocated Transactions'!$D:$D,$E655,'Allocated Transactions'!$C:$C,$C655,'Allocated Transactions'!$A:$A,"&gt;="&amp;$A655,'Allocated Transactions'!$A:$A,"&lt;="&amp;EOMONTH($A655,0))*0.99,100)</f>
        <v>800</v>
      </c>
      <c r="K655" s="113" t="s">
        <v>637</v>
      </c>
    </row>
    <row r="656" spans="1:11" ht="15" customHeight="1">
      <c r="A656" s="112">
        <f t="shared" si="34"/>
        <v>45839</v>
      </c>
      <c r="B656" s="113">
        <v>4</v>
      </c>
      <c r="C656" s="18" t="str">
        <f t="shared" si="37"/>
        <v>1040</v>
      </c>
      <c r="D656" s="113" t="str">
        <f>_xlfn.XLOOKUP($C656,'Cost Centers'!$A$2:$A$11,'Cost Centers'!$B$2:$B$11,"")</f>
        <v>Finance</v>
      </c>
      <c r="E656" s="113" t="s">
        <v>33</v>
      </c>
      <c r="F656" s="113" t="str">
        <f>_xlfn.XLOOKUP(E656,'Allocated Transactions'!D:D,'Allocated Transactions'!E:E,"")</f>
        <v>Utilities</v>
      </c>
      <c r="G656" s="113" t="s">
        <v>97</v>
      </c>
      <c r="H656" s="113"/>
      <c r="I656" s="113" t="str">
        <f>_xlfn.XLOOKUP($C656,'Cost Centers'!$A$2:$A$11,'Cost Centers'!$C$2:$C$11,"")</f>
        <v>Admin</v>
      </c>
      <c r="J656" s="23">
        <f>MROUND(SUMIFS('Allocated Transactions'!$J:$J,'Allocated Transactions'!$D:$D,$E656,'Allocated Transactions'!$C:$C,$C656,'Allocated Transactions'!$A:$A,"&gt;="&amp;$A656,'Allocated Transactions'!$A:$A,"&lt;="&amp;EOMONTH($A656,0))*0.99,100)</f>
        <v>100</v>
      </c>
      <c r="K656" s="113" t="s">
        <v>637</v>
      </c>
    </row>
    <row r="657" spans="1:11" ht="15" customHeight="1">
      <c r="A657" s="112">
        <f t="shared" si="34"/>
        <v>45839</v>
      </c>
      <c r="B657" s="113">
        <v>4</v>
      </c>
      <c r="C657" s="18" t="str">
        <f t="shared" si="37"/>
        <v>1040</v>
      </c>
      <c r="D657" s="113" t="str">
        <f>_xlfn.XLOOKUP($C657,'Cost Centers'!$A$2:$A$11,'Cost Centers'!$B$2:$B$11,"")</f>
        <v>Finance</v>
      </c>
      <c r="E657" s="113" t="s">
        <v>105</v>
      </c>
      <c r="F657" s="113" t="str">
        <f>_xlfn.XLOOKUP(E657,'Allocated Transactions'!D:D,'Allocated Transactions'!E:E,"")</f>
        <v>Office Supplies</v>
      </c>
      <c r="G657" s="113" t="s">
        <v>97</v>
      </c>
      <c r="H657" s="113"/>
      <c r="I657" s="113" t="str">
        <f>_xlfn.XLOOKUP($C657,'Cost Centers'!$A$2:$A$11,'Cost Centers'!$C$2:$C$11,"")</f>
        <v>Admin</v>
      </c>
      <c r="J657" s="23">
        <f>MROUND(SUMIFS('Allocated Transactions'!$J:$J,'Allocated Transactions'!$D:$D,$E657,'Allocated Transactions'!$C:$C,$C657,'Allocated Transactions'!$A:$A,"&gt;="&amp;$A657,'Allocated Transactions'!$A:$A,"&lt;="&amp;EOMONTH($A657,0))*0.99,100)</f>
        <v>0</v>
      </c>
      <c r="K657" s="113" t="s">
        <v>637</v>
      </c>
    </row>
    <row r="658" spans="1:11" ht="15" customHeight="1">
      <c r="A658" s="112">
        <f t="shared" si="34"/>
        <v>45839</v>
      </c>
      <c r="B658" s="113">
        <v>4</v>
      </c>
      <c r="C658" s="18" t="str">
        <f t="shared" si="37"/>
        <v>1040</v>
      </c>
      <c r="D658" s="113" t="str">
        <f>_xlfn.XLOOKUP($C658,'Cost Centers'!$A$2:$A$11,'Cost Centers'!$B$2:$B$11,"")</f>
        <v>Finance</v>
      </c>
      <c r="E658" s="113" t="s">
        <v>107</v>
      </c>
      <c r="F658" s="113" t="str">
        <f>_xlfn.XLOOKUP(E658,'Allocated Transactions'!D:D,'Allocated Transactions'!E:E,"")</f>
        <v>Software and Subscriptions</v>
      </c>
      <c r="G658" s="113" t="s">
        <v>97</v>
      </c>
      <c r="H658" s="113"/>
      <c r="I658" s="113" t="str">
        <f>_xlfn.XLOOKUP($C658,'Cost Centers'!$A$2:$A$11,'Cost Centers'!$C$2:$C$11,"")</f>
        <v>Admin</v>
      </c>
      <c r="J658" s="23">
        <f>MROUND(SUMIFS('Allocated Transactions'!$J:$J,'Allocated Transactions'!$D:$D,$E658,'Allocated Transactions'!$C:$C,$C658,'Allocated Transactions'!$A:$A,"&gt;="&amp;$A658,'Allocated Transactions'!$A:$A,"&lt;="&amp;EOMONTH($A658,0))*0.99,100)</f>
        <v>0</v>
      </c>
      <c r="K658" s="113" t="s">
        <v>637</v>
      </c>
    </row>
    <row r="659" spans="1:11" ht="15" customHeight="1">
      <c r="A659" s="112">
        <f t="shared" si="34"/>
        <v>45839</v>
      </c>
      <c r="B659" s="113">
        <v>4</v>
      </c>
      <c r="C659" s="18" t="str">
        <f t="shared" si="37"/>
        <v>1040</v>
      </c>
      <c r="D659" s="113" t="str">
        <f>_xlfn.XLOOKUP($C659,'Cost Centers'!$A$2:$A$11,'Cost Centers'!$B$2:$B$11,"")</f>
        <v>Finance</v>
      </c>
      <c r="E659" s="113" t="s">
        <v>109</v>
      </c>
      <c r="F659" s="113" t="str">
        <f>_xlfn.XLOOKUP(E659,'Allocated Transactions'!D:D,'Allocated Transactions'!E:E,"")</f>
        <v>Travel</v>
      </c>
      <c r="G659" s="113" t="s">
        <v>97</v>
      </c>
      <c r="H659" s="113"/>
      <c r="I659" s="113" t="str">
        <f>_xlfn.XLOOKUP($C659,'Cost Centers'!$A$2:$A$11,'Cost Centers'!$C$2:$C$11,"")</f>
        <v>Admin</v>
      </c>
      <c r="J659" s="23">
        <f>MROUND(SUMIFS('Allocated Transactions'!$J:$J,'Allocated Transactions'!$D:$D,$E659,'Allocated Transactions'!$C:$C,$C659,'Allocated Transactions'!$A:$A,"&gt;="&amp;$A659,'Allocated Transactions'!$A:$A,"&lt;="&amp;EOMONTH($A659,0))*0.99,100)</f>
        <v>0</v>
      </c>
      <c r="K659" s="113" t="s">
        <v>637</v>
      </c>
    </row>
    <row r="660" spans="1:11" ht="15" customHeight="1">
      <c r="A660" s="112">
        <f t="shared" si="34"/>
        <v>45839</v>
      </c>
      <c r="B660" s="113">
        <v>4</v>
      </c>
      <c r="C660" s="18" t="str">
        <f t="shared" si="37"/>
        <v>1040</v>
      </c>
      <c r="D660" s="113" t="str">
        <f>_xlfn.XLOOKUP($C660,'Cost Centers'!$A$2:$A$11,'Cost Centers'!$B$2:$B$11,"")</f>
        <v>Finance</v>
      </c>
      <c r="E660" s="113" t="s">
        <v>111</v>
      </c>
      <c r="F660" s="113" t="str">
        <f>_xlfn.XLOOKUP(E660,'Allocated Transactions'!D:D,'Allocated Transactions'!E:E,"")</f>
        <v>Meals and Entertainment</v>
      </c>
      <c r="G660" s="113" t="s">
        <v>97</v>
      </c>
      <c r="H660" s="113"/>
      <c r="I660" s="113" t="str">
        <f>_xlfn.XLOOKUP($C660,'Cost Centers'!$A$2:$A$11,'Cost Centers'!$C$2:$C$11,"")</f>
        <v>Admin</v>
      </c>
      <c r="J660" s="23">
        <f>MROUND(SUMIFS('Allocated Transactions'!$J:$J,'Allocated Transactions'!$D:$D,$E660,'Allocated Transactions'!$C:$C,$C660,'Allocated Transactions'!$A:$A,"&gt;="&amp;$A660,'Allocated Transactions'!$A:$A,"&lt;="&amp;EOMONTH($A660,0))*0.99,100)</f>
        <v>0</v>
      </c>
      <c r="K660" s="113" t="s">
        <v>637</v>
      </c>
    </row>
    <row r="661" spans="1:11" ht="15" customHeight="1">
      <c r="A661" s="112">
        <f t="shared" si="34"/>
        <v>45839</v>
      </c>
      <c r="B661" s="113">
        <v>4</v>
      </c>
      <c r="C661" s="18" t="str">
        <f t="shared" si="37"/>
        <v>1040</v>
      </c>
      <c r="D661" s="113" t="str">
        <f>_xlfn.XLOOKUP($C661,'Cost Centers'!$A$2:$A$11,'Cost Centers'!$B$2:$B$11,"")</f>
        <v>Finance</v>
      </c>
      <c r="E661" s="113" t="s">
        <v>113</v>
      </c>
      <c r="F661" s="113" t="str">
        <f>_xlfn.XLOOKUP(E661,'Allocated Transactions'!D:D,'Allocated Transactions'!E:E,"")</f>
        <v>Professional Fees - Legal</v>
      </c>
      <c r="G661" s="113" t="s">
        <v>97</v>
      </c>
      <c r="H661" s="113"/>
      <c r="I661" s="113" t="str">
        <f>_xlfn.XLOOKUP($C661,'Cost Centers'!$A$2:$A$11,'Cost Centers'!$C$2:$C$11,"")</f>
        <v>Admin</v>
      </c>
      <c r="J661" s="23">
        <f>MROUND(SUMIFS('Allocated Transactions'!$J:$J,'Allocated Transactions'!$D:$D,$E661,'Allocated Transactions'!$C:$C,$C661,'Allocated Transactions'!$A:$A,"&gt;="&amp;$A661,'Allocated Transactions'!$A:$A,"&lt;="&amp;EOMONTH($A661,0))*0.99,100)</f>
        <v>0</v>
      </c>
      <c r="K661" s="113" t="s">
        <v>637</v>
      </c>
    </row>
    <row r="662" spans="1:11" ht="15" customHeight="1">
      <c r="A662" s="112">
        <f t="shared" si="34"/>
        <v>45839</v>
      </c>
      <c r="B662" s="113">
        <v>4</v>
      </c>
      <c r="C662" s="18" t="str">
        <f t="shared" si="37"/>
        <v>1040</v>
      </c>
      <c r="D662" s="113" t="str">
        <f>_xlfn.XLOOKUP($C662,'Cost Centers'!$A$2:$A$11,'Cost Centers'!$B$2:$B$11,"")</f>
        <v>Finance</v>
      </c>
      <c r="E662" s="113" t="s">
        <v>115</v>
      </c>
      <c r="F662" s="113" t="str">
        <f>_xlfn.XLOOKUP(E662,'Allocated Transactions'!D:D,'Allocated Transactions'!E:E,"")</f>
        <v>Professional Fees - Accounting/Audit</v>
      </c>
      <c r="G662" s="113" t="s">
        <v>97</v>
      </c>
      <c r="H662" s="113"/>
      <c r="I662" s="113" t="str">
        <f>_xlfn.XLOOKUP($C662,'Cost Centers'!$A$2:$A$11,'Cost Centers'!$C$2:$C$11,"")</f>
        <v>Admin</v>
      </c>
      <c r="J662" s="23">
        <f>MROUND(SUMIFS('Allocated Transactions'!$J:$J,'Allocated Transactions'!$D:$D,$E662,'Allocated Transactions'!$C:$C,$C662,'Allocated Transactions'!$A:$A,"&gt;="&amp;$A662,'Allocated Transactions'!$A:$A,"&lt;="&amp;EOMONTH($A662,0))*0.99,100)</f>
        <v>0</v>
      </c>
      <c r="K662" s="113" t="s">
        <v>637</v>
      </c>
    </row>
    <row r="663" spans="1:11" ht="15" customHeight="1">
      <c r="A663" s="112">
        <f t="shared" si="34"/>
        <v>45839</v>
      </c>
      <c r="B663" s="113">
        <v>4</v>
      </c>
      <c r="C663" s="18" t="str">
        <f t="shared" si="37"/>
        <v>1040</v>
      </c>
      <c r="D663" s="113" t="str">
        <f>_xlfn.XLOOKUP($C663,'Cost Centers'!$A$2:$A$11,'Cost Centers'!$B$2:$B$11,"")</f>
        <v>Finance</v>
      </c>
      <c r="E663" s="113" t="s">
        <v>117</v>
      </c>
      <c r="F663" s="113" t="str">
        <f>_xlfn.XLOOKUP(E663,'Allocated Transactions'!D:D,'Allocated Transactions'!E:E,"")</f>
        <v>Insurance</v>
      </c>
      <c r="G663" s="113" t="s">
        <v>97</v>
      </c>
      <c r="H663" s="113"/>
      <c r="I663" s="113" t="str">
        <f>_xlfn.XLOOKUP($C663,'Cost Centers'!$A$2:$A$11,'Cost Centers'!$C$2:$C$11,"")</f>
        <v>Admin</v>
      </c>
      <c r="J663" s="23">
        <f>MROUND(SUMIFS('Allocated Transactions'!$J:$J,'Allocated Transactions'!$D:$D,$E663,'Allocated Transactions'!$C:$C,$C663,'Allocated Transactions'!$A:$A,"&gt;="&amp;$A663,'Allocated Transactions'!$A:$A,"&lt;="&amp;EOMONTH($A663,0))*0.99,100)</f>
        <v>600</v>
      </c>
      <c r="K663" s="113" t="s">
        <v>637</v>
      </c>
    </row>
    <row r="664" spans="1:11" ht="15" customHeight="1">
      <c r="A664" s="112">
        <f t="shared" si="34"/>
        <v>45839</v>
      </c>
      <c r="B664" s="113">
        <v>4</v>
      </c>
      <c r="C664" s="18" t="str">
        <f t="shared" si="37"/>
        <v>1040</v>
      </c>
      <c r="D664" s="113" t="str">
        <f>_xlfn.XLOOKUP($C664,'Cost Centers'!$A$2:$A$11,'Cost Centers'!$B$2:$B$11,"")</f>
        <v>Finance</v>
      </c>
      <c r="E664" s="113" t="s">
        <v>119</v>
      </c>
      <c r="F664" s="113" t="str">
        <f>_xlfn.XLOOKUP(E664,'Allocated Transactions'!D:D,'Allocated Transactions'!E:E,"")</f>
        <v>Depreciation Expense</v>
      </c>
      <c r="G664" s="113" t="s">
        <v>97</v>
      </c>
      <c r="H664" s="113"/>
      <c r="I664" s="113" t="str">
        <f>_xlfn.XLOOKUP($C664,'Cost Centers'!$A$2:$A$11,'Cost Centers'!$C$2:$C$11,"")</f>
        <v>Admin</v>
      </c>
      <c r="J664" s="23">
        <f>MROUND(SUMIFS('Allocated Transactions'!$J:$J,'Allocated Transactions'!$D:$D,$E664,'Allocated Transactions'!$C:$C,$C664,'Allocated Transactions'!$A:$A,"&gt;="&amp;$A664,'Allocated Transactions'!$A:$A,"&lt;="&amp;EOMONTH($A664,0))*0.99,100)</f>
        <v>0</v>
      </c>
      <c r="K664" s="113" t="s">
        <v>637</v>
      </c>
    </row>
    <row r="665" spans="1:11" ht="15" customHeight="1">
      <c r="A665" s="112">
        <f t="shared" ref="A665:A728" si="38">IF(C665&lt;&gt;C664,DATE(2025,7,1),IF(E665="5000",EOMONTH(A664,0)+1,A664))</f>
        <v>45839</v>
      </c>
      <c r="B665" s="113">
        <v>4</v>
      </c>
      <c r="C665" s="18" t="str">
        <f t="shared" si="37"/>
        <v>1040</v>
      </c>
      <c r="D665" s="113" t="str">
        <f>_xlfn.XLOOKUP($C665,'Cost Centers'!$A$2:$A$11,'Cost Centers'!$B$2:$B$11,"")</f>
        <v>Finance</v>
      </c>
      <c r="E665" s="113" t="s">
        <v>121</v>
      </c>
      <c r="F665" s="113" t="str">
        <f>_xlfn.XLOOKUP(E665,'Allocated Transactions'!D:D,'Allocated Transactions'!E:E,"")</f>
        <v>Bank Fees</v>
      </c>
      <c r="G665" s="113" t="s">
        <v>97</v>
      </c>
      <c r="H665" s="113"/>
      <c r="I665" s="113" t="str">
        <f>_xlfn.XLOOKUP($C665,'Cost Centers'!$A$2:$A$11,'Cost Centers'!$C$2:$C$11,"")</f>
        <v>Admin</v>
      </c>
      <c r="J665" s="23">
        <f>MROUND(SUMIFS('Allocated Transactions'!$J:$J,'Allocated Transactions'!$D:$D,$E665,'Allocated Transactions'!$C:$C,$C665,'Allocated Transactions'!$A:$A,"&gt;="&amp;$A665,'Allocated Transactions'!$A:$A,"&lt;="&amp;EOMONTH($A665,0))*0.99,100)</f>
        <v>0</v>
      </c>
      <c r="K665" s="113" t="s">
        <v>637</v>
      </c>
    </row>
    <row r="666" spans="1:11" ht="15" customHeight="1">
      <c r="A666" s="112">
        <f t="shared" si="38"/>
        <v>45839</v>
      </c>
      <c r="B666" s="113">
        <v>4</v>
      </c>
      <c r="C666" s="18" t="str">
        <f t="shared" si="37"/>
        <v>1040</v>
      </c>
      <c r="D666" s="113" t="str">
        <f>_xlfn.XLOOKUP($C666,'Cost Centers'!$A$2:$A$11,'Cost Centers'!$B$2:$B$11,"")</f>
        <v>Finance</v>
      </c>
      <c r="E666" s="113" t="s">
        <v>123</v>
      </c>
      <c r="F666" s="113" t="str">
        <f>_xlfn.XLOOKUP(E666,'Allocated Transactions'!D:D,'Allocated Transactions'!E:E,"")</f>
        <v>Interest Expense</v>
      </c>
      <c r="G666" s="113" t="s">
        <v>97</v>
      </c>
      <c r="H666" s="113"/>
      <c r="I666" s="113" t="str">
        <f>_xlfn.XLOOKUP($C666,'Cost Centers'!$A$2:$A$11,'Cost Centers'!$C$2:$C$11,"")</f>
        <v>Admin</v>
      </c>
      <c r="J666" s="23">
        <f>MROUND(SUMIFS('Allocated Transactions'!$J:$J,'Allocated Transactions'!$D:$D,$E666,'Allocated Transactions'!$C:$C,$C666,'Allocated Transactions'!$A:$A,"&gt;="&amp;$A666,'Allocated Transactions'!$A:$A,"&lt;="&amp;EOMONTH($A666,0))*0.99,100)</f>
        <v>0</v>
      </c>
      <c r="K666" s="113" t="s">
        <v>637</v>
      </c>
    </row>
    <row r="667" spans="1:11" ht="15" customHeight="1">
      <c r="A667" s="112">
        <f t="shared" si="38"/>
        <v>45839</v>
      </c>
      <c r="B667" s="113">
        <v>4</v>
      </c>
      <c r="C667" s="18" t="str">
        <f t="shared" si="37"/>
        <v>1040</v>
      </c>
      <c r="D667" s="113" t="str">
        <f>_xlfn.XLOOKUP($C667,'Cost Centers'!$A$2:$A$11,'Cost Centers'!$B$2:$B$11,"")</f>
        <v>Finance</v>
      </c>
      <c r="E667" s="113" t="s">
        <v>125</v>
      </c>
      <c r="F667" s="113" t="str">
        <f>_xlfn.XLOOKUP(E667,'Allocated Transactions'!D:D,'Allocated Transactions'!E:E,"")</f>
        <v>Miscellaneous Expense</v>
      </c>
      <c r="G667" s="113" t="s">
        <v>97</v>
      </c>
      <c r="H667" s="113"/>
      <c r="I667" s="113" t="str">
        <f>_xlfn.XLOOKUP($C667,'Cost Centers'!$A$2:$A$11,'Cost Centers'!$C$2:$C$11,"")</f>
        <v>Admin</v>
      </c>
      <c r="J667" s="23">
        <f>MROUND(SUMIFS('Allocated Transactions'!$J:$J,'Allocated Transactions'!$D:$D,$E667,'Allocated Transactions'!$C:$C,$C667,'Allocated Transactions'!$A:$A,"&gt;="&amp;$A667,'Allocated Transactions'!$A:$A,"&lt;="&amp;EOMONTH($A667,0))*0.99,100)</f>
        <v>0</v>
      </c>
      <c r="K667" s="113" t="s">
        <v>637</v>
      </c>
    </row>
    <row r="668" spans="1:11" ht="15" customHeight="1">
      <c r="A668" s="112">
        <f t="shared" si="38"/>
        <v>45870</v>
      </c>
      <c r="B668" s="113">
        <v>4</v>
      </c>
      <c r="C668" s="18" t="s">
        <v>8</v>
      </c>
      <c r="D668" s="113" t="str">
        <f>_xlfn.XLOOKUP($C668,'Cost Centers'!$A$2:$A$11,'Cost Centers'!$B$2:$B$11,"")</f>
        <v>Finance</v>
      </c>
      <c r="E668" s="113" t="s">
        <v>28</v>
      </c>
      <c r="F668" s="113" t="str">
        <f>_xlfn.XLOOKUP(E668,'Allocated Transactions'!D:D,'Allocated Transactions'!E:E,"")</f>
        <v>Salaries and Wages</v>
      </c>
      <c r="G668" s="113" t="s">
        <v>97</v>
      </c>
      <c r="H668" s="113"/>
      <c r="I668" s="113" t="str">
        <f>_xlfn.XLOOKUP($C668,'Cost Centers'!$A$2:$A$11,'Cost Centers'!$C$2:$C$11,"")</f>
        <v>Admin</v>
      </c>
      <c r="J668" s="23">
        <f>MROUND(SUMIFS('Allocated Transactions'!$J:$J,'Allocated Transactions'!$D:$D,$E668,'Allocated Transactions'!$C:$C,$C668,'Allocated Transactions'!$A:$A,"&gt;="&amp;$A668,'Allocated Transactions'!$A:$A,"&lt;="&amp;EOMONTH($A668,0))*0.99,100)</f>
        <v>9900</v>
      </c>
      <c r="K668" s="113" t="s">
        <v>637</v>
      </c>
    </row>
    <row r="669" spans="1:11" ht="15" customHeight="1">
      <c r="A669" s="112">
        <f t="shared" si="38"/>
        <v>45870</v>
      </c>
      <c r="B669" s="113">
        <v>4</v>
      </c>
      <c r="C669" s="18" t="str">
        <f t="shared" ref="C669:C685" si="39">C668</f>
        <v>1040</v>
      </c>
      <c r="D669" s="113" t="str">
        <f>_xlfn.XLOOKUP($C669,'Cost Centers'!$A$2:$A$11,'Cost Centers'!$B$2:$B$11,"")</f>
        <v>Finance</v>
      </c>
      <c r="E669" s="113" t="s">
        <v>29</v>
      </c>
      <c r="F669" s="113" t="str">
        <f>_xlfn.XLOOKUP(E669,'Allocated Transactions'!D:D,'Allocated Transactions'!E:E,"")</f>
        <v>Payroll Taxes</v>
      </c>
      <c r="G669" s="113" t="s">
        <v>97</v>
      </c>
      <c r="H669" s="113"/>
      <c r="I669" s="113" t="str">
        <f>_xlfn.XLOOKUP($C669,'Cost Centers'!$A$2:$A$11,'Cost Centers'!$C$2:$C$11,"")</f>
        <v>Admin</v>
      </c>
      <c r="J669" s="23">
        <f>MROUND(SUMIFS('Allocated Transactions'!$J:$J,'Allocated Transactions'!$D:$D,$E669,'Allocated Transactions'!$C:$C,$C669,'Allocated Transactions'!$A:$A,"&gt;="&amp;$A669,'Allocated Transactions'!$A:$A,"&lt;="&amp;EOMONTH($A669,0))*0.99,100)</f>
        <v>800</v>
      </c>
      <c r="K669" s="113" t="s">
        <v>637</v>
      </c>
    </row>
    <row r="670" spans="1:11" ht="15" customHeight="1">
      <c r="A670" s="112">
        <f t="shared" si="38"/>
        <v>45870</v>
      </c>
      <c r="B670" s="113">
        <v>4</v>
      </c>
      <c r="C670" s="18" t="str">
        <f t="shared" si="39"/>
        <v>1040</v>
      </c>
      <c r="D670" s="113" t="str">
        <f>_xlfn.XLOOKUP($C670,'Cost Centers'!$A$2:$A$11,'Cost Centers'!$B$2:$B$11,"")</f>
        <v>Finance</v>
      </c>
      <c r="E670" s="113" t="s">
        <v>30</v>
      </c>
      <c r="F670" s="113" t="str">
        <f>_xlfn.XLOOKUP(E670,'Allocated Transactions'!D:D,'Allocated Transactions'!E:E,"")</f>
        <v>Employee Benefits</v>
      </c>
      <c r="G670" s="113" t="s">
        <v>97</v>
      </c>
      <c r="H670" s="113"/>
      <c r="I670" s="113" t="str">
        <f>_xlfn.XLOOKUP($C670,'Cost Centers'!$A$2:$A$11,'Cost Centers'!$C$2:$C$11,"")</f>
        <v>Admin</v>
      </c>
      <c r="J670" s="23">
        <f>MROUND(SUMIFS('Allocated Transactions'!$J:$J,'Allocated Transactions'!$D:$D,$E670,'Allocated Transactions'!$C:$C,$C670,'Allocated Transactions'!$A:$A,"&gt;="&amp;$A670,'Allocated Transactions'!$A:$A,"&lt;="&amp;EOMONTH($A670,0))*0.99,100)</f>
        <v>1900</v>
      </c>
      <c r="K670" s="113" t="s">
        <v>637</v>
      </c>
    </row>
    <row r="671" spans="1:11" ht="15" customHeight="1">
      <c r="A671" s="112">
        <f t="shared" si="38"/>
        <v>45870</v>
      </c>
      <c r="B671" s="113">
        <v>4</v>
      </c>
      <c r="C671" s="18" t="str">
        <f t="shared" si="39"/>
        <v>1040</v>
      </c>
      <c r="D671" s="113" t="str">
        <f>_xlfn.XLOOKUP($C671,'Cost Centers'!$A$2:$A$11,'Cost Centers'!$B$2:$B$11,"")</f>
        <v>Finance</v>
      </c>
      <c r="E671" s="113" t="s">
        <v>31</v>
      </c>
      <c r="F671" s="113" t="str">
        <f>_xlfn.XLOOKUP(E671,'Allocated Transactions'!D:D,'Allocated Transactions'!E:E,"")</f>
        <v>Retirement Contributions</v>
      </c>
      <c r="G671" s="113" t="s">
        <v>97</v>
      </c>
      <c r="H671" s="113"/>
      <c r="I671" s="113" t="str">
        <f>_xlfn.XLOOKUP($C671,'Cost Centers'!$A$2:$A$11,'Cost Centers'!$C$2:$C$11,"")</f>
        <v>Admin</v>
      </c>
      <c r="J671" s="23">
        <f>MROUND(SUMIFS('Allocated Transactions'!$J:$J,'Allocated Transactions'!$D:$D,$E671,'Allocated Transactions'!$C:$C,$C671,'Allocated Transactions'!$A:$A,"&gt;="&amp;$A671,'Allocated Transactions'!$A:$A,"&lt;="&amp;EOMONTH($A671,0))*0.99,100)</f>
        <v>300</v>
      </c>
      <c r="K671" s="113" t="s">
        <v>637</v>
      </c>
    </row>
    <row r="672" spans="1:11" ht="15" customHeight="1">
      <c r="A672" s="112">
        <f t="shared" si="38"/>
        <v>45870</v>
      </c>
      <c r="B672" s="113">
        <v>4</v>
      </c>
      <c r="C672" s="18" t="str">
        <f t="shared" si="39"/>
        <v>1040</v>
      </c>
      <c r="D672" s="113" t="str">
        <f>_xlfn.XLOOKUP($C672,'Cost Centers'!$A$2:$A$11,'Cost Centers'!$B$2:$B$11,"")</f>
        <v>Finance</v>
      </c>
      <c r="E672" s="113" t="s">
        <v>101</v>
      </c>
      <c r="F672" s="113" t="str">
        <f>_xlfn.XLOOKUP(E672,'Allocated Transactions'!D:D,'Allocated Transactions'!E:E,"")</f>
        <v>Contract Labor / Consultants</v>
      </c>
      <c r="G672" s="113" t="s">
        <v>97</v>
      </c>
      <c r="H672" s="113"/>
      <c r="I672" s="113" t="str">
        <f>_xlfn.XLOOKUP($C672,'Cost Centers'!$A$2:$A$11,'Cost Centers'!$C$2:$C$11,"")</f>
        <v>Admin</v>
      </c>
      <c r="J672" s="23">
        <f>MROUND(SUMIFS('Allocated Transactions'!$J:$J,'Allocated Transactions'!$D:$D,$E672,'Allocated Transactions'!$C:$C,$C672,'Allocated Transactions'!$A:$A,"&gt;="&amp;$A672,'Allocated Transactions'!$A:$A,"&lt;="&amp;EOMONTH($A672,0))*0.99,100)</f>
        <v>0</v>
      </c>
      <c r="K672" s="113" t="s">
        <v>637</v>
      </c>
    </row>
    <row r="673" spans="1:11" ht="15" customHeight="1">
      <c r="A673" s="112">
        <f t="shared" si="38"/>
        <v>45870</v>
      </c>
      <c r="B673" s="113">
        <v>4</v>
      </c>
      <c r="C673" s="18" t="str">
        <f t="shared" si="39"/>
        <v>1040</v>
      </c>
      <c r="D673" s="113" t="str">
        <f>_xlfn.XLOOKUP($C673,'Cost Centers'!$A$2:$A$11,'Cost Centers'!$B$2:$B$11,"")</f>
        <v>Finance</v>
      </c>
      <c r="E673" s="113" t="s">
        <v>32</v>
      </c>
      <c r="F673" s="113" t="str">
        <f>_xlfn.XLOOKUP(E673,'Allocated Transactions'!D:D,'Allocated Transactions'!E:E,"")</f>
        <v>Rent</v>
      </c>
      <c r="G673" s="113" t="s">
        <v>97</v>
      </c>
      <c r="H673" s="113"/>
      <c r="I673" s="113" t="str">
        <f>_xlfn.XLOOKUP($C673,'Cost Centers'!$A$2:$A$11,'Cost Centers'!$C$2:$C$11,"")</f>
        <v>Admin</v>
      </c>
      <c r="J673" s="23">
        <f>MROUND(SUMIFS('Allocated Transactions'!$J:$J,'Allocated Transactions'!$D:$D,$E673,'Allocated Transactions'!$C:$C,$C673,'Allocated Transactions'!$A:$A,"&gt;="&amp;$A673,'Allocated Transactions'!$A:$A,"&lt;="&amp;EOMONTH($A673,0))*0.99,100)</f>
        <v>800</v>
      </c>
      <c r="K673" s="113" t="s">
        <v>637</v>
      </c>
    </row>
    <row r="674" spans="1:11" ht="15" customHeight="1">
      <c r="A674" s="112">
        <f t="shared" si="38"/>
        <v>45870</v>
      </c>
      <c r="B674" s="113">
        <v>4</v>
      </c>
      <c r="C674" s="18" t="str">
        <f t="shared" si="39"/>
        <v>1040</v>
      </c>
      <c r="D674" s="113" t="str">
        <f>_xlfn.XLOOKUP($C674,'Cost Centers'!$A$2:$A$11,'Cost Centers'!$B$2:$B$11,"")</f>
        <v>Finance</v>
      </c>
      <c r="E674" s="113" t="s">
        <v>33</v>
      </c>
      <c r="F674" s="113" t="str">
        <f>_xlfn.XLOOKUP(E674,'Allocated Transactions'!D:D,'Allocated Transactions'!E:E,"")</f>
        <v>Utilities</v>
      </c>
      <c r="G674" s="113" t="s">
        <v>97</v>
      </c>
      <c r="H674" s="113"/>
      <c r="I674" s="113" t="str">
        <f>_xlfn.XLOOKUP($C674,'Cost Centers'!$A$2:$A$11,'Cost Centers'!$C$2:$C$11,"")</f>
        <v>Admin</v>
      </c>
      <c r="J674" s="23">
        <f>MROUND(SUMIFS('Allocated Transactions'!$J:$J,'Allocated Transactions'!$D:$D,$E674,'Allocated Transactions'!$C:$C,$C674,'Allocated Transactions'!$A:$A,"&gt;="&amp;$A674,'Allocated Transactions'!$A:$A,"&lt;="&amp;EOMONTH($A674,0))*0.99,100)</f>
        <v>100</v>
      </c>
      <c r="K674" s="113" t="s">
        <v>637</v>
      </c>
    </row>
    <row r="675" spans="1:11" ht="15" customHeight="1">
      <c r="A675" s="112">
        <f t="shared" si="38"/>
        <v>45870</v>
      </c>
      <c r="B675" s="113">
        <v>4</v>
      </c>
      <c r="C675" s="18" t="str">
        <f t="shared" si="39"/>
        <v>1040</v>
      </c>
      <c r="D675" s="113" t="str">
        <f>_xlfn.XLOOKUP($C675,'Cost Centers'!$A$2:$A$11,'Cost Centers'!$B$2:$B$11,"")</f>
        <v>Finance</v>
      </c>
      <c r="E675" s="113" t="s">
        <v>105</v>
      </c>
      <c r="F675" s="113" t="str">
        <f>_xlfn.XLOOKUP(E675,'Allocated Transactions'!D:D,'Allocated Transactions'!E:E,"")</f>
        <v>Office Supplies</v>
      </c>
      <c r="G675" s="113" t="s">
        <v>97</v>
      </c>
      <c r="H675" s="113"/>
      <c r="I675" s="113" t="str">
        <f>_xlfn.XLOOKUP($C675,'Cost Centers'!$A$2:$A$11,'Cost Centers'!$C$2:$C$11,"")</f>
        <v>Admin</v>
      </c>
      <c r="J675" s="23">
        <f>MROUND(SUMIFS('Allocated Transactions'!$J:$J,'Allocated Transactions'!$D:$D,$E675,'Allocated Transactions'!$C:$C,$C675,'Allocated Transactions'!$A:$A,"&gt;="&amp;$A675,'Allocated Transactions'!$A:$A,"&lt;="&amp;EOMONTH($A675,0))*0.99,100)</f>
        <v>600</v>
      </c>
      <c r="K675" s="113" t="s">
        <v>637</v>
      </c>
    </row>
    <row r="676" spans="1:11" ht="15" customHeight="1">
      <c r="A676" s="112">
        <f t="shared" si="38"/>
        <v>45870</v>
      </c>
      <c r="B676" s="113">
        <v>4</v>
      </c>
      <c r="C676" s="18" t="str">
        <f t="shared" si="39"/>
        <v>1040</v>
      </c>
      <c r="D676" s="113" t="str">
        <f>_xlfn.XLOOKUP($C676,'Cost Centers'!$A$2:$A$11,'Cost Centers'!$B$2:$B$11,"")</f>
        <v>Finance</v>
      </c>
      <c r="E676" s="113" t="s">
        <v>107</v>
      </c>
      <c r="F676" s="113" t="str">
        <f>_xlfn.XLOOKUP(E676,'Allocated Transactions'!D:D,'Allocated Transactions'!E:E,"")</f>
        <v>Software and Subscriptions</v>
      </c>
      <c r="G676" s="113" t="s">
        <v>97</v>
      </c>
      <c r="H676" s="113"/>
      <c r="I676" s="113" t="str">
        <f>_xlfn.XLOOKUP($C676,'Cost Centers'!$A$2:$A$11,'Cost Centers'!$C$2:$C$11,"")</f>
        <v>Admin</v>
      </c>
      <c r="J676" s="23">
        <f>MROUND(SUMIFS('Allocated Transactions'!$J:$J,'Allocated Transactions'!$D:$D,$E676,'Allocated Transactions'!$C:$C,$C676,'Allocated Transactions'!$A:$A,"&gt;="&amp;$A676,'Allocated Transactions'!$A:$A,"&lt;="&amp;EOMONTH($A676,0))*0.99,100)</f>
        <v>0</v>
      </c>
      <c r="K676" s="113" t="s">
        <v>637</v>
      </c>
    </row>
    <row r="677" spans="1:11" ht="15" customHeight="1">
      <c r="A677" s="112">
        <f t="shared" si="38"/>
        <v>45870</v>
      </c>
      <c r="B677" s="113">
        <v>4</v>
      </c>
      <c r="C677" s="18" t="str">
        <f t="shared" si="39"/>
        <v>1040</v>
      </c>
      <c r="D677" s="113" t="str">
        <f>_xlfn.XLOOKUP($C677,'Cost Centers'!$A$2:$A$11,'Cost Centers'!$B$2:$B$11,"")</f>
        <v>Finance</v>
      </c>
      <c r="E677" s="113" t="s">
        <v>109</v>
      </c>
      <c r="F677" s="113" t="str">
        <f>_xlfn.XLOOKUP(E677,'Allocated Transactions'!D:D,'Allocated Transactions'!E:E,"")</f>
        <v>Travel</v>
      </c>
      <c r="G677" s="113" t="s">
        <v>97</v>
      </c>
      <c r="H677" s="113"/>
      <c r="I677" s="113" t="str">
        <f>_xlfn.XLOOKUP($C677,'Cost Centers'!$A$2:$A$11,'Cost Centers'!$C$2:$C$11,"")</f>
        <v>Admin</v>
      </c>
      <c r="J677" s="23">
        <f>MROUND(SUMIFS('Allocated Transactions'!$J:$J,'Allocated Transactions'!$D:$D,$E677,'Allocated Transactions'!$C:$C,$C677,'Allocated Transactions'!$A:$A,"&gt;="&amp;$A677,'Allocated Transactions'!$A:$A,"&lt;="&amp;EOMONTH($A677,0))*0.99,100)</f>
        <v>0</v>
      </c>
      <c r="K677" s="113" t="s">
        <v>637</v>
      </c>
    </row>
    <row r="678" spans="1:11" ht="15" customHeight="1">
      <c r="A678" s="112">
        <f t="shared" si="38"/>
        <v>45870</v>
      </c>
      <c r="B678" s="113">
        <v>4</v>
      </c>
      <c r="C678" s="18" t="str">
        <f t="shared" si="39"/>
        <v>1040</v>
      </c>
      <c r="D678" s="113" t="str">
        <f>_xlfn.XLOOKUP($C678,'Cost Centers'!$A$2:$A$11,'Cost Centers'!$B$2:$B$11,"")</f>
        <v>Finance</v>
      </c>
      <c r="E678" s="113" t="s">
        <v>111</v>
      </c>
      <c r="F678" s="113" t="str">
        <f>_xlfn.XLOOKUP(E678,'Allocated Transactions'!D:D,'Allocated Transactions'!E:E,"")</f>
        <v>Meals and Entertainment</v>
      </c>
      <c r="G678" s="113" t="s">
        <v>97</v>
      </c>
      <c r="H678" s="113"/>
      <c r="I678" s="113" t="str">
        <f>_xlfn.XLOOKUP($C678,'Cost Centers'!$A$2:$A$11,'Cost Centers'!$C$2:$C$11,"")</f>
        <v>Admin</v>
      </c>
      <c r="J678" s="23">
        <f>MROUND(SUMIFS('Allocated Transactions'!$J:$J,'Allocated Transactions'!$D:$D,$E678,'Allocated Transactions'!$C:$C,$C678,'Allocated Transactions'!$A:$A,"&gt;="&amp;$A678,'Allocated Transactions'!$A:$A,"&lt;="&amp;EOMONTH($A678,0))*0.99,100)</f>
        <v>0</v>
      </c>
      <c r="K678" s="113" t="s">
        <v>637</v>
      </c>
    </row>
    <row r="679" spans="1:11" ht="15" customHeight="1">
      <c r="A679" s="112">
        <f t="shared" si="38"/>
        <v>45870</v>
      </c>
      <c r="B679" s="113">
        <v>4</v>
      </c>
      <c r="C679" s="18" t="str">
        <f t="shared" si="39"/>
        <v>1040</v>
      </c>
      <c r="D679" s="113" t="str">
        <f>_xlfn.XLOOKUP($C679,'Cost Centers'!$A$2:$A$11,'Cost Centers'!$B$2:$B$11,"")</f>
        <v>Finance</v>
      </c>
      <c r="E679" s="113" t="s">
        <v>113</v>
      </c>
      <c r="F679" s="113" t="str">
        <f>_xlfn.XLOOKUP(E679,'Allocated Transactions'!D:D,'Allocated Transactions'!E:E,"")</f>
        <v>Professional Fees - Legal</v>
      </c>
      <c r="G679" s="113" t="s">
        <v>97</v>
      </c>
      <c r="H679" s="113"/>
      <c r="I679" s="113" t="str">
        <f>_xlfn.XLOOKUP($C679,'Cost Centers'!$A$2:$A$11,'Cost Centers'!$C$2:$C$11,"")</f>
        <v>Admin</v>
      </c>
      <c r="J679" s="23">
        <f>MROUND(SUMIFS('Allocated Transactions'!$J:$J,'Allocated Transactions'!$D:$D,$E679,'Allocated Transactions'!$C:$C,$C679,'Allocated Transactions'!$A:$A,"&gt;="&amp;$A679,'Allocated Transactions'!$A:$A,"&lt;="&amp;EOMONTH($A679,0))*0.99,100)</f>
        <v>0</v>
      </c>
      <c r="K679" s="113" t="s">
        <v>637</v>
      </c>
    </row>
    <row r="680" spans="1:11" ht="15" customHeight="1">
      <c r="A680" s="112">
        <f t="shared" si="38"/>
        <v>45870</v>
      </c>
      <c r="B680" s="113">
        <v>4</v>
      </c>
      <c r="C680" s="18" t="str">
        <f t="shared" si="39"/>
        <v>1040</v>
      </c>
      <c r="D680" s="113" t="str">
        <f>_xlfn.XLOOKUP($C680,'Cost Centers'!$A$2:$A$11,'Cost Centers'!$B$2:$B$11,"")</f>
        <v>Finance</v>
      </c>
      <c r="E680" s="113" t="s">
        <v>115</v>
      </c>
      <c r="F680" s="113" t="str">
        <f>_xlfn.XLOOKUP(E680,'Allocated Transactions'!D:D,'Allocated Transactions'!E:E,"")</f>
        <v>Professional Fees - Accounting/Audit</v>
      </c>
      <c r="G680" s="113" t="s">
        <v>97</v>
      </c>
      <c r="H680" s="113"/>
      <c r="I680" s="113" t="str">
        <f>_xlfn.XLOOKUP($C680,'Cost Centers'!$A$2:$A$11,'Cost Centers'!$C$2:$C$11,"")</f>
        <v>Admin</v>
      </c>
      <c r="J680" s="23">
        <f>MROUND(SUMIFS('Allocated Transactions'!$J:$J,'Allocated Transactions'!$D:$D,$E680,'Allocated Transactions'!$C:$C,$C680,'Allocated Transactions'!$A:$A,"&gt;="&amp;$A680,'Allocated Transactions'!$A:$A,"&lt;="&amp;EOMONTH($A680,0))*0.99,100)</f>
        <v>0</v>
      </c>
      <c r="K680" s="113" t="s">
        <v>637</v>
      </c>
    </row>
    <row r="681" spans="1:11" ht="15" customHeight="1">
      <c r="A681" s="112">
        <f t="shared" si="38"/>
        <v>45870</v>
      </c>
      <c r="B681" s="113">
        <v>4</v>
      </c>
      <c r="C681" s="18" t="str">
        <f t="shared" si="39"/>
        <v>1040</v>
      </c>
      <c r="D681" s="113" t="str">
        <f>_xlfn.XLOOKUP($C681,'Cost Centers'!$A$2:$A$11,'Cost Centers'!$B$2:$B$11,"")</f>
        <v>Finance</v>
      </c>
      <c r="E681" s="113" t="s">
        <v>117</v>
      </c>
      <c r="F681" s="113" t="str">
        <f>_xlfn.XLOOKUP(E681,'Allocated Transactions'!D:D,'Allocated Transactions'!E:E,"")</f>
        <v>Insurance</v>
      </c>
      <c r="G681" s="113" t="s">
        <v>97</v>
      </c>
      <c r="H681" s="113"/>
      <c r="I681" s="113" t="str">
        <f>_xlfn.XLOOKUP($C681,'Cost Centers'!$A$2:$A$11,'Cost Centers'!$C$2:$C$11,"")</f>
        <v>Admin</v>
      </c>
      <c r="J681" s="23">
        <f>MROUND(SUMIFS('Allocated Transactions'!$J:$J,'Allocated Transactions'!$D:$D,$E681,'Allocated Transactions'!$C:$C,$C681,'Allocated Transactions'!$A:$A,"&gt;="&amp;$A681,'Allocated Transactions'!$A:$A,"&lt;="&amp;EOMONTH($A681,0))*0.99,100)</f>
        <v>600</v>
      </c>
      <c r="K681" s="113" t="s">
        <v>637</v>
      </c>
    </row>
    <row r="682" spans="1:11" ht="15" customHeight="1">
      <c r="A682" s="112">
        <f t="shared" si="38"/>
        <v>45870</v>
      </c>
      <c r="B682" s="113">
        <v>4</v>
      </c>
      <c r="C682" s="18" t="str">
        <f t="shared" si="39"/>
        <v>1040</v>
      </c>
      <c r="D682" s="113" t="str">
        <f>_xlfn.XLOOKUP($C682,'Cost Centers'!$A$2:$A$11,'Cost Centers'!$B$2:$B$11,"")</f>
        <v>Finance</v>
      </c>
      <c r="E682" s="113" t="s">
        <v>119</v>
      </c>
      <c r="F682" s="113" t="str">
        <f>_xlfn.XLOOKUP(E682,'Allocated Transactions'!D:D,'Allocated Transactions'!E:E,"")</f>
        <v>Depreciation Expense</v>
      </c>
      <c r="G682" s="113" t="s">
        <v>97</v>
      </c>
      <c r="H682" s="113"/>
      <c r="I682" s="113" t="str">
        <f>_xlfn.XLOOKUP($C682,'Cost Centers'!$A$2:$A$11,'Cost Centers'!$C$2:$C$11,"")</f>
        <v>Admin</v>
      </c>
      <c r="J682" s="23">
        <f>MROUND(SUMIFS('Allocated Transactions'!$J:$J,'Allocated Transactions'!$D:$D,$E682,'Allocated Transactions'!$C:$C,$C682,'Allocated Transactions'!$A:$A,"&gt;="&amp;$A682,'Allocated Transactions'!$A:$A,"&lt;="&amp;EOMONTH($A682,0))*0.99,100)</f>
        <v>0</v>
      </c>
      <c r="K682" s="113" t="s">
        <v>637</v>
      </c>
    </row>
    <row r="683" spans="1:11" ht="15" customHeight="1">
      <c r="A683" s="112">
        <f t="shared" si="38"/>
        <v>45870</v>
      </c>
      <c r="B683" s="113">
        <v>4</v>
      </c>
      <c r="C683" s="18" t="str">
        <f t="shared" si="39"/>
        <v>1040</v>
      </c>
      <c r="D683" s="113" t="str">
        <f>_xlfn.XLOOKUP($C683,'Cost Centers'!$A$2:$A$11,'Cost Centers'!$B$2:$B$11,"")</f>
        <v>Finance</v>
      </c>
      <c r="E683" s="113" t="s">
        <v>121</v>
      </c>
      <c r="F683" s="113" t="str">
        <f>_xlfn.XLOOKUP(E683,'Allocated Transactions'!D:D,'Allocated Transactions'!E:E,"")</f>
        <v>Bank Fees</v>
      </c>
      <c r="G683" s="113" t="s">
        <v>97</v>
      </c>
      <c r="H683" s="113"/>
      <c r="I683" s="113" t="str">
        <f>_xlfn.XLOOKUP($C683,'Cost Centers'!$A$2:$A$11,'Cost Centers'!$C$2:$C$11,"")</f>
        <v>Admin</v>
      </c>
      <c r="J683" s="23">
        <f>MROUND(SUMIFS('Allocated Transactions'!$J:$J,'Allocated Transactions'!$D:$D,$E683,'Allocated Transactions'!$C:$C,$C683,'Allocated Transactions'!$A:$A,"&gt;="&amp;$A683,'Allocated Transactions'!$A:$A,"&lt;="&amp;EOMONTH($A683,0))*0.99,100)</f>
        <v>0</v>
      </c>
      <c r="K683" s="113" t="s">
        <v>637</v>
      </c>
    </row>
    <row r="684" spans="1:11" ht="15" customHeight="1">
      <c r="A684" s="112">
        <f t="shared" si="38"/>
        <v>45870</v>
      </c>
      <c r="B684" s="113">
        <v>4</v>
      </c>
      <c r="C684" s="18" t="str">
        <f t="shared" si="39"/>
        <v>1040</v>
      </c>
      <c r="D684" s="113" t="str">
        <f>_xlfn.XLOOKUP($C684,'Cost Centers'!$A$2:$A$11,'Cost Centers'!$B$2:$B$11,"")</f>
        <v>Finance</v>
      </c>
      <c r="E684" s="113" t="s">
        <v>123</v>
      </c>
      <c r="F684" s="113" t="str">
        <f>_xlfn.XLOOKUP(E684,'Allocated Transactions'!D:D,'Allocated Transactions'!E:E,"")</f>
        <v>Interest Expense</v>
      </c>
      <c r="G684" s="113" t="s">
        <v>97</v>
      </c>
      <c r="H684" s="113"/>
      <c r="I684" s="113" t="str">
        <f>_xlfn.XLOOKUP($C684,'Cost Centers'!$A$2:$A$11,'Cost Centers'!$C$2:$C$11,"")</f>
        <v>Admin</v>
      </c>
      <c r="J684" s="23">
        <f>MROUND(SUMIFS('Allocated Transactions'!$J:$J,'Allocated Transactions'!$D:$D,$E684,'Allocated Transactions'!$C:$C,$C684,'Allocated Transactions'!$A:$A,"&gt;="&amp;$A684,'Allocated Transactions'!$A:$A,"&lt;="&amp;EOMONTH($A684,0))*0.99,100)</f>
        <v>0</v>
      </c>
      <c r="K684" s="113" t="s">
        <v>637</v>
      </c>
    </row>
    <row r="685" spans="1:11" ht="15" customHeight="1">
      <c r="A685" s="112">
        <f t="shared" si="38"/>
        <v>45870</v>
      </c>
      <c r="B685" s="113">
        <v>4</v>
      </c>
      <c r="C685" s="18" t="str">
        <f t="shared" si="39"/>
        <v>1040</v>
      </c>
      <c r="D685" s="113" t="str">
        <f>_xlfn.XLOOKUP($C685,'Cost Centers'!$A$2:$A$11,'Cost Centers'!$B$2:$B$11,"")</f>
        <v>Finance</v>
      </c>
      <c r="E685" s="113" t="s">
        <v>125</v>
      </c>
      <c r="F685" s="113" t="str">
        <f>_xlfn.XLOOKUP(E685,'Allocated Transactions'!D:D,'Allocated Transactions'!E:E,"")</f>
        <v>Miscellaneous Expense</v>
      </c>
      <c r="G685" s="113" t="s">
        <v>97</v>
      </c>
      <c r="H685" s="113"/>
      <c r="I685" s="113" t="str">
        <f>_xlfn.XLOOKUP($C685,'Cost Centers'!$A$2:$A$11,'Cost Centers'!$C$2:$C$11,"")</f>
        <v>Admin</v>
      </c>
      <c r="J685" s="23">
        <f>MROUND(SUMIFS('Allocated Transactions'!$J:$J,'Allocated Transactions'!$D:$D,$E685,'Allocated Transactions'!$C:$C,$C685,'Allocated Transactions'!$A:$A,"&gt;="&amp;$A685,'Allocated Transactions'!$A:$A,"&lt;="&amp;EOMONTH($A685,0))*0.99,100)</f>
        <v>0</v>
      </c>
      <c r="K685" s="113" t="s">
        <v>637</v>
      </c>
    </row>
    <row r="686" spans="1:11" ht="15" customHeight="1">
      <c r="A686" s="112">
        <f t="shared" si="38"/>
        <v>45901</v>
      </c>
      <c r="B686" s="113">
        <v>4</v>
      </c>
      <c r="C686" s="18" t="s">
        <v>8</v>
      </c>
      <c r="D686" s="113" t="str">
        <f>_xlfn.XLOOKUP($C686,'Cost Centers'!$A$2:$A$11,'Cost Centers'!$B$2:$B$11,"")</f>
        <v>Finance</v>
      </c>
      <c r="E686" s="113" t="s">
        <v>28</v>
      </c>
      <c r="F686" s="113" t="str">
        <f>_xlfn.XLOOKUP(E686,'Allocated Transactions'!D:D,'Allocated Transactions'!E:E,"")</f>
        <v>Salaries and Wages</v>
      </c>
      <c r="G686" s="113" t="s">
        <v>97</v>
      </c>
      <c r="H686" s="113"/>
      <c r="I686" s="113" t="str">
        <f>_xlfn.XLOOKUP($C686,'Cost Centers'!$A$2:$A$11,'Cost Centers'!$C$2:$C$11,"")</f>
        <v>Admin</v>
      </c>
      <c r="J686" s="23">
        <f>MROUND(SUMIFS('Allocated Transactions'!$J:$J,'Allocated Transactions'!$D:$D,$E686,'Allocated Transactions'!$C:$C,$C686,'Allocated Transactions'!$A:$A,"&gt;="&amp;$A686,'Allocated Transactions'!$A:$A,"&lt;="&amp;EOMONTH($A686,0))*0.99,100)</f>
        <v>10100</v>
      </c>
      <c r="K686" s="113" t="s">
        <v>637</v>
      </c>
    </row>
    <row r="687" spans="1:11" ht="15" customHeight="1">
      <c r="A687" s="112">
        <f t="shared" si="38"/>
        <v>45901</v>
      </c>
      <c r="B687" s="113">
        <v>4</v>
      </c>
      <c r="C687" s="18" t="str">
        <f t="shared" ref="C687:C703" si="40">C686</f>
        <v>1040</v>
      </c>
      <c r="D687" s="113" t="str">
        <f>_xlfn.XLOOKUP($C687,'Cost Centers'!$A$2:$A$11,'Cost Centers'!$B$2:$B$11,"")</f>
        <v>Finance</v>
      </c>
      <c r="E687" s="113" t="s">
        <v>29</v>
      </c>
      <c r="F687" s="113" t="str">
        <f>_xlfn.XLOOKUP(E687,'Allocated Transactions'!D:D,'Allocated Transactions'!E:E,"")</f>
        <v>Payroll Taxes</v>
      </c>
      <c r="G687" s="113" t="s">
        <v>97</v>
      </c>
      <c r="H687" s="113"/>
      <c r="I687" s="113" t="str">
        <f>_xlfn.XLOOKUP($C687,'Cost Centers'!$A$2:$A$11,'Cost Centers'!$C$2:$C$11,"")</f>
        <v>Admin</v>
      </c>
      <c r="J687" s="23">
        <f>MROUND(SUMIFS('Allocated Transactions'!$J:$J,'Allocated Transactions'!$D:$D,$E687,'Allocated Transactions'!$C:$C,$C687,'Allocated Transactions'!$A:$A,"&gt;="&amp;$A687,'Allocated Transactions'!$A:$A,"&lt;="&amp;EOMONTH($A687,0))*0.99,100)</f>
        <v>800</v>
      </c>
      <c r="K687" s="113" t="s">
        <v>637</v>
      </c>
    </row>
    <row r="688" spans="1:11" ht="15" customHeight="1">
      <c r="A688" s="112">
        <f t="shared" si="38"/>
        <v>45901</v>
      </c>
      <c r="B688" s="113">
        <v>4</v>
      </c>
      <c r="C688" s="18" t="str">
        <f t="shared" si="40"/>
        <v>1040</v>
      </c>
      <c r="D688" s="113" t="str">
        <f>_xlfn.XLOOKUP($C688,'Cost Centers'!$A$2:$A$11,'Cost Centers'!$B$2:$B$11,"")</f>
        <v>Finance</v>
      </c>
      <c r="E688" s="113" t="s">
        <v>30</v>
      </c>
      <c r="F688" s="113" t="str">
        <f>_xlfn.XLOOKUP(E688,'Allocated Transactions'!D:D,'Allocated Transactions'!E:E,"")</f>
        <v>Employee Benefits</v>
      </c>
      <c r="G688" s="113" t="s">
        <v>97</v>
      </c>
      <c r="H688" s="113"/>
      <c r="I688" s="113" t="str">
        <f>_xlfn.XLOOKUP($C688,'Cost Centers'!$A$2:$A$11,'Cost Centers'!$C$2:$C$11,"")</f>
        <v>Admin</v>
      </c>
      <c r="J688" s="23">
        <f>MROUND(SUMIFS('Allocated Transactions'!$J:$J,'Allocated Transactions'!$D:$D,$E688,'Allocated Transactions'!$C:$C,$C688,'Allocated Transactions'!$A:$A,"&gt;="&amp;$A688,'Allocated Transactions'!$A:$A,"&lt;="&amp;EOMONTH($A688,0))*0.99,100)</f>
        <v>2500</v>
      </c>
      <c r="K688" s="113" t="s">
        <v>637</v>
      </c>
    </row>
    <row r="689" spans="1:11" ht="15" customHeight="1">
      <c r="A689" s="112">
        <f t="shared" si="38"/>
        <v>45901</v>
      </c>
      <c r="B689" s="113">
        <v>4</v>
      </c>
      <c r="C689" s="18" t="str">
        <f t="shared" si="40"/>
        <v>1040</v>
      </c>
      <c r="D689" s="113" t="str">
        <f>_xlfn.XLOOKUP($C689,'Cost Centers'!$A$2:$A$11,'Cost Centers'!$B$2:$B$11,"")</f>
        <v>Finance</v>
      </c>
      <c r="E689" s="113" t="s">
        <v>31</v>
      </c>
      <c r="F689" s="113" t="str">
        <f>_xlfn.XLOOKUP(E689,'Allocated Transactions'!D:D,'Allocated Transactions'!E:E,"")</f>
        <v>Retirement Contributions</v>
      </c>
      <c r="G689" s="113" t="s">
        <v>97</v>
      </c>
      <c r="H689" s="113"/>
      <c r="I689" s="113" t="str">
        <f>_xlfn.XLOOKUP($C689,'Cost Centers'!$A$2:$A$11,'Cost Centers'!$C$2:$C$11,"")</f>
        <v>Admin</v>
      </c>
      <c r="J689" s="23">
        <f>MROUND(SUMIFS('Allocated Transactions'!$J:$J,'Allocated Transactions'!$D:$D,$E689,'Allocated Transactions'!$C:$C,$C689,'Allocated Transactions'!$A:$A,"&gt;="&amp;$A689,'Allocated Transactions'!$A:$A,"&lt;="&amp;EOMONTH($A689,0))*0.99,100)</f>
        <v>300</v>
      </c>
      <c r="K689" s="113" t="s">
        <v>637</v>
      </c>
    </row>
    <row r="690" spans="1:11" ht="15" customHeight="1">
      <c r="A690" s="112">
        <f t="shared" si="38"/>
        <v>45901</v>
      </c>
      <c r="B690" s="113">
        <v>4</v>
      </c>
      <c r="C690" s="18" t="str">
        <f t="shared" si="40"/>
        <v>1040</v>
      </c>
      <c r="D690" s="113" t="str">
        <f>_xlfn.XLOOKUP($C690,'Cost Centers'!$A$2:$A$11,'Cost Centers'!$B$2:$B$11,"")</f>
        <v>Finance</v>
      </c>
      <c r="E690" s="113" t="s">
        <v>101</v>
      </c>
      <c r="F690" s="113" t="str">
        <f>_xlfn.XLOOKUP(E690,'Allocated Transactions'!D:D,'Allocated Transactions'!E:E,"")</f>
        <v>Contract Labor / Consultants</v>
      </c>
      <c r="G690" s="113" t="s">
        <v>97</v>
      </c>
      <c r="H690" s="113"/>
      <c r="I690" s="113" t="str">
        <f>_xlfn.XLOOKUP($C690,'Cost Centers'!$A$2:$A$11,'Cost Centers'!$C$2:$C$11,"")</f>
        <v>Admin</v>
      </c>
      <c r="J690" s="23">
        <f>MROUND(SUMIFS('Allocated Transactions'!$J:$J,'Allocated Transactions'!$D:$D,$E690,'Allocated Transactions'!$C:$C,$C690,'Allocated Transactions'!$A:$A,"&gt;="&amp;$A690,'Allocated Transactions'!$A:$A,"&lt;="&amp;EOMONTH($A690,0))*0.99,100)</f>
        <v>0</v>
      </c>
      <c r="K690" s="113" t="s">
        <v>637</v>
      </c>
    </row>
    <row r="691" spans="1:11" ht="15" customHeight="1">
      <c r="A691" s="112">
        <f t="shared" si="38"/>
        <v>45901</v>
      </c>
      <c r="B691" s="113">
        <v>4</v>
      </c>
      <c r="C691" s="18" t="str">
        <f t="shared" si="40"/>
        <v>1040</v>
      </c>
      <c r="D691" s="113" t="str">
        <f>_xlfn.XLOOKUP($C691,'Cost Centers'!$A$2:$A$11,'Cost Centers'!$B$2:$B$11,"")</f>
        <v>Finance</v>
      </c>
      <c r="E691" s="113" t="s">
        <v>32</v>
      </c>
      <c r="F691" s="113" t="str">
        <f>_xlfn.XLOOKUP(E691,'Allocated Transactions'!D:D,'Allocated Transactions'!E:E,"")</f>
        <v>Rent</v>
      </c>
      <c r="G691" s="113" t="s">
        <v>97</v>
      </c>
      <c r="H691" s="113"/>
      <c r="I691" s="113" t="str">
        <f>_xlfn.XLOOKUP($C691,'Cost Centers'!$A$2:$A$11,'Cost Centers'!$C$2:$C$11,"")</f>
        <v>Admin</v>
      </c>
      <c r="J691" s="23">
        <f>MROUND(SUMIFS('Allocated Transactions'!$J:$J,'Allocated Transactions'!$D:$D,$E691,'Allocated Transactions'!$C:$C,$C691,'Allocated Transactions'!$A:$A,"&gt;="&amp;$A691,'Allocated Transactions'!$A:$A,"&lt;="&amp;EOMONTH($A691,0))*0.99,100)</f>
        <v>800</v>
      </c>
      <c r="K691" s="113" t="s">
        <v>637</v>
      </c>
    </row>
    <row r="692" spans="1:11" ht="15" customHeight="1">
      <c r="A692" s="112">
        <f t="shared" si="38"/>
        <v>45901</v>
      </c>
      <c r="B692" s="113">
        <v>4</v>
      </c>
      <c r="C692" s="18" t="str">
        <f t="shared" si="40"/>
        <v>1040</v>
      </c>
      <c r="D692" s="113" t="str">
        <f>_xlfn.XLOOKUP($C692,'Cost Centers'!$A$2:$A$11,'Cost Centers'!$B$2:$B$11,"")</f>
        <v>Finance</v>
      </c>
      <c r="E692" s="113" t="s">
        <v>33</v>
      </c>
      <c r="F692" s="113" t="str">
        <f>_xlfn.XLOOKUP(E692,'Allocated Transactions'!D:D,'Allocated Transactions'!E:E,"")</f>
        <v>Utilities</v>
      </c>
      <c r="G692" s="113" t="s">
        <v>97</v>
      </c>
      <c r="H692" s="113"/>
      <c r="I692" s="113" t="str">
        <f>_xlfn.XLOOKUP($C692,'Cost Centers'!$A$2:$A$11,'Cost Centers'!$C$2:$C$11,"")</f>
        <v>Admin</v>
      </c>
      <c r="J692" s="23">
        <f>MROUND(SUMIFS('Allocated Transactions'!$J:$J,'Allocated Transactions'!$D:$D,$E692,'Allocated Transactions'!$C:$C,$C692,'Allocated Transactions'!$A:$A,"&gt;="&amp;$A692,'Allocated Transactions'!$A:$A,"&lt;="&amp;EOMONTH($A692,0))*0.99,100)</f>
        <v>100</v>
      </c>
      <c r="K692" s="113" t="s">
        <v>637</v>
      </c>
    </row>
    <row r="693" spans="1:11" ht="15" customHeight="1">
      <c r="A693" s="112">
        <f t="shared" si="38"/>
        <v>45901</v>
      </c>
      <c r="B693" s="113">
        <v>4</v>
      </c>
      <c r="C693" s="18" t="str">
        <f t="shared" si="40"/>
        <v>1040</v>
      </c>
      <c r="D693" s="113" t="str">
        <f>_xlfn.XLOOKUP($C693,'Cost Centers'!$A$2:$A$11,'Cost Centers'!$B$2:$B$11,"")</f>
        <v>Finance</v>
      </c>
      <c r="E693" s="113" t="s">
        <v>105</v>
      </c>
      <c r="F693" s="113" t="str">
        <f>_xlfn.XLOOKUP(E693,'Allocated Transactions'!D:D,'Allocated Transactions'!E:E,"")</f>
        <v>Office Supplies</v>
      </c>
      <c r="G693" s="113" t="s">
        <v>97</v>
      </c>
      <c r="H693" s="113"/>
      <c r="I693" s="113" t="str">
        <f>_xlfn.XLOOKUP($C693,'Cost Centers'!$A$2:$A$11,'Cost Centers'!$C$2:$C$11,"")</f>
        <v>Admin</v>
      </c>
      <c r="J693" s="23">
        <f>MROUND(SUMIFS('Allocated Transactions'!$J:$J,'Allocated Transactions'!$D:$D,$E693,'Allocated Transactions'!$C:$C,$C693,'Allocated Transactions'!$A:$A,"&gt;="&amp;$A693,'Allocated Transactions'!$A:$A,"&lt;="&amp;EOMONTH($A693,0))*0.99,100)</f>
        <v>0</v>
      </c>
      <c r="K693" s="113" t="s">
        <v>637</v>
      </c>
    </row>
    <row r="694" spans="1:11" ht="15" customHeight="1">
      <c r="A694" s="112">
        <f t="shared" si="38"/>
        <v>45901</v>
      </c>
      <c r="B694" s="113">
        <v>4</v>
      </c>
      <c r="C694" s="18" t="str">
        <f t="shared" si="40"/>
        <v>1040</v>
      </c>
      <c r="D694" s="113" t="str">
        <f>_xlfn.XLOOKUP($C694,'Cost Centers'!$A$2:$A$11,'Cost Centers'!$B$2:$B$11,"")</f>
        <v>Finance</v>
      </c>
      <c r="E694" s="113" t="s">
        <v>107</v>
      </c>
      <c r="F694" s="113" t="str">
        <f>_xlfn.XLOOKUP(E694,'Allocated Transactions'!D:D,'Allocated Transactions'!E:E,"")</f>
        <v>Software and Subscriptions</v>
      </c>
      <c r="G694" s="113" t="s">
        <v>97</v>
      </c>
      <c r="H694" s="113"/>
      <c r="I694" s="113" t="str">
        <f>_xlfn.XLOOKUP($C694,'Cost Centers'!$A$2:$A$11,'Cost Centers'!$C$2:$C$11,"")</f>
        <v>Admin</v>
      </c>
      <c r="J694" s="23">
        <f>MROUND(SUMIFS('Allocated Transactions'!$J:$J,'Allocated Transactions'!$D:$D,$E694,'Allocated Transactions'!$C:$C,$C694,'Allocated Transactions'!$A:$A,"&gt;="&amp;$A694,'Allocated Transactions'!$A:$A,"&lt;="&amp;EOMONTH($A694,0))*0.99,100)</f>
        <v>0</v>
      </c>
      <c r="K694" s="113" t="s">
        <v>637</v>
      </c>
    </row>
    <row r="695" spans="1:11" ht="15" customHeight="1">
      <c r="A695" s="112">
        <f t="shared" si="38"/>
        <v>45901</v>
      </c>
      <c r="B695" s="113">
        <v>4</v>
      </c>
      <c r="C695" s="18" t="str">
        <f t="shared" si="40"/>
        <v>1040</v>
      </c>
      <c r="D695" s="113" t="str">
        <f>_xlfn.XLOOKUP($C695,'Cost Centers'!$A$2:$A$11,'Cost Centers'!$B$2:$B$11,"")</f>
        <v>Finance</v>
      </c>
      <c r="E695" s="113" t="s">
        <v>109</v>
      </c>
      <c r="F695" s="113" t="str">
        <f>_xlfn.XLOOKUP(E695,'Allocated Transactions'!D:D,'Allocated Transactions'!E:E,"")</f>
        <v>Travel</v>
      </c>
      <c r="G695" s="113" t="s">
        <v>97</v>
      </c>
      <c r="H695" s="113"/>
      <c r="I695" s="113" t="str">
        <f>_xlfn.XLOOKUP($C695,'Cost Centers'!$A$2:$A$11,'Cost Centers'!$C$2:$C$11,"")</f>
        <v>Admin</v>
      </c>
      <c r="J695" s="23">
        <f>MROUND(SUMIFS('Allocated Transactions'!$J:$J,'Allocated Transactions'!$D:$D,$E695,'Allocated Transactions'!$C:$C,$C695,'Allocated Transactions'!$A:$A,"&gt;="&amp;$A695,'Allocated Transactions'!$A:$A,"&lt;="&amp;EOMONTH($A695,0))*0.99,100)</f>
        <v>0</v>
      </c>
      <c r="K695" s="113" t="s">
        <v>637</v>
      </c>
    </row>
    <row r="696" spans="1:11" ht="15" customHeight="1">
      <c r="A696" s="112">
        <f t="shared" si="38"/>
        <v>45901</v>
      </c>
      <c r="B696" s="113">
        <v>4</v>
      </c>
      <c r="C696" s="18" t="str">
        <f t="shared" si="40"/>
        <v>1040</v>
      </c>
      <c r="D696" s="113" t="str">
        <f>_xlfn.XLOOKUP($C696,'Cost Centers'!$A$2:$A$11,'Cost Centers'!$B$2:$B$11,"")</f>
        <v>Finance</v>
      </c>
      <c r="E696" s="113" t="s">
        <v>111</v>
      </c>
      <c r="F696" s="113" t="str">
        <f>_xlfn.XLOOKUP(E696,'Allocated Transactions'!D:D,'Allocated Transactions'!E:E,"")</f>
        <v>Meals and Entertainment</v>
      </c>
      <c r="G696" s="113" t="s">
        <v>97</v>
      </c>
      <c r="H696" s="113"/>
      <c r="I696" s="113" t="str">
        <f>_xlfn.XLOOKUP($C696,'Cost Centers'!$A$2:$A$11,'Cost Centers'!$C$2:$C$11,"")</f>
        <v>Admin</v>
      </c>
      <c r="J696" s="23">
        <f>MROUND(SUMIFS('Allocated Transactions'!$J:$J,'Allocated Transactions'!$D:$D,$E696,'Allocated Transactions'!$C:$C,$C696,'Allocated Transactions'!$A:$A,"&gt;="&amp;$A696,'Allocated Transactions'!$A:$A,"&lt;="&amp;EOMONTH($A696,0))*0.99,100)</f>
        <v>0</v>
      </c>
      <c r="K696" s="113" t="s">
        <v>637</v>
      </c>
    </row>
    <row r="697" spans="1:11" ht="15" customHeight="1">
      <c r="A697" s="112">
        <f t="shared" si="38"/>
        <v>45901</v>
      </c>
      <c r="B697" s="113">
        <v>4</v>
      </c>
      <c r="C697" s="18" t="str">
        <f t="shared" si="40"/>
        <v>1040</v>
      </c>
      <c r="D697" s="113" t="str">
        <f>_xlfn.XLOOKUP($C697,'Cost Centers'!$A$2:$A$11,'Cost Centers'!$B$2:$B$11,"")</f>
        <v>Finance</v>
      </c>
      <c r="E697" s="113" t="s">
        <v>113</v>
      </c>
      <c r="F697" s="113" t="str">
        <f>_xlfn.XLOOKUP(E697,'Allocated Transactions'!D:D,'Allocated Transactions'!E:E,"")</f>
        <v>Professional Fees - Legal</v>
      </c>
      <c r="G697" s="113" t="s">
        <v>97</v>
      </c>
      <c r="H697" s="113"/>
      <c r="I697" s="113" t="str">
        <f>_xlfn.XLOOKUP($C697,'Cost Centers'!$A$2:$A$11,'Cost Centers'!$C$2:$C$11,"")</f>
        <v>Admin</v>
      </c>
      <c r="J697" s="23">
        <f>MROUND(SUMIFS('Allocated Transactions'!$J:$J,'Allocated Transactions'!$D:$D,$E697,'Allocated Transactions'!$C:$C,$C697,'Allocated Transactions'!$A:$A,"&gt;="&amp;$A697,'Allocated Transactions'!$A:$A,"&lt;="&amp;EOMONTH($A697,0))*0.99,100)</f>
        <v>0</v>
      </c>
      <c r="K697" s="113" t="s">
        <v>637</v>
      </c>
    </row>
    <row r="698" spans="1:11" ht="15" customHeight="1">
      <c r="A698" s="112">
        <f t="shared" si="38"/>
        <v>45901</v>
      </c>
      <c r="B698" s="113">
        <v>4</v>
      </c>
      <c r="C698" s="18" t="str">
        <f t="shared" si="40"/>
        <v>1040</v>
      </c>
      <c r="D698" s="113" t="str">
        <f>_xlfn.XLOOKUP($C698,'Cost Centers'!$A$2:$A$11,'Cost Centers'!$B$2:$B$11,"")</f>
        <v>Finance</v>
      </c>
      <c r="E698" s="113" t="s">
        <v>115</v>
      </c>
      <c r="F698" s="113" t="str">
        <f>_xlfn.XLOOKUP(E698,'Allocated Transactions'!D:D,'Allocated Transactions'!E:E,"")</f>
        <v>Professional Fees - Accounting/Audit</v>
      </c>
      <c r="G698" s="113" t="s">
        <v>97</v>
      </c>
      <c r="H698" s="113"/>
      <c r="I698" s="113" t="str">
        <f>_xlfn.XLOOKUP($C698,'Cost Centers'!$A$2:$A$11,'Cost Centers'!$C$2:$C$11,"")</f>
        <v>Admin</v>
      </c>
      <c r="J698" s="23">
        <f>MROUND(SUMIFS('Allocated Transactions'!$J:$J,'Allocated Transactions'!$D:$D,$E698,'Allocated Transactions'!$C:$C,$C698,'Allocated Transactions'!$A:$A,"&gt;="&amp;$A698,'Allocated Transactions'!$A:$A,"&lt;="&amp;EOMONTH($A698,0))*0.99,100)</f>
        <v>0</v>
      </c>
      <c r="K698" s="113" t="s">
        <v>637</v>
      </c>
    </row>
    <row r="699" spans="1:11" ht="15" customHeight="1">
      <c r="A699" s="112">
        <f t="shared" si="38"/>
        <v>45901</v>
      </c>
      <c r="B699" s="113">
        <v>4</v>
      </c>
      <c r="C699" s="18" t="str">
        <f t="shared" si="40"/>
        <v>1040</v>
      </c>
      <c r="D699" s="113" t="str">
        <f>_xlfn.XLOOKUP($C699,'Cost Centers'!$A$2:$A$11,'Cost Centers'!$B$2:$B$11,"")</f>
        <v>Finance</v>
      </c>
      <c r="E699" s="113" t="s">
        <v>117</v>
      </c>
      <c r="F699" s="113" t="str">
        <f>_xlfn.XLOOKUP(E699,'Allocated Transactions'!D:D,'Allocated Transactions'!E:E,"")</f>
        <v>Insurance</v>
      </c>
      <c r="G699" s="113" t="s">
        <v>97</v>
      </c>
      <c r="H699" s="113"/>
      <c r="I699" s="113" t="str">
        <f>_xlfn.XLOOKUP($C699,'Cost Centers'!$A$2:$A$11,'Cost Centers'!$C$2:$C$11,"")</f>
        <v>Admin</v>
      </c>
      <c r="J699" s="23">
        <f>MROUND(SUMIFS('Allocated Transactions'!$J:$J,'Allocated Transactions'!$D:$D,$E699,'Allocated Transactions'!$C:$C,$C699,'Allocated Transactions'!$A:$A,"&gt;="&amp;$A699,'Allocated Transactions'!$A:$A,"&lt;="&amp;EOMONTH($A699,0))*0.99,100)</f>
        <v>600</v>
      </c>
      <c r="K699" s="113" t="s">
        <v>637</v>
      </c>
    </row>
    <row r="700" spans="1:11" ht="15" customHeight="1">
      <c r="A700" s="112">
        <f t="shared" si="38"/>
        <v>45901</v>
      </c>
      <c r="B700" s="113">
        <v>4</v>
      </c>
      <c r="C700" s="18" t="str">
        <f t="shared" si="40"/>
        <v>1040</v>
      </c>
      <c r="D700" s="113" t="str">
        <f>_xlfn.XLOOKUP($C700,'Cost Centers'!$A$2:$A$11,'Cost Centers'!$B$2:$B$11,"")</f>
        <v>Finance</v>
      </c>
      <c r="E700" s="113" t="s">
        <v>119</v>
      </c>
      <c r="F700" s="113" t="str">
        <f>_xlfn.XLOOKUP(E700,'Allocated Transactions'!D:D,'Allocated Transactions'!E:E,"")</f>
        <v>Depreciation Expense</v>
      </c>
      <c r="G700" s="113" t="s">
        <v>97</v>
      </c>
      <c r="H700" s="113"/>
      <c r="I700" s="113" t="str">
        <f>_xlfn.XLOOKUP($C700,'Cost Centers'!$A$2:$A$11,'Cost Centers'!$C$2:$C$11,"")</f>
        <v>Admin</v>
      </c>
      <c r="J700" s="23">
        <f>MROUND(SUMIFS('Allocated Transactions'!$J:$J,'Allocated Transactions'!$D:$D,$E700,'Allocated Transactions'!$C:$C,$C700,'Allocated Transactions'!$A:$A,"&gt;="&amp;$A700,'Allocated Transactions'!$A:$A,"&lt;="&amp;EOMONTH($A700,0))*0.99,100)</f>
        <v>0</v>
      </c>
      <c r="K700" s="113" t="s">
        <v>637</v>
      </c>
    </row>
    <row r="701" spans="1:11" ht="15" customHeight="1">
      <c r="A701" s="112">
        <f t="shared" si="38"/>
        <v>45901</v>
      </c>
      <c r="B701" s="113">
        <v>4</v>
      </c>
      <c r="C701" s="18" t="str">
        <f t="shared" si="40"/>
        <v>1040</v>
      </c>
      <c r="D701" s="113" t="str">
        <f>_xlfn.XLOOKUP($C701,'Cost Centers'!$A$2:$A$11,'Cost Centers'!$B$2:$B$11,"")</f>
        <v>Finance</v>
      </c>
      <c r="E701" s="113" t="s">
        <v>121</v>
      </c>
      <c r="F701" s="113" t="str">
        <f>_xlfn.XLOOKUP(E701,'Allocated Transactions'!D:D,'Allocated Transactions'!E:E,"")</f>
        <v>Bank Fees</v>
      </c>
      <c r="G701" s="113" t="s">
        <v>97</v>
      </c>
      <c r="H701" s="113"/>
      <c r="I701" s="113" t="str">
        <f>_xlfn.XLOOKUP($C701,'Cost Centers'!$A$2:$A$11,'Cost Centers'!$C$2:$C$11,"")</f>
        <v>Admin</v>
      </c>
      <c r="J701" s="23">
        <f>MROUND(SUMIFS('Allocated Transactions'!$J:$J,'Allocated Transactions'!$D:$D,$E701,'Allocated Transactions'!$C:$C,$C701,'Allocated Transactions'!$A:$A,"&gt;="&amp;$A701,'Allocated Transactions'!$A:$A,"&lt;="&amp;EOMONTH($A701,0))*0.99,100)</f>
        <v>0</v>
      </c>
      <c r="K701" s="113" t="s">
        <v>637</v>
      </c>
    </row>
    <row r="702" spans="1:11" ht="15" customHeight="1">
      <c r="A702" s="112">
        <f t="shared" si="38"/>
        <v>45901</v>
      </c>
      <c r="B702" s="113">
        <v>4</v>
      </c>
      <c r="C702" s="18" t="str">
        <f t="shared" si="40"/>
        <v>1040</v>
      </c>
      <c r="D702" s="113" t="str">
        <f>_xlfn.XLOOKUP($C702,'Cost Centers'!$A$2:$A$11,'Cost Centers'!$B$2:$B$11,"")</f>
        <v>Finance</v>
      </c>
      <c r="E702" s="113" t="s">
        <v>123</v>
      </c>
      <c r="F702" s="113" t="str">
        <f>_xlfn.XLOOKUP(E702,'Allocated Transactions'!D:D,'Allocated Transactions'!E:E,"")</f>
        <v>Interest Expense</v>
      </c>
      <c r="G702" s="113" t="s">
        <v>97</v>
      </c>
      <c r="H702" s="113"/>
      <c r="I702" s="113" t="str">
        <f>_xlfn.XLOOKUP($C702,'Cost Centers'!$A$2:$A$11,'Cost Centers'!$C$2:$C$11,"")</f>
        <v>Admin</v>
      </c>
      <c r="J702" s="23">
        <f>MROUND(SUMIFS('Allocated Transactions'!$J:$J,'Allocated Transactions'!$D:$D,$E702,'Allocated Transactions'!$C:$C,$C702,'Allocated Transactions'!$A:$A,"&gt;="&amp;$A702,'Allocated Transactions'!$A:$A,"&lt;="&amp;EOMONTH($A702,0))*0.99,100)</f>
        <v>0</v>
      </c>
      <c r="K702" s="113" t="s">
        <v>637</v>
      </c>
    </row>
    <row r="703" spans="1:11" ht="15" customHeight="1">
      <c r="A703" s="112">
        <f t="shared" si="38"/>
        <v>45901</v>
      </c>
      <c r="B703" s="113">
        <v>4</v>
      </c>
      <c r="C703" s="18" t="str">
        <f t="shared" si="40"/>
        <v>1040</v>
      </c>
      <c r="D703" s="113" t="str">
        <f>_xlfn.XLOOKUP($C703,'Cost Centers'!$A$2:$A$11,'Cost Centers'!$B$2:$B$11,"")</f>
        <v>Finance</v>
      </c>
      <c r="E703" s="113" t="s">
        <v>125</v>
      </c>
      <c r="F703" s="113" t="str">
        <f>_xlfn.XLOOKUP(E703,'Allocated Transactions'!D:D,'Allocated Transactions'!E:E,"")</f>
        <v>Miscellaneous Expense</v>
      </c>
      <c r="G703" s="113" t="s">
        <v>97</v>
      </c>
      <c r="H703" s="113"/>
      <c r="I703" s="113" t="str">
        <f>_xlfn.XLOOKUP($C703,'Cost Centers'!$A$2:$A$11,'Cost Centers'!$C$2:$C$11,"")</f>
        <v>Admin</v>
      </c>
      <c r="J703" s="23">
        <f>MROUND(SUMIFS('Allocated Transactions'!$J:$J,'Allocated Transactions'!$D:$D,$E703,'Allocated Transactions'!$C:$C,$C703,'Allocated Transactions'!$A:$A,"&gt;="&amp;$A703,'Allocated Transactions'!$A:$A,"&lt;="&amp;EOMONTH($A703,0))*0.99,100)</f>
        <v>0</v>
      </c>
      <c r="K703" s="113" t="s">
        <v>637</v>
      </c>
    </row>
    <row r="704" spans="1:11" ht="15" customHeight="1">
      <c r="A704" s="112">
        <f t="shared" si="38"/>
        <v>45931</v>
      </c>
      <c r="B704" s="113">
        <v>4</v>
      </c>
      <c r="C704" s="18" t="s">
        <v>8</v>
      </c>
      <c r="D704" s="113" t="str">
        <f>_xlfn.XLOOKUP($C704,'Cost Centers'!$A$2:$A$11,'Cost Centers'!$B$2:$B$11,"")</f>
        <v>Finance</v>
      </c>
      <c r="E704" s="113" t="s">
        <v>28</v>
      </c>
      <c r="F704" s="113" t="str">
        <f>_xlfn.XLOOKUP(E704,'Allocated Transactions'!D:D,'Allocated Transactions'!E:E,"")</f>
        <v>Salaries and Wages</v>
      </c>
      <c r="G704" s="113" t="s">
        <v>97</v>
      </c>
      <c r="H704" s="113"/>
      <c r="I704" s="113" t="str">
        <f>_xlfn.XLOOKUP($C704,'Cost Centers'!$A$2:$A$11,'Cost Centers'!$C$2:$C$11,"")</f>
        <v>Admin</v>
      </c>
      <c r="J704" s="23">
        <f>MROUND(SUMIFS('Allocated Transactions'!$J:$J,'Allocated Transactions'!$D:$D,$E704,'Allocated Transactions'!$C:$C,$C704,'Allocated Transactions'!$A:$A,"&gt;="&amp;$A704,'Allocated Transactions'!$A:$A,"&lt;="&amp;EOMONTH($A704,0))*0.99,100)</f>
        <v>10200</v>
      </c>
      <c r="K704" s="113" t="s">
        <v>637</v>
      </c>
    </row>
    <row r="705" spans="1:11" ht="15" customHeight="1">
      <c r="A705" s="112">
        <f t="shared" si="38"/>
        <v>45931</v>
      </c>
      <c r="B705" s="113">
        <v>4</v>
      </c>
      <c r="C705" s="18" t="str">
        <f t="shared" ref="C705:C721" si="41">C704</f>
        <v>1040</v>
      </c>
      <c r="D705" s="113" t="str">
        <f>_xlfn.XLOOKUP($C705,'Cost Centers'!$A$2:$A$11,'Cost Centers'!$B$2:$B$11,"")</f>
        <v>Finance</v>
      </c>
      <c r="E705" s="113" t="s">
        <v>29</v>
      </c>
      <c r="F705" s="113" t="str">
        <f>_xlfn.XLOOKUP(E705,'Allocated Transactions'!D:D,'Allocated Transactions'!E:E,"")</f>
        <v>Payroll Taxes</v>
      </c>
      <c r="G705" s="113" t="s">
        <v>97</v>
      </c>
      <c r="H705" s="113"/>
      <c r="I705" s="113" t="str">
        <f>_xlfn.XLOOKUP($C705,'Cost Centers'!$A$2:$A$11,'Cost Centers'!$C$2:$C$11,"")</f>
        <v>Admin</v>
      </c>
      <c r="J705" s="23">
        <f>MROUND(SUMIFS('Allocated Transactions'!$J:$J,'Allocated Transactions'!$D:$D,$E705,'Allocated Transactions'!$C:$C,$C705,'Allocated Transactions'!$A:$A,"&gt;="&amp;$A705,'Allocated Transactions'!$A:$A,"&lt;="&amp;EOMONTH($A705,0))*0.99,100)</f>
        <v>800</v>
      </c>
      <c r="K705" s="113" t="s">
        <v>637</v>
      </c>
    </row>
    <row r="706" spans="1:11" ht="15" customHeight="1">
      <c r="A706" s="112">
        <f t="shared" si="38"/>
        <v>45931</v>
      </c>
      <c r="B706" s="113">
        <v>4</v>
      </c>
      <c r="C706" s="18" t="str">
        <f t="shared" si="41"/>
        <v>1040</v>
      </c>
      <c r="D706" s="113" t="str">
        <f>_xlfn.XLOOKUP($C706,'Cost Centers'!$A$2:$A$11,'Cost Centers'!$B$2:$B$11,"")</f>
        <v>Finance</v>
      </c>
      <c r="E706" s="113" t="s">
        <v>30</v>
      </c>
      <c r="F706" s="113" t="str">
        <f>_xlfn.XLOOKUP(E706,'Allocated Transactions'!D:D,'Allocated Transactions'!E:E,"")</f>
        <v>Employee Benefits</v>
      </c>
      <c r="G706" s="113" t="s">
        <v>97</v>
      </c>
      <c r="H706" s="113"/>
      <c r="I706" s="113" t="str">
        <f>_xlfn.XLOOKUP($C706,'Cost Centers'!$A$2:$A$11,'Cost Centers'!$C$2:$C$11,"")</f>
        <v>Admin</v>
      </c>
      <c r="J706" s="23">
        <f>MROUND(SUMIFS('Allocated Transactions'!$J:$J,'Allocated Transactions'!$D:$D,$E706,'Allocated Transactions'!$C:$C,$C706,'Allocated Transactions'!$A:$A,"&gt;="&amp;$A706,'Allocated Transactions'!$A:$A,"&lt;="&amp;EOMONTH($A706,0))*0.99,100)</f>
        <v>2800</v>
      </c>
      <c r="K706" s="113" t="s">
        <v>637</v>
      </c>
    </row>
    <row r="707" spans="1:11" ht="15" customHeight="1">
      <c r="A707" s="112">
        <f t="shared" si="38"/>
        <v>45931</v>
      </c>
      <c r="B707" s="113">
        <v>4</v>
      </c>
      <c r="C707" s="18" t="str">
        <f t="shared" si="41"/>
        <v>1040</v>
      </c>
      <c r="D707" s="113" t="str">
        <f>_xlfn.XLOOKUP($C707,'Cost Centers'!$A$2:$A$11,'Cost Centers'!$B$2:$B$11,"")</f>
        <v>Finance</v>
      </c>
      <c r="E707" s="113" t="s">
        <v>31</v>
      </c>
      <c r="F707" s="113" t="str">
        <f>_xlfn.XLOOKUP(E707,'Allocated Transactions'!D:D,'Allocated Transactions'!E:E,"")</f>
        <v>Retirement Contributions</v>
      </c>
      <c r="G707" s="113" t="s">
        <v>97</v>
      </c>
      <c r="H707" s="113"/>
      <c r="I707" s="113" t="str">
        <f>_xlfn.XLOOKUP($C707,'Cost Centers'!$A$2:$A$11,'Cost Centers'!$C$2:$C$11,"")</f>
        <v>Admin</v>
      </c>
      <c r="J707" s="23">
        <f>MROUND(SUMIFS('Allocated Transactions'!$J:$J,'Allocated Transactions'!$D:$D,$E707,'Allocated Transactions'!$C:$C,$C707,'Allocated Transactions'!$A:$A,"&gt;="&amp;$A707,'Allocated Transactions'!$A:$A,"&lt;="&amp;EOMONTH($A707,0))*0.99,100)</f>
        <v>300</v>
      </c>
      <c r="K707" s="113" t="s">
        <v>637</v>
      </c>
    </row>
    <row r="708" spans="1:11" ht="15" customHeight="1">
      <c r="A708" s="112">
        <f t="shared" si="38"/>
        <v>45931</v>
      </c>
      <c r="B708" s="113">
        <v>4</v>
      </c>
      <c r="C708" s="18" t="str">
        <f t="shared" si="41"/>
        <v>1040</v>
      </c>
      <c r="D708" s="113" t="str">
        <f>_xlfn.XLOOKUP($C708,'Cost Centers'!$A$2:$A$11,'Cost Centers'!$B$2:$B$11,"")</f>
        <v>Finance</v>
      </c>
      <c r="E708" s="113" t="s">
        <v>101</v>
      </c>
      <c r="F708" s="113" t="str">
        <f>_xlfn.XLOOKUP(E708,'Allocated Transactions'!D:D,'Allocated Transactions'!E:E,"")</f>
        <v>Contract Labor / Consultants</v>
      </c>
      <c r="G708" s="113" t="s">
        <v>97</v>
      </c>
      <c r="H708" s="113"/>
      <c r="I708" s="113" t="str">
        <f>_xlfn.XLOOKUP($C708,'Cost Centers'!$A$2:$A$11,'Cost Centers'!$C$2:$C$11,"")</f>
        <v>Admin</v>
      </c>
      <c r="J708" s="23">
        <f>MROUND(SUMIFS('Allocated Transactions'!$J:$J,'Allocated Transactions'!$D:$D,$E708,'Allocated Transactions'!$C:$C,$C708,'Allocated Transactions'!$A:$A,"&gt;="&amp;$A708,'Allocated Transactions'!$A:$A,"&lt;="&amp;EOMONTH($A708,0))*0.99,100)</f>
        <v>0</v>
      </c>
      <c r="K708" s="113" t="s">
        <v>637</v>
      </c>
    </row>
    <row r="709" spans="1:11" ht="15" customHeight="1">
      <c r="A709" s="112">
        <f t="shared" si="38"/>
        <v>45931</v>
      </c>
      <c r="B709" s="113">
        <v>4</v>
      </c>
      <c r="C709" s="18" t="str">
        <f t="shared" si="41"/>
        <v>1040</v>
      </c>
      <c r="D709" s="113" t="str">
        <f>_xlfn.XLOOKUP($C709,'Cost Centers'!$A$2:$A$11,'Cost Centers'!$B$2:$B$11,"")</f>
        <v>Finance</v>
      </c>
      <c r="E709" s="113" t="s">
        <v>32</v>
      </c>
      <c r="F709" s="113" t="str">
        <f>_xlfn.XLOOKUP(E709,'Allocated Transactions'!D:D,'Allocated Transactions'!E:E,"")</f>
        <v>Rent</v>
      </c>
      <c r="G709" s="113" t="s">
        <v>97</v>
      </c>
      <c r="H709" s="113"/>
      <c r="I709" s="113" t="str">
        <f>_xlfn.XLOOKUP($C709,'Cost Centers'!$A$2:$A$11,'Cost Centers'!$C$2:$C$11,"")</f>
        <v>Admin</v>
      </c>
      <c r="J709" s="23">
        <f>MROUND(SUMIFS('Allocated Transactions'!$J:$J,'Allocated Transactions'!$D:$D,$E709,'Allocated Transactions'!$C:$C,$C709,'Allocated Transactions'!$A:$A,"&gt;="&amp;$A709,'Allocated Transactions'!$A:$A,"&lt;="&amp;EOMONTH($A709,0))*0.99,100)</f>
        <v>800</v>
      </c>
      <c r="K709" s="113" t="s">
        <v>637</v>
      </c>
    </row>
    <row r="710" spans="1:11" ht="15" customHeight="1">
      <c r="A710" s="112">
        <f t="shared" si="38"/>
        <v>45931</v>
      </c>
      <c r="B710" s="113">
        <v>4</v>
      </c>
      <c r="C710" s="18" t="str">
        <f t="shared" si="41"/>
        <v>1040</v>
      </c>
      <c r="D710" s="113" t="str">
        <f>_xlfn.XLOOKUP($C710,'Cost Centers'!$A$2:$A$11,'Cost Centers'!$B$2:$B$11,"")</f>
        <v>Finance</v>
      </c>
      <c r="E710" s="113" t="s">
        <v>33</v>
      </c>
      <c r="F710" s="113" t="str">
        <f>_xlfn.XLOOKUP(E710,'Allocated Transactions'!D:D,'Allocated Transactions'!E:E,"")</f>
        <v>Utilities</v>
      </c>
      <c r="G710" s="113" t="s">
        <v>97</v>
      </c>
      <c r="H710" s="113"/>
      <c r="I710" s="113" t="str">
        <f>_xlfn.XLOOKUP($C710,'Cost Centers'!$A$2:$A$11,'Cost Centers'!$C$2:$C$11,"")</f>
        <v>Admin</v>
      </c>
      <c r="J710" s="23">
        <f>MROUND(SUMIFS('Allocated Transactions'!$J:$J,'Allocated Transactions'!$D:$D,$E710,'Allocated Transactions'!$C:$C,$C710,'Allocated Transactions'!$A:$A,"&gt;="&amp;$A710,'Allocated Transactions'!$A:$A,"&lt;="&amp;EOMONTH($A710,0))*0.99,100)</f>
        <v>100</v>
      </c>
      <c r="K710" s="113" t="s">
        <v>637</v>
      </c>
    </row>
    <row r="711" spans="1:11" ht="15" customHeight="1">
      <c r="A711" s="112">
        <f t="shared" si="38"/>
        <v>45931</v>
      </c>
      <c r="B711" s="113">
        <v>4</v>
      </c>
      <c r="C711" s="18" t="str">
        <f t="shared" si="41"/>
        <v>1040</v>
      </c>
      <c r="D711" s="113" t="str">
        <f>_xlfn.XLOOKUP($C711,'Cost Centers'!$A$2:$A$11,'Cost Centers'!$B$2:$B$11,"")</f>
        <v>Finance</v>
      </c>
      <c r="E711" s="113" t="s">
        <v>105</v>
      </c>
      <c r="F711" s="113" t="str">
        <f>_xlfn.XLOOKUP(E711,'Allocated Transactions'!D:D,'Allocated Transactions'!E:E,"")</f>
        <v>Office Supplies</v>
      </c>
      <c r="G711" s="113" t="s">
        <v>97</v>
      </c>
      <c r="H711" s="113"/>
      <c r="I711" s="113" t="str">
        <f>_xlfn.XLOOKUP($C711,'Cost Centers'!$A$2:$A$11,'Cost Centers'!$C$2:$C$11,"")</f>
        <v>Admin</v>
      </c>
      <c r="J711" s="23">
        <f>MROUND(SUMIFS('Allocated Transactions'!$J:$J,'Allocated Transactions'!$D:$D,$E711,'Allocated Transactions'!$C:$C,$C711,'Allocated Transactions'!$A:$A,"&gt;="&amp;$A711,'Allocated Transactions'!$A:$A,"&lt;="&amp;EOMONTH($A711,0))*0.99,100)</f>
        <v>0</v>
      </c>
      <c r="K711" s="113" t="s">
        <v>637</v>
      </c>
    </row>
    <row r="712" spans="1:11" ht="15" customHeight="1">
      <c r="A712" s="112">
        <f t="shared" si="38"/>
        <v>45931</v>
      </c>
      <c r="B712" s="113">
        <v>4</v>
      </c>
      <c r="C712" s="18" t="str">
        <f t="shared" si="41"/>
        <v>1040</v>
      </c>
      <c r="D712" s="113" t="str">
        <f>_xlfn.XLOOKUP($C712,'Cost Centers'!$A$2:$A$11,'Cost Centers'!$B$2:$B$11,"")</f>
        <v>Finance</v>
      </c>
      <c r="E712" s="113" t="s">
        <v>107</v>
      </c>
      <c r="F712" s="113" t="str">
        <f>_xlfn.XLOOKUP(E712,'Allocated Transactions'!D:D,'Allocated Transactions'!E:E,"")</f>
        <v>Software and Subscriptions</v>
      </c>
      <c r="G712" s="113" t="s">
        <v>97</v>
      </c>
      <c r="H712" s="113"/>
      <c r="I712" s="113" t="str">
        <f>_xlfn.XLOOKUP($C712,'Cost Centers'!$A$2:$A$11,'Cost Centers'!$C$2:$C$11,"")</f>
        <v>Admin</v>
      </c>
      <c r="J712" s="23">
        <f>MROUND(SUMIFS('Allocated Transactions'!$J:$J,'Allocated Transactions'!$D:$D,$E712,'Allocated Transactions'!$C:$C,$C712,'Allocated Transactions'!$A:$A,"&gt;="&amp;$A712,'Allocated Transactions'!$A:$A,"&lt;="&amp;EOMONTH($A712,0))*0.99,100)</f>
        <v>0</v>
      </c>
      <c r="K712" s="113" t="s">
        <v>637</v>
      </c>
    </row>
    <row r="713" spans="1:11" ht="15" customHeight="1">
      <c r="A713" s="112">
        <f t="shared" si="38"/>
        <v>45931</v>
      </c>
      <c r="B713" s="113">
        <v>4</v>
      </c>
      <c r="C713" s="18" t="str">
        <f t="shared" si="41"/>
        <v>1040</v>
      </c>
      <c r="D713" s="113" t="str">
        <f>_xlfn.XLOOKUP($C713,'Cost Centers'!$A$2:$A$11,'Cost Centers'!$B$2:$B$11,"")</f>
        <v>Finance</v>
      </c>
      <c r="E713" s="113" t="s">
        <v>109</v>
      </c>
      <c r="F713" s="113" t="str">
        <f>_xlfn.XLOOKUP(E713,'Allocated Transactions'!D:D,'Allocated Transactions'!E:E,"")</f>
        <v>Travel</v>
      </c>
      <c r="G713" s="113" t="s">
        <v>97</v>
      </c>
      <c r="H713" s="113"/>
      <c r="I713" s="113" t="str">
        <f>_xlfn.XLOOKUP($C713,'Cost Centers'!$A$2:$A$11,'Cost Centers'!$C$2:$C$11,"")</f>
        <v>Admin</v>
      </c>
      <c r="J713" s="23">
        <f>MROUND(SUMIFS('Allocated Transactions'!$J:$J,'Allocated Transactions'!$D:$D,$E713,'Allocated Transactions'!$C:$C,$C713,'Allocated Transactions'!$A:$A,"&gt;="&amp;$A713,'Allocated Transactions'!$A:$A,"&lt;="&amp;EOMONTH($A713,0))*0.99,100)</f>
        <v>0</v>
      </c>
      <c r="K713" s="113" t="s">
        <v>637</v>
      </c>
    </row>
    <row r="714" spans="1:11" ht="15" customHeight="1">
      <c r="A714" s="112">
        <f t="shared" si="38"/>
        <v>45931</v>
      </c>
      <c r="B714" s="113">
        <v>4</v>
      </c>
      <c r="C714" s="18" t="str">
        <f t="shared" si="41"/>
        <v>1040</v>
      </c>
      <c r="D714" s="113" t="str">
        <f>_xlfn.XLOOKUP($C714,'Cost Centers'!$A$2:$A$11,'Cost Centers'!$B$2:$B$11,"")</f>
        <v>Finance</v>
      </c>
      <c r="E714" s="113" t="s">
        <v>111</v>
      </c>
      <c r="F714" s="113" t="str">
        <f>_xlfn.XLOOKUP(E714,'Allocated Transactions'!D:D,'Allocated Transactions'!E:E,"")</f>
        <v>Meals and Entertainment</v>
      </c>
      <c r="G714" s="113" t="s">
        <v>97</v>
      </c>
      <c r="H714" s="113"/>
      <c r="I714" s="113" t="str">
        <f>_xlfn.XLOOKUP($C714,'Cost Centers'!$A$2:$A$11,'Cost Centers'!$C$2:$C$11,"")</f>
        <v>Admin</v>
      </c>
      <c r="J714" s="23">
        <f>MROUND(SUMIFS('Allocated Transactions'!$J:$J,'Allocated Transactions'!$D:$D,$E714,'Allocated Transactions'!$C:$C,$C714,'Allocated Transactions'!$A:$A,"&gt;="&amp;$A714,'Allocated Transactions'!$A:$A,"&lt;="&amp;EOMONTH($A714,0))*0.99,100)</f>
        <v>0</v>
      </c>
      <c r="K714" s="113" t="s">
        <v>637</v>
      </c>
    </row>
    <row r="715" spans="1:11" ht="15" customHeight="1">
      <c r="A715" s="112">
        <f t="shared" si="38"/>
        <v>45931</v>
      </c>
      <c r="B715" s="113">
        <v>4</v>
      </c>
      <c r="C715" s="18" t="str">
        <f t="shared" si="41"/>
        <v>1040</v>
      </c>
      <c r="D715" s="113" t="str">
        <f>_xlfn.XLOOKUP($C715,'Cost Centers'!$A$2:$A$11,'Cost Centers'!$B$2:$B$11,"")</f>
        <v>Finance</v>
      </c>
      <c r="E715" s="113" t="s">
        <v>113</v>
      </c>
      <c r="F715" s="113" t="str">
        <f>_xlfn.XLOOKUP(E715,'Allocated Transactions'!D:D,'Allocated Transactions'!E:E,"")</f>
        <v>Professional Fees - Legal</v>
      </c>
      <c r="G715" s="113" t="s">
        <v>97</v>
      </c>
      <c r="H715" s="113"/>
      <c r="I715" s="113" t="str">
        <f>_xlfn.XLOOKUP($C715,'Cost Centers'!$A$2:$A$11,'Cost Centers'!$C$2:$C$11,"")</f>
        <v>Admin</v>
      </c>
      <c r="J715" s="23">
        <f>MROUND(SUMIFS('Allocated Transactions'!$J:$J,'Allocated Transactions'!$D:$D,$E715,'Allocated Transactions'!$C:$C,$C715,'Allocated Transactions'!$A:$A,"&gt;="&amp;$A715,'Allocated Transactions'!$A:$A,"&lt;="&amp;EOMONTH($A715,0))*0.99,100)</f>
        <v>0</v>
      </c>
      <c r="K715" s="113" t="s">
        <v>637</v>
      </c>
    </row>
    <row r="716" spans="1:11" ht="15" customHeight="1">
      <c r="A716" s="112">
        <f t="shared" si="38"/>
        <v>45931</v>
      </c>
      <c r="B716" s="113">
        <v>4</v>
      </c>
      <c r="C716" s="18" t="str">
        <f t="shared" si="41"/>
        <v>1040</v>
      </c>
      <c r="D716" s="113" t="str">
        <f>_xlfn.XLOOKUP($C716,'Cost Centers'!$A$2:$A$11,'Cost Centers'!$B$2:$B$11,"")</f>
        <v>Finance</v>
      </c>
      <c r="E716" s="113" t="s">
        <v>115</v>
      </c>
      <c r="F716" s="113" t="str">
        <f>_xlfn.XLOOKUP(E716,'Allocated Transactions'!D:D,'Allocated Transactions'!E:E,"")</f>
        <v>Professional Fees - Accounting/Audit</v>
      </c>
      <c r="G716" s="113" t="s">
        <v>97</v>
      </c>
      <c r="H716" s="113"/>
      <c r="I716" s="113" t="str">
        <f>_xlfn.XLOOKUP($C716,'Cost Centers'!$A$2:$A$11,'Cost Centers'!$C$2:$C$11,"")</f>
        <v>Admin</v>
      </c>
      <c r="J716" s="23">
        <f>MROUND(SUMIFS('Allocated Transactions'!$J:$J,'Allocated Transactions'!$D:$D,$E716,'Allocated Transactions'!$C:$C,$C716,'Allocated Transactions'!$A:$A,"&gt;="&amp;$A716,'Allocated Transactions'!$A:$A,"&lt;="&amp;EOMONTH($A716,0))*0.99,100)</f>
        <v>0</v>
      </c>
      <c r="K716" s="113" t="s">
        <v>637</v>
      </c>
    </row>
    <row r="717" spans="1:11" ht="15" customHeight="1">
      <c r="A717" s="112">
        <f t="shared" si="38"/>
        <v>45931</v>
      </c>
      <c r="B717" s="113">
        <v>4</v>
      </c>
      <c r="C717" s="18" t="str">
        <f t="shared" si="41"/>
        <v>1040</v>
      </c>
      <c r="D717" s="113" t="str">
        <f>_xlfn.XLOOKUP($C717,'Cost Centers'!$A$2:$A$11,'Cost Centers'!$B$2:$B$11,"")</f>
        <v>Finance</v>
      </c>
      <c r="E717" s="113" t="s">
        <v>117</v>
      </c>
      <c r="F717" s="113" t="str">
        <f>_xlfn.XLOOKUP(E717,'Allocated Transactions'!D:D,'Allocated Transactions'!E:E,"")</f>
        <v>Insurance</v>
      </c>
      <c r="G717" s="113" t="s">
        <v>97</v>
      </c>
      <c r="H717" s="113"/>
      <c r="I717" s="113" t="str">
        <f>_xlfn.XLOOKUP($C717,'Cost Centers'!$A$2:$A$11,'Cost Centers'!$C$2:$C$11,"")</f>
        <v>Admin</v>
      </c>
      <c r="J717" s="23">
        <f>MROUND(SUMIFS('Allocated Transactions'!$J:$J,'Allocated Transactions'!$D:$D,$E717,'Allocated Transactions'!$C:$C,$C717,'Allocated Transactions'!$A:$A,"&gt;="&amp;$A717,'Allocated Transactions'!$A:$A,"&lt;="&amp;EOMONTH($A717,0))*0.99,100)</f>
        <v>600</v>
      </c>
      <c r="K717" s="113" t="s">
        <v>637</v>
      </c>
    </row>
    <row r="718" spans="1:11" ht="15" customHeight="1">
      <c r="A718" s="112">
        <f t="shared" si="38"/>
        <v>45931</v>
      </c>
      <c r="B718" s="113">
        <v>4</v>
      </c>
      <c r="C718" s="18" t="str">
        <f t="shared" si="41"/>
        <v>1040</v>
      </c>
      <c r="D718" s="113" t="str">
        <f>_xlfn.XLOOKUP($C718,'Cost Centers'!$A$2:$A$11,'Cost Centers'!$B$2:$B$11,"")</f>
        <v>Finance</v>
      </c>
      <c r="E718" s="113" t="s">
        <v>119</v>
      </c>
      <c r="F718" s="113" t="str">
        <f>_xlfn.XLOOKUP(E718,'Allocated Transactions'!D:D,'Allocated Transactions'!E:E,"")</f>
        <v>Depreciation Expense</v>
      </c>
      <c r="G718" s="113" t="s">
        <v>97</v>
      </c>
      <c r="H718" s="113"/>
      <c r="I718" s="113" t="str">
        <f>_xlfn.XLOOKUP($C718,'Cost Centers'!$A$2:$A$11,'Cost Centers'!$C$2:$C$11,"")</f>
        <v>Admin</v>
      </c>
      <c r="J718" s="23">
        <f>MROUND(SUMIFS('Allocated Transactions'!$J:$J,'Allocated Transactions'!$D:$D,$E718,'Allocated Transactions'!$C:$C,$C718,'Allocated Transactions'!$A:$A,"&gt;="&amp;$A718,'Allocated Transactions'!$A:$A,"&lt;="&amp;EOMONTH($A718,0))*0.99,100)</f>
        <v>0</v>
      </c>
      <c r="K718" s="113" t="s">
        <v>637</v>
      </c>
    </row>
    <row r="719" spans="1:11" ht="15" customHeight="1">
      <c r="A719" s="112">
        <f t="shared" si="38"/>
        <v>45931</v>
      </c>
      <c r="B719" s="113">
        <v>4</v>
      </c>
      <c r="C719" s="18" t="str">
        <f t="shared" si="41"/>
        <v>1040</v>
      </c>
      <c r="D719" s="113" t="str">
        <f>_xlfn.XLOOKUP($C719,'Cost Centers'!$A$2:$A$11,'Cost Centers'!$B$2:$B$11,"")</f>
        <v>Finance</v>
      </c>
      <c r="E719" s="113" t="s">
        <v>121</v>
      </c>
      <c r="F719" s="113" t="str">
        <f>_xlfn.XLOOKUP(E719,'Allocated Transactions'!D:D,'Allocated Transactions'!E:E,"")</f>
        <v>Bank Fees</v>
      </c>
      <c r="G719" s="113" t="s">
        <v>97</v>
      </c>
      <c r="H719" s="113"/>
      <c r="I719" s="113" t="str">
        <f>_xlfn.XLOOKUP($C719,'Cost Centers'!$A$2:$A$11,'Cost Centers'!$C$2:$C$11,"")</f>
        <v>Admin</v>
      </c>
      <c r="J719" s="23">
        <f>MROUND(SUMIFS('Allocated Transactions'!$J:$J,'Allocated Transactions'!$D:$D,$E719,'Allocated Transactions'!$C:$C,$C719,'Allocated Transactions'!$A:$A,"&gt;="&amp;$A719,'Allocated Transactions'!$A:$A,"&lt;="&amp;EOMONTH($A719,0))*0.99,100)</f>
        <v>0</v>
      </c>
      <c r="K719" s="113" t="s">
        <v>637</v>
      </c>
    </row>
    <row r="720" spans="1:11" ht="15" customHeight="1">
      <c r="A720" s="112">
        <f t="shared" si="38"/>
        <v>45931</v>
      </c>
      <c r="B720" s="113">
        <v>4</v>
      </c>
      <c r="C720" s="18" t="str">
        <f t="shared" si="41"/>
        <v>1040</v>
      </c>
      <c r="D720" s="113" t="str">
        <f>_xlfn.XLOOKUP($C720,'Cost Centers'!$A$2:$A$11,'Cost Centers'!$B$2:$B$11,"")</f>
        <v>Finance</v>
      </c>
      <c r="E720" s="113" t="s">
        <v>123</v>
      </c>
      <c r="F720" s="113" t="str">
        <f>_xlfn.XLOOKUP(E720,'Allocated Transactions'!D:D,'Allocated Transactions'!E:E,"")</f>
        <v>Interest Expense</v>
      </c>
      <c r="G720" s="113" t="s">
        <v>97</v>
      </c>
      <c r="H720" s="113"/>
      <c r="I720" s="113" t="str">
        <f>_xlfn.XLOOKUP($C720,'Cost Centers'!$A$2:$A$11,'Cost Centers'!$C$2:$C$11,"")</f>
        <v>Admin</v>
      </c>
      <c r="J720" s="23">
        <f>MROUND(SUMIFS('Allocated Transactions'!$J:$J,'Allocated Transactions'!$D:$D,$E720,'Allocated Transactions'!$C:$C,$C720,'Allocated Transactions'!$A:$A,"&gt;="&amp;$A720,'Allocated Transactions'!$A:$A,"&lt;="&amp;EOMONTH($A720,0))*0.99,100)</f>
        <v>0</v>
      </c>
      <c r="K720" s="113" t="s">
        <v>637</v>
      </c>
    </row>
    <row r="721" spans="1:11" ht="15" customHeight="1">
      <c r="A721" s="112">
        <f t="shared" si="38"/>
        <v>45931</v>
      </c>
      <c r="B721" s="113">
        <v>4</v>
      </c>
      <c r="C721" s="18" t="str">
        <f t="shared" si="41"/>
        <v>1040</v>
      </c>
      <c r="D721" s="113" t="str">
        <f>_xlfn.XLOOKUP($C721,'Cost Centers'!$A$2:$A$11,'Cost Centers'!$B$2:$B$11,"")</f>
        <v>Finance</v>
      </c>
      <c r="E721" s="113" t="s">
        <v>125</v>
      </c>
      <c r="F721" s="113" t="str">
        <f>_xlfn.XLOOKUP(E721,'Allocated Transactions'!D:D,'Allocated Transactions'!E:E,"")</f>
        <v>Miscellaneous Expense</v>
      </c>
      <c r="G721" s="113" t="s">
        <v>97</v>
      </c>
      <c r="H721" s="113"/>
      <c r="I721" s="113" t="str">
        <f>_xlfn.XLOOKUP($C721,'Cost Centers'!$A$2:$A$11,'Cost Centers'!$C$2:$C$11,"")</f>
        <v>Admin</v>
      </c>
      <c r="J721" s="23">
        <f>MROUND(SUMIFS('Allocated Transactions'!$J:$J,'Allocated Transactions'!$D:$D,$E721,'Allocated Transactions'!$C:$C,$C721,'Allocated Transactions'!$A:$A,"&gt;="&amp;$A721,'Allocated Transactions'!$A:$A,"&lt;="&amp;EOMONTH($A721,0))*0.99,100)</f>
        <v>0</v>
      </c>
      <c r="K721" s="113" t="s">
        <v>637</v>
      </c>
    </row>
    <row r="722" spans="1:11" ht="15" customHeight="1">
      <c r="A722" s="112">
        <f t="shared" si="38"/>
        <v>45962</v>
      </c>
      <c r="B722" s="113">
        <v>4</v>
      </c>
      <c r="C722" s="18" t="s">
        <v>8</v>
      </c>
      <c r="D722" s="113" t="str">
        <f>_xlfn.XLOOKUP($C722,'Cost Centers'!$A$2:$A$11,'Cost Centers'!$B$2:$B$11,"")</f>
        <v>Finance</v>
      </c>
      <c r="E722" s="113" t="s">
        <v>28</v>
      </c>
      <c r="F722" s="113" t="str">
        <f>_xlfn.XLOOKUP(E722,'Allocated Transactions'!D:D,'Allocated Transactions'!E:E,"")</f>
        <v>Salaries and Wages</v>
      </c>
      <c r="G722" s="113" t="s">
        <v>97</v>
      </c>
      <c r="H722" s="113"/>
      <c r="I722" s="113" t="str">
        <f>_xlfn.XLOOKUP($C722,'Cost Centers'!$A$2:$A$11,'Cost Centers'!$C$2:$C$11,"")</f>
        <v>Admin</v>
      </c>
      <c r="J722" s="23">
        <f>MROUND(SUMIFS('Allocated Transactions'!$J:$J,'Allocated Transactions'!$D:$D,$E722,'Allocated Transactions'!$C:$C,$C722,'Allocated Transactions'!$A:$A,"&gt;="&amp;$A722,'Allocated Transactions'!$A:$A,"&lt;="&amp;EOMONTH($A722,0))*0.99,100)</f>
        <v>9500</v>
      </c>
      <c r="K722" s="113" t="s">
        <v>637</v>
      </c>
    </row>
    <row r="723" spans="1:11" ht="15" customHeight="1">
      <c r="A723" s="112">
        <f t="shared" si="38"/>
        <v>45962</v>
      </c>
      <c r="B723" s="113">
        <v>4</v>
      </c>
      <c r="C723" s="18" t="str">
        <f t="shared" ref="C723:C739" si="42">C722</f>
        <v>1040</v>
      </c>
      <c r="D723" s="113" t="str">
        <f>_xlfn.XLOOKUP($C723,'Cost Centers'!$A$2:$A$11,'Cost Centers'!$B$2:$B$11,"")</f>
        <v>Finance</v>
      </c>
      <c r="E723" s="113" t="s">
        <v>29</v>
      </c>
      <c r="F723" s="113" t="str">
        <f>_xlfn.XLOOKUP(E723,'Allocated Transactions'!D:D,'Allocated Transactions'!E:E,"")</f>
        <v>Payroll Taxes</v>
      </c>
      <c r="G723" s="113" t="s">
        <v>97</v>
      </c>
      <c r="H723" s="113"/>
      <c r="I723" s="113" t="str">
        <f>_xlfn.XLOOKUP($C723,'Cost Centers'!$A$2:$A$11,'Cost Centers'!$C$2:$C$11,"")</f>
        <v>Admin</v>
      </c>
      <c r="J723" s="23">
        <f>MROUND(SUMIFS('Allocated Transactions'!$J:$J,'Allocated Transactions'!$D:$D,$E723,'Allocated Transactions'!$C:$C,$C723,'Allocated Transactions'!$A:$A,"&gt;="&amp;$A723,'Allocated Transactions'!$A:$A,"&lt;="&amp;EOMONTH($A723,0))*0.99,100)</f>
        <v>700</v>
      </c>
      <c r="K723" s="113" t="s">
        <v>637</v>
      </c>
    </row>
    <row r="724" spans="1:11" ht="15" customHeight="1">
      <c r="A724" s="112">
        <f t="shared" si="38"/>
        <v>45962</v>
      </c>
      <c r="B724" s="113">
        <v>4</v>
      </c>
      <c r="C724" s="18" t="str">
        <f t="shared" si="42"/>
        <v>1040</v>
      </c>
      <c r="D724" s="113" t="str">
        <f>_xlfn.XLOOKUP($C724,'Cost Centers'!$A$2:$A$11,'Cost Centers'!$B$2:$B$11,"")</f>
        <v>Finance</v>
      </c>
      <c r="E724" s="113" t="s">
        <v>30</v>
      </c>
      <c r="F724" s="113" t="str">
        <f>_xlfn.XLOOKUP(E724,'Allocated Transactions'!D:D,'Allocated Transactions'!E:E,"")</f>
        <v>Employee Benefits</v>
      </c>
      <c r="G724" s="113" t="s">
        <v>97</v>
      </c>
      <c r="H724" s="113"/>
      <c r="I724" s="113" t="str">
        <f>_xlfn.XLOOKUP($C724,'Cost Centers'!$A$2:$A$11,'Cost Centers'!$C$2:$C$11,"")</f>
        <v>Admin</v>
      </c>
      <c r="J724" s="23">
        <f>MROUND(SUMIFS('Allocated Transactions'!$J:$J,'Allocated Transactions'!$D:$D,$E724,'Allocated Transactions'!$C:$C,$C724,'Allocated Transactions'!$A:$A,"&gt;="&amp;$A724,'Allocated Transactions'!$A:$A,"&lt;="&amp;EOMONTH($A724,0))*0.99,100)</f>
        <v>2700</v>
      </c>
      <c r="K724" s="113" t="s">
        <v>637</v>
      </c>
    </row>
    <row r="725" spans="1:11" ht="15" customHeight="1">
      <c r="A725" s="112">
        <f t="shared" si="38"/>
        <v>45962</v>
      </c>
      <c r="B725" s="113">
        <v>4</v>
      </c>
      <c r="C725" s="18" t="str">
        <f t="shared" si="42"/>
        <v>1040</v>
      </c>
      <c r="D725" s="113" t="str">
        <f>_xlfn.XLOOKUP($C725,'Cost Centers'!$A$2:$A$11,'Cost Centers'!$B$2:$B$11,"")</f>
        <v>Finance</v>
      </c>
      <c r="E725" s="113" t="s">
        <v>31</v>
      </c>
      <c r="F725" s="113" t="str">
        <f>_xlfn.XLOOKUP(E725,'Allocated Transactions'!D:D,'Allocated Transactions'!E:E,"")</f>
        <v>Retirement Contributions</v>
      </c>
      <c r="G725" s="113" t="s">
        <v>97</v>
      </c>
      <c r="H725" s="113"/>
      <c r="I725" s="113" t="str">
        <f>_xlfn.XLOOKUP($C725,'Cost Centers'!$A$2:$A$11,'Cost Centers'!$C$2:$C$11,"")</f>
        <v>Admin</v>
      </c>
      <c r="J725" s="23">
        <f>MROUND(SUMIFS('Allocated Transactions'!$J:$J,'Allocated Transactions'!$D:$D,$E725,'Allocated Transactions'!$C:$C,$C725,'Allocated Transactions'!$A:$A,"&gt;="&amp;$A725,'Allocated Transactions'!$A:$A,"&lt;="&amp;EOMONTH($A725,0))*0.99,100)</f>
        <v>300</v>
      </c>
      <c r="K725" s="113" t="s">
        <v>637</v>
      </c>
    </row>
    <row r="726" spans="1:11" ht="15" customHeight="1">
      <c r="A726" s="112">
        <f t="shared" si="38"/>
        <v>45962</v>
      </c>
      <c r="B726" s="113">
        <v>4</v>
      </c>
      <c r="C726" s="18" t="str">
        <f t="shared" si="42"/>
        <v>1040</v>
      </c>
      <c r="D726" s="113" t="str">
        <f>_xlfn.XLOOKUP($C726,'Cost Centers'!$A$2:$A$11,'Cost Centers'!$B$2:$B$11,"")</f>
        <v>Finance</v>
      </c>
      <c r="E726" s="113" t="s">
        <v>101</v>
      </c>
      <c r="F726" s="113" t="str">
        <f>_xlfn.XLOOKUP(E726,'Allocated Transactions'!D:D,'Allocated Transactions'!E:E,"")</f>
        <v>Contract Labor / Consultants</v>
      </c>
      <c r="G726" s="113" t="s">
        <v>97</v>
      </c>
      <c r="H726" s="113"/>
      <c r="I726" s="113" t="str">
        <f>_xlfn.XLOOKUP($C726,'Cost Centers'!$A$2:$A$11,'Cost Centers'!$C$2:$C$11,"")</f>
        <v>Admin</v>
      </c>
      <c r="J726" s="23">
        <f>MROUND(SUMIFS('Allocated Transactions'!$J:$J,'Allocated Transactions'!$D:$D,$E726,'Allocated Transactions'!$C:$C,$C726,'Allocated Transactions'!$A:$A,"&gt;="&amp;$A726,'Allocated Transactions'!$A:$A,"&lt;="&amp;EOMONTH($A726,0))*0.99,100)</f>
        <v>0</v>
      </c>
      <c r="K726" s="113" t="s">
        <v>637</v>
      </c>
    </row>
    <row r="727" spans="1:11" ht="15" customHeight="1">
      <c r="A727" s="112">
        <f t="shared" si="38"/>
        <v>45962</v>
      </c>
      <c r="B727" s="113">
        <v>4</v>
      </c>
      <c r="C727" s="18" t="str">
        <f t="shared" si="42"/>
        <v>1040</v>
      </c>
      <c r="D727" s="113" t="str">
        <f>_xlfn.XLOOKUP($C727,'Cost Centers'!$A$2:$A$11,'Cost Centers'!$B$2:$B$11,"")</f>
        <v>Finance</v>
      </c>
      <c r="E727" s="113" t="s">
        <v>32</v>
      </c>
      <c r="F727" s="113" t="str">
        <f>_xlfn.XLOOKUP(E727,'Allocated Transactions'!D:D,'Allocated Transactions'!E:E,"")</f>
        <v>Rent</v>
      </c>
      <c r="G727" s="113" t="s">
        <v>97</v>
      </c>
      <c r="H727" s="113"/>
      <c r="I727" s="113" t="str">
        <f>_xlfn.XLOOKUP($C727,'Cost Centers'!$A$2:$A$11,'Cost Centers'!$C$2:$C$11,"")</f>
        <v>Admin</v>
      </c>
      <c r="J727" s="23">
        <f>MROUND(SUMIFS('Allocated Transactions'!$J:$J,'Allocated Transactions'!$D:$D,$E727,'Allocated Transactions'!$C:$C,$C727,'Allocated Transactions'!$A:$A,"&gt;="&amp;$A727,'Allocated Transactions'!$A:$A,"&lt;="&amp;EOMONTH($A727,0))*0.99,100)</f>
        <v>700</v>
      </c>
      <c r="K727" s="113" t="s">
        <v>637</v>
      </c>
    </row>
    <row r="728" spans="1:11" ht="15" customHeight="1">
      <c r="A728" s="112">
        <f t="shared" si="38"/>
        <v>45962</v>
      </c>
      <c r="B728" s="113">
        <v>4</v>
      </c>
      <c r="C728" s="18" t="str">
        <f t="shared" si="42"/>
        <v>1040</v>
      </c>
      <c r="D728" s="113" t="str">
        <f>_xlfn.XLOOKUP($C728,'Cost Centers'!$A$2:$A$11,'Cost Centers'!$B$2:$B$11,"")</f>
        <v>Finance</v>
      </c>
      <c r="E728" s="113" t="s">
        <v>33</v>
      </c>
      <c r="F728" s="113" t="str">
        <f>_xlfn.XLOOKUP(E728,'Allocated Transactions'!D:D,'Allocated Transactions'!E:E,"")</f>
        <v>Utilities</v>
      </c>
      <c r="G728" s="113" t="s">
        <v>97</v>
      </c>
      <c r="H728" s="113"/>
      <c r="I728" s="113" t="str">
        <f>_xlfn.XLOOKUP($C728,'Cost Centers'!$A$2:$A$11,'Cost Centers'!$C$2:$C$11,"")</f>
        <v>Admin</v>
      </c>
      <c r="J728" s="23">
        <f>MROUND(SUMIFS('Allocated Transactions'!$J:$J,'Allocated Transactions'!$D:$D,$E728,'Allocated Transactions'!$C:$C,$C728,'Allocated Transactions'!$A:$A,"&gt;="&amp;$A728,'Allocated Transactions'!$A:$A,"&lt;="&amp;EOMONTH($A728,0))*0.99,100)</f>
        <v>100</v>
      </c>
      <c r="K728" s="113" t="s">
        <v>637</v>
      </c>
    </row>
    <row r="729" spans="1:11" ht="15" customHeight="1">
      <c r="A729" s="112">
        <f t="shared" ref="A729:A792" si="43">IF(C729&lt;&gt;C728,DATE(2025,7,1),IF(E729="5000",EOMONTH(A728,0)+1,A728))</f>
        <v>45962</v>
      </c>
      <c r="B729" s="113">
        <v>4</v>
      </c>
      <c r="C729" s="18" t="str">
        <f t="shared" si="42"/>
        <v>1040</v>
      </c>
      <c r="D729" s="113" t="str">
        <f>_xlfn.XLOOKUP($C729,'Cost Centers'!$A$2:$A$11,'Cost Centers'!$B$2:$B$11,"")</f>
        <v>Finance</v>
      </c>
      <c r="E729" s="113" t="s">
        <v>105</v>
      </c>
      <c r="F729" s="113" t="str">
        <f>_xlfn.XLOOKUP(E729,'Allocated Transactions'!D:D,'Allocated Transactions'!E:E,"")</f>
        <v>Office Supplies</v>
      </c>
      <c r="G729" s="113" t="s">
        <v>97</v>
      </c>
      <c r="H729" s="113"/>
      <c r="I729" s="113" t="str">
        <f>_xlfn.XLOOKUP($C729,'Cost Centers'!$A$2:$A$11,'Cost Centers'!$C$2:$C$11,"")</f>
        <v>Admin</v>
      </c>
      <c r="J729" s="23">
        <f>MROUND(SUMIFS('Allocated Transactions'!$J:$J,'Allocated Transactions'!$D:$D,$E729,'Allocated Transactions'!$C:$C,$C729,'Allocated Transactions'!$A:$A,"&gt;="&amp;$A729,'Allocated Transactions'!$A:$A,"&lt;="&amp;EOMONTH($A729,0))*0.99,100)</f>
        <v>0</v>
      </c>
      <c r="K729" s="113" t="s">
        <v>637</v>
      </c>
    </row>
    <row r="730" spans="1:11" ht="15" customHeight="1">
      <c r="A730" s="112">
        <f t="shared" si="43"/>
        <v>45962</v>
      </c>
      <c r="B730" s="113">
        <v>4</v>
      </c>
      <c r="C730" s="18" t="str">
        <f t="shared" si="42"/>
        <v>1040</v>
      </c>
      <c r="D730" s="113" t="str">
        <f>_xlfn.XLOOKUP($C730,'Cost Centers'!$A$2:$A$11,'Cost Centers'!$B$2:$B$11,"")</f>
        <v>Finance</v>
      </c>
      <c r="E730" s="113" t="s">
        <v>107</v>
      </c>
      <c r="F730" s="113" t="str">
        <f>_xlfn.XLOOKUP(E730,'Allocated Transactions'!D:D,'Allocated Transactions'!E:E,"")</f>
        <v>Software and Subscriptions</v>
      </c>
      <c r="G730" s="113" t="s">
        <v>97</v>
      </c>
      <c r="H730" s="113"/>
      <c r="I730" s="113" t="str">
        <f>_xlfn.XLOOKUP($C730,'Cost Centers'!$A$2:$A$11,'Cost Centers'!$C$2:$C$11,"")</f>
        <v>Admin</v>
      </c>
      <c r="J730" s="23">
        <f>MROUND(SUMIFS('Allocated Transactions'!$J:$J,'Allocated Transactions'!$D:$D,$E730,'Allocated Transactions'!$C:$C,$C730,'Allocated Transactions'!$A:$A,"&gt;="&amp;$A730,'Allocated Transactions'!$A:$A,"&lt;="&amp;EOMONTH($A730,0))*0.99,100)</f>
        <v>3000</v>
      </c>
      <c r="K730" s="113" t="s">
        <v>637</v>
      </c>
    </row>
    <row r="731" spans="1:11" ht="15" customHeight="1">
      <c r="A731" s="112">
        <f t="shared" si="43"/>
        <v>45962</v>
      </c>
      <c r="B731" s="113">
        <v>4</v>
      </c>
      <c r="C731" s="18" t="str">
        <f t="shared" si="42"/>
        <v>1040</v>
      </c>
      <c r="D731" s="113" t="str">
        <f>_xlfn.XLOOKUP($C731,'Cost Centers'!$A$2:$A$11,'Cost Centers'!$B$2:$B$11,"")</f>
        <v>Finance</v>
      </c>
      <c r="E731" s="113" t="s">
        <v>109</v>
      </c>
      <c r="F731" s="113" t="str">
        <f>_xlfn.XLOOKUP(E731,'Allocated Transactions'!D:D,'Allocated Transactions'!E:E,"")</f>
        <v>Travel</v>
      </c>
      <c r="G731" s="113" t="s">
        <v>97</v>
      </c>
      <c r="H731" s="113"/>
      <c r="I731" s="113" t="str">
        <f>_xlfn.XLOOKUP($C731,'Cost Centers'!$A$2:$A$11,'Cost Centers'!$C$2:$C$11,"")</f>
        <v>Admin</v>
      </c>
      <c r="J731" s="23">
        <f>MROUND(SUMIFS('Allocated Transactions'!$J:$J,'Allocated Transactions'!$D:$D,$E731,'Allocated Transactions'!$C:$C,$C731,'Allocated Transactions'!$A:$A,"&gt;="&amp;$A731,'Allocated Transactions'!$A:$A,"&lt;="&amp;EOMONTH($A731,0))*0.99,100)</f>
        <v>0</v>
      </c>
      <c r="K731" s="113" t="s">
        <v>637</v>
      </c>
    </row>
    <row r="732" spans="1:11" ht="15" customHeight="1">
      <c r="A732" s="112">
        <f t="shared" si="43"/>
        <v>45962</v>
      </c>
      <c r="B732" s="113">
        <v>4</v>
      </c>
      <c r="C732" s="18" t="str">
        <f t="shared" si="42"/>
        <v>1040</v>
      </c>
      <c r="D732" s="113" t="str">
        <f>_xlfn.XLOOKUP($C732,'Cost Centers'!$A$2:$A$11,'Cost Centers'!$B$2:$B$11,"")</f>
        <v>Finance</v>
      </c>
      <c r="E732" s="113" t="s">
        <v>111</v>
      </c>
      <c r="F732" s="113" t="str">
        <f>_xlfn.XLOOKUP(E732,'Allocated Transactions'!D:D,'Allocated Transactions'!E:E,"")</f>
        <v>Meals and Entertainment</v>
      </c>
      <c r="G732" s="113" t="s">
        <v>97</v>
      </c>
      <c r="H732" s="113"/>
      <c r="I732" s="113" t="str">
        <f>_xlfn.XLOOKUP($C732,'Cost Centers'!$A$2:$A$11,'Cost Centers'!$C$2:$C$11,"")</f>
        <v>Admin</v>
      </c>
      <c r="J732" s="23">
        <f>MROUND(SUMIFS('Allocated Transactions'!$J:$J,'Allocated Transactions'!$D:$D,$E732,'Allocated Transactions'!$C:$C,$C732,'Allocated Transactions'!$A:$A,"&gt;="&amp;$A732,'Allocated Transactions'!$A:$A,"&lt;="&amp;EOMONTH($A732,0))*0.99,100)</f>
        <v>0</v>
      </c>
      <c r="K732" s="113" t="s">
        <v>637</v>
      </c>
    </row>
    <row r="733" spans="1:11" ht="15" customHeight="1">
      <c r="A733" s="112">
        <f t="shared" si="43"/>
        <v>45962</v>
      </c>
      <c r="B733" s="113">
        <v>4</v>
      </c>
      <c r="C733" s="18" t="str">
        <f t="shared" si="42"/>
        <v>1040</v>
      </c>
      <c r="D733" s="113" t="str">
        <f>_xlfn.XLOOKUP($C733,'Cost Centers'!$A$2:$A$11,'Cost Centers'!$B$2:$B$11,"")</f>
        <v>Finance</v>
      </c>
      <c r="E733" s="113" t="s">
        <v>113</v>
      </c>
      <c r="F733" s="113" t="str">
        <f>_xlfn.XLOOKUP(E733,'Allocated Transactions'!D:D,'Allocated Transactions'!E:E,"")</f>
        <v>Professional Fees - Legal</v>
      </c>
      <c r="G733" s="113" t="s">
        <v>97</v>
      </c>
      <c r="H733" s="113"/>
      <c r="I733" s="113" t="str">
        <f>_xlfn.XLOOKUP($C733,'Cost Centers'!$A$2:$A$11,'Cost Centers'!$C$2:$C$11,"")</f>
        <v>Admin</v>
      </c>
      <c r="J733" s="23">
        <f>MROUND(SUMIFS('Allocated Transactions'!$J:$J,'Allocated Transactions'!$D:$D,$E733,'Allocated Transactions'!$C:$C,$C733,'Allocated Transactions'!$A:$A,"&gt;="&amp;$A733,'Allocated Transactions'!$A:$A,"&lt;="&amp;EOMONTH($A733,0))*0.99,100)</f>
        <v>0</v>
      </c>
      <c r="K733" s="113" t="s">
        <v>637</v>
      </c>
    </row>
    <row r="734" spans="1:11" ht="15" customHeight="1">
      <c r="A734" s="112">
        <f t="shared" si="43"/>
        <v>45962</v>
      </c>
      <c r="B734" s="113">
        <v>4</v>
      </c>
      <c r="C734" s="18" t="str">
        <f t="shared" si="42"/>
        <v>1040</v>
      </c>
      <c r="D734" s="113" t="str">
        <f>_xlfn.XLOOKUP($C734,'Cost Centers'!$A$2:$A$11,'Cost Centers'!$B$2:$B$11,"")</f>
        <v>Finance</v>
      </c>
      <c r="E734" s="113" t="s">
        <v>115</v>
      </c>
      <c r="F734" s="113" t="str">
        <f>_xlfn.XLOOKUP(E734,'Allocated Transactions'!D:D,'Allocated Transactions'!E:E,"")</f>
        <v>Professional Fees - Accounting/Audit</v>
      </c>
      <c r="G734" s="113" t="s">
        <v>97</v>
      </c>
      <c r="H734" s="113"/>
      <c r="I734" s="113" t="str">
        <f>_xlfn.XLOOKUP($C734,'Cost Centers'!$A$2:$A$11,'Cost Centers'!$C$2:$C$11,"")</f>
        <v>Admin</v>
      </c>
      <c r="J734" s="23">
        <f>MROUND(SUMIFS('Allocated Transactions'!$J:$J,'Allocated Transactions'!$D:$D,$E734,'Allocated Transactions'!$C:$C,$C734,'Allocated Transactions'!$A:$A,"&gt;="&amp;$A734,'Allocated Transactions'!$A:$A,"&lt;="&amp;EOMONTH($A734,0))*0.99,100)</f>
        <v>0</v>
      </c>
      <c r="K734" s="113" t="s">
        <v>637</v>
      </c>
    </row>
    <row r="735" spans="1:11" ht="15" customHeight="1">
      <c r="A735" s="112">
        <f t="shared" si="43"/>
        <v>45962</v>
      </c>
      <c r="B735" s="113">
        <v>4</v>
      </c>
      <c r="C735" s="18" t="str">
        <f t="shared" si="42"/>
        <v>1040</v>
      </c>
      <c r="D735" s="113" t="str">
        <f>_xlfn.XLOOKUP($C735,'Cost Centers'!$A$2:$A$11,'Cost Centers'!$B$2:$B$11,"")</f>
        <v>Finance</v>
      </c>
      <c r="E735" s="113" t="s">
        <v>117</v>
      </c>
      <c r="F735" s="113" t="str">
        <f>_xlfn.XLOOKUP(E735,'Allocated Transactions'!D:D,'Allocated Transactions'!E:E,"")</f>
        <v>Insurance</v>
      </c>
      <c r="G735" s="113" t="s">
        <v>97</v>
      </c>
      <c r="H735" s="113"/>
      <c r="I735" s="113" t="str">
        <f>_xlfn.XLOOKUP($C735,'Cost Centers'!$A$2:$A$11,'Cost Centers'!$C$2:$C$11,"")</f>
        <v>Admin</v>
      </c>
      <c r="J735" s="23">
        <f>MROUND(SUMIFS('Allocated Transactions'!$J:$J,'Allocated Transactions'!$D:$D,$E735,'Allocated Transactions'!$C:$C,$C735,'Allocated Transactions'!$A:$A,"&gt;="&amp;$A735,'Allocated Transactions'!$A:$A,"&lt;="&amp;EOMONTH($A735,0))*0.99,100)</f>
        <v>600</v>
      </c>
      <c r="K735" s="113" t="s">
        <v>637</v>
      </c>
    </row>
    <row r="736" spans="1:11" ht="15" customHeight="1">
      <c r="A736" s="112">
        <f t="shared" si="43"/>
        <v>45962</v>
      </c>
      <c r="B736" s="113">
        <v>4</v>
      </c>
      <c r="C736" s="18" t="str">
        <f t="shared" si="42"/>
        <v>1040</v>
      </c>
      <c r="D736" s="113" t="str">
        <f>_xlfn.XLOOKUP($C736,'Cost Centers'!$A$2:$A$11,'Cost Centers'!$B$2:$B$11,"")</f>
        <v>Finance</v>
      </c>
      <c r="E736" s="113" t="s">
        <v>119</v>
      </c>
      <c r="F736" s="113" t="str">
        <f>_xlfn.XLOOKUP(E736,'Allocated Transactions'!D:D,'Allocated Transactions'!E:E,"")</f>
        <v>Depreciation Expense</v>
      </c>
      <c r="G736" s="113" t="s">
        <v>97</v>
      </c>
      <c r="H736" s="113"/>
      <c r="I736" s="113" t="str">
        <f>_xlfn.XLOOKUP($C736,'Cost Centers'!$A$2:$A$11,'Cost Centers'!$C$2:$C$11,"")</f>
        <v>Admin</v>
      </c>
      <c r="J736" s="23">
        <f>MROUND(SUMIFS('Allocated Transactions'!$J:$J,'Allocated Transactions'!$D:$D,$E736,'Allocated Transactions'!$C:$C,$C736,'Allocated Transactions'!$A:$A,"&gt;="&amp;$A736,'Allocated Transactions'!$A:$A,"&lt;="&amp;EOMONTH($A736,0))*0.99,100)</f>
        <v>0</v>
      </c>
      <c r="K736" s="113" t="s">
        <v>637</v>
      </c>
    </row>
    <row r="737" spans="1:11" ht="15" customHeight="1">
      <c r="A737" s="112">
        <f t="shared" si="43"/>
        <v>45962</v>
      </c>
      <c r="B737" s="113">
        <v>4</v>
      </c>
      <c r="C737" s="18" t="str">
        <f t="shared" si="42"/>
        <v>1040</v>
      </c>
      <c r="D737" s="113" t="str">
        <f>_xlfn.XLOOKUP($C737,'Cost Centers'!$A$2:$A$11,'Cost Centers'!$B$2:$B$11,"")</f>
        <v>Finance</v>
      </c>
      <c r="E737" s="113" t="s">
        <v>121</v>
      </c>
      <c r="F737" s="113" t="str">
        <f>_xlfn.XLOOKUP(E737,'Allocated Transactions'!D:D,'Allocated Transactions'!E:E,"")</f>
        <v>Bank Fees</v>
      </c>
      <c r="G737" s="113" t="s">
        <v>97</v>
      </c>
      <c r="H737" s="113"/>
      <c r="I737" s="113" t="str">
        <f>_xlfn.XLOOKUP($C737,'Cost Centers'!$A$2:$A$11,'Cost Centers'!$C$2:$C$11,"")</f>
        <v>Admin</v>
      </c>
      <c r="J737" s="23">
        <f>MROUND(SUMIFS('Allocated Transactions'!$J:$J,'Allocated Transactions'!$D:$D,$E737,'Allocated Transactions'!$C:$C,$C737,'Allocated Transactions'!$A:$A,"&gt;="&amp;$A737,'Allocated Transactions'!$A:$A,"&lt;="&amp;EOMONTH($A737,0))*0.99,100)</f>
        <v>0</v>
      </c>
      <c r="K737" s="113" t="s">
        <v>637</v>
      </c>
    </row>
    <row r="738" spans="1:11" ht="15" customHeight="1">
      <c r="A738" s="112">
        <f t="shared" si="43"/>
        <v>45962</v>
      </c>
      <c r="B738" s="113">
        <v>4</v>
      </c>
      <c r="C738" s="18" t="str">
        <f t="shared" si="42"/>
        <v>1040</v>
      </c>
      <c r="D738" s="113" t="str">
        <f>_xlfn.XLOOKUP($C738,'Cost Centers'!$A$2:$A$11,'Cost Centers'!$B$2:$B$11,"")</f>
        <v>Finance</v>
      </c>
      <c r="E738" s="113" t="s">
        <v>123</v>
      </c>
      <c r="F738" s="113" t="str">
        <f>_xlfn.XLOOKUP(E738,'Allocated Transactions'!D:D,'Allocated Transactions'!E:E,"")</f>
        <v>Interest Expense</v>
      </c>
      <c r="G738" s="113" t="s">
        <v>97</v>
      </c>
      <c r="H738" s="113"/>
      <c r="I738" s="113" t="str">
        <f>_xlfn.XLOOKUP($C738,'Cost Centers'!$A$2:$A$11,'Cost Centers'!$C$2:$C$11,"")</f>
        <v>Admin</v>
      </c>
      <c r="J738" s="23">
        <f>MROUND(SUMIFS('Allocated Transactions'!$J:$J,'Allocated Transactions'!$D:$D,$E738,'Allocated Transactions'!$C:$C,$C738,'Allocated Transactions'!$A:$A,"&gt;="&amp;$A738,'Allocated Transactions'!$A:$A,"&lt;="&amp;EOMONTH($A738,0))*0.99,100)</f>
        <v>0</v>
      </c>
      <c r="K738" s="113" t="s">
        <v>637</v>
      </c>
    </row>
    <row r="739" spans="1:11" ht="15" customHeight="1">
      <c r="A739" s="112">
        <f t="shared" si="43"/>
        <v>45962</v>
      </c>
      <c r="B739" s="113">
        <v>4</v>
      </c>
      <c r="C739" s="18" t="str">
        <f t="shared" si="42"/>
        <v>1040</v>
      </c>
      <c r="D739" s="113" t="str">
        <f>_xlfn.XLOOKUP($C739,'Cost Centers'!$A$2:$A$11,'Cost Centers'!$B$2:$B$11,"")</f>
        <v>Finance</v>
      </c>
      <c r="E739" s="113" t="s">
        <v>125</v>
      </c>
      <c r="F739" s="113" t="str">
        <f>_xlfn.XLOOKUP(E739,'Allocated Transactions'!D:D,'Allocated Transactions'!E:E,"")</f>
        <v>Miscellaneous Expense</v>
      </c>
      <c r="G739" s="113" t="s">
        <v>97</v>
      </c>
      <c r="H739" s="113"/>
      <c r="I739" s="113" t="str">
        <f>_xlfn.XLOOKUP($C739,'Cost Centers'!$A$2:$A$11,'Cost Centers'!$C$2:$C$11,"")</f>
        <v>Admin</v>
      </c>
      <c r="J739" s="23">
        <f>MROUND(SUMIFS('Allocated Transactions'!$J:$J,'Allocated Transactions'!$D:$D,$E739,'Allocated Transactions'!$C:$C,$C739,'Allocated Transactions'!$A:$A,"&gt;="&amp;$A739,'Allocated Transactions'!$A:$A,"&lt;="&amp;EOMONTH($A739,0))*0.99,100)</f>
        <v>0</v>
      </c>
      <c r="K739" s="113" t="s">
        <v>637</v>
      </c>
    </row>
    <row r="740" spans="1:11" ht="15" customHeight="1">
      <c r="A740" s="112">
        <f t="shared" si="43"/>
        <v>45992</v>
      </c>
      <c r="B740" s="113">
        <v>4</v>
      </c>
      <c r="C740" s="18" t="s">
        <v>8</v>
      </c>
      <c r="D740" s="113" t="str">
        <f>_xlfn.XLOOKUP($C740,'Cost Centers'!$A$2:$A$11,'Cost Centers'!$B$2:$B$11,"")</f>
        <v>Finance</v>
      </c>
      <c r="E740" s="113" t="s">
        <v>28</v>
      </c>
      <c r="F740" s="113" t="str">
        <f>_xlfn.XLOOKUP(E740,'Allocated Transactions'!D:D,'Allocated Transactions'!E:E,"")</f>
        <v>Salaries and Wages</v>
      </c>
      <c r="G740" s="113" t="s">
        <v>97</v>
      </c>
      <c r="H740" s="113"/>
      <c r="I740" s="113" t="str">
        <f>_xlfn.XLOOKUP($C740,'Cost Centers'!$A$2:$A$11,'Cost Centers'!$C$2:$C$11,"")</f>
        <v>Admin</v>
      </c>
      <c r="J740" s="23">
        <f>MROUND(SUMIFS('Allocated Transactions'!$J:$J,'Allocated Transactions'!$D:$D,$E740,'Allocated Transactions'!$C:$C,$C740,'Allocated Transactions'!$A:$A,"&gt;="&amp;$A740,'Allocated Transactions'!$A:$A,"&lt;="&amp;EOMONTH($A740,0))*0.99,100)</f>
        <v>9700</v>
      </c>
      <c r="K740" s="113" t="s">
        <v>637</v>
      </c>
    </row>
    <row r="741" spans="1:11" ht="15" customHeight="1">
      <c r="A741" s="112">
        <f t="shared" si="43"/>
        <v>45992</v>
      </c>
      <c r="B741" s="113">
        <v>4</v>
      </c>
      <c r="C741" s="18" t="str">
        <f t="shared" ref="C741:C757" si="44">C740</f>
        <v>1040</v>
      </c>
      <c r="D741" s="113" t="str">
        <f>_xlfn.XLOOKUP($C741,'Cost Centers'!$A$2:$A$11,'Cost Centers'!$B$2:$B$11,"")</f>
        <v>Finance</v>
      </c>
      <c r="E741" s="113" t="s">
        <v>29</v>
      </c>
      <c r="F741" s="113" t="str">
        <f>_xlfn.XLOOKUP(E741,'Allocated Transactions'!D:D,'Allocated Transactions'!E:E,"")</f>
        <v>Payroll Taxes</v>
      </c>
      <c r="G741" s="113" t="s">
        <v>97</v>
      </c>
      <c r="H741" s="113"/>
      <c r="I741" s="113" t="str">
        <f>_xlfn.XLOOKUP($C741,'Cost Centers'!$A$2:$A$11,'Cost Centers'!$C$2:$C$11,"")</f>
        <v>Admin</v>
      </c>
      <c r="J741" s="23">
        <f>MROUND(SUMIFS('Allocated Transactions'!$J:$J,'Allocated Transactions'!$D:$D,$E741,'Allocated Transactions'!$C:$C,$C741,'Allocated Transactions'!$A:$A,"&gt;="&amp;$A741,'Allocated Transactions'!$A:$A,"&lt;="&amp;EOMONTH($A741,0))*0.99,100)</f>
        <v>700</v>
      </c>
      <c r="K741" s="113" t="s">
        <v>637</v>
      </c>
    </row>
    <row r="742" spans="1:11" ht="15" customHeight="1">
      <c r="A742" s="112">
        <f t="shared" si="43"/>
        <v>45992</v>
      </c>
      <c r="B742" s="113">
        <v>4</v>
      </c>
      <c r="C742" s="18" t="str">
        <f t="shared" si="44"/>
        <v>1040</v>
      </c>
      <c r="D742" s="113" t="str">
        <f>_xlfn.XLOOKUP($C742,'Cost Centers'!$A$2:$A$11,'Cost Centers'!$B$2:$B$11,"")</f>
        <v>Finance</v>
      </c>
      <c r="E742" s="113" t="s">
        <v>30</v>
      </c>
      <c r="F742" s="113" t="str">
        <f>_xlfn.XLOOKUP(E742,'Allocated Transactions'!D:D,'Allocated Transactions'!E:E,"")</f>
        <v>Employee Benefits</v>
      </c>
      <c r="G742" s="113" t="s">
        <v>97</v>
      </c>
      <c r="H742" s="113"/>
      <c r="I742" s="113" t="str">
        <f>_xlfn.XLOOKUP($C742,'Cost Centers'!$A$2:$A$11,'Cost Centers'!$C$2:$C$11,"")</f>
        <v>Admin</v>
      </c>
      <c r="J742" s="23">
        <f>MROUND(SUMIFS('Allocated Transactions'!$J:$J,'Allocated Transactions'!$D:$D,$E742,'Allocated Transactions'!$C:$C,$C742,'Allocated Transactions'!$A:$A,"&gt;="&amp;$A742,'Allocated Transactions'!$A:$A,"&lt;="&amp;EOMONTH($A742,0))*0.99,100)</f>
        <v>2900</v>
      </c>
      <c r="K742" s="113" t="s">
        <v>637</v>
      </c>
    </row>
    <row r="743" spans="1:11" ht="15" customHeight="1">
      <c r="A743" s="112">
        <f t="shared" si="43"/>
        <v>45992</v>
      </c>
      <c r="B743" s="113">
        <v>4</v>
      </c>
      <c r="C743" s="18" t="str">
        <f t="shared" si="44"/>
        <v>1040</v>
      </c>
      <c r="D743" s="113" t="str">
        <f>_xlfn.XLOOKUP($C743,'Cost Centers'!$A$2:$A$11,'Cost Centers'!$B$2:$B$11,"")</f>
        <v>Finance</v>
      </c>
      <c r="E743" s="113" t="s">
        <v>31</v>
      </c>
      <c r="F743" s="113" t="str">
        <f>_xlfn.XLOOKUP(E743,'Allocated Transactions'!D:D,'Allocated Transactions'!E:E,"")</f>
        <v>Retirement Contributions</v>
      </c>
      <c r="G743" s="113" t="s">
        <v>97</v>
      </c>
      <c r="H743" s="113"/>
      <c r="I743" s="113" t="str">
        <f>_xlfn.XLOOKUP($C743,'Cost Centers'!$A$2:$A$11,'Cost Centers'!$C$2:$C$11,"")</f>
        <v>Admin</v>
      </c>
      <c r="J743" s="23">
        <f>MROUND(SUMIFS('Allocated Transactions'!$J:$J,'Allocated Transactions'!$D:$D,$E743,'Allocated Transactions'!$C:$C,$C743,'Allocated Transactions'!$A:$A,"&gt;="&amp;$A743,'Allocated Transactions'!$A:$A,"&lt;="&amp;EOMONTH($A743,0))*0.99,100)</f>
        <v>300</v>
      </c>
      <c r="K743" s="113" t="s">
        <v>637</v>
      </c>
    </row>
    <row r="744" spans="1:11" ht="15" customHeight="1">
      <c r="A744" s="112">
        <f t="shared" si="43"/>
        <v>45992</v>
      </c>
      <c r="B744" s="113">
        <v>4</v>
      </c>
      <c r="C744" s="18" t="str">
        <f t="shared" si="44"/>
        <v>1040</v>
      </c>
      <c r="D744" s="113" t="str">
        <f>_xlfn.XLOOKUP($C744,'Cost Centers'!$A$2:$A$11,'Cost Centers'!$B$2:$B$11,"")</f>
        <v>Finance</v>
      </c>
      <c r="E744" s="113" t="s">
        <v>101</v>
      </c>
      <c r="F744" s="113" t="str">
        <f>_xlfn.XLOOKUP(E744,'Allocated Transactions'!D:D,'Allocated Transactions'!E:E,"")</f>
        <v>Contract Labor / Consultants</v>
      </c>
      <c r="G744" s="113" t="s">
        <v>97</v>
      </c>
      <c r="H744" s="113"/>
      <c r="I744" s="113" t="str">
        <f>_xlfn.XLOOKUP($C744,'Cost Centers'!$A$2:$A$11,'Cost Centers'!$C$2:$C$11,"")</f>
        <v>Admin</v>
      </c>
      <c r="J744" s="23">
        <f>MROUND(SUMIFS('Allocated Transactions'!$J:$J,'Allocated Transactions'!$D:$D,$E744,'Allocated Transactions'!$C:$C,$C744,'Allocated Transactions'!$A:$A,"&gt;="&amp;$A744,'Allocated Transactions'!$A:$A,"&lt;="&amp;EOMONTH($A744,0))*0.99,100)</f>
        <v>0</v>
      </c>
      <c r="K744" s="113" t="s">
        <v>637</v>
      </c>
    </row>
    <row r="745" spans="1:11" ht="15" customHeight="1">
      <c r="A745" s="112">
        <f t="shared" si="43"/>
        <v>45992</v>
      </c>
      <c r="B745" s="113">
        <v>4</v>
      </c>
      <c r="C745" s="18" t="str">
        <f t="shared" si="44"/>
        <v>1040</v>
      </c>
      <c r="D745" s="113" t="str">
        <f>_xlfn.XLOOKUP($C745,'Cost Centers'!$A$2:$A$11,'Cost Centers'!$B$2:$B$11,"")</f>
        <v>Finance</v>
      </c>
      <c r="E745" s="113" t="s">
        <v>32</v>
      </c>
      <c r="F745" s="113" t="str">
        <f>_xlfn.XLOOKUP(E745,'Allocated Transactions'!D:D,'Allocated Transactions'!E:E,"")</f>
        <v>Rent</v>
      </c>
      <c r="G745" s="113" t="s">
        <v>97</v>
      </c>
      <c r="H745" s="113"/>
      <c r="I745" s="113" t="str">
        <f>_xlfn.XLOOKUP($C745,'Cost Centers'!$A$2:$A$11,'Cost Centers'!$C$2:$C$11,"")</f>
        <v>Admin</v>
      </c>
      <c r="J745" s="23">
        <f>MROUND(SUMIFS('Allocated Transactions'!$J:$J,'Allocated Transactions'!$D:$D,$E745,'Allocated Transactions'!$C:$C,$C745,'Allocated Transactions'!$A:$A,"&gt;="&amp;$A745,'Allocated Transactions'!$A:$A,"&lt;="&amp;EOMONTH($A745,0))*0.99,100)</f>
        <v>700</v>
      </c>
      <c r="K745" s="113" t="s">
        <v>637</v>
      </c>
    </row>
    <row r="746" spans="1:11" ht="15" customHeight="1">
      <c r="A746" s="112">
        <f t="shared" si="43"/>
        <v>45992</v>
      </c>
      <c r="B746" s="113">
        <v>4</v>
      </c>
      <c r="C746" s="18" t="str">
        <f t="shared" si="44"/>
        <v>1040</v>
      </c>
      <c r="D746" s="113" t="str">
        <f>_xlfn.XLOOKUP($C746,'Cost Centers'!$A$2:$A$11,'Cost Centers'!$B$2:$B$11,"")</f>
        <v>Finance</v>
      </c>
      <c r="E746" s="113" t="s">
        <v>33</v>
      </c>
      <c r="F746" s="113" t="str">
        <f>_xlfn.XLOOKUP(E746,'Allocated Transactions'!D:D,'Allocated Transactions'!E:E,"")</f>
        <v>Utilities</v>
      </c>
      <c r="G746" s="113" t="s">
        <v>97</v>
      </c>
      <c r="H746" s="113"/>
      <c r="I746" s="113" t="str">
        <f>_xlfn.XLOOKUP($C746,'Cost Centers'!$A$2:$A$11,'Cost Centers'!$C$2:$C$11,"")</f>
        <v>Admin</v>
      </c>
      <c r="J746" s="23">
        <f>MROUND(SUMIFS('Allocated Transactions'!$J:$J,'Allocated Transactions'!$D:$D,$E746,'Allocated Transactions'!$C:$C,$C746,'Allocated Transactions'!$A:$A,"&gt;="&amp;$A746,'Allocated Transactions'!$A:$A,"&lt;="&amp;EOMONTH($A746,0))*0.99,100)</f>
        <v>100</v>
      </c>
      <c r="K746" s="113" t="s">
        <v>637</v>
      </c>
    </row>
    <row r="747" spans="1:11" ht="15" customHeight="1">
      <c r="A747" s="112">
        <f t="shared" si="43"/>
        <v>45992</v>
      </c>
      <c r="B747" s="113">
        <v>4</v>
      </c>
      <c r="C747" s="18" t="str">
        <f t="shared" si="44"/>
        <v>1040</v>
      </c>
      <c r="D747" s="113" t="str">
        <f>_xlfn.XLOOKUP($C747,'Cost Centers'!$A$2:$A$11,'Cost Centers'!$B$2:$B$11,"")</f>
        <v>Finance</v>
      </c>
      <c r="E747" s="113" t="s">
        <v>105</v>
      </c>
      <c r="F747" s="113" t="str">
        <f>_xlfn.XLOOKUP(E747,'Allocated Transactions'!D:D,'Allocated Transactions'!E:E,"")</f>
        <v>Office Supplies</v>
      </c>
      <c r="G747" s="113" t="s">
        <v>97</v>
      </c>
      <c r="H747" s="113"/>
      <c r="I747" s="113" t="str">
        <f>_xlfn.XLOOKUP($C747,'Cost Centers'!$A$2:$A$11,'Cost Centers'!$C$2:$C$11,"")</f>
        <v>Admin</v>
      </c>
      <c r="J747" s="23">
        <f>MROUND(SUMIFS('Allocated Transactions'!$J:$J,'Allocated Transactions'!$D:$D,$E747,'Allocated Transactions'!$C:$C,$C747,'Allocated Transactions'!$A:$A,"&gt;="&amp;$A747,'Allocated Transactions'!$A:$A,"&lt;="&amp;EOMONTH($A747,0))*0.99,100)</f>
        <v>800</v>
      </c>
      <c r="K747" s="113" t="s">
        <v>637</v>
      </c>
    </row>
    <row r="748" spans="1:11" ht="15" customHeight="1">
      <c r="A748" s="112">
        <f t="shared" si="43"/>
        <v>45992</v>
      </c>
      <c r="B748" s="113">
        <v>4</v>
      </c>
      <c r="C748" s="18" t="str">
        <f t="shared" si="44"/>
        <v>1040</v>
      </c>
      <c r="D748" s="113" t="str">
        <f>_xlfn.XLOOKUP($C748,'Cost Centers'!$A$2:$A$11,'Cost Centers'!$B$2:$B$11,"")</f>
        <v>Finance</v>
      </c>
      <c r="E748" s="113" t="s">
        <v>107</v>
      </c>
      <c r="F748" s="113" t="str">
        <f>_xlfn.XLOOKUP(E748,'Allocated Transactions'!D:D,'Allocated Transactions'!E:E,"")</f>
        <v>Software and Subscriptions</v>
      </c>
      <c r="G748" s="113" t="s">
        <v>97</v>
      </c>
      <c r="H748" s="113"/>
      <c r="I748" s="113" t="str">
        <f>_xlfn.XLOOKUP($C748,'Cost Centers'!$A$2:$A$11,'Cost Centers'!$C$2:$C$11,"")</f>
        <v>Admin</v>
      </c>
      <c r="J748" s="23">
        <f>MROUND(SUMIFS('Allocated Transactions'!$J:$J,'Allocated Transactions'!$D:$D,$E748,'Allocated Transactions'!$C:$C,$C748,'Allocated Transactions'!$A:$A,"&gt;="&amp;$A748,'Allocated Transactions'!$A:$A,"&lt;="&amp;EOMONTH($A748,0))*0.99,100)</f>
        <v>0</v>
      </c>
      <c r="K748" s="113" t="s">
        <v>637</v>
      </c>
    </row>
    <row r="749" spans="1:11" ht="15" customHeight="1">
      <c r="A749" s="112">
        <f t="shared" si="43"/>
        <v>45992</v>
      </c>
      <c r="B749" s="113">
        <v>4</v>
      </c>
      <c r="C749" s="18" t="str">
        <f t="shared" si="44"/>
        <v>1040</v>
      </c>
      <c r="D749" s="113" t="str">
        <f>_xlfn.XLOOKUP($C749,'Cost Centers'!$A$2:$A$11,'Cost Centers'!$B$2:$B$11,"")</f>
        <v>Finance</v>
      </c>
      <c r="E749" s="113" t="s">
        <v>109</v>
      </c>
      <c r="F749" s="113" t="str">
        <f>_xlfn.XLOOKUP(E749,'Allocated Transactions'!D:D,'Allocated Transactions'!E:E,"")</f>
        <v>Travel</v>
      </c>
      <c r="G749" s="113" t="s">
        <v>97</v>
      </c>
      <c r="H749" s="113"/>
      <c r="I749" s="113" t="str">
        <f>_xlfn.XLOOKUP($C749,'Cost Centers'!$A$2:$A$11,'Cost Centers'!$C$2:$C$11,"")</f>
        <v>Admin</v>
      </c>
      <c r="J749" s="23">
        <f>MROUND(SUMIFS('Allocated Transactions'!$J:$J,'Allocated Transactions'!$D:$D,$E749,'Allocated Transactions'!$C:$C,$C749,'Allocated Transactions'!$A:$A,"&gt;="&amp;$A749,'Allocated Transactions'!$A:$A,"&lt;="&amp;EOMONTH($A749,0))*0.99,100)</f>
        <v>0</v>
      </c>
      <c r="K749" s="113" t="s">
        <v>637</v>
      </c>
    </row>
    <row r="750" spans="1:11" ht="15" customHeight="1">
      <c r="A750" s="112">
        <f t="shared" si="43"/>
        <v>45992</v>
      </c>
      <c r="B750" s="113">
        <v>4</v>
      </c>
      <c r="C750" s="18" t="str">
        <f t="shared" si="44"/>
        <v>1040</v>
      </c>
      <c r="D750" s="113" t="str">
        <f>_xlfn.XLOOKUP($C750,'Cost Centers'!$A$2:$A$11,'Cost Centers'!$B$2:$B$11,"")</f>
        <v>Finance</v>
      </c>
      <c r="E750" s="113" t="s">
        <v>111</v>
      </c>
      <c r="F750" s="113" t="str">
        <f>_xlfn.XLOOKUP(E750,'Allocated Transactions'!D:D,'Allocated Transactions'!E:E,"")</f>
        <v>Meals and Entertainment</v>
      </c>
      <c r="G750" s="113" t="s">
        <v>97</v>
      </c>
      <c r="H750" s="113"/>
      <c r="I750" s="113" t="str">
        <f>_xlfn.XLOOKUP($C750,'Cost Centers'!$A$2:$A$11,'Cost Centers'!$C$2:$C$11,"")</f>
        <v>Admin</v>
      </c>
      <c r="J750" s="23">
        <f>MROUND(SUMIFS('Allocated Transactions'!$J:$J,'Allocated Transactions'!$D:$D,$E750,'Allocated Transactions'!$C:$C,$C750,'Allocated Transactions'!$A:$A,"&gt;="&amp;$A750,'Allocated Transactions'!$A:$A,"&lt;="&amp;EOMONTH($A750,0))*0.99,100)</f>
        <v>0</v>
      </c>
      <c r="K750" s="113" t="s">
        <v>637</v>
      </c>
    </row>
    <row r="751" spans="1:11" ht="15" customHeight="1">
      <c r="A751" s="112">
        <f t="shared" si="43"/>
        <v>45992</v>
      </c>
      <c r="B751" s="113">
        <v>4</v>
      </c>
      <c r="C751" s="18" t="str">
        <f t="shared" si="44"/>
        <v>1040</v>
      </c>
      <c r="D751" s="113" t="str">
        <f>_xlfn.XLOOKUP($C751,'Cost Centers'!$A$2:$A$11,'Cost Centers'!$B$2:$B$11,"")</f>
        <v>Finance</v>
      </c>
      <c r="E751" s="113" t="s">
        <v>113</v>
      </c>
      <c r="F751" s="113" t="str">
        <f>_xlfn.XLOOKUP(E751,'Allocated Transactions'!D:D,'Allocated Transactions'!E:E,"")</f>
        <v>Professional Fees - Legal</v>
      </c>
      <c r="G751" s="113" t="s">
        <v>97</v>
      </c>
      <c r="H751" s="113"/>
      <c r="I751" s="113" t="str">
        <f>_xlfn.XLOOKUP($C751,'Cost Centers'!$A$2:$A$11,'Cost Centers'!$C$2:$C$11,"")</f>
        <v>Admin</v>
      </c>
      <c r="J751" s="23">
        <f>MROUND(SUMIFS('Allocated Transactions'!$J:$J,'Allocated Transactions'!$D:$D,$E751,'Allocated Transactions'!$C:$C,$C751,'Allocated Transactions'!$A:$A,"&gt;="&amp;$A751,'Allocated Transactions'!$A:$A,"&lt;="&amp;EOMONTH($A751,0))*0.99,100)</f>
        <v>0</v>
      </c>
      <c r="K751" s="113" t="s">
        <v>637</v>
      </c>
    </row>
    <row r="752" spans="1:11" ht="15" customHeight="1">
      <c r="A752" s="112">
        <f t="shared" si="43"/>
        <v>45992</v>
      </c>
      <c r="B752" s="113">
        <v>4</v>
      </c>
      <c r="C752" s="18" t="str">
        <f t="shared" si="44"/>
        <v>1040</v>
      </c>
      <c r="D752" s="113" t="str">
        <f>_xlfn.XLOOKUP($C752,'Cost Centers'!$A$2:$A$11,'Cost Centers'!$B$2:$B$11,"")</f>
        <v>Finance</v>
      </c>
      <c r="E752" s="113" t="s">
        <v>115</v>
      </c>
      <c r="F752" s="113" t="str">
        <f>_xlfn.XLOOKUP(E752,'Allocated Transactions'!D:D,'Allocated Transactions'!E:E,"")</f>
        <v>Professional Fees - Accounting/Audit</v>
      </c>
      <c r="G752" s="113" t="s">
        <v>97</v>
      </c>
      <c r="H752" s="113"/>
      <c r="I752" s="113" t="str">
        <f>_xlfn.XLOOKUP($C752,'Cost Centers'!$A$2:$A$11,'Cost Centers'!$C$2:$C$11,"")</f>
        <v>Admin</v>
      </c>
      <c r="J752" s="23">
        <f>MROUND(SUMIFS('Allocated Transactions'!$J:$J,'Allocated Transactions'!$D:$D,$E752,'Allocated Transactions'!$C:$C,$C752,'Allocated Transactions'!$A:$A,"&gt;="&amp;$A752,'Allocated Transactions'!$A:$A,"&lt;="&amp;EOMONTH($A752,0))*0.99,100)</f>
        <v>0</v>
      </c>
      <c r="K752" s="113" t="s">
        <v>637</v>
      </c>
    </row>
    <row r="753" spans="1:11" ht="15" customHeight="1">
      <c r="A753" s="112">
        <f t="shared" si="43"/>
        <v>45992</v>
      </c>
      <c r="B753" s="113">
        <v>4</v>
      </c>
      <c r="C753" s="18" t="str">
        <f t="shared" si="44"/>
        <v>1040</v>
      </c>
      <c r="D753" s="113" t="str">
        <f>_xlfn.XLOOKUP($C753,'Cost Centers'!$A$2:$A$11,'Cost Centers'!$B$2:$B$11,"")</f>
        <v>Finance</v>
      </c>
      <c r="E753" s="113" t="s">
        <v>117</v>
      </c>
      <c r="F753" s="113" t="str">
        <f>_xlfn.XLOOKUP(E753,'Allocated Transactions'!D:D,'Allocated Transactions'!E:E,"")</f>
        <v>Insurance</v>
      </c>
      <c r="G753" s="113" t="s">
        <v>97</v>
      </c>
      <c r="H753" s="113"/>
      <c r="I753" s="113" t="str">
        <f>_xlfn.XLOOKUP($C753,'Cost Centers'!$A$2:$A$11,'Cost Centers'!$C$2:$C$11,"")</f>
        <v>Admin</v>
      </c>
      <c r="J753" s="23">
        <f>MROUND(SUMIFS('Allocated Transactions'!$J:$J,'Allocated Transactions'!$D:$D,$E753,'Allocated Transactions'!$C:$C,$C753,'Allocated Transactions'!$A:$A,"&gt;="&amp;$A753,'Allocated Transactions'!$A:$A,"&lt;="&amp;EOMONTH($A753,0))*0.99,100)</f>
        <v>600</v>
      </c>
      <c r="K753" s="113" t="s">
        <v>637</v>
      </c>
    </row>
    <row r="754" spans="1:11" ht="15" customHeight="1">
      <c r="A754" s="112">
        <f t="shared" si="43"/>
        <v>45992</v>
      </c>
      <c r="B754" s="113">
        <v>4</v>
      </c>
      <c r="C754" s="18" t="str">
        <f t="shared" si="44"/>
        <v>1040</v>
      </c>
      <c r="D754" s="113" t="str">
        <f>_xlfn.XLOOKUP($C754,'Cost Centers'!$A$2:$A$11,'Cost Centers'!$B$2:$B$11,"")</f>
        <v>Finance</v>
      </c>
      <c r="E754" s="113" t="s">
        <v>119</v>
      </c>
      <c r="F754" s="113" t="str">
        <f>_xlfn.XLOOKUP(E754,'Allocated Transactions'!D:D,'Allocated Transactions'!E:E,"")</f>
        <v>Depreciation Expense</v>
      </c>
      <c r="G754" s="113" t="s">
        <v>97</v>
      </c>
      <c r="H754" s="113"/>
      <c r="I754" s="113" t="str">
        <f>_xlfn.XLOOKUP($C754,'Cost Centers'!$A$2:$A$11,'Cost Centers'!$C$2:$C$11,"")</f>
        <v>Admin</v>
      </c>
      <c r="J754" s="23">
        <f>MROUND(SUMIFS('Allocated Transactions'!$J:$J,'Allocated Transactions'!$D:$D,$E754,'Allocated Transactions'!$C:$C,$C754,'Allocated Transactions'!$A:$A,"&gt;="&amp;$A754,'Allocated Transactions'!$A:$A,"&lt;="&amp;EOMONTH($A754,0))*0.99,100)</f>
        <v>0</v>
      </c>
      <c r="K754" s="113" t="s">
        <v>637</v>
      </c>
    </row>
    <row r="755" spans="1:11" ht="15" customHeight="1">
      <c r="A755" s="112">
        <f t="shared" si="43"/>
        <v>45992</v>
      </c>
      <c r="B755" s="113">
        <v>4</v>
      </c>
      <c r="C755" s="18" t="str">
        <f t="shared" si="44"/>
        <v>1040</v>
      </c>
      <c r="D755" s="113" t="str">
        <f>_xlfn.XLOOKUP($C755,'Cost Centers'!$A$2:$A$11,'Cost Centers'!$B$2:$B$11,"")</f>
        <v>Finance</v>
      </c>
      <c r="E755" s="113" t="s">
        <v>121</v>
      </c>
      <c r="F755" s="113" t="str">
        <f>_xlfn.XLOOKUP(E755,'Allocated Transactions'!D:D,'Allocated Transactions'!E:E,"")</f>
        <v>Bank Fees</v>
      </c>
      <c r="G755" s="113" t="s">
        <v>97</v>
      </c>
      <c r="H755" s="113"/>
      <c r="I755" s="113" t="str">
        <f>_xlfn.XLOOKUP($C755,'Cost Centers'!$A$2:$A$11,'Cost Centers'!$C$2:$C$11,"")</f>
        <v>Admin</v>
      </c>
      <c r="J755" s="23">
        <f>MROUND(SUMIFS('Allocated Transactions'!$J:$J,'Allocated Transactions'!$D:$D,$E755,'Allocated Transactions'!$C:$C,$C755,'Allocated Transactions'!$A:$A,"&gt;="&amp;$A755,'Allocated Transactions'!$A:$A,"&lt;="&amp;EOMONTH($A755,0))*0.99,100)</f>
        <v>0</v>
      </c>
      <c r="K755" s="113" t="s">
        <v>637</v>
      </c>
    </row>
    <row r="756" spans="1:11" ht="15" customHeight="1">
      <c r="A756" s="112">
        <f t="shared" si="43"/>
        <v>45992</v>
      </c>
      <c r="B756" s="113">
        <v>4</v>
      </c>
      <c r="C756" s="18" t="str">
        <f t="shared" si="44"/>
        <v>1040</v>
      </c>
      <c r="D756" s="113" t="str">
        <f>_xlfn.XLOOKUP($C756,'Cost Centers'!$A$2:$A$11,'Cost Centers'!$B$2:$B$11,"")</f>
        <v>Finance</v>
      </c>
      <c r="E756" s="113" t="s">
        <v>123</v>
      </c>
      <c r="F756" s="113" t="str">
        <f>_xlfn.XLOOKUP(E756,'Allocated Transactions'!D:D,'Allocated Transactions'!E:E,"")</f>
        <v>Interest Expense</v>
      </c>
      <c r="G756" s="113" t="s">
        <v>97</v>
      </c>
      <c r="H756" s="113"/>
      <c r="I756" s="113" t="str">
        <f>_xlfn.XLOOKUP($C756,'Cost Centers'!$A$2:$A$11,'Cost Centers'!$C$2:$C$11,"")</f>
        <v>Admin</v>
      </c>
      <c r="J756" s="23">
        <f>MROUND(SUMIFS('Allocated Transactions'!$J:$J,'Allocated Transactions'!$D:$D,$E756,'Allocated Transactions'!$C:$C,$C756,'Allocated Transactions'!$A:$A,"&gt;="&amp;$A756,'Allocated Transactions'!$A:$A,"&lt;="&amp;EOMONTH($A756,0))*0.99,100)</f>
        <v>0</v>
      </c>
      <c r="K756" s="113" t="s">
        <v>637</v>
      </c>
    </row>
    <row r="757" spans="1:11" ht="15" customHeight="1">
      <c r="A757" s="112">
        <f t="shared" si="43"/>
        <v>45992</v>
      </c>
      <c r="B757" s="113">
        <v>4</v>
      </c>
      <c r="C757" s="18" t="str">
        <f t="shared" si="44"/>
        <v>1040</v>
      </c>
      <c r="D757" s="113" t="str">
        <f>_xlfn.XLOOKUP($C757,'Cost Centers'!$A$2:$A$11,'Cost Centers'!$B$2:$B$11,"")</f>
        <v>Finance</v>
      </c>
      <c r="E757" s="113" t="s">
        <v>125</v>
      </c>
      <c r="F757" s="113" t="str">
        <f>_xlfn.XLOOKUP(E757,'Allocated Transactions'!D:D,'Allocated Transactions'!E:E,"")</f>
        <v>Miscellaneous Expense</v>
      </c>
      <c r="G757" s="113" t="s">
        <v>97</v>
      </c>
      <c r="H757" s="113"/>
      <c r="I757" s="113" t="str">
        <f>_xlfn.XLOOKUP($C757,'Cost Centers'!$A$2:$A$11,'Cost Centers'!$C$2:$C$11,"")</f>
        <v>Admin</v>
      </c>
      <c r="J757" s="23">
        <f>MROUND(SUMIFS('Allocated Transactions'!$J:$J,'Allocated Transactions'!$D:$D,$E757,'Allocated Transactions'!$C:$C,$C757,'Allocated Transactions'!$A:$A,"&gt;="&amp;$A757,'Allocated Transactions'!$A:$A,"&lt;="&amp;EOMONTH($A757,0))*0.99,100)</f>
        <v>0</v>
      </c>
      <c r="K757" s="113" t="s">
        <v>637</v>
      </c>
    </row>
    <row r="758" spans="1:11" ht="15" customHeight="1">
      <c r="A758" s="112">
        <f t="shared" si="43"/>
        <v>46023</v>
      </c>
      <c r="B758" s="113">
        <v>4</v>
      </c>
      <c r="C758" s="18" t="s">
        <v>8</v>
      </c>
      <c r="D758" s="113" t="str">
        <f>_xlfn.XLOOKUP($C758,'Cost Centers'!$A$2:$A$11,'Cost Centers'!$B$2:$B$11,"")</f>
        <v>Finance</v>
      </c>
      <c r="E758" s="113" t="s">
        <v>28</v>
      </c>
      <c r="F758" s="113" t="str">
        <f>_xlfn.XLOOKUP(E758,'Allocated Transactions'!D:D,'Allocated Transactions'!E:E,"")</f>
        <v>Salaries and Wages</v>
      </c>
      <c r="G758" s="113" t="s">
        <v>97</v>
      </c>
      <c r="H758" s="113"/>
      <c r="I758" s="113" t="str">
        <f>_xlfn.XLOOKUP($C758,'Cost Centers'!$A$2:$A$11,'Cost Centers'!$C$2:$C$11,"")</f>
        <v>Admin</v>
      </c>
      <c r="J758" s="23">
        <f>MROUND(SUMIFS('Allocated Transactions'!$J:$J,'Allocated Transactions'!$D:$D,$E758,'Allocated Transactions'!$C:$C,$C758,'Allocated Transactions'!$A:$A,"&gt;="&amp;$A758,'Allocated Transactions'!$A:$A,"&lt;="&amp;EOMONTH($A758,0))*0.99,100)</f>
        <v>9900</v>
      </c>
      <c r="K758" s="113" t="s">
        <v>637</v>
      </c>
    </row>
    <row r="759" spans="1:11" ht="15" customHeight="1">
      <c r="A759" s="112">
        <f t="shared" si="43"/>
        <v>46023</v>
      </c>
      <c r="B759" s="113">
        <v>4</v>
      </c>
      <c r="C759" s="18" t="str">
        <f t="shared" ref="C759:C775" si="45">C758</f>
        <v>1040</v>
      </c>
      <c r="D759" s="113" t="str">
        <f>_xlfn.XLOOKUP($C759,'Cost Centers'!$A$2:$A$11,'Cost Centers'!$B$2:$B$11,"")</f>
        <v>Finance</v>
      </c>
      <c r="E759" s="113" t="s">
        <v>29</v>
      </c>
      <c r="F759" s="113" t="str">
        <f>_xlfn.XLOOKUP(E759,'Allocated Transactions'!D:D,'Allocated Transactions'!E:E,"")</f>
        <v>Payroll Taxes</v>
      </c>
      <c r="G759" s="113" t="s">
        <v>97</v>
      </c>
      <c r="H759" s="113"/>
      <c r="I759" s="113" t="str">
        <f>_xlfn.XLOOKUP($C759,'Cost Centers'!$A$2:$A$11,'Cost Centers'!$C$2:$C$11,"")</f>
        <v>Admin</v>
      </c>
      <c r="J759" s="23">
        <f>MROUND(SUMIFS('Allocated Transactions'!$J:$J,'Allocated Transactions'!$D:$D,$E759,'Allocated Transactions'!$C:$C,$C759,'Allocated Transactions'!$A:$A,"&gt;="&amp;$A759,'Allocated Transactions'!$A:$A,"&lt;="&amp;EOMONTH($A759,0))*0.99,100)</f>
        <v>800</v>
      </c>
      <c r="K759" s="113" t="s">
        <v>637</v>
      </c>
    </row>
    <row r="760" spans="1:11" ht="15" customHeight="1">
      <c r="A760" s="112">
        <f t="shared" si="43"/>
        <v>46023</v>
      </c>
      <c r="B760" s="113">
        <v>4</v>
      </c>
      <c r="C760" s="18" t="str">
        <f t="shared" si="45"/>
        <v>1040</v>
      </c>
      <c r="D760" s="113" t="str">
        <f>_xlfn.XLOOKUP($C760,'Cost Centers'!$A$2:$A$11,'Cost Centers'!$B$2:$B$11,"")</f>
        <v>Finance</v>
      </c>
      <c r="E760" s="113" t="s">
        <v>30</v>
      </c>
      <c r="F760" s="113" t="str">
        <f>_xlfn.XLOOKUP(E760,'Allocated Transactions'!D:D,'Allocated Transactions'!E:E,"")</f>
        <v>Employee Benefits</v>
      </c>
      <c r="G760" s="113" t="s">
        <v>97</v>
      </c>
      <c r="H760" s="113"/>
      <c r="I760" s="113" t="str">
        <f>_xlfn.XLOOKUP($C760,'Cost Centers'!$A$2:$A$11,'Cost Centers'!$C$2:$C$11,"")</f>
        <v>Admin</v>
      </c>
      <c r="J760" s="23">
        <f>MROUND(SUMIFS('Allocated Transactions'!$J:$J,'Allocated Transactions'!$D:$D,$E760,'Allocated Transactions'!$C:$C,$C760,'Allocated Transactions'!$A:$A,"&gt;="&amp;$A760,'Allocated Transactions'!$A:$A,"&lt;="&amp;EOMONTH($A760,0))*0.99,100)</f>
        <v>3200</v>
      </c>
      <c r="K760" s="113" t="s">
        <v>637</v>
      </c>
    </row>
    <row r="761" spans="1:11" ht="15" customHeight="1">
      <c r="A761" s="112">
        <f t="shared" si="43"/>
        <v>46023</v>
      </c>
      <c r="B761" s="113">
        <v>4</v>
      </c>
      <c r="C761" s="18" t="str">
        <f t="shared" si="45"/>
        <v>1040</v>
      </c>
      <c r="D761" s="113" t="str">
        <f>_xlfn.XLOOKUP($C761,'Cost Centers'!$A$2:$A$11,'Cost Centers'!$B$2:$B$11,"")</f>
        <v>Finance</v>
      </c>
      <c r="E761" s="113" t="s">
        <v>31</v>
      </c>
      <c r="F761" s="113" t="str">
        <f>_xlfn.XLOOKUP(E761,'Allocated Transactions'!D:D,'Allocated Transactions'!E:E,"")</f>
        <v>Retirement Contributions</v>
      </c>
      <c r="G761" s="113" t="s">
        <v>97</v>
      </c>
      <c r="H761" s="113"/>
      <c r="I761" s="113" t="str">
        <f>_xlfn.XLOOKUP($C761,'Cost Centers'!$A$2:$A$11,'Cost Centers'!$C$2:$C$11,"")</f>
        <v>Admin</v>
      </c>
      <c r="J761" s="23">
        <f>MROUND(SUMIFS('Allocated Transactions'!$J:$J,'Allocated Transactions'!$D:$D,$E761,'Allocated Transactions'!$C:$C,$C761,'Allocated Transactions'!$A:$A,"&gt;="&amp;$A761,'Allocated Transactions'!$A:$A,"&lt;="&amp;EOMONTH($A761,0))*0.99,100)</f>
        <v>300</v>
      </c>
      <c r="K761" s="113" t="s">
        <v>637</v>
      </c>
    </row>
    <row r="762" spans="1:11" ht="15" customHeight="1">
      <c r="A762" s="112">
        <f t="shared" si="43"/>
        <v>46023</v>
      </c>
      <c r="B762" s="113">
        <v>4</v>
      </c>
      <c r="C762" s="18" t="str">
        <f t="shared" si="45"/>
        <v>1040</v>
      </c>
      <c r="D762" s="113" t="str">
        <f>_xlfn.XLOOKUP($C762,'Cost Centers'!$A$2:$A$11,'Cost Centers'!$B$2:$B$11,"")</f>
        <v>Finance</v>
      </c>
      <c r="E762" s="113" t="s">
        <v>101</v>
      </c>
      <c r="F762" s="113" t="str">
        <f>_xlfn.XLOOKUP(E762,'Allocated Transactions'!D:D,'Allocated Transactions'!E:E,"")</f>
        <v>Contract Labor / Consultants</v>
      </c>
      <c r="G762" s="113" t="s">
        <v>97</v>
      </c>
      <c r="H762" s="113"/>
      <c r="I762" s="113" t="str">
        <f>_xlfn.XLOOKUP($C762,'Cost Centers'!$A$2:$A$11,'Cost Centers'!$C$2:$C$11,"")</f>
        <v>Admin</v>
      </c>
      <c r="J762" s="23">
        <f>MROUND(SUMIFS('Allocated Transactions'!$J:$J,'Allocated Transactions'!$D:$D,$E762,'Allocated Transactions'!$C:$C,$C762,'Allocated Transactions'!$A:$A,"&gt;="&amp;$A762,'Allocated Transactions'!$A:$A,"&lt;="&amp;EOMONTH($A762,0))*0.99,100)</f>
        <v>0</v>
      </c>
      <c r="K762" s="113" t="s">
        <v>637</v>
      </c>
    </row>
    <row r="763" spans="1:11" ht="15" customHeight="1">
      <c r="A763" s="112">
        <f t="shared" si="43"/>
        <v>46023</v>
      </c>
      <c r="B763" s="113">
        <v>4</v>
      </c>
      <c r="C763" s="18" t="str">
        <f t="shared" si="45"/>
        <v>1040</v>
      </c>
      <c r="D763" s="113" t="str">
        <f>_xlfn.XLOOKUP($C763,'Cost Centers'!$A$2:$A$11,'Cost Centers'!$B$2:$B$11,"")</f>
        <v>Finance</v>
      </c>
      <c r="E763" s="113" t="s">
        <v>32</v>
      </c>
      <c r="F763" s="113" t="str">
        <f>_xlfn.XLOOKUP(E763,'Allocated Transactions'!D:D,'Allocated Transactions'!E:E,"")</f>
        <v>Rent</v>
      </c>
      <c r="G763" s="113" t="s">
        <v>97</v>
      </c>
      <c r="H763" s="113"/>
      <c r="I763" s="113" t="str">
        <f>_xlfn.XLOOKUP($C763,'Cost Centers'!$A$2:$A$11,'Cost Centers'!$C$2:$C$11,"")</f>
        <v>Admin</v>
      </c>
      <c r="J763" s="23">
        <f>MROUND(SUMIFS('Allocated Transactions'!$J:$J,'Allocated Transactions'!$D:$D,$E763,'Allocated Transactions'!$C:$C,$C763,'Allocated Transactions'!$A:$A,"&gt;="&amp;$A763,'Allocated Transactions'!$A:$A,"&lt;="&amp;EOMONTH($A763,0))*0.99,100)</f>
        <v>800</v>
      </c>
      <c r="K763" s="113" t="s">
        <v>637</v>
      </c>
    </row>
    <row r="764" spans="1:11" ht="15" customHeight="1">
      <c r="A764" s="112">
        <f t="shared" si="43"/>
        <v>46023</v>
      </c>
      <c r="B764" s="113">
        <v>4</v>
      </c>
      <c r="C764" s="18" t="str">
        <f t="shared" si="45"/>
        <v>1040</v>
      </c>
      <c r="D764" s="113" t="str">
        <f>_xlfn.XLOOKUP($C764,'Cost Centers'!$A$2:$A$11,'Cost Centers'!$B$2:$B$11,"")</f>
        <v>Finance</v>
      </c>
      <c r="E764" s="113" t="s">
        <v>33</v>
      </c>
      <c r="F764" s="113" t="str">
        <f>_xlfn.XLOOKUP(E764,'Allocated Transactions'!D:D,'Allocated Transactions'!E:E,"")</f>
        <v>Utilities</v>
      </c>
      <c r="G764" s="113" t="s">
        <v>97</v>
      </c>
      <c r="H764" s="113"/>
      <c r="I764" s="113" t="str">
        <f>_xlfn.XLOOKUP($C764,'Cost Centers'!$A$2:$A$11,'Cost Centers'!$C$2:$C$11,"")</f>
        <v>Admin</v>
      </c>
      <c r="J764" s="23">
        <f>MROUND(SUMIFS('Allocated Transactions'!$J:$J,'Allocated Transactions'!$D:$D,$E764,'Allocated Transactions'!$C:$C,$C764,'Allocated Transactions'!$A:$A,"&gt;="&amp;$A764,'Allocated Transactions'!$A:$A,"&lt;="&amp;EOMONTH($A764,0))*0.99,100)</f>
        <v>100</v>
      </c>
      <c r="K764" s="113" t="s">
        <v>637</v>
      </c>
    </row>
    <row r="765" spans="1:11" ht="15" customHeight="1">
      <c r="A765" s="112">
        <f t="shared" si="43"/>
        <v>46023</v>
      </c>
      <c r="B765" s="113">
        <v>4</v>
      </c>
      <c r="C765" s="18" t="str">
        <f t="shared" si="45"/>
        <v>1040</v>
      </c>
      <c r="D765" s="113" t="str">
        <f>_xlfn.XLOOKUP($C765,'Cost Centers'!$A$2:$A$11,'Cost Centers'!$B$2:$B$11,"")</f>
        <v>Finance</v>
      </c>
      <c r="E765" s="113" t="s">
        <v>105</v>
      </c>
      <c r="F765" s="113" t="str">
        <f>_xlfn.XLOOKUP(E765,'Allocated Transactions'!D:D,'Allocated Transactions'!E:E,"")</f>
        <v>Office Supplies</v>
      </c>
      <c r="G765" s="113" t="s">
        <v>97</v>
      </c>
      <c r="H765" s="113"/>
      <c r="I765" s="113" t="str">
        <f>_xlfn.XLOOKUP($C765,'Cost Centers'!$A$2:$A$11,'Cost Centers'!$C$2:$C$11,"")</f>
        <v>Admin</v>
      </c>
      <c r="J765" s="23">
        <f>MROUND(SUMIFS('Allocated Transactions'!$J:$J,'Allocated Transactions'!$D:$D,$E765,'Allocated Transactions'!$C:$C,$C765,'Allocated Transactions'!$A:$A,"&gt;="&amp;$A765,'Allocated Transactions'!$A:$A,"&lt;="&amp;EOMONTH($A765,0))*0.99,100)</f>
        <v>0</v>
      </c>
      <c r="K765" s="113" t="s">
        <v>637</v>
      </c>
    </row>
    <row r="766" spans="1:11" ht="15" customHeight="1">
      <c r="A766" s="112">
        <f t="shared" si="43"/>
        <v>46023</v>
      </c>
      <c r="B766" s="113">
        <v>4</v>
      </c>
      <c r="C766" s="18" t="str">
        <f t="shared" si="45"/>
        <v>1040</v>
      </c>
      <c r="D766" s="113" t="str">
        <f>_xlfn.XLOOKUP($C766,'Cost Centers'!$A$2:$A$11,'Cost Centers'!$B$2:$B$11,"")</f>
        <v>Finance</v>
      </c>
      <c r="E766" s="113" t="s">
        <v>107</v>
      </c>
      <c r="F766" s="113" t="str">
        <f>_xlfn.XLOOKUP(E766,'Allocated Transactions'!D:D,'Allocated Transactions'!E:E,"")</f>
        <v>Software and Subscriptions</v>
      </c>
      <c r="G766" s="113" t="s">
        <v>97</v>
      </c>
      <c r="H766" s="113"/>
      <c r="I766" s="113" t="str">
        <f>_xlfn.XLOOKUP($C766,'Cost Centers'!$A$2:$A$11,'Cost Centers'!$C$2:$C$11,"")</f>
        <v>Admin</v>
      </c>
      <c r="J766" s="23">
        <f>MROUND(SUMIFS('Allocated Transactions'!$J:$J,'Allocated Transactions'!$D:$D,$E766,'Allocated Transactions'!$C:$C,$C766,'Allocated Transactions'!$A:$A,"&gt;="&amp;$A766,'Allocated Transactions'!$A:$A,"&lt;="&amp;EOMONTH($A766,0))*0.99,100)</f>
        <v>0</v>
      </c>
      <c r="K766" s="113" t="s">
        <v>637</v>
      </c>
    </row>
    <row r="767" spans="1:11" ht="15" customHeight="1">
      <c r="A767" s="112">
        <f t="shared" si="43"/>
        <v>46023</v>
      </c>
      <c r="B767" s="113">
        <v>4</v>
      </c>
      <c r="C767" s="18" t="str">
        <f t="shared" si="45"/>
        <v>1040</v>
      </c>
      <c r="D767" s="113" t="str">
        <f>_xlfn.XLOOKUP($C767,'Cost Centers'!$A$2:$A$11,'Cost Centers'!$B$2:$B$11,"")</f>
        <v>Finance</v>
      </c>
      <c r="E767" s="113" t="s">
        <v>109</v>
      </c>
      <c r="F767" s="113" t="str">
        <f>_xlfn.XLOOKUP(E767,'Allocated Transactions'!D:D,'Allocated Transactions'!E:E,"")</f>
        <v>Travel</v>
      </c>
      <c r="G767" s="113" t="s">
        <v>97</v>
      </c>
      <c r="H767" s="113"/>
      <c r="I767" s="113" t="str">
        <f>_xlfn.XLOOKUP($C767,'Cost Centers'!$A$2:$A$11,'Cost Centers'!$C$2:$C$11,"")</f>
        <v>Admin</v>
      </c>
      <c r="J767" s="23">
        <f>MROUND(SUMIFS('Allocated Transactions'!$J:$J,'Allocated Transactions'!$D:$D,$E767,'Allocated Transactions'!$C:$C,$C767,'Allocated Transactions'!$A:$A,"&gt;="&amp;$A767,'Allocated Transactions'!$A:$A,"&lt;="&amp;EOMONTH($A767,0))*0.99,100)</f>
        <v>0</v>
      </c>
      <c r="K767" s="113" t="s">
        <v>637</v>
      </c>
    </row>
    <row r="768" spans="1:11" ht="15" customHeight="1">
      <c r="A768" s="112">
        <f t="shared" si="43"/>
        <v>46023</v>
      </c>
      <c r="B768" s="113">
        <v>4</v>
      </c>
      <c r="C768" s="18" t="str">
        <f t="shared" si="45"/>
        <v>1040</v>
      </c>
      <c r="D768" s="113" t="str">
        <f>_xlfn.XLOOKUP($C768,'Cost Centers'!$A$2:$A$11,'Cost Centers'!$B$2:$B$11,"")</f>
        <v>Finance</v>
      </c>
      <c r="E768" s="113" t="s">
        <v>111</v>
      </c>
      <c r="F768" s="113" t="str">
        <f>_xlfn.XLOOKUP(E768,'Allocated Transactions'!D:D,'Allocated Transactions'!E:E,"")</f>
        <v>Meals and Entertainment</v>
      </c>
      <c r="G768" s="113" t="s">
        <v>97</v>
      </c>
      <c r="H768" s="113"/>
      <c r="I768" s="113" t="str">
        <f>_xlfn.XLOOKUP($C768,'Cost Centers'!$A$2:$A$11,'Cost Centers'!$C$2:$C$11,"")</f>
        <v>Admin</v>
      </c>
      <c r="J768" s="23">
        <f>MROUND(SUMIFS('Allocated Transactions'!$J:$J,'Allocated Transactions'!$D:$D,$E768,'Allocated Transactions'!$C:$C,$C768,'Allocated Transactions'!$A:$A,"&gt;="&amp;$A768,'Allocated Transactions'!$A:$A,"&lt;="&amp;EOMONTH($A768,0))*0.99,100)</f>
        <v>0</v>
      </c>
      <c r="K768" s="113" t="s">
        <v>637</v>
      </c>
    </row>
    <row r="769" spans="1:11" ht="15" customHeight="1">
      <c r="A769" s="112">
        <f t="shared" si="43"/>
        <v>46023</v>
      </c>
      <c r="B769" s="113">
        <v>4</v>
      </c>
      <c r="C769" s="18" t="str">
        <f t="shared" si="45"/>
        <v>1040</v>
      </c>
      <c r="D769" s="113" t="str">
        <f>_xlfn.XLOOKUP($C769,'Cost Centers'!$A$2:$A$11,'Cost Centers'!$B$2:$B$11,"")</f>
        <v>Finance</v>
      </c>
      <c r="E769" s="113" t="s">
        <v>113</v>
      </c>
      <c r="F769" s="113" t="str">
        <f>_xlfn.XLOOKUP(E769,'Allocated Transactions'!D:D,'Allocated Transactions'!E:E,"")</f>
        <v>Professional Fees - Legal</v>
      </c>
      <c r="G769" s="113" t="s">
        <v>97</v>
      </c>
      <c r="H769" s="113"/>
      <c r="I769" s="113" t="str">
        <f>_xlfn.XLOOKUP($C769,'Cost Centers'!$A$2:$A$11,'Cost Centers'!$C$2:$C$11,"")</f>
        <v>Admin</v>
      </c>
      <c r="J769" s="23">
        <f>MROUND(SUMIFS('Allocated Transactions'!$J:$J,'Allocated Transactions'!$D:$D,$E769,'Allocated Transactions'!$C:$C,$C769,'Allocated Transactions'!$A:$A,"&gt;="&amp;$A769,'Allocated Transactions'!$A:$A,"&lt;="&amp;EOMONTH($A769,0))*0.99,100)</f>
        <v>0</v>
      </c>
      <c r="K769" s="113" t="s">
        <v>637</v>
      </c>
    </row>
    <row r="770" spans="1:11" ht="15" customHeight="1">
      <c r="A770" s="112">
        <f t="shared" si="43"/>
        <v>46023</v>
      </c>
      <c r="B770" s="113">
        <v>4</v>
      </c>
      <c r="C770" s="18" t="str">
        <f t="shared" si="45"/>
        <v>1040</v>
      </c>
      <c r="D770" s="113" t="str">
        <f>_xlfn.XLOOKUP($C770,'Cost Centers'!$A$2:$A$11,'Cost Centers'!$B$2:$B$11,"")</f>
        <v>Finance</v>
      </c>
      <c r="E770" s="113" t="s">
        <v>115</v>
      </c>
      <c r="F770" s="113" t="str">
        <f>_xlfn.XLOOKUP(E770,'Allocated Transactions'!D:D,'Allocated Transactions'!E:E,"")</f>
        <v>Professional Fees - Accounting/Audit</v>
      </c>
      <c r="G770" s="113" t="s">
        <v>97</v>
      </c>
      <c r="H770" s="113"/>
      <c r="I770" s="113" t="str">
        <f>_xlfn.XLOOKUP($C770,'Cost Centers'!$A$2:$A$11,'Cost Centers'!$C$2:$C$11,"")</f>
        <v>Admin</v>
      </c>
      <c r="J770" s="23">
        <f>MROUND(SUMIFS('Allocated Transactions'!$J:$J,'Allocated Transactions'!$D:$D,$E770,'Allocated Transactions'!$C:$C,$C770,'Allocated Transactions'!$A:$A,"&gt;="&amp;$A770,'Allocated Transactions'!$A:$A,"&lt;="&amp;EOMONTH($A770,0))*0.99,100)</f>
        <v>0</v>
      </c>
      <c r="K770" s="113" t="s">
        <v>637</v>
      </c>
    </row>
    <row r="771" spans="1:11" ht="15" customHeight="1">
      <c r="A771" s="112">
        <f t="shared" si="43"/>
        <v>46023</v>
      </c>
      <c r="B771" s="113">
        <v>4</v>
      </c>
      <c r="C771" s="18" t="str">
        <f t="shared" si="45"/>
        <v>1040</v>
      </c>
      <c r="D771" s="113" t="str">
        <f>_xlfn.XLOOKUP($C771,'Cost Centers'!$A$2:$A$11,'Cost Centers'!$B$2:$B$11,"")</f>
        <v>Finance</v>
      </c>
      <c r="E771" s="113" t="s">
        <v>117</v>
      </c>
      <c r="F771" s="113" t="str">
        <f>_xlfn.XLOOKUP(E771,'Allocated Transactions'!D:D,'Allocated Transactions'!E:E,"")</f>
        <v>Insurance</v>
      </c>
      <c r="G771" s="113" t="s">
        <v>97</v>
      </c>
      <c r="H771" s="113"/>
      <c r="I771" s="113" t="str">
        <f>_xlfn.XLOOKUP($C771,'Cost Centers'!$A$2:$A$11,'Cost Centers'!$C$2:$C$11,"")</f>
        <v>Admin</v>
      </c>
      <c r="J771" s="23">
        <f>MROUND(SUMIFS('Allocated Transactions'!$J:$J,'Allocated Transactions'!$D:$D,$E771,'Allocated Transactions'!$C:$C,$C771,'Allocated Transactions'!$A:$A,"&gt;="&amp;$A771,'Allocated Transactions'!$A:$A,"&lt;="&amp;EOMONTH($A771,0))*0.99,100)</f>
        <v>600</v>
      </c>
      <c r="K771" s="113" t="s">
        <v>637</v>
      </c>
    </row>
    <row r="772" spans="1:11" ht="15" customHeight="1">
      <c r="A772" s="112">
        <f t="shared" si="43"/>
        <v>46023</v>
      </c>
      <c r="B772" s="113">
        <v>4</v>
      </c>
      <c r="C772" s="18" t="str">
        <f t="shared" si="45"/>
        <v>1040</v>
      </c>
      <c r="D772" s="113" t="str">
        <f>_xlfn.XLOOKUP($C772,'Cost Centers'!$A$2:$A$11,'Cost Centers'!$B$2:$B$11,"")</f>
        <v>Finance</v>
      </c>
      <c r="E772" s="113" t="s">
        <v>119</v>
      </c>
      <c r="F772" s="113" t="str">
        <f>_xlfn.XLOOKUP(E772,'Allocated Transactions'!D:D,'Allocated Transactions'!E:E,"")</f>
        <v>Depreciation Expense</v>
      </c>
      <c r="G772" s="113" t="s">
        <v>97</v>
      </c>
      <c r="H772" s="113"/>
      <c r="I772" s="113" t="str">
        <f>_xlfn.XLOOKUP($C772,'Cost Centers'!$A$2:$A$11,'Cost Centers'!$C$2:$C$11,"")</f>
        <v>Admin</v>
      </c>
      <c r="J772" s="23">
        <f>MROUND(SUMIFS('Allocated Transactions'!$J:$J,'Allocated Transactions'!$D:$D,$E772,'Allocated Transactions'!$C:$C,$C772,'Allocated Transactions'!$A:$A,"&gt;="&amp;$A772,'Allocated Transactions'!$A:$A,"&lt;="&amp;EOMONTH($A772,0))*0.99,100)</f>
        <v>0</v>
      </c>
      <c r="K772" s="113" t="s">
        <v>637</v>
      </c>
    </row>
    <row r="773" spans="1:11" ht="15" customHeight="1">
      <c r="A773" s="112">
        <f t="shared" si="43"/>
        <v>46023</v>
      </c>
      <c r="B773" s="113">
        <v>4</v>
      </c>
      <c r="C773" s="18" t="str">
        <f t="shared" si="45"/>
        <v>1040</v>
      </c>
      <c r="D773" s="113" t="str">
        <f>_xlfn.XLOOKUP($C773,'Cost Centers'!$A$2:$A$11,'Cost Centers'!$B$2:$B$11,"")</f>
        <v>Finance</v>
      </c>
      <c r="E773" s="113" t="s">
        <v>121</v>
      </c>
      <c r="F773" s="113" t="str">
        <f>_xlfn.XLOOKUP(E773,'Allocated Transactions'!D:D,'Allocated Transactions'!E:E,"")</f>
        <v>Bank Fees</v>
      </c>
      <c r="G773" s="113" t="s">
        <v>97</v>
      </c>
      <c r="H773" s="113"/>
      <c r="I773" s="113" t="str">
        <f>_xlfn.XLOOKUP($C773,'Cost Centers'!$A$2:$A$11,'Cost Centers'!$C$2:$C$11,"")</f>
        <v>Admin</v>
      </c>
      <c r="J773" s="23">
        <f>MROUND(SUMIFS('Allocated Transactions'!$J:$J,'Allocated Transactions'!$D:$D,$E773,'Allocated Transactions'!$C:$C,$C773,'Allocated Transactions'!$A:$A,"&gt;="&amp;$A773,'Allocated Transactions'!$A:$A,"&lt;="&amp;EOMONTH($A773,0))*0.99,100)</f>
        <v>0</v>
      </c>
      <c r="K773" s="113" t="s">
        <v>637</v>
      </c>
    </row>
    <row r="774" spans="1:11" ht="15" customHeight="1">
      <c r="A774" s="112">
        <f t="shared" si="43"/>
        <v>46023</v>
      </c>
      <c r="B774" s="113">
        <v>4</v>
      </c>
      <c r="C774" s="18" t="str">
        <f t="shared" si="45"/>
        <v>1040</v>
      </c>
      <c r="D774" s="113" t="str">
        <f>_xlfn.XLOOKUP($C774,'Cost Centers'!$A$2:$A$11,'Cost Centers'!$B$2:$B$11,"")</f>
        <v>Finance</v>
      </c>
      <c r="E774" s="113" t="s">
        <v>123</v>
      </c>
      <c r="F774" s="113" t="str">
        <f>_xlfn.XLOOKUP(E774,'Allocated Transactions'!D:D,'Allocated Transactions'!E:E,"")</f>
        <v>Interest Expense</v>
      </c>
      <c r="G774" s="113" t="s">
        <v>97</v>
      </c>
      <c r="H774" s="113"/>
      <c r="I774" s="113" t="str">
        <f>_xlfn.XLOOKUP($C774,'Cost Centers'!$A$2:$A$11,'Cost Centers'!$C$2:$C$11,"")</f>
        <v>Admin</v>
      </c>
      <c r="J774" s="23">
        <f>MROUND(SUMIFS('Allocated Transactions'!$J:$J,'Allocated Transactions'!$D:$D,$E774,'Allocated Transactions'!$C:$C,$C774,'Allocated Transactions'!$A:$A,"&gt;="&amp;$A774,'Allocated Transactions'!$A:$A,"&lt;="&amp;EOMONTH($A774,0))*0.99,100)</f>
        <v>0</v>
      </c>
      <c r="K774" s="113" t="s">
        <v>637</v>
      </c>
    </row>
    <row r="775" spans="1:11" ht="15" customHeight="1">
      <c r="A775" s="112">
        <f t="shared" si="43"/>
        <v>46023</v>
      </c>
      <c r="B775" s="113">
        <v>4</v>
      </c>
      <c r="C775" s="18" t="str">
        <f t="shared" si="45"/>
        <v>1040</v>
      </c>
      <c r="D775" s="113" t="str">
        <f>_xlfn.XLOOKUP($C775,'Cost Centers'!$A$2:$A$11,'Cost Centers'!$B$2:$B$11,"")</f>
        <v>Finance</v>
      </c>
      <c r="E775" s="113" t="s">
        <v>125</v>
      </c>
      <c r="F775" s="113" t="str">
        <f>_xlfn.XLOOKUP(E775,'Allocated Transactions'!D:D,'Allocated Transactions'!E:E,"")</f>
        <v>Miscellaneous Expense</v>
      </c>
      <c r="G775" s="113" t="s">
        <v>97</v>
      </c>
      <c r="H775" s="113"/>
      <c r="I775" s="113" t="str">
        <f>_xlfn.XLOOKUP($C775,'Cost Centers'!$A$2:$A$11,'Cost Centers'!$C$2:$C$11,"")</f>
        <v>Admin</v>
      </c>
      <c r="J775" s="23">
        <f>MROUND(SUMIFS('Allocated Transactions'!$J:$J,'Allocated Transactions'!$D:$D,$E775,'Allocated Transactions'!$C:$C,$C775,'Allocated Transactions'!$A:$A,"&gt;="&amp;$A775,'Allocated Transactions'!$A:$A,"&lt;="&amp;EOMONTH($A775,0))*0.99,100)</f>
        <v>0</v>
      </c>
      <c r="K775" s="113" t="s">
        <v>637</v>
      </c>
    </row>
    <row r="776" spans="1:11" ht="15" customHeight="1">
      <c r="A776" s="112">
        <f t="shared" si="43"/>
        <v>46054</v>
      </c>
      <c r="B776" s="113">
        <v>4</v>
      </c>
      <c r="C776" s="18" t="s">
        <v>8</v>
      </c>
      <c r="D776" s="113" t="str">
        <f>_xlfn.XLOOKUP($C776,'Cost Centers'!$A$2:$A$11,'Cost Centers'!$B$2:$B$11,"")</f>
        <v>Finance</v>
      </c>
      <c r="E776" s="113" t="s">
        <v>28</v>
      </c>
      <c r="F776" s="113" t="str">
        <f>_xlfn.XLOOKUP(E776,'Allocated Transactions'!D:D,'Allocated Transactions'!E:E,"")</f>
        <v>Salaries and Wages</v>
      </c>
      <c r="G776" s="113" t="s">
        <v>97</v>
      </c>
      <c r="H776" s="113"/>
      <c r="I776" s="113" t="str">
        <f>_xlfn.XLOOKUP($C776,'Cost Centers'!$A$2:$A$11,'Cost Centers'!$C$2:$C$11,"")</f>
        <v>Admin</v>
      </c>
      <c r="J776" s="23">
        <f>MROUND(SUMIFS('Allocated Transactions'!$J:$J,'Allocated Transactions'!$D:$D,$E776,'Allocated Transactions'!$C:$C,$C776,'Allocated Transactions'!$A:$A,"&gt;="&amp;$A776,'Allocated Transactions'!$A:$A,"&lt;="&amp;EOMONTH($A776,0))*0.99,100)</f>
        <v>9800</v>
      </c>
      <c r="K776" s="113" t="s">
        <v>637</v>
      </c>
    </row>
    <row r="777" spans="1:11" ht="15" customHeight="1">
      <c r="A777" s="112">
        <f t="shared" si="43"/>
        <v>46054</v>
      </c>
      <c r="B777" s="113">
        <v>4</v>
      </c>
      <c r="C777" s="18" t="str">
        <f t="shared" ref="C777:C793" si="46">C776</f>
        <v>1040</v>
      </c>
      <c r="D777" s="113" t="str">
        <f>_xlfn.XLOOKUP($C777,'Cost Centers'!$A$2:$A$11,'Cost Centers'!$B$2:$B$11,"")</f>
        <v>Finance</v>
      </c>
      <c r="E777" s="113" t="s">
        <v>29</v>
      </c>
      <c r="F777" s="113" t="str">
        <f>_xlfn.XLOOKUP(E777,'Allocated Transactions'!D:D,'Allocated Transactions'!E:E,"")</f>
        <v>Payroll Taxes</v>
      </c>
      <c r="G777" s="113" t="s">
        <v>97</v>
      </c>
      <c r="H777" s="113"/>
      <c r="I777" s="113" t="str">
        <f>_xlfn.XLOOKUP($C777,'Cost Centers'!$A$2:$A$11,'Cost Centers'!$C$2:$C$11,"")</f>
        <v>Admin</v>
      </c>
      <c r="J777" s="23">
        <f>MROUND(SUMIFS('Allocated Transactions'!$J:$J,'Allocated Transactions'!$D:$D,$E777,'Allocated Transactions'!$C:$C,$C777,'Allocated Transactions'!$A:$A,"&gt;="&amp;$A777,'Allocated Transactions'!$A:$A,"&lt;="&amp;EOMONTH($A777,0))*0.99,100)</f>
        <v>800</v>
      </c>
      <c r="K777" s="113" t="s">
        <v>637</v>
      </c>
    </row>
    <row r="778" spans="1:11" ht="15" customHeight="1">
      <c r="A778" s="112">
        <f t="shared" si="43"/>
        <v>46054</v>
      </c>
      <c r="B778" s="113">
        <v>4</v>
      </c>
      <c r="C778" s="18" t="str">
        <f t="shared" si="46"/>
        <v>1040</v>
      </c>
      <c r="D778" s="113" t="str">
        <f>_xlfn.XLOOKUP($C778,'Cost Centers'!$A$2:$A$11,'Cost Centers'!$B$2:$B$11,"")</f>
        <v>Finance</v>
      </c>
      <c r="E778" s="113" t="s">
        <v>30</v>
      </c>
      <c r="F778" s="113" t="str">
        <f>_xlfn.XLOOKUP(E778,'Allocated Transactions'!D:D,'Allocated Transactions'!E:E,"")</f>
        <v>Employee Benefits</v>
      </c>
      <c r="G778" s="113" t="s">
        <v>97</v>
      </c>
      <c r="H778" s="113"/>
      <c r="I778" s="113" t="str">
        <f>_xlfn.XLOOKUP($C778,'Cost Centers'!$A$2:$A$11,'Cost Centers'!$C$2:$C$11,"")</f>
        <v>Admin</v>
      </c>
      <c r="J778" s="23">
        <f>MROUND(SUMIFS('Allocated Transactions'!$J:$J,'Allocated Transactions'!$D:$D,$E778,'Allocated Transactions'!$C:$C,$C778,'Allocated Transactions'!$A:$A,"&gt;="&amp;$A778,'Allocated Transactions'!$A:$A,"&lt;="&amp;EOMONTH($A778,0))*0.99,100)</f>
        <v>3900</v>
      </c>
      <c r="K778" s="113" t="s">
        <v>637</v>
      </c>
    </row>
    <row r="779" spans="1:11" ht="15" customHeight="1">
      <c r="A779" s="112">
        <f t="shared" si="43"/>
        <v>46054</v>
      </c>
      <c r="B779" s="113">
        <v>4</v>
      </c>
      <c r="C779" s="18" t="str">
        <f t="shared" si="46"/>
        <v>1040</v>
      </c>
      <c r="D779" s="113" t="str">
        <f>_xlfn.XLOOKUP($C779,'Cost Centers'!$A$2:$A$11,'Cost Centers'!$B$2:$B$11,"")</f>
        <v>Finance</v>
      </c>
      <c r="E779" s="113" t="s">
        <v>31</v>
      </c>
      <c r="F779" s="113" t="str">
        <f>_xlfn.XLOOKUP(E779,'Allocated Transactions'!D:D,'Allocated Transactions'!E:E,"")</f>
        <v>Retirement Contributions</v>
      </c>
      <c r="G779" s="113" t="s">
        <v>97</v>
      </c>
      <c r="H779" s="113"/>
      <c r="I779" s="113" t="str">
        <f>_xlfn.XLOOKUP($C779,'Cost Centers'!$A$2:$A$11,'Cost Centers'!$C$2:$C$11,"")</f>
        <v>Admin</v>
      </c>
      <c r="J779" s="23">
        <f>MROUND(SUMIFS('Allocated Transactions'!$J:$J,'Allocated Transactions'!$D:$D,$E779,'Allocated Transactions'!$C:$C,$C779,'Allocated Transactions'!$A:$A,"&gt;="&amp;$A779,'Allocated Transactions'!$A:$A,"&lt;="&amp;EOMONTH($A779,0))*0.99,100)</f>
        <v>300</v>
      </c>
      <c r="K779" s="113" t="s">
        <v>637</v>
      </c>
    </row>
    <row r="780" spans="1:11" ht="15" customHeight="1">
      <c r="A780" s="112">
        <f t="shared" si="43"/>
        <v>46054</v>
      </c>
      <c r="B780" s="113">
        <v>4</v>
      </c>
      <c r="C780" s="18" t="str">
        <f t="shared" si="46"/>
        <v>1040</v>
      </c>
      <c r="D780" s="113" t="str">
        <f>_xlfn.XLOOKUP($C780,'Cost Centers'!$A$2:$A$11,'Cost Centers'!$B$2:$B$11,"")</f>
        <v>Finance</v>
      </c>
      <c r="E780" s="113" t="s">
        <v>101</v>
      </c>
      <c r="F780" s="113" t="str">
        <f>_xlfn.XLOOKUP(E780,'Allocated Transactions'!D:D,'Allocated Transactions'!E:E,"")</f>
        <v>Contract Labor / Consultants</v>
      </c>
      <c r="G780" s="113" t="s">
        <v>97</v>
      </c>
      <c r="H780" s="113"/>
      <c r="I780" s="113" t="str">
        <f>_xlfn.XLOOKUP($C780,'Cost Centers'!$A$2:$A$11,'Cost Centers'!$C$2:$C$11,"")</f>
        <v>Admin</v>
      </c>
      <c r="J780" s="23">
        <f>MROUND(SUMIFS('Allocated Transactions'!$J:$J,'Allocated Transactions'!$D:$D,$E780,'Allocated Transactions'!$C:$C,$C780,'Allocated Transactions'!$A:$A,"&gt;="&amp;$A780,'Allocated Transactions'!$A:$A,"&lt;="&amp;EOMONTH($A780,0))*0.99,100)</f>
        <v>0</v>
      </c>
      <c r="K780" s="113" t="s">
        <v>637</v>
      </c>
    </row>
    <row r="781" spans="1:11" ht="15" customHeight="1">
      <c r="A781" s="112">
        <f t="shared" si="43"/>
        <v>46054</v>
      </c>
      <c r="B781" s="113">
        <v>4</v>
      </c>
      <c r="C781" s="18" t="str">
        <f t="shared" si="46"/>
        <v>1040</v>
      </c>
      <c r="D781" s="113" t="str">
        <f>_xlfn.XLOOKUP($C781,'Cost Centers'!$A$2:$A$11,'Cost Centers'!$B$2:$B$11,"")</f>
        <v>Finance</v>
      </c>
      <c r="E781" s="113" t="s">
        <v>32</v>
      </c>
      <c r="F781" s="113" t="str">
        <f>_xlfn.XLOOKUP(E781,'Allocated Transactions'!D:D,'Allocated Transactions'!E:E,"")</f>
        <v>Rent</v>
      </c>
      <c r="G781" s="113" t="s">
        <v>97</v>
      </c>
      <c r="H781" s="113"/>
      <c r="I781" s="113" t="str">
        <f>_xlfn.XLOOKUP($C781,'Cost Centers'!$A$2:$A$11,'Cost Centers'!$C$2:$C$11,"")</f>
        <v>Admin</v>
      </c>
      <c r="J781" s="23">
        <f>MROUND(SUMIFS('Allocated Transactions'!$J:$J,'Allocated Transactions'!$D:$D,$E781,'Allocated Transactions'!$C:$C,$C781,'Allocated Transactions'!$A:$A,"&gt;="&amp;$A781,'Allocated Transactions'!$A:$A,"&lt;="&amp;EOMONTH($A781,0))*0.99,100)</f>
        <v>700</v>
      </c>
      <c r="K781" s="113" t="s">
        <v>637</v>
      </c>
    </row>
    <row r="782" spans="1:11" ht="15" customHeight="1">
      <c r="A782" s="112">
        <f t="shared" si="43"/>
        <v>46054</v>
      </c>
      <c r="B782" s="113">
        <v>4</v>
      </c>
      <c r="C782" s="18" t="str">
        <f t="shared" si="46"/>
        <v>1040</v>
      </c>
      <c r="D782" s="113" t="str">
        <f>_xlfn.XLOOKUP($C782,'Cost Centers'!$A$2:$A$11,'Cost Centers'!$B$2:$B$11,"")</f>
        <v>Finance</v>
      </c>
      <c r="E782" s="113" t="s">
        <v>33</v>
      </c>
      <c r="F782" s="113" t="str">
        <f>_xlfn.XLOOKUP(E782,'Allocated Transactions'!D:D,'Allocated Transactions'!E:E,"")</f>
        <v>Utilities</v>
      </c>
      <c r="G782" s="113" t="s">
        <v>97</v>
      </c>
      <c r="H782" s="113"/>
      <c r="I782" s="113" t="str">
        <f>_xlfn.XLOOKUP($C782,'Cost Centers'!$A$2:$A$11,'Cost Centers'!$C$2:$C$11,"")</f>
        <v>Admin</v>
      </c>
      <c r="J782" s="23">
        <f>MROUND(SUMIFS('Allocated Transactions'!$J:$J,'Allocated Transactions'!$D:$D,$E782,'Allocated Transactions'!$C:$C,$C782,'Allocated Transactions'!$A:$A,"&gt;="&amp;$A782,'Allocated Transactions'!$A:$A,"&lt;="&amp;EOMONTH($A782,0))*0.99,100)</f>
        <v>100</v>
      </c>
      <c r="K782" s="113" t="s">
        <v>637</v>
      </c>
    </row>
    <row r="783" spans="1:11" ht="15" customHeight="1">
      <c r="A783" s="112">
        <f t="shared" si="43"/>
        <v>46054</v>
      </c>
      <c r="B783" s="113">
        <v>4</v>
      </c>
      <c r="C783" s="18" t="str">
        <f t="shared" si="46"/>
        <v>1040</v>
      </c>
      <c r="D783" s="113" t="str">
        <f>_xlfn.XLOOKUP($C783,'Cost Centers'!$A$2:$A$11,'Cost Centers'!$B$2:$B$11,"")</f>
        <v>Finance</v>
      </c>
      <c r="E783" s="113" t="s">
        <v>105</v>
      </c>
      <c r="F783" s="113" t="str">
        <f>_xlfn.XLOOKUP(E783,'Allocated Transactions'!D:D,'Allocated Transactions'!E:E,"")</f>
        <v>Office Supplies</v>
      </c>
      <c r="G783" s="113" t="s">
        <v>97</v>
      </c>
      <c r="H783" s="113"/>
      <c r="I783" s="113" t="str">
        <f>_xlfn.XLOOKUP($C783,'Cost Centers'!$A$2:$A$11,'Cost Centers'!$C$2:$C$11,"")</f>
        <v>Admin</v>
      </c>
      <c r="J783" s="23">
        <f>MROUND(SUMIFS('Allocated Transactions'!$J:$J,'Allocated Transactions'!$D:$D,$E783,'Allocated Transactions'!$C:$C,$C783,'Allocated Transactions'!$A:$A,"&gt;="&amp;$A783,'Allocated Transactions'!$A:$A,"&lt;="&amp;EOMONTH($A783,0))*0.99,100)</f>
        <v>0</v>
      </c>
      <c r="K783" s="113" t="s">
        <v>637</v>
      </c>
    </row>
    <row r="784" spans="1:11" ht="15" customHeight="1">
      <c r="A784" s="112">
        <f t="shared" si="43"/>
        <v>46054</v>
      </c>
      <c r="B784" s="113">
        <v>4</v>
      </c>
      <c r="C784" s="18" t="str">
        <f t="shared" si="46"/>
        <v>1040</v>
      </c>
      <c r="D784" s="113" t="str">
        <f>_xlfn.XLOOKUP($C784,'Cost Centers'!$A$2:$A$11,'Cost Centers'!$B$2:$B$11,"")</f>
        <v>Finance</v>
      </c>
      <c r="E784" s="113" t="s">
        <v>107</v>
      </c>
      <c r="F784" s="113" t="str">
        <f>_xlfn.XLOOKUP(E784,'Allocated Transactions'!D:D,'Allocated Transactions'!E:E,"")</f>
        <v>Software and Subscriptions</v>
      </c>
      <c r="G784" s="113" t="s">
        <v>97</v>
      </c>
      <c r="H784" s="113"/>
      <c r="I784" s="113" t="str">
        <f>_xlfn.XLOOKUP($C784,'Cost Centers'!$A$2:$A$11,'Cost Centers'!$C$2:$C$11,"")</f>
        <v>Admin</v>
      </c>
      <c r="J784" s="23">
        <f>MROUND(SUMIFS('Allocated Transactions'!$J:$J,'Allocated Transactions'!$D:$D,$E784,'Allocated Transactions'!$C:$C,$C784,'Allocated Transactions'!$A:$A,"&gt;="&amp;$A784,'Allocated Transactions'!$A:$A,"&lt;="&amp;EOMONTH($A784,0))*0.99,100)</f>
        <v>0</v>
      </c>
      <c r="K784" s="113" t="s">
        <v>637</v>
      </c>
    </row>
    <row r="785" spans="1:11" ht="15" customHeight="1">
      <c r="A785" s="112">
        <f t="shared" si="43"/>
        <v>46054</v>
      </c>
      <c r="B785" s="113">
        <v>4</v>
      </c>
      <c r="C785" s="18" t="str">
        <f t="shared" si="46"/>
        <v>1040</v>
      </c>
      <c r="D785" s="113" t="str">
        <f>_xlfn.XLOOKUP($C785,'Cost Centers'!$A$2:$A$11,'Cost Centers'!$B$2:$B$11,"")</f>
        <v>Finance</v>
      </c>
      <c r="E785" s="113" t="s">
        <v>109</v>
      </c>
      <c r="F785" s="113" t="str">
        <f>_xlfn.XLOOKUP(E785,'Allocated Transactions'!D:D,'Allocated Transactions'!E:E,"")</f>
        <v>Travel</v>
      </c>
      <c r="G785" s="113" t="s">
        <v>97</v>
      </c>
      <c r="H785" s="113"/>
      <c r="I785" s="113" t="str">
        <f>_xlfn.XLOOKUP($C785,'Cost Centers'!$A$2:$A$11,'Cost Centers'!$C$2:$C$11,"")</f>
        <v>Admin</v>
      </c>
      <c r="J785" s="23">
        <f>MROUND(SUMIFS('Allocated Transactions'!$J:$J,'Allocated Transactions'!$D:$D,$E785,'Allocated Transactions'!$C:$C,$C785,'Allocated Transactions'!$A:$A,"&gt;="&amp;$A785,'Allocated Transactions'!$A:$A,"&lt;="&amp;EOMONTH($A785,0))*0.99,100)</f>
        <v>0</v>
      </c>
      <c r="K785" s="113" t="s">
        <v>637</v>
      </c>
    </row>
    <row r="786" spans="1:11" ht="15" customHeight="1">
      <c r="A786" s="112">
        <f t="shared" si="43"/>
        <v>46054</v>
      </c>
      <c r="B786" s="113">
        <v>4</v>
      </c>
      <c r="C786" s="18" t="str">
        <f t="shared" si="46"/>
        <v>1040</v>
      </c>
      <c r="D786" s="113" t="str">
        <f>_xlfn.XLOOKUP($C786,'Cost Centers'!$A$2:$A$11,'Cost Centers'!$B$2:$B$11,"")</f>
        <v>Finance</v>
      </c>
      <c r="E786" s="113" t="s">
        <v>111</v>
      </c>
      <c r="F786" s="113" t="str">
        <f>_xlfn.XLOOKUP(E786,'Allocated Transactions'!D:D,'Allocated Transactions'!E:E,"")</f>
        <v>Meals and Entertainment</v>
      </c>
      <c r="G786" s="113" t="s">
        <v>97</v>
      </c>
      <c r="H786" s="113"/>
      <c r="I786" s="113" t="str">
        <f>_xlfn.XLOOKUP($C786,'Cost Centers'!$A$2:$A$11,'Cost Centers'!$C$2:$C$11,"")</f>
        <v>Admin</v>
      </c>
      <c r="J786" s="23">
        <f>MROUND(SUMIFS('Allocated Transactions'!$J:$J,'Allocated Transactions'!$D:$D,$E786,'Allocated Transactions'!$C:$C,$C786,'Allocated Transactions'!$A:$A,"&gt;="&amp;$A786,'Allocated Transactions'!$A:$A,"&lt;="&amp;EOMONTH($A786,0))*0.99,100)</f>
        <v>0</v>
      </c>
      <c r="K786" s="113" t="s">
        <v>637</v>
      </c>
    </row>
    <row r="787" spans="1:11" ht="15" customHeight="1">
      <c r="A787" s="112">
        <f t="shared" si="43"/>
        <v>46054</v>
      </c>
      <c r="B787" s="113">
        <v>4</v>
      </c>
      <c r="C787" s="18" t="str">
        <f t="shared" si="46"/>
        <v>1040</v>
      </c>
      <c r="D787" s="113" t="str">
        <f>_xlfn.XLOOKUP($C787,'Cost Centers'!$A$2:$A$11,'Cost Centers'!$B$2:$B$11,"")</f>
        <v>Finance</v>
      </c>
      <c r="E787" s="113" t="s">
        <v>113</v>
      </c>
      <c r="F787" s="113" t="str">
        <f>_xlfn.XLOOKUP(E787,'Allocated Transactions'!D:D,'Allocated Transactions'!E:E,"")</f>
        <v>Professional Fees - Legal</v>
      </c>
      <c r="G787" s="113" t="s">
        <v>97</v>
      </c>
      <c r="H787" s="113"/>
      <c r="I787" s="113" t="str">
        <f>_xlfn.XLOOKUP($C787,'Cost Centers'!$A$2:$A$11,'Cost Centers'!$C$2:$C$11,"")</f>
        <v>Admin</v>
      </c>
      <c r="J787" s="23">
        <f>MROUND(SUMIFS('Allocated Transactions'!$J:$J,'Allocated Transactions'!$D:$D,$E787,'Allocated Transactions'!$C:$C,$C787,'Allocated Transactions'!$A:$A,"&gt;="&amp;$A787,'Allocated Transactions'!$A:$A,"&lt;="&amp;EOMONTH($A787,0))*0.99,100)</f>
        <v>0</v>
      </c>
      <c r="K787" s="113" t="s">
        <v>637</v>
      </c>
    </row>
    <row r="788" spans="1:11" ht="15" customHeight="1">
      <c r="A788" s="112">
        <f t="shared" si="43"/>
        <v>46054</v>
      </c>
      <c r="B788" s="113">
        <v>4</v>
      </c>
      <c r="C788" s="18" t="str">
        <f t="shared" si="46"/>
        <v>1040</v>
      </c>
      <c r="D788" s="113" t="str">
        <f>_xlfn.XLOOKUP($C788,'Cost Centers'!$A$2:$A$11,'Cost Centers'!$B$2:$B$11,"")</f>
        <v>Finance</v>
      </c>
      <c r="E788" s="113" t="s">
        <v>115</v>
      </c>
      <c r="F788" s="113" t="str">
        <f>_xlfn.XLOOKUP(E788,'Allocated Transactions'!D:D,'Allocated Transactions'!E:E,"")</f>
        <v>Professional Fees - Accounting/Audit</v>
      </c>
      <c r="G788" s="113" t="s">
        <v>97</v>
      </c>
      <c r="H788" s="113"/>
      <c r="I788" s="113" t="str">
        <f>_xlfn.XLOOKUP($C788,'Cost Centers'!$A$2:$A$11,'Cost Centers'!$C$2:$C$11,"")</f>
        <v>Admin</v>
      </c>
      <c r="J788" s="23">
        <f>MROUND(SUMIFS('Allocated Transactions'!$J:$J,'Allocated Transactions'!$D:$D,$E788,'Allocated Transactions'!$C:$C,$C788,'Allocated Transactions'!$A:$A,"&gt;="&amp;$A788,'Allocated Transactions'!$A:$A,"&lt;="&amp;EOMONTH($A788,0))*0.99,100)</f>
        <v>0</v>
      </c>
      <c r="K788" s="113" t="s">
        <v>637</v>
      </c>
    </row>
    <row r="789" spans="1:11" ht="15" customHeight="1">
      <c r="A789" s="112">
        <f t="shared" si="43"/>
        <v>46054</v>
      </c>
      <c r="B789" s="113">
        <v>4</v>
      </c>
      <c r="C789" s="18" t="str">
        <f t="shared" si="46"/>
        <v>1040</v>
      </c>
      <c r="D789" s="113" t="str">
        <f>_xlfn.XLOOKUP($C789,'Cost Centers'!$A$2:$A$11,'Cost Centers'!$B$2:$B$11,"")</f>
        <v>Finance</v>
      </c>
      <c r="E789" s="113" t="s">
        <v>117</v>
      </c>
      <c r="F789" s="113" t="str">
        <f>_xlfn.XLOOKUP(E789,'Allocated Transactions'!D:D,'Allocated Transactions'!E:E,"")</f>
        <v>Insurance</v>
      </c>
      <c r="G789" s="113" t="s">
        <v>97</v>
      </c>
      <c r="H789" s="113"/>
      <c r="I789" s="113" t="str">
        <f>_xlfn.XLOOKUP($C789,'Cost Centers'!$A$2:$A$11,'Cost Centers'!$C$2:$C$11,"")</f>
        <v>Admin</v>
      </c>
      <c r="J789" s="23">
        <f>MROUND(SUMIFS('Allocated Transactions'!$J:$J,'Allocated Transactions'!$D:$D,$E789,'Allocated Transactions'!$C:$C,$C789,'Allocated Transactions'!$A:$A,"&gt;="&amp;$A789,'Allocated Transactions'!$A:$A,"&lt;="&amp;EOMONTH($A789,0))*0.99,100)</f>
        <v>600</v>
      </c>
      <c r="K789" s="113" t="s">
        <v>637</v>
      </c>
    </row>
    <row r="790" spans="1:11" ht="15" customHeight="1">
      <c r="A790" s="112">
        <f t="shared" si="43"/>
        <v>46054</v>
      </c>
      <c r="B790" s="113">
        <v>4</v>
      </c>
      <c r="C790" s="18" t="str">
        <f t="shared" si="46"/>
        <v>1040</v>
      </c>
      <c r="D790" s="113" t="str">
        <f>_xlfn.XLOOKUP($C790,'Cost Centers'!$A$2:$A$11,'Cost Centers'!$B$2:$B$11,"")</f>
        <v>Finance</v>
      </c>
      <c r="E790" s="113" t="s">
        <v>119</v>
      </c>
      <c r="F790" s="113" t="str">
        <f>_xlfn.XLOOKUP(E790,'Allocated Transactions'!D:D,'Allocated Transactions'!E:E,"")</f>
        <v>Depreciation Expense</v>
      </c>
      <c r="G790" s="113" t="s">
        <v>97</v>
      </c>
      <c r="H790" s="113"/>
      <c r="I790" s="113" t="str">
        <f>_xlfn.XLOOKUP($C790,'Cost Centers'!$A$2:$A$11,'Cost Centers'!$C$2:$C$11,"")</f>
        <v>Admin</v>
      </c>
      <c r="J790" s="23">
        <f>MROUND(SUMIFS('Allocated Transactions'!$J:$J,'Allocated Transactions'!$D:$D,$E790,'Allocated Transactions'!$C:$C,$C790,'Allocated Transactions'!$A:$A,"&gt;="&amp;$A790,'Allocated Transactions'!$A:$A,"&lt;="&amp;EOMONTH($A790,0))*0.99,100)</f>
        <v>0</v>
      </c>
      <c r="K790" s="113" t="s">
        <v>637</v>
      </c>
    </row>
    <row r="791" spans="1:11" ht="15" customHeight="1">
      <c r="A791" s="112">
        <f t="shared" si="43"/>
        <v>46054</v>
      </c>
      <c r="B791" s="113">
        <v>4</v>
      </c>
      <c r="C791" s="18" t="str">
        <f t="shared" si="46"/>
        <v>1040</v>
      </c>
      <c r="D791" s="113" t="str">
        <f>_xlfn.XLOOKUP($C791,'Cost Centers'!$A$2:$A$11,'Cost Centers'!$B$2:$B$11,"")</f>
        <v>Finance</v>
      </c>
      <c r="E791" s="113" t="s">
        <v>121</v>
      </c>
      <c r="F791" s="113" t="str">
        <f>_xlfn.XLOOKUP(E791,'Allocated Transactions'!D:D,'Allocated Transactions'!E:E,"")</f>
        <v>Bank Fees</v>
      </c>
      <c r="G791" s="113" t="s">
        <v>97</v>
      </c>
      <c r="H791" s="113"/>
      <c r="I791" s="113" t="str">
        <f>_xlfn.XLOOKUP($C791,'Cost Centers'!$A$2:$A$11,'Cost Centers'!$C$2:$C$11,"")</f>
        <v>Admin</v>
      </c>
      <c r="J791" s="23">
        <f>MROUND(SUMIFS('Allocated Transactions'!$J:$J,'Allocated Transactions'!$D:$D,$E791,'Allocated Transactions'!$C:$C,$C791,'Allocated Transactions'!$A:$A,"&gt;="&amp;$A791,'Allocated Transactions'!$A:$A,"&lt;="&amp;EOMONTH($A791,0))*0.99,100)</f>
        <v>0</v>
      </c>
      <c r="K791" s="113" t="s">
        <v>637</v>
      </c>
    </row>
    <row r="792" spans="1:11" ht="15" customHeight="1">
      <c r="A792" s="112">
        <f t="shared" si="43"/>
        <v>46054</v>
      </c>
      <c r="B792" s="113">
        <v>4</v>
      </c>
      <c r="C792" s="18" t="str">
        <f t="shared" si="46"/>
        <v>1040</v>
      </c>
      <c r="D792" s="113" t="str">
        <f>_xlfn.XLOOKUP($C792,'Cost Centers'!$A$2:$A$11,'Cost Centers'!$B$2:$B$11,"")</f>
        <v>Finance</v>
      </c>
      <c r="E792" s="113" t="s">
        <v>123</v>
      </c>
      <c r="F792" s="113" t="str">
        <f>_xlfn.XLOOKUP(E792,'Allocated Transactions'!D:D,'Allocated Transactions'!E:E,"")</f>
        <v>Interest Expense</v>
      </c>
      <c r="G792" s="113" t="s">
        <v>97</v>
      </c>
      <c r="H792" s="113"/>
      <c r="I792" s="113" t="str">
        <f>_xlfn.XLOOKUP($C792,'Cost Centers'!$A$2:$A$11,'Cost Centers'!$C$2:$C$11,"")</f>
        <v>Admin</v>
      </c>
      <c r="J792" s="23">
        <f>MROUND(SUMIFS('Allocated Transactions'!$J:$J,'Allocated Transactions'!$D:$D,$E792,'Allocated Transactions'!$C:$C,$C792,'Allocated Transactions'!$A:$A,"&gt;="&amp;$A792,'Allocated Transactions'!$A:$A,"&lt;="&amp;EOMONTH($A792,0))*0.99,100)</f>
        <v>0</v>
      </c>
      <c r="K792" s="113" t="s">
        <v>637</v>
      </c>
    </row>
    <row r="793" spans="1:11" ht="15" customHeight="1">
      <c r="A793" s="112">
        <f t="shared" ref="A793:A856" si="47">IF(C793&lt;&gt;C792,DATE(2025,7,1),IF(E793="5000",EOMONTH(A792,0)+1,A792))</f>
        <v>46054</v>
      </c>
      <c r="B793" s="113">
        <v>4</v>
      </c>
      <c r="C793" s="18" t="str">
        <f t="shared" si="46"/>
        <v>1040</v>
      </c>
      <c r="D793" s="113" t="str">
        <f>_xlfn.XLOOKUP($C793,'Cost Centers'!$A$2:$A$11,'Cost Centers'!$B$2:$B$11,"")</f>
        <v>Finance</v>
      </c>
      <c r="E793" s="113" t="s">
        <v>125</v>
      </c>
      <c r="F793" s="113" t="str">
        <f>_xlfn.XLOOKUP(E793,'Allocated Transactions'!D:D,'Allocated Transactions'!E:E,"")</f>
        <v>Miscellaneous Expense</v>
      </c>
      <c r="G793" s="113" t="s">
        <v>97</v>
      </c>
      <c r="H793" s="113"/>
      <c r="I793" s="113" t="str">
        <f>_xlfn.XLOOKUP($C793,'Cost Centers'!$A$2:$A$11,'Cost Centers'!$C$2:$C$11,"")</f>
        <v>Admin</v>
      </c>
      <c r="J793" s="23">
        <f>MROUND(SUMIFS('Allocated Transactions'!$J:$J,'Allocated Transactions'!$D:$D,$E793,'Allocated Transactions'!$C:$C,$C793,'Allocated Transactions'!$A:$A,"&gt;="&amp;$A793,'Allocated Transactions'!$A:$A,"&lt;="&amp;EOMONTH($A793,0))*0.99,100)</f>
        <v>0</v>
      </c>
      <c r="K793" s="113" t="s">
        <v>637</v>
      </c>
    </row>
    <row r="794" spans="1:11" ht="15" customHeight="1">
      <c r="A794" s="112">
        <f t="shared" si="47"/>
        <v>46082</v>
      </c>
      <c r="B794" s="113">
        <v>4</v>
      </c>
      <c r="C794" s="18" t="s">
        <v>8</v>
      </c>
      <c r="D794" s="113" t="str">
        <f>_xlfn.XLOOKUP($C794,'Cost Centers'!$A$2:$A$11,'Cost Centers'!$B$2:$B$11,"")</f>
        <v>Finance</v>
      </c>
      <c r="E794" s="113" t="s">
        <v>28</v>
      </c>
      <c r="F794" s="113" t="str">
        <f>_xlfn.XLOOKUP(E794,'Allocated Transactions'!D:D,'Allocated Transactions'!E:E,"")</f>
        <v>Salaries and Wages</v>
      </c>
      <c r="G794" s="113" t="s">
        <v>97</v>
      </c>
      <c r="H794" s="113"/>
      <c r="I794" s="113" t="str">
        <f>_xlfn.XLOOKUP($C794,'Cost Centers'!$A$2:$A$11,'Cost Centers'!$C$2:$C$11,"")</f>
        <v>Admin</v>
      </c>
      <c r="J794" s="23">
        <f>MROUND(SUMIFS('Allocated Transactions'!$J:$J,'Allocated Transactions'!$D:$D,$E794,'Allocated Transactions'!$C:$C,$C794,'Allocated Transactions'!$A:$A,"&gt;="&amp;$A794,'Allocated Transactions'!$A:$A,"&lt;="&amp;EOMONTH($A794,0))*0.99,100)</f>
        <v>9600</v>
      </c>
      <c r="K794" s="113" t="s">
        <v>637</v>
      </c>
    </row>
    <row r="795" spans="1:11" ht="15" customHeight="1">
      <c r="A795" s="112">
        <f t="shared" si="47"/>
        <v>46082</v>
      </c>
      <c r="B795" s="113">
        <v>4</v>
      </c>
      <c r="C795" s="18" t="str">
        <f t="shared" ref="C795:C811" si="48">C794</f>
        <v>1040</v>
      </c>
      <c r="D795" s="113" t="str">
        <f>_xlfn.XLOOKUP($C795,'Cost Centers'!$A$2:$A$11,'Cost Centers'!$B$2:$B$11,"")</f>
        <v>Finance</v>
      </c>
      <c r="E795" s="113" t="s">
        <v>29</v>
      </c>
      <c r="F795" s="113" t="str">
        <f>_xlfn.XLOOKUP(E795,'Allocated Transactions'!D:D,'Allocated Transactions'!E:E,"")</f>
        <v>Payroll Taxes</v>
      </c>
      <c r="G795" s="113" t="s">
        <v>97</v>
      </c>
      <c r="H795" s="113"/>
      <c r="I795" s="113" t="str">
        <f>_xlfn.XLOOKUP($C795,'Cost Centers'!$A$2:$A$11,'Cost Centers'!$C$2:$C$11,"")</f>
        <v>Admin</v>
      </c>
      <c r="J795" s="23">
        <f>MROUND(SUMIFS('Allocated Transactions'!$J:$J,'Allocated Transactions'!$D:$D,$E795,'Allocated Transactions'!$C:$C,$C795,'Allocated Transactions'!$A:$A,"&gt;="&amp;$A795,'Allocated Transactions'!$A:$A,"&lt;="&amp;EOMONTH($A795,0))*0.99,100)</f>
        <v>700</v>
      </c>
      <c r="K795" s="113" t="s">
        <v>637</v>
      </c>
    </row>
    <row r="796" spans="1:11" ht="15" customHeight="1">
      <c r="A796" s="112">
        <f t="shared" si="47"/>
        <v>46082</v>
      </c>
      <c r="B796" s="113">
        <v>4</v>
      </c>
      <c r="C796" s="18" t="str">
        <f t="shared" si="48"/>
        <v>1040</v>
      </c>
      <c r="D796" s="113" t="str">
        <f>_xlfn.XLOOKUP($C796,'Cost Centers'!$A$2:$A$11,'Cost Centers'!$B$2:$B$11,"")</f>
        <v>Finance</v>
      </c>
      <c r="E796" s="113" t="s">
        <v>30</v>
      </c>
      <c r="F796" s="113" t="str">
        <f>_xlfn.XLOOKUP(E796,'Allocated Transactions'!D:D,'Allocated Transactions'!E:E,"")</f>
        <v>Employee Benefits</v>
      </c>
      <c r="G796" s="113" t="s">
        <v>97</v>
      </c>
      <c r="H796" s="113"/>
      <c r="I796" s="113" t="str">
        <f>_xlfn.XLOOKUP($C796,'Cost Centers'!$A$2:$A$11,'Cost Centers'!$C$2:$C$11,"")</f>
        <v>Admin</v>
      </c>
      <c r="J796" s="23">
        <f>MROUND(SUMIFS('Allocated Transactions'!$J:$J,'Allocated Transactions'!$D:$D,$E796,'Allocated Transactions'!$C:$C,$C796,'Allocated Transactions'!$A:$A,"&gt;="&amp;$A796,'Allocated Transactions'!$A:$A,"&lt;="&amp;EOMONTH($A796,0))*0.99,100)</f>
        <v>3900</v>
      </c>
      <c r="K796" s="113" t="s">
        <v>637</v>
      </c>
    </row>
    <row r="797" spans="1:11" ht="15" customHeight="1">
      <c r="A797" s="112">
        <f t="shared" si="47"/>
        <v>46082</v>
      </c>
      <c r="B797" s="113">
        <v>4</v>
      </c>
      <c r="C797" s="18" t="str">
        <f t="shared" si="48"/>
        <v>1040</v>
      </c>
      <c r="D797" s="113" t="str">
        <f>_xlfn.XLOOKUP($C797,'Cost Centers'!$A$2:$A$11,'Cost Centers'!$B$2:$B$11,"")</f>
        <v>Finance</v>
      </c>
      <c r="E797" s="113" t="s">
        <v>31</v>
      </c>
      <c r="F797" s="113" t="str">
        <f>_xlfn.XLOOKUP(E797,'Allocated Transactions'!D:D,'Allocated Transactions'!E:E,"")</f>
        <v>Retirement Contributions</v>
      </c>
      <c r="G797" s="113" t="s">
        <v>97</v>
      </c>
      <c r="H797" s="113"/>
      <c r="I797" s="113" t="str">
        <f>_xlfn.XLOOKUP($C797,'Cost Centers'!$A$2:$A$11,'Cost Centers'!$C$2:$C$11,"")</f>
        <v>Admin</v>
      </c>
      <c r="J797" s="23">
        <f>MROUND(SUMIFS('Allocated Transactions'!$J:$J,'Allocated Transactions'!$D:$D,$E797,'Allocated Transactions'!$C:$C,$C797,'Allocated Transactions'!$A:$A,"&gt;="&amp;$A797,'Allocated Transactions'!$A:$A,"&lt;="&amp;EOMONTH($A797,0))*0.99,100)</f>
        <v>300</v>
      </c>
      <c r="K797" s="113" t="s">
        <v>637</v>
      </c>
    </row>
    <row r="798" spans="1:11" ht="15" customHeight="1">
      <c r="A798" s="112">
        <f t="shared" si="47"/>
        <v>46082</v>
      </c>
      <c r="B798" s="113">
        <v>4</v>
      </c>
      <c r="C798" s="18" t="str">
        <f t="shared" si="48"/>
        <v>1040</v>
      </c>
      <c r="D798" s="113" t="str">
        <f>_xlfn.XLOOKUP($C798,'Cost Centers'!$A$2:$A$11,'Cost Centers'!$B$2:$B$11,"")</f>
        <v>Finance</v>
      </c>
      <c r="E798" s="113" t="s">
        <v>101</v>
      </c>
      <c r="F798" s="113" t="str">
        <f>_xlfn.XLOOKUP(E798,'Allocated Transactions'!D:D,'Allocated Transactions'!E:E,"")</f>
        <v>Contract Labor / Consultants</v>
      </c>
      <c r="G798" s="113" t="s">
        <v>97</v>
      </c>
      <c r="H798" s="113"/>
      <c r="I798" s="113" t="str">
        <f>_xlfn.XLOOKUP($C798,'Cost Centers'!$A$2:$A$11,'Cost Centers'!$C$2:$C$11,"")</f>
        <v>Admin</v>
      </c>
      <c r="J798" s="23">
        <f>MROUND(SUMIFS('Allocated Transactions'!$J:$J,'Allocated Transactions'!$D:$D,$E798,'Allocated Transactions'!$C:$C,$C798,'Allocated Transactions'!$A:$A,"&gt;="&amp;$A798,'Allocated Transactions'!$A:$A,"&lt;="&amp;EOMONTH($A798,0))*0.99,100)</f>
        <v>0</v>
      </c>
      <c r="K798" s="113" t="s">
        <v>637</v>
      </c>
    </row>
    <row r="799" spans="1:11" ht="15" customHeight="1">
      <c r="A799" s="112">
        <f t="shared" si="47"/>
        <v>46082</v>
      </c>
      <c r="B799" s="113">
        <v>4</v>
      </c>
      <c r="C799" s="18" t="str">
        <f t="shared" si="48"/>
        <v>1040</v>
      </c>
      <c r="D799" s="113" t="str">
        <f>_xlfn.XLOOKUP($C799,'Cost Centers'!$A$2:$A$11,'Cost Centers'!$B$2:$B$11,"")</f>
        <v>Finance</v>
      </c>
      <c r="E799" s="113" t="s">
        <v>32</v>
      </c>
      <c r="F799" s="113" t="str">
        <f>_xlfn.XLOOKUP(E799,'Allocated Transactions'!D:D,'Allocated Transactions'!E:E,"")</f>
        <v>Rent</v>
      </c>
      <c r="G799" s="113" t="s">
        <v>97</v>
      </c>
      <c r="H799" s="113"/>
      <c r="I799" s="113" t="str">
        <f>_xlfn.XLOOKUP($C799,'Cost Centers'!$A$2:$A$11,'Cost Centers'!$C$2:$C$11,"")</f>
        <v>Admin</v>
      </c>
      <c r="J799" s="23">
        <f>MROUND(SUMIFS('Allocated Transactions'!$J:$J,'Allocated Transactions'!$D:$D,$E799,'Allocated Transactions'!$C:$C,$C799,'Allocated Transactions'!$A:$A,"&gt;="&amp;$A799,'Allocated Transactions'!$A:$A,"&lt;="&amp;EOMONTH($A799,0))*0.99,100)</f>
        <v>700</v>
      </c>
      <c r="K799" s="113" t="s">
        <v>637</v>
      </c>
    </row>
    <row r="800" spans="1:11" ht="15" customHeight="1">
      <c r="A800" s="112">
        <f t="shared" si="47"/>
        <v>46082</v>
      </c>
      <c r="B800" s="113">
        <v>4</v>
      </c>
      <c r="C800" s="18" t="str">
        <f t="shared" si="48"/>
        <v>1040</v>
      </c>
      <c r="D800" s="113" t="str">
        <f>_xlfn.XLOOKUP($C800,'Cost Centers'!$A$2:$A$11,'Cost Centers'!$B$2:$B$11,"")</f>
        <v>Finance</v>
      </c>
      <c r="E800" s="113" t="s">
        <v>33</v>
      </c>
      <c r="F800" s="113" t="str">
        <f>_xlfn.XLOOKUP(E800,'Allocated Transactions'!D:D,'Allocated Transactions'!E:E,"")</f>
        <v>Utilities</v>
      </c>
      <c r="G800" s="113" t="s">
        <v>97</v>
      </c>
      <c r="H800" s="113"/>
      <c r="I800" s="113" t="str">
        <f>_xlfn.XLOOKUP($C800,'Cost Centers'!$A$2:$A$11,'Cost Centers'!$C$2:$C$11,"")</f>
        <v>Admin</v>
      </c>
      <c r="J800" s="23">
        <f>MROUND(SUMIFS('Allocated Transactions'!$J:$J,'Allocated Transactions'!$D:$D,$E800,'Allocated Transactions'!$C:$C,$C800,'Allocated Transactions'!$A:$A,"&gt;="&amp;$A800,'Allocated Transactions'!$A:$A,"&lt;="&amp;EOMONTH($A800,0))*0.99,100)</f>
        <v>100</v>
      </c>
      <c r="K800" s="113" t="s">
        <v>637</v>
      </c>
    </row>
    <row r="801" spans="1:11" ht="15" customHeight="1">
      <c r="A801" s="112">
        <f t="shared" si="47"/>
        <v>46082</v>
      </c>
      <c r="B801" s="113">
        <v>4</v>
      </c>
      <c r="C801" s="18" t="str">
        <f t="shared" si="48"/>
        <v>1040</v>
      </c>
      <c r="D801" s="113" t="str">
        <f>_xlfn.XLOOKUP($C801,'Cost Centers'!$A$2:$A$11,'Cost Centers'!$B$2:$B$11,"")</f>
        <v>Finance</v>
      </c>
      <c r="E801" s="113" t="s">
        <v>105</v>
      </c>
      <c r="F801" s="113" t="str">
        <f>_xlfn.XLOOKUP(E801,'Allocated Transactions'!D:D,'Allocated Transactions'!E:E,"")</f>
        <v>Office Supplies</v>
      </c>
      <c r="G801" s="113" t="s">
        <v>97</v>
      </c>
      <c r="H801" s="113"/>
      <c r="I801" s="113" t="str">
        <f>_xlfn.XLOOKUP($C801,'Cost Centers'!$A$2:$A$11,'Cost Centers'!$C$2:$C$11,"")</f>
        <v>Admin</v>
      </c>
      <c r="J801" s="23">
        <f>MROUND(SUMIFS('Allocated Transactions'!$J:$J,'Allocated Transactions'!$D:$D,$E801,'Allocated Transactions'!$C:$C,$C801,'Allocated Transactions'!$A:$A,"&gt;="&amp;$A801,'Allocated Transactions'!$A:$A,"&lt;="&amp;EOMONTH($A801,0))*0.99,100)</f>
        <v>0</v>
      </c>
      <c r="K801" s="113" t="s">
        <v>637</v>
      </c>
    </row>
    <row r="802" spans="1:11" ht="15" customHeight="1">
      <c r="A802" s="112">
        <f t="shared" si="47"/>
        <v>46082</v>
      </c>
      <c r="B802" s="113">
        <v>4</v>
      </c>
      <c r="C802" s="18" t="str">
        <f t="shared" si="48"/>
        <v>1040</v>
      </c>
      <c r="D802" s="113" t="str">
        <f>_xlfn.XLOOKUP($C802,'Cost Centers'!$A$2:$A$11,'Cost Centers'!$B$2:$B$11,"")</f>
        <v>Finance</v>
      </c>
      <c r="E802" s="113" t="s">
        <v>107</v>
      </c>
      <c r="F802" s="113" t="str">
        <f>_xlfn.XLOOKUP(E802,'Allocated Transactions'!D:D,'Allocated Transactions'!E:E,"")</f>
        <v>Software and Subscriptions</v>
      </c>
      <c r="G802" s="113" t="s">
        <v>97</v>
      </c>
      <c r="H802" s="113"/>
      <c r="I802" s="113" t="str">
        <f>_xlfn.XLOOKUP($C802,'Cost Centers'!$A$2:$A$11,'Cost Centers'!$C$2:$C$11,"")</f>
        <v>Admin</v>
      </c>
      <c r="J802" s="23">
        <f>MROUND(SUMIFS('Allocated Transactions'!$J:$J,'Allocated Transactions'!$D:$D,$E802,'Allocated Transactions'!$C:$C,$C802,'Allocated Transactions'!$A:$A,"&gt;="&amp;$A802,'Allocated Transactions'!$A:$A,"&lt;="&amp;EOMONTH($A802,0))*0.99,100)</f>
        <v>0</v>
      </c>
      <c r="K802" s="113" t="s">
        <v>637</v>
      </c>
    </row>
    <row r="803" spans="1:11" ht="15" customHeight="1">
      <c r="A803" s="112">
        <f t="shared" si="47"/>
        <v>46082</v>
      </c>
      <c r="B803" s="113">
        <v>4</v>
      </c>
      <c r="C803" s="18" t="str">
        <f t="shared" si="48"/>
        <v>1040</v>
      </c>
      <c r="D803" s="113" t="str">
        <f>_xlfn.XLOOKUP($C803,'Cost Centers'!$A$2:$A$11,'Cost Centers'!$B$2:$B$11,"")</f>
        <v>Finance</v>
      </c>
      <c r="E803" s="113" t="s">
        <v>109</v>
      </c>
      <c r="F803" s="113" t="str">
        <f>_xlfn.XLOOKUP(E803,'Allocated Transactions'!D:D,'Allocated Transactions'!E:E,"")</f>
        <v>Travel</v>
      </c>
      <c r="G803" s="113" t="s">
        <v>97</v>
      </c>
      <c r="H803" s="113"/>
      <c r="I803" s="113" t="str">
        <f>_xlfn.XLOOKUP($C803,'Cost Centers'!$A$2:$A$11,'Cost Centers'!$C$2:$C$11,"")</f>
        <v>Admin</v>
      </c>
      <c r="J803" s="23">
        <f>MROUND(SUMIFS('Allocated Transactions'!$J:$J,'Allocated Transactions'!$D:$D,$E803,'Allocated Transactions'!$C:$C,$C803,'Allocated Transactions'!$A:$A,"&gt;="&amp;$A803,'Allocated Transactions'!$A:$A,"&lt;="&amp;EOMONTH($A803,0))*0.99,100)</f>
        <v>0</v>
      </c>
      <c r="K803" s="113" t="s">
        <v>637</v>
      </c>
    </row>
    <row r="804" spans="1:11" ht="15" customHeight="1">
      <c r="A804" s="112">
        <f t="shared" si="47"/>
        <v>46082</v>
      </c>
      <c r="B804" s="113">
        <v>4</v>
      </c>
      <c r="C804" s="18" t="str">
        <f t="shared" si="48"/>
        <v>1040</v>
      </c>
      <c r="D804" s="113" t="str">
        <f>_xlfn.XLOOKUP($C804,'Cost Centers'!$A$2:$A$11,'Cost Centers'!$B$2:$B$11,"")</f>
        <v>Finance</v>
      </c>
      <c r="E804" s="113" t="s">
        <v>111</v>
      </c>
      <c r="F804" s="113" t="str">
        <f>_xlfn.XLOOKUP(E804,'Allocated Transactions'!D:D,'Allocated Transactions'!E:E,"")</f>
        <v>Meals and Entertainment</v>
      </c>
      <c r="G804" s="113" t="s">
        <v>97</v>
      </c>
      <c r="H804" s="113"/>
      <c r="I804" s="113" t="str">
        <f>_xlfn.XLOOKUP($C804,'Cost Centers'!$A$2:$A$11,'Cost Centers'!$C$2:$C$11,"")</f>
        <v>Admin</v>
      </c>
      <c r="J804" s="23">
        <f>MROUND(SUMIFS('Allocated Transactions'!$J:$J,'Allocated Transactions'!$D:$D,$E804,'Allocated Transactions'!$C:$C,$C804,'Allocated Transactions'!$A:$A,"&gt;="&amp;$A804,'Allocated Transactions'!$A:$A,"&lt;="&amp;EOMONTH($A804,0))*0.99,100)</f>
        <v>0</v>
      </c>
      <c r="K804" s="113" t="s">
        <v>637</v>
      </c>
    </row>
    <row r="805" spans="1:11" ht="15" customHeight="1">
      <c r="A805" s="112">
        <f t="shared" si="47"/>
        <v>46082</v>
      </c>
      <c r="B805" s="113">
        <v>4</v>
      </c>
      <c r="C805" s="18" t="str">
        <f t="shared" si="48"/>
        <v>1040</v>
      </c>
      <c r="D805" s="113" t="str">
        <f>_xlfn.XLOOKUP($C805,'Cost Centers'!$A$2:$A$11,'Cost Centers'!$B$2:$B$11,"")</f>
        <v>Finance</v>
      </c>
      <c r="E805" s="113" t="s">
        <v>113</v>
      </c>
      <c r="F805" s="113" t="str">
        <f>_xlfn.XLOOKUP(E805,'Allocated Transactions'!D:D,'Allocated Transactions'!E:E,"")</f>
        <v>Professional Fees - Legal</v>
      </c>
      <c r="G805" s="113" t="s">
        <v>97</v>
      </c>
      <c r="H805" s="113"/>
      <c r="I805" s="113" t="str">
        <f>_xlfn.XLOOKUP($C805,'Cost Centers'!$A$2:$A$11,'Cost Centers'!$C$2:$C$11,"")</f>
        <v>Admin</v>
      </c>
      <c r="J805" s="23">
        <f>MROUND(SUMIFS('Allocated Transactions'!$J:$J,'Allocated Transactions'!$D:$D,$E805,'Allocated Transactions'!$C:$C,$C805,'Allocated Transactions'!$A:$A,"&gt;="&amp;$A805,'Allocated Transactions'!$A:$A,"&lt;="&amp;EOMONTH($A805,0))*0.99,100)</f>
        <v>0</v>
      </c>
      <c r="K805" s="113" t="s">
        <v>637</v>
      </c>
    </row>
    <row r="806" spans="1:11" ht="15" customHeight="1">
      <c r="A806" s="112">
        <f t="shared" si="47"/>
        <v>46082</v>
      </c>
      <c r="B806" s="113">
        <v>4</v>
      </c>
      <c r="C806" s="18" t="str">
        <f t="shared" si="48"/>
        <v>1040</v>
      </c>
      <c r="D806" s="113" t="str">
        <f>_xlfn.XLOOKUP($C806,'Cost Centers'!$A$2:$A$11,'Cost Centers'!$B$2:$B$11,"")</f>
        <v>Finance</v>
      </c>
      <c r="E806" s="113" t="s">
        <v>115</v>
      </c>
      <c r="F806" s="113" t="str">
        <f>_xlfn.XLOOKUP(E806,'Allocated Transactions'!D:D,'Allocated Transactions'!E:E,"")</f>
        <v>Professional Fees - Accounting/Audit</v>
      </c>
      <c r="G806" s="113" t="s">
        <v>97</v>
      </c>
      <c r="H806" s="113"/>
      <c r="I806" s="113" t="str">
        <f>_xlfn.XLOOKUP($C806,'Cost Centers'!$A$2:$A$11,'Cost Centers'!$C$2:$C$11,"")</f>
        <v>Admin</v>
      </c>
      <c r="J806" s="23">
        <f>MROUND(SUMIFS('Allocated Transactions'!$J:$J,'Allocated Transactions'!$D:$D,$E806,'Allocated Transactions'!$C:$C,$C806,'Allocated Transactions'!$A:$A,"&gt;="&amp;$A806,'Allocated Transactions'!$A:$A,"&lt;="&amp;EOMONTH($A806,0))*0.99,100)</f>
        <v>0</v>
      </c>
      <c r="K806" s="113" t="s">
        <v>637</v>
      </c>
    </row>
    <row r="807" spans="1:11" ht="15" customHeight="1">
      <c r="A807" s="112">
        <f t="shared" si="47"/>
        <v>46082</v>
      </c>
      <c r="B807" s="113">
        <v>4</v>
      </c>
      <c r="C807" s="18" t="str">
        <f t="shared" si="48"/>
        <v>1040</v>
      </c>
      <c r="D807" s="113" t="str">
        <f>_xlfn.XLOOKUP($C807,'Cost Centers'!$A$2:$A$11,'Cost Centers'!$B$2:$B$11,"")</f>
        <v>Finance</v>
      </c>
      <c r="E807" s="113" t="s">
        <v>117</v>
      </c>
      <c r="F807" s="113" t="str">
        <f>_xlfn.XLOOKUP(E807,'Allocated Transactions'!D:D,'Allocated Transactions'!E:E,"")</f>
        <v>Insurance</v>
      </c>
      <c r="G807" s="113" t="s">
        <v>97</v>
      </c>
      <c r="H807" s="113"/>
      <c r="I807" s="113" t="str">
        <f>_xlfn.XLOOKUP($C807,'Cost Centers'!$A$2:$A$11,'Cost Centers'!$C$2:$C$11,"")</f>
        <v>Admin</v>
      </c>
      <c r="J807" s="23">
        <f>MROUND(SUMIFS('Allocated Transactions'!$J:$J,'Allocated Transactions'!$D:$D,$E807,'Allocated Transactions'!$C:$C,$C807,'Allocated Transactions'!$A:$A,"&gt;="&amp;$A807,'Allocated Transactions'!$A:$A,"&lt;="&amp;EOMONTH($A807,0))*0.99,100)</f>
        <v>600</v>
      </c>
      <c r="K807" s="113" t="s">
        <v>637</v>
      </c>
    </row>
    <row r="808" spans="1:11" ht="15" customHeight="1">
      <c r="A808" s="112">
        <f t="shared" si="47"/>
        <v>46082</v>
      </c>
      <c r="B808" s="113">
        <v>4</v>
      </c>
      <c r="C808" s="18" t="str">
        <f t="shared" si="48"/>
        <v>1040</v>
      </c>
      <c r="D808" s="113" t="str">
        <f>_xlfn.XLOOKUP($C808,'Cost Centers'!$A$2:$A$11,'Cost Centers'!$B$2:$B$11,"")</f>
        <v>Finance</v>
      </c>
      <c r="E808" s="113" t="s">
        <v>119</v>
      </c>
      <c r="F808" s="113" t="str">
        <f>_xlfn.XLOOKUP(E808,'Allocated Transactions'!D:D,'Allocated Transactions'!E:E,"")</f>
        <v>Depreciation Expense</v>
      </c>
      <c r="G808" s="113" t="s">
        <v>97</v>
      </c>
      <c r="H808" s="113"/>
      <c r="I808" s="113" t="str">
        <f>_xlfn.XLOOKUP($C808,'Cost Centers'!$A$2:$A$11,'Cost Centers'!$C$2:$C$11,"")</f>
        <v>Admin</v>
      </c>
      <c r="J808" s="23">
        <f>MROUND(SUMIFS('Allocated Transactions'!$J:$J,'Allocated Transactions'!$D:$D,$E808,'Allocated Transactions'!$C:$C,$C808,'Allocated Transactions'!$A:$A,"&gt;="&amp;$A808,'Allocated Transactions'!$A:$A,"&lt;="&amp;EOMONTH($A808,0))*0.99,100)</f>
        <v>0</v>
      </c>
      <c r="K808" s="113" t="s">
        <v>637</v>
      </c>
    </row>
    <row r="809" spans="1:11" ht="15" customHeight="1">
      <c r="A809" s="112">
        <f t="shared" si="47"/>
        <v>46082</v>
      </c>
      <c r="B809" s="113">
        <v>4</v>
      </c>
      <c r="C809" s="18" t="str">
        <f t="shared" si="48"/>
        <v>1040</v>
      </c>
      <c r="D809" s="113" t="str">
        <f>_xlfn.XLOOKUP($C809,'Cost Centers'!$A$2:$A$11,'Cost Centers'!$B$2:$B$11,"")</f>
        <v>Finance</v>
      </c>
      <c r="E809" s="113" t="s">
        <v>121</v>
      </c>
      <c r="F809" s="113" t="str">
        <f>_xlfn.XLOOKUP(E809,'Allocated Transactions'!D:D,'Allocated Transactions'!E:E,"")</f>
        <v>Bank Fees</v>
      </c>
      <c r="G809" s="113" t="s">
        <v>97</v>
      </c>
      <c r="H809" s="113"/>
      <c r="I809" s="113" t="str">
        <f>_xlfn.XLOOKUP($C809,'Cost Centers'!$A$2:$A$11,'Cost Centers'!$C$2:$C$11,"")</f>
        <v>Admin</v>
      </c>
      <c r="J809" s="23">
        <f>MROUND(SUMIFS('Allocated Transactions'!$J:$J,'Allocated Transactions'!$D:$D,$E809,'Allocated Transactions'!$C:$C,$C809,'Allocated Transactions'!$A:$A,"&gt;="&amp;$A809,'Allocated Transactions'!$A:$A,"&lt;="&amp;EOMONTH($A809,0))*0.99,100)</f>
        <v>0</v>
      </c>
      <c r="K809" s="113" t="s">
        <v>637</v>
      </c>
    </row>
    <row r="810" spans="1:11" ht="15" customHeight="1">
      <c r="A810" s="112">
        <f t="shared" si="47"/>
        <v>46082</v>
      </c>
      <c r="B810" s="113">
        <v>4</v>
      </c>
      <c r="C810" s="18" t="str">
        <f t="shared" si="48"/>
        <v>1040</v>
      </c>
      <c r="D810" s="113" t="str">
        <f>_xlfn.XLOOKUP($C810,'Cost Centers'!$A$2:$A$11,'Cost Centers'!$B$2:$B$11,"")</f>
        <v>Finance</v>
      </c>
      <c r="E810" s="113" t="s">
        <v>123</v>
      </c>
      <c r="F810" s="113" t="str">
        <f>_xlfn.XLOOKUP(E810,'Allocated Transactions'!D:D,'Allocated Transactions'!E:E,"")</f>
        <v>Interest Expense</v>
      </c>
      <c r="G810" s="113" t="s">
        <v>97</v>
      </c>
      <c r="H810" s="113"/>
      <c r="I810" s="113" t="str">
        <f>_xlfn.XLOOKUP($C810,'Cost Centers'!$A$2:$A$11,'Cost Centers'!$C$2:$C$11,"")</f>
        <v>Admin</v>
      </c>
      <c r="J810" s="23">
        <f>MROUND(SUMIFS('Allocated Transactions'!$J:$J,'Allocated Transactions'!$D:$D,$E810,'Allocated Transactions'!$C:$C,$C810,'Allocated Transactions'!$A:$A,"&gt;="&amp;$A810,'Allocated Transactions'!$A:$A,"&lt;="&amp;EOMONTH($A810,0))*0.99,100)</f>
        <v>0</v>
      </c>
      <c r="K810" s="113" t="s">
        <v>637</v>
      </c>
    </row>
    <row r="811" spans="1:11" ht="15" customHeight="1">
      <c r="A811" s="112">
        <f t="shared" si="47"/>
        <v>46082</v>
      </c>
      <c r="B811" s="113">
        <v>4</v>
      </c>
      <c r="C811" s="18" t="str">
        <f t="shared" si="48"/>
        <v>1040</v>
      </c>
      <c r="D811" s="113" t="str">
        <f>_xlfn.XLOOKUP($C811,'Cost Centers'!$A$2:$A$11,'Cost Centers'!$B$2:$B$11,"")</f>
        <v>Finance</v>
      </c>
      <c r="E811" s="113" t="s">
        <v>125</v>
      </c>
      <c r="F811" s="113" t="str">
        <f>_xlfn.XLOOKUP(E811,'Allocated Transactions'!D:D,'Allocated Transactions'!E:E,"")</f>
        <v>Miscellaneous Expense</v>
      </c>
      <c r="G811" s="113" t="s">
        <v>97</v>
      </c>
      <c r="H811" s="113"/>
      <c r="I811" s="113" t="str">
        <f>_xlfn.XLOOKUP($C811,'Cost Centers'!$A$2:$A$11,'Cost Centers'!$C$2:$C$11,"")</f>
        <v>Admin</v>
      </c>
      <c r="J811" s="23">
        <f>MROUND(SUMIFS('Allocated Transactions'!$J:$J,'Allocated Transactions'!$D:$D,$E811,'Allocated Transactions'!$C:$C,$C811,'Allocated Transactions'!$A:$A,"&gt;="&amp;$A811,'Allocated Transactions'!$A:$A,"&lt;="&amp;EOMONTH($A811,0))*0.99,100)</f>
        <v>0</v>
      </c>
      <c r="K811" s="113" t="s">
        <v>637</v>
      </c>
    </row>
    <row r="812" spans="1:11" ht="15" customHeight="1">
      <c r="A812" s="112">
        <f t="shared" si="47"/>
        <v>46113</v>
      </c>
      <c r="B812" s="113">
        <v>4</v>
      </c>
      <c r="C812" s="18" t="s">
        <v>8</v>
      </c>
      <c r="D812" s="113" t="str">
        <f>_xlfn.XLOOKUP($C812,'Cost Centers'!$A$2:$A$11,'Cost Centers'!$B$2:$B$11,"")</f>
        <v>Finance</v>
      </c>
      <c r="E812" s="113" t="s">
        <v>28</v>
      </c>
      <c r="F812" s="113" t="str">
        <f>_xlfn.XLOOKUP(E812,'Allocated Transactions'!D:D,'Allocated Transactions'!E:E,"")</f>
        <v>Salaries and Wages</v>
      </c>
      <c r="G812" s="113" t="s">
        <v>97</v>
      </c>
      <c r="H812" s="113"/>
      <c r="I812" s="113" t="str">
        <f>_xlfn.XLOOKUP($C812,'Cost Centers'!$A$2:$A$11,'Cost Centers'!$C$2:$C$11,"")</f>
        <v>Admin</v>
      </c>
      <c r="J812" s="23">
        <f>MROUND(SUMIFS('Allocated Transactions'!$J:$J,'Allocated Transactions'!$D:$D,$E812,'Allocated Transactions'!$C:$C,$C812,'Allocated Transactions'!$A:$A,"&gt;="&amp;$A812,'Allocated Transactions'!$A:$A,"&lt;="&amp;EOMONTH($A812,0))*0.99,100)</f>
        <v>9700</v>
      </c>
      <c r="K812" s="113" t="s">
        <v>637</v>
      </c>
    </row>
    <row r="813" spans="1:11" ht="15" customHeight="1">
      <c r="A813" s="112">
        <f t="shared" si="47"/>
        <v>46113</v>
      </c>
      <c r="B813" s="113">
        <v>4</v>
      </c>
      <c r="C813" s="18" t="str">
        <f t="shared" ref="C813:C829" si="49">C812</f>
        <v>1040</v>
      </c>
      <c r="D813" s="113" t="str">
        <f>_xlfn.XLOOKUP($C813,'Cost Centers'!$A$2:$A$11,'Cost Centers'!$B$2:$B$11,"")</f>
        <v>Finance</v>
      </c>
      <c r="E813" s="113" t="s">
        <v>29</v>
      </c>
      <c r="F813" s="113" t="str">
        <f>_xlfn.XLOOKUP(E813,'Allocated Transactions'!D:D,'Allocated Transactions'!E:E,"")</f>
        <v>Payroll Taxes</v>
      </c>
      <c r="G813" s="113" t="s">
        <v>97</v>
      </c>
      <c r="H813" s="113"/>
      <c r="I813" s="113" t="str">
        <f>_xlfn.XLOOKUP($C813,'Cost Centers'!$A$2:$A$11,'Cost Centers'!$C$2:$C$11,"")</f>
        <v>Admin</v>
      </c>
      <c r="J813" s="23">
        <f>MROUND(SUMIFS('Allocated Transactions'!$J:$J,'Allocated Transactions'!$D:$D,$E813,'Allocated Transactions'!$C:$C,$C813,'Allocated Transactions'!$A:$A,"&gt;="&amp;$A813,'Allocated Transactions'!$A:$A,"&lt;="&amp;EOMONTH($A813,0))*0.99,100)</f>
        <v>700</v>
      </c>
      <c r="K813" s="113" t="s">
        <v>637</v>
      </c>
    </row>
    <row r="814" spans="1:11" ht="15" customHeight="1">
      <c r="A814" s="112">
        <f t="shared" si="47"/>
        <v>46113</v>
      </c>
      <c r="B814" s="113">
        <v>4</v>
      </c>
      <c r="C814" s="18" t="str">
        <f t="shared" si="49"/>
        <v>1040</v>
      </c>
      <c r="D814" s="113" t="str">
        <f>_xlfn.XLOOKUP($C814,'Cost Centers'!$A$2:$A$11,'Cost Centers'!$B$2:$B$11,"")</f>
        <v>Finance</v>
      </c>
      <c r="E814" s="113" t="s">
        <v>30</v>
      </c>
      <c r="F814" s="113" t="str">
        <f>_xlfn.XLOOKUP(E814,'Allocated Transactions'!D:D,'Allocated Transactions'!E:E,"")</f>
        <v>Employee Benefits</v>
      </c>
      <c r="G814" s="113" t="s">
        <v>97</v>
      </c>
      <c r="H814" s="113"/>
      <c r="I814" s="113" t="str">
        <f>_xlfn.XLOOKUP($C814,'Cost Centers'!$A$2:$A$11,'Cost Centers'!$C$2:$C$11,"")</f>
        <v>Admin</v>
      </c>
      <c r="J814" s="23">
        <f>MROUND(SUMIFS('Allocated Transactions'!$J:$J,'Allocated Transactions'!$D:$D,$E814,'Allocated Transactions'!$C:$C,$C814,'Allocated Transactions'!$A:$A,"&gt;="&amp;$A814,'Allocated Transactions'!$A:$A,"&lt;="&amp;EOMONTH($A814,0))*0.99,100)</f>
        <v>3800</v>
      </c>
      <c r="K814" s="113" t="s">
        <v>637</v>
      </c>
    </row>
    <row r="815" spans="1:11" ht="15" customHeight="1">
      <c r="A815" s="112">
        <f t="shared" si="47"/>
        <v>46113</v>
      </c>
      <c r="B815" s="113">
        <v>4</v>
      </c>
      <c r="C815" s="18" t="str">
        <f t="shared" si="49"/>
        <v>1040</v>
      </c>
      <c r="D815" s="113" t="str">
        <f>_xlfn.XLOOKUP($C815,'Cost Centers'!$A$2:$A$11,'Cost Centers'!$B$2:$B$11,"")</f>
        <v>Finance</v>
      </c>
      <c r="E815" s="113" t="s">
        <v>31</v>
      </c>
      <c r="F815" s="113" t="str">
        <f>_xlfn.XLOOKUP(E815,'Allocated Transactions'!D:D,'Allocated Transactions'!E:E,"")</f>
        <v>Retirement Contributions</v>
      </c>
      <c r="G815" s="113" t="s">
        <v>97</v>
      </c>
      <c r="H815" s="113"/>
      <c r="I815" s="113" t="str">
        <f>_xlfn.XLOOKUP($C815,'Cost Centers'!$A$2:$A$11,'Cost Centers'!$C$2:$C$11,"")</f>
        <v>Admin</v>
      </c>
      <c r="J815" s="23">
        <f>MROUND(SUMIFS('Allocated Transactions'!$J:$J,'Allocated Transactions'!$D:$D,$E815,'Allocated Transactions'!$C:$C,$C815,'Allocated Transactions'!$A:$A,"&gt;="&amp;$A815,'Allocated Transactions'!$A:$A,"&lt;="&amp;EOMONTH($A815,0))*0.99,100)</f>
        <v>300</v>
      </c>
      <c r="K815" s="113" t="s">
        <v>637</v>
      </c>
    </row>
    <row r="816" spans="1:11" ht="15" customHeight="1">
      <c r="A816" s="112">
        <f t="shared" si="47"/>
        <v>46113</v>
      </c>
      <c r="B816" s="113">
        <v>4</v>
      </c>
      <c r="C816" s="18" t="str">
        <f t="shared" si="49"/>
        <v>1040</v>
      </c>
      <c r="D816" s="113" t="str">
        <f>_xlfn.XLOOKUP($C816,'Cost Centers'!$A$2:$A$11,'Cost Centers'!$B$2:$B$11,"")</f>
        <v>Finance</v>
      </c>
      <c r="E816" s="113" t="s">
        <v>101</v>
      </c>
      <c r="F816" s="113" t="str">
        <f>_xlfn.XLOOKUP(E816,'Allocated Transactions'!D:D,'Allocated Transactions'!E:E,"")</f>
        <v>Contract Labor / Consultants</v>
      </c>
      <c r="G816" s="113" t="s">
        <v>97</v>
      </c>
      <c r="H816" s="113"/>
      <c r="I816" s="113" t="str">
        <f>_xlfn.XLOOKUP($C816,'Cost Centers'!$A$2:$A$11,'Cost Centers'!$C$2:$C$11,"")</f>
        <v>Admin</v>
      </c>
      <c r="J816" s="23">
        <f>MROUND(SUMIFS('Allocated Transactions'!$J:$J,'Allocated Transactions'!$D:$D,$E816,'Allocated Transactions'!$C:$C,$C816,'Allocated Transactions'!$A:$A,"&gt;="&amp;$A816,'Allocated Transactions'!$A:$A,"&lt;="&amp;EOMONTH($A816,0))*0.99,100)</f>
        <v>0</v>
      </c>
      <c r="K816" s="113" t="s">
        <v>637</v>
      </c>
    </row>
    <row r="817" spans="1:11" ht="15" customHeight="1">
      <c r="A817" s="112">
        <f t="shared" si="47"/>
        <v>46113</v>
      </c>
      <c r="B817" s="113">
        <v>4</v>
      </c>
      <c r="C817" s="18" t="str">
        <f t="shared" si="49"/>
        <v>1040</v>
      </c>
      <c r="D817" s="113" t="str">
        <f>_xlfn.XLOOKUP($C817,'Cost Centers'!$A$2:$A$11,'Cost Centers'!$B$2:$B$11,"")</f>
        <v>Finance</v>
      </c>
      <c r="E817" s="113" t="s">
        <v>32</v>
      </c>
      <c r="F817" s="113" t="str">
        <f>_xlfn.XLOOKUP(E817,'Allocated Transactions'!D:D,'Allocated Transactions'!E:E,"")</f>
        <v>Rent</v>
      </c>
      <c r="G817" s="113" t="s">
        <v>97</v>
      </c>
      <c r="H817" s="113"/>
      <c r="I817" s="113" t="str">
        <f>_xlfn.XLOOKUP($C817,'Cost Centers'!$A$2:$A$11,'Cost Centers'!$C$2:$C$11,"")</f>
        <v>Admin</v>
      </c>
      <c r="J817" s="23">
        <f>MROUND(SUMIFS('Allocated Transactions'!$J:$J,'Allocated Transactions'!$D:$D,$E817,'Allocated Transactions'!$C:$C,$C817,'Allocated Transactions'!$A:$A,"&gt;="&amp;$A817,'Allocated Transactions'!$A:$A,"&lt;="&amp;EOMONTH($A817,0))*0.99,100)</f>
        <v>700</v>
      </c>
      <c r="K817" s="113" t="s">
        <v>637</v>
      </c>
    </row>
    <row r="818" spans="1:11" ht="15" customHeight="1">
      <c r="A818" s="112">
        <f t="shared" si="47"/>
        <v>46113</v>
      </c>
      <c r="B818" s="113">
        <v>4</v>
      </c>
      <c r="C818" s="18" t="str">
        <f t="shared" si="49"/>
        <v>1040</v>
      </c>
      <c r="D818" s="113" t="str">
        <f>_xlfn.XLOOKUP($C818,'Cost Centers'!$A$2:$A$11,'Cost Centers'!$B$2:$B$11,"")</f>
        <v>Finance</v>
      </c>
      <c r="E818" s="113" t="s">
        <v>33</v>
      </c>
      <c r="F818" s="113" t="str">
        <f>_xlfn.XLOOKUP(E818,'Allocated Transactions'!D:D,'Allocated Transactions'!E:E,"")</f>
        <v>Utilities</v>
      </c>
      <c r="G818" s="113" t="s">
        <v>97</v>
      </c>
      <c r="H818" s="113"/>
      <c r="I818" s="113" t="str">
        <f>_xlfn.XLOOKUP($C818,'Cost Centers'!$A$2:$A$11,'Cost Centers'!$C$2:$C$11,"")</f>
        <v>Admin</v>
      </c>
      <c r="J818" s="23">
        <f>MROUND(SUMIFS('Allocated Transactions'!$J:$J,'Allocated Transactions'!$D:$D,$E818,'Allocated Transactions'!$C:$C,$C818,'Allocated Transactions'!$A:$A,"&gt;="&amp;$A818,'Allocated Transactions'!$A:$A,"&lt;="&amp;EOMONTH($A818,0))*0.99,100)</f>
        <v>100</v>
      </c>
      <c r="K818" s="113" t="s">
        <v>637</v>
      </c>
    </row>
    <row r="819" spans="1:11" ht="15" customHeight="1">
      <c r="A819" s="112">
        <f t="shared" si="47"/>
        <v>46113</v>
      </c>
      <c r="B819" s="113">
        <v>4</v>
      </c>
      <c r="C819" s="18" t="str">
        <f t="shared" si="49"/>
        <v>1040</v>
      </c>
      <c r="D819" s="113" t="str">
        <f>_xlfn.XLOOKUP($C819,'Cost Centers'!$A$2:$A$11,'Cost Centers'!$B$2:$B$11,"")</f>
        <v>Finance</v>
      </c>
      <c r="E819" s="113" t="s">
        <v>105</v>
      </c>
      <c r="F819" s="113" t="str">
        <f>_xlfn.XLOOKUP(E819,'Allocated Transactions'!D:D,'Allocated Transactions'!E:E,"")</f>
        <v>Office Supplies</v>
      </c>
      <c r="G819" s="113" t="s">
        <v>97</v>
      </c>
      <c r="H819" s="113"/>
      <c r="I819" s="113" t="str">
        <f>_xlfn.XLOOKUP($C819,'Cost Centers'!$A$2:$A$11,'Cost Centers'!$C$2:$C$11,"")</f>
        <v>Admin</v>
      </c>
      <c r="J819" s="23">
        <f>MROUND(SUMIFS('Allocated Transactions'!$J:$J,'Allocated Transactions'!$D:$D,$E819,'Allocated Transactions'!$C:$C,$C819,'Allocated Transactions'!$A:$A,"&gt;="&amp;$A819,'Allocated Transactions'!$A:$A,"&lt;="&amp;EOMONTH($A819,0))*0.99,100)</f>
        <v>700</v>
      </c>
      <c r="K819" s="113" t="s">
        <v>637</v>
      </c>
    </row>
    <row r="820" spans="1:11" ht="15" customHeight="1">
      <c r="A820" s="112">
        <f t="shared" si="47"/>
        <v>46113</v>
      </c>
      <c r="B820" s="113">
        <v>4</v>
      </c>
      <c r="C820" s="18" t="str">
        <f t="shared" si="49"/>
        <v>1040</v>
      </c>
      <c r="D820" s="113" t="str">
        <f>_xlfn.XLOOKUP($C820,'Cost Centers'!$A$2:$A$11,'Cost Centers'!$B$2:$B$11,"")</f>
        <v>Finance</v>
      </c>
      <c r="E820" s="113" t="s">
        <v>107</v>
      </c>
      <c r="F820" s="113" t="str">
        <f>_xlfn.XLOOKUP(E820,'Allocated Transactions'!D:D,'Allocated Transactions'!E:E,"")</f>
        <v>Software and Subscriptions</v>
      </c>
      <c r="G820" s="113" t="s">
        <v>97</v>
      </c>
      <c r="H820" s="113"/>
      <c r="I820" s="113" t="str">
        <f>_xlfn.XLOOKUP($C820,'Cost Centers'!$A$2:$A$11,'Cost Centers'!$C$2:$C$11,"")</f>
        <v>Admin</v>
      </c>
      <c r="J820" s="23">
        <f>MROUND(SUMIFS('Allocated Transactions'!$J:$J,'Allocated Transactions'!$D:$D,$E820,'Allocated Transactions'!$C:$C,$C820,'Allocated Transactions'!$A:$A,"&gt;="&amp;$A820,'Allocated Transactions'!$A:$A,"&lt;="&amp;EOMONTH($A820,0))*0.99,100)</f>
        <v>0</v>
      </c>
      <c r="K820" s="113" t="s">
        <v>637</v>
      </c>
    </row>
    <row r="821" spans="1:11" ht="15" customHeight="1">
      <c r="A821" s="112">
        <f t="shared" si="47"/>
        <v>46113</v>
      </c>
      <c r="B821" s="113">
        <v>4</v>
      </c>
      <c r="C821" s="18" t="str">
        <f t="shared" si="49"/>
        <v>1040</v>
      </c>
      <c r="D821" s="113" t="str">
        <f>_xlfn.XLOOKUP($C821,'Cost Centers'!$A$2:$A$11,'Cost Centers'!$B$2:$B$11,"")</f>
        <v>Finance</v>
      </c>
      <c r="E821" s="113" t="s">
        <v>109</v>
      </c>
      <c r="F821" s="113" t="str">
        <f>_xlfn.XLOOKUP(E821,'Allocated Transactions'!D:D,'Allocated Transactions'!E:E,"")</f>
        <v>Travel</v>
      </c>
      <c r="G821" s="113" t="s">
        <v>97</v>
      </c>
      <c r="H821" s="113"/>
      <c r="I821" s="113" t="str">
        <f>_xlfn.XLOOKUP($C821,'Cost Centers'!$A$2:$A$11,'Cost Centers'!$C$2:$C$11,"")</f>
        <v>Admin</v>
      </c>
      <c r="J821" s="23">
        <f>MROUND(SUMIFS('Allocated Transactions'!$J:$J,'Allocated Transactions'!$D:$D,$E821,'Allocated Transactions'!$C:$C,$C821,'Allocated Transactions'!$A:$A,"&gt;="&amp;$A821,'Allocated Transactions'!$A:$A,"&lt;="&amp;EOMONTH($A821,0))*0.99,100)</f>
        <v>0</v>
      </c>
      <c r="K821" s="113" t="s">
        <v>637</v>
      </c>
    </row>
    <row r="822" spans="1:11" ht="15" customHeight="1">
      <c r="A822" s="112">
        <f t="shared" si="47"/>
        <v>46113</v>
      </c>
      <c r="B822" s="113">
        <v>4</v>
      </c>
      <c r="C822" s="18" t="str">
        <f t="shared" si="49"/>
        <v>1040</v>
      </c>
      <c r="D822" s="113" t="str">
        <f>_xlfn.XLOOKUP($C822,'Cost Centers'!$A$2:$A$11,'Cost Centers'!$B$2:$B$11,"")</f>
        <v>Finance</v>
      </c>
      <c r="E822" s="113" t="s">
        <v>111</v>
      </c>
      <c r="F822" s="113" t="str">
        <f>_xlfn.XLOOKUP(E822,'Allocated Transactions'!D:D,'Allocated Transactions'!E:E,"")</f>
        <v>Meals and Entertainment</v>
      </c>
      <c r="G822" s="113" t="s">
        <v>97</v>
      </c>
      <c r="H822" s="113"/>
      <c r="I822" s="113" t="str">
        <f>_xlfn.XLOOKUP($C822,'Cost Centers'!$A$2:$A$11,'Cost Centers'!$C$2:$C$11,"")</f>
        <v>Admin</v>
      </c>
      <c r="J822" s="23">
        <f>MROUND(SUMIFS('Allocated Transactions'!$J:$J,'Allocated Transactions'!$D:$D,$E822,'Allocated Transactions'!$C:$C,$C822,'Allocated Transactions'!$A:$A,"&gt;="&amp;$A822,'Allocated Transactions'!$A:$A,"&lt;="&amp;EOMONTH($A822,0))*0.99,100)</f>
        <v>0</v>
      </c>
      <c r="K822" s="113" t="s">
        <v>637</v>
      </c>
    </row>
    <row r="823" spans="1:11" ht="15" customHeight="1">
      <c r="A823" s="112">
        <f t="shared" si="47"/>
        <v>46113</v>
      </c>
      <c r="B823" s="113">
        <v>4</v>
      </c>
      <c r="C823" s="18" t="str">
        <f t="shared" si="49"/>
        <v>1040</v>
      </c>
      <c r="D823" s="113" t="str">
        <f>_xlfn.XLOOKUP($C823,'Cost Centers'!$A$2:$A$11,'Cost Centers'!$B$2:$B$11,"")</f>
        <v>Finance</v>
      </c>
      <c r="E823" s="113" t="s">
        <v>113</v>
      </c>
      <c r="F823" s="113" t="str">
        <f>_xlfn.XLOOKUP(E823,'Allocated Transactions'!D:D,'Allocated Transactions'!E:E,"")</f>
        <v>Professional Fees - Legal</v>
      </c>
      <c r="G823" s="113" t="s">
        <v>97</v>
      </c>
      <c r="H823" s="113"/>
      <c r="I823" s="113" t="str">
        <f>_xlfn.XLOOKUP($C823,'Cost Centers'!$A$2:$A$11,'Cost Centers'!$C$2:$C$11,"")</f>
        <v>Admin</v>
      </c>
      <c r="J823" s="23">
        <f>MROUND(SUMIFS('Allocated Transactions'!$J:$J,'Allocated Transactions'!$D:$D,$E823,'Allocated Transactions'!$C:$C,$C823,'Allocated Transactions'!$A:$A,"&gt;="&amp;$A823,'Allocated Transactions'!$A:$A,"&lt;="&amp;EOMONTH($A823,0))*0.99,100)</f>
        <v>0</v>
      </c>
      <c r="K823" s="113" t="s">
        <v>637</v>
      </c>
    </row>
    <row r="824" spans="1:11" ht="15" customHeight="1">
      <c r="A824" s="112">
        <f t="shared" si="47"/>
        <v>46113</v>
      </c>
      <c r="B824" s="113">
        <v>4</v>
      </c>
      <c r="C824" s="18" t="str">
        <f t="shared" si="49"/>
        <v>1040</v>
      </c>
      <c r="D824" s="113" t="str">
        <f>_xlfn.XLOOKUP($C824,'Cost Centers'!$A$2:$A$11,'Cost Centers'!$B$2:$B$11,"")</f>
        <v>Finance</v>
      </c>
      <c r="E824" s="113" t="s">
        <v>115</v>
      </c>
      <c r="F824" s="113" t="str">
        <f>_xlfn.XLOOKUP(E824,'Allocated Transactions'!D:D,'Allocated Transactions'!E:E,"")</f>
        <v>Professional Fees - Accounting/Audit</v>
      </c>
      <c r="G824" s="113" t="s">
        <v>97</v>
      </c>
      <c r="H824" s="113"/>
      <c r="I824" s="113" t="str">
        <f>_xlfn.XLOOKUP($C824,'Cost Centers'!$A$2:$A$11,'Cost Centers'!$C$2:$C$11,"")</f>
        <v>Admin</v>
      </c>
      <c r="J824" s="23">
        <f>MROUND(SUMIFS('Allocated Transactions'!$J:$J,'Allocated Transactions'!$D:$D,$E824,'Allocated Transactions'!$C:$C,$C824,'Allocated Transactions'!$A:$A,"&gt;="&amp;$A824,'Allocated Transactions'!$A:$A,"&lt;="&amp;EOMONTH($A824,0))*0.99,100)</f>
        <v>0</v>
      </c>
      <c r="K824" s="113" t="s">
        <v>637</v>
      </c>
    </row>
    <row r="825" spans="1:11" ht="15" customHeight="1">
      <c r="A825" s="112">
        <f t="shared" si="47"/>
        <v>46113</v>
      </c>
      <c r="B825" s="113">
        <v>4</v>
      </c>
      <c r="C825" s="18" t="str">
        <f t="shared" si="49"/>
        <v>1040</v>
      </c>
      <c r="D825" s="113" t="str">
        <f>_xlfn.XLOOKUP($C825,'Cost Centers'!$A$2:$A$11,'Cost Centers'!$B$2:$B$11,"")</f>
        <v>Finance</v>
      </c>
      <c r="E825" s="113" t="s">
        <v>117</v>
      </c>
      <c r="F825" s="113" t="str">
        <f>_xlfn.XLOOKUP(E825,'Allocated Transactions'!D:D,'Allocated Transactions'!E:E,"")</f>
        <v>Insurance</v>
      </c>
      <c r="G825" s="113" t="s">
        <v>97</v>
      </c>
      <c r="H825" s="113"/>
      <c r="I825" s="113" t="str">
        <f>_xlfn.XLOOKUP($C825,'Cost Centers'!$A$2:$A$11,'Cost Centers'!$C$2:$C$11,"")</f>
        <v>Admin</v>
      </c>
      <c r="J825" s="23">
        <f>MROUND(SUMIFS('Allocated Transactions'!$J:$J,'Allocated Transactions'!$D:$D,$E825,'Allocated Transactions'!$C:$C,$C825,'Allocated Transactions'!$A:$A,"&gt;="&amp;$A825,'Allocated Transactions'!$A:$A,"&lt;="&amp;EOMONTH($A825,0))*0.99,100)</f>
        <v>600</v>
      </c>
      <c r="K825" s="113" t="s">
        <v>637</v>
      </c>
    </row>
    <row r="826" spans="1:11" ht="15" customHeight="1">
      <c r="A826" s="112">
        <f t="shared" si="47"/>
        <v>46113</v>
      </c>
      <c r="B826" s="113">
        <v>4</v>
      </c>
      <c r="C826" s="18" t="str">
        <f t="shared" si="49"/>
        <v>1040</v>
      </c>
      <c r="D826" s="113" t="str">
        <f>_xlfn.XLOOKUP($C826,'Cost Centers'!$A$2:$A$11,'Cost Centers'!$B$2:$B$11,"")</f>
        <v>Finance</v>
      </c>
      <c r="E826" s="113" t="s">
        <v>119</v>
      </c>
      <c r="F826" s="113" t="str">
        <f>_xlfn.XLOOKUP(E826,'Allocated Transactions'!D:D,'Allocated Transactions'!E:E,"")</f>
        <v>Depreciation Expense</v>
      </c>
      <c r="G826" s="113" t="s">
        <v>97</v>
      </c>
      <c r="H826" s="113"/>
      <c r="I826" s="113" t="str">
        <f>_xlfn.XLOOKUP($C826,'Cost Centers'!$A$2:$A$11,'Cost Centers'!$C$2:$C$11,"")</f>
        <v>Admin</v>
      </c>
      <c r="J826" s="23">
        <f>MROUND(SUMIFS('Allocated Transactions'!$J:$J,'Allocated Transactions'!$D:$D,$E826,'Allocated Transactions'!$C:$C,$C826,'Allocated Transactions'!$A:$A,"&gt;="&amp;$A826,'Allocated Transactions'!$A:$A,"&lt;="&amp;EOMONTH($A826,0))*0.99,100)</f>
        <v>0</v>
      </c>
      <c r="K826" s="113" t="s">
        <v>637</v>
      </c>
    </row>
    <row r="827" spans="1:11" ht="15" customHeight="1">
      <c r="A827" s="112">
        <f t="shared" si="47"/>
        <v>46113</v>
      </c>
      <c r="B827" s="113">
        <v>4</v>
      </c>
      <c r="C827" s="18" t="str">
        <f t="shared" si="49"/>
        <v>1040</v>
      </c>
      <c r="D827" s="113" t="str">
        <f>_xlfn.XLOOKUP($C827,'Cost Centers'!$A$2:$A$11,'Cost Centers'!$B$2:$B$11,"")</f>
        <v>Finance</v>
      </c>
      <c r="E827" s="113" t="s">
        <v>121</v>
      </c>
      <c r="F827" s="113" t="str">
        <f>_xlfn.XLOOKUP(E827,'Allocated Transactions'!D:D,'Allocated Transactions'!E:E,"")</f>
        <v>Bank Fees</v>
      </c>
      <c r="G827" s="113" t="s">
        <v>97</v>
      </c>
      <c r="H827" s="113"/>
      <c r="I827" s="113" t="str">
        <f>_xlfn.XLOOKUP($C827,'Cost Centers'!$A$2:$A$11,'Cost Centers'!$C$2:$C$11,"")</f>
        <v>Admin</v>
      </c>
      <c r="J827" s="23">
        <f>MROUND(SUMIFS('Allocated Transactions'!$J:$J,'Allocated Transactions'!$D:$D,$E827,'Allocated Transactions'!$C:$C,$C827,'Allocated Transactions'!$A:$A,"&gt;="&amp;$A827,'Allocated Transactions'!$A:$A,"&lt;="&amp;EOMONTH($A827,0))*0.99,100)</f>
        <v>0</v>
      </c>
      <c r="K827" s="113" t="s">
        <v>637</v>
      </c>
    </row>
    <row r="828" spans="1:11" ht="15" customHeight="1">
      <c r="A828" s="112">
        <f t="shared" si="47"/>
        <v>46113</v>
      </c>
      <c r="B828" s="113">
        <v>4</v>
      </c>
      <c r="C828" s="18" t="str">
        <f t="shared" si="49"/>
        <v>1040</v>
      </c>
      <c r="D828" s="113" t="str">
        <f>_xlfn.XLOOKUP($C828,'Cost Centers'!$A$2:$A$11,'Cost Centers'!$B$2:$B$11,"")</f>
        <v>Finance</v>
      </c>
      <c r="E828" s="113" t="s">
        <v>123</v>
      </c>
      <c r="F828" s="113" t="str">
        <f>_xlfn.XLOOKUP(E828,'Allocated Transactions'!D:D,'Allocated Transactions'!E:E,"")</f>
        <v>Interest Expense</v>
      </c>
      <c r="G828" s="113" t="s">
        <v>97</v>
      </c>
      <c r="H828" s="113"/>
      <c r="I828" s="113" t="str">
        <f>_xlfn.XLOOKUP($C828,'Cost Centers'!$A$2:$A$11,'Cost Centers'!$C$2:$C$11,"")</f>
        <v>Admin</v>
      </c>
      <c r="J828" s="23">
        <f>MROUND(SUMIFS('Allocated Transactions'!$J:$J,'Allocated Transactions'!$D:$D,$E828,'Allocated Transactions'!$C:$C,$C828,'Allocated Transactions'!$A:$A,"&gt;="&amp;$A828,'Allocated Transactions'!$A:$A,"&lt;="&amp;EOMONTH($A828,0))*0.99,100)</f>
        <v>0</v>
      </c>
      <c r="K828" s="113" t="s">
        <v>637</v>
      </c>
    </row>
    <row r="829" spans="1:11" ht="15" customHeight="1">
      <c r="A829" s="112">
        <f t="shared" si="47"/>
        <v>46113</v>
      </c>
      <c r="B829" s="113">
        <v>4</v>
      </c>
      <c r="C829" s="18" t="str">
        <f t="shared" si="49"/>
        <v>1040</v>
      </c>
      <c r="D829" s="113" t="str">
        <f>_xlfn.XLOOKUP($C829,'Cost Centers'!$A$2:$A$11,'Cost Centers'!$B$2:$B$11,"")</f>
        <v>Finance</v>
      </c>
      <c r="E829" s="113" t="s">
        <v>125</v>
      </c>
      <c r="F829" s="113" t="str">
        <f>_xlfn.XLOOKUP(E829,'Allocated Transactions'!D:D,'Allocated Transactions'!E:E,"")</f>
        <v>Miscellaneous Expense</v>
      </c>
      <c r="G829" s="113" t="s">
        <v>97</v>
      </c>
      <c r="H829" s="113"/>
      <c r="I829" s="113" t="str">
        <f>_xlfn.XLOOKUP($C829,'Cost Centers'!$A$2:$A$11,'Cost Centers'!$C$2:$C$11,"")</f>
        <v>Admin</v>
      </c>
      <c r="J829" s="23">
        <f>MROUND(SUMIFS('Allocated Transactions'!$J:$J,'Allocated Transactions'!$D:$D,$E829,'Allocated Transactions'!$C:$C,$C829,'Allocated Transactions'!$A:$A,"&gt;="&amp;$A829,'Allocated Transactions'!$A:$A,"&lt;="&amp;EOMONTH($A829,0))*0.99,100)</f>
        <v>0</v>
      </c>
      <c r="K829" s="113" t="s">
        <v>637</v>
      </c>
    </row>
    <row r="830" spans="1:11" ht="15" customHeight="1">
      <c r="A830" s="112">
        <f t="shared" si="47"/>
        <v>46143</v>
      </c>
      <c r="B830" s="113">
        <v>4</v>
      </c>
      <c r="C830" s="18" t="s">
        <v>8</v>
      </c>
      <c r="D830" s="113" t="str">
        <f>_xlfn.XLOOKUP($C830,'Cost Centers'!$A$2:$A$11,'Cost Centers'!$B$2:$B$11,"")</f>
        <v>Finance</v>
      </c>
      <c r="E830" s="113" t="s">
        <v>28</v>
      </c>
      <c r="F830" s="113" t="str">
        <f>_xlfn.XLOOKUP(E830,'Allocated Transactions'!D:D,'Allocated Transactions'!E:E,"")</f>
        <v>Salaries and Wages</v>
      </c>
      <c r="G830" s="113" t="s">
        <v>97</v>
      </c>
      <c r="H830" s="113"/>
      <c r="I830" s="113" t="str">
        <f>_xlfn.XLOOKUP($C830,'Cost Centers'!$A$2:$A$11,'Cost Centers'!$C$2:$C$11,"")</f>
        <v>Admin</v>
      </c>
      <c r="J830" s="23">
        <f>MROUND(SUMIFS('Allocated Transactions'!$J:$J,'Allocated Transactions'!$D:$D,$E830,'Allocated Transactions'!$C:$C,$C830,'Allocated Transactions'!$A:$A,"&gt;="&amp;$A830,'Allocated Transactions'!$A:$A,"&lt;="&amp;EOMONTH($A830,0))*0.99,100)</f>
        <v>13600</v>
      </c>
      <c r="K830" s="113" t="s">
        <v>637</v>
      </c>
    </row>
    <row r="831" spans="1:11" ht="15" customHeight="1">
      <c r="A831" s="112">
        <f t="shared" si="47"/>
        <v>46143</v>
      </c>
      <c r="B831" s="113">
        <v>4</v>
      </c>
      <c r="C831" s="18" t="str">
        <f t="shared" ref="C831:C847" si="50">C830</f>
        <v>1040</v>
      </c>
      <c r="D831" s="113" t="str">
        <f>_xlfn.XLOOKUP($C831,'Cost Centers'!$A$2:$A$11,'Cost Centers'!$B$2:$B$11,"")</f>
        <v>Finance</v>
      </c>
      <c r="E831" s="113" t="s">
        <v>29</v>
      </c>
      <c r="F831" s="113" t="str">
        <f>_xlfn.XLOOKUP(E831,'Allocated Transactions'!D:D,'Allocated Transactions'!E:E,"")</f>
        <v>Payroll Taxes</v>
      </c>
      <c r="G831" s="113" t="s">
        <v>97</v>
      </c>
      <c r="H831" s="113"/>
      <c r="I831" s="113" t="str">
        <f>_xlfn.XLOOKUP($C831,'Cost Centers'!$A$2:$A$11,'Cost Centers'!$C$2:$C$11,"")</f>
        <v>Admin</v>
      </c>
      <c r="J831" s="23">
        <f>MROUND(SUMIFS('Allocated Transactions'!$J:$J,'Allocated Transactions'!$D:$D,$E831,'Allocated Transactions'!$C:$C,$C831,'Allocated Transactions'!$A:$A,"&gt;="&amp;$A831,'Allocated Transactions'!$A:$A,"&lt;="&amp;EOMONTH($A831,0))*0.99,100)</f>
        <v>1000</v>
      </c>
      <c r="K831" s="113" t="s">
        <v>637</v>
      </c>
    </row>
    <row r="832" spans="1:11" ht="15" customHeight="1">
      <c r="A832" s="112">
        <f t="shared" si="47"/>
        <v>46143</v>
      </c>
      <c r="B832" s="113">
        <v>4</v>
      </c>
      <c r="C832" s="18" t="str">
        <f t="shared" si="50"/>
        <v>1040</v>
      </c>
      <c r="D832" s="113" t="str">
        <f>_xlfn.XLOOKUP($C832,'Cost Centers'!$A$2:$A$11,'Cost Centers'!$B$2:$B$11,"")</f>
        <v>Finance</v>
      </c>
      <c r="E832" s="113" t="s">
        <v>30</v>
      </c>
      <c r="F832" s="113" t="str">
        <f>_xlfn.XLOOKUP(E832,'Allocated Transactions'!D:D,'Allocated Transactions'!E:E,"")</f>
        <v>Employee Benefits</v>
      </c>
      <c r="G832" s="113" t="s">
        <v>97</v>
      </c>
      <c r="H832" s="113"/>
      <c r="I832" s="113" t="str">
        <f>_xlfn.XLOOKUP($C832,'Cost Centers'!$A$2:$A$11,'Cost Centers'!$C$2:$C$11,"")</f>
        <v>Admin</v>
      </c>
      <c r="J832" s="23">
        <f>MROUND(SUMIFS('Allocated Transactions'!$J:$J,'Allocated Transactions'!$D:$D,$E832,'Allocated Transactions'!$C:$C,$C832,'Allocated Transactions'!$A:$A,"&gt;="&amp;$A832,'Allocated Transactions'!$A:$A,"&lt;="&amp;EOMONTH($A832,0))*0.99,100)</f>
        <v>4800</v>
      </c>
      <c r="K832" s="113" t="s">
        <v>637</v>
      </c>
    </row>
    <row r="833" spans="1:11" ht="15" customHeight="1">
      <c r="A833" s="112">
        <f t="shared" si="47"/>
        <v>46143</v>
      </c>
      <c r="B833" s="113">
        <v>4</v>
      </c>
      <c r="C833" s="18" t="str">
        <f t="shared" si="50"/>
        <v>1040</v>
      </c>
      <c r="D833" s="113" t="str">
        <f>_xlfn.XLOOKUP($C833,'Cost Centers'!$A$2:$A$11,'Cost Centers'!$B$2:$B$11,"")</f>
        <v>Finance</v>
      </c>
      <c r="E833" s="113" t="s">
        <v>31</v>
      </c>
      <c r="F833" s="113" t="str">
        <f>_xlfn.XLOOKUP(E833,'Allocated Transactions'!D:D,'Allocated Transactions'!E:E,"")</f>
        <v>Retirement Contributions</v>
      </c>
      <c r="G833" s="113" t="s">
        <v>97</v>
      </c>
      <c r="H833" s="113"/>
      <c r="I833" s="113" t="str">
        <f>_xlfn.XLOOKUP($C833,'Cost Centers'!$A$2:$A$11,'Cost Centers'!$C$2:$C$11,"")</f>
        <v>Admin</v>
      </c>
      <c r="J833" s="23">
        <f>MROUND(SUMIFS('Allocated Transactions'!$J:$J,'Allocated Transactions'!$D:$D,$E833,'Allocated Transactions'!$C:$C,$C833,'Allocated Transactions'!$A:$A,"&gt;="&amp;$A833,'Allocated Transactions'!$A:$A,"&lt;="&amp;EOMONTH($A833,0))*0.99,100)</f>
        <v>400</v>
      </c>
      <c r="K833" s="113" t="s">
        <v>637</v>
      </c>
    </row>
    <row r="834" spans="1:11" ht="15" customHeight="1">
      <c r="A834" s="112">
        <f t="shared" si="47"/>
        <v>46143</v>
      </c>
      <c r="B834" s="113">
        <v>4</v>
      </c>
      <c r="C834" s="18" t="str">
        <f t="shared" si="50"/>
        <v>1040</v>
      </c>
      <c r="D834" s="113" t="str">
        <f>_xlfn.XLOOKUP($C834,'Cost Centers'!$A$2:$A$11,'Cost Centers'!$B$2:$B$11,"")</f>
        <v>Finance</v>
      </c>
      <c r="E834" s="113" t="s">
        <v>101</v>
      </c>
      <c r="F834" s="113" t="str">
        <f>_xlfn.XLOOKUP(E834,'Allocated Transactions'!D:D,'Allocated Transactions'!E:E,"")</f>
        <v>Contract Labor / Consultants</v>
      </c>
      <c r="G834" s="113" t="s">
        <v>97</v>
      </c>
      <c r="H834" s="113"/>
      <c r="I834" s="113" t="str">
        <f>_xlfn.XLOOKUP($C834,'Cost Centers'!$A$2:$A$11,'Cost Centers'!$C$2:$C$11,"")</f>
        <v>Admin</v>
      </c>
      <c r="J834" s="23">
        <f>MROUND(SUMIFS('Allocated Transactions'!$J:$J,'Allocated Transactions'!$D:$D,$E834,'Allocated Transactions'!$C:$C,$C834,'Allocated Transactions'!$A:$A,"&gt;="&amp;$A834,'Allocated Transactions'!$A:$A,"&lt;="&amp;EOMONTH($A834,0))*0.99,100)</f>
        <v>0</v>
      </c>
      <c r="K834" s="113" t="s">
        <v>637</v>
      </c>
    </row>
    <row r="835" spans="1:11" ht="15" customHeight="1">
      <c r="A835" s="112">
        <f t="shared" si="47"/>
        <v>46143</v>
      </c>
      <c r="B835" s="113">
        <v>4</v>
      </c>
      <c r="C835" s="18" t="str">
        <f t="shared" si="50"/>
        <v>1040</v>
      </c>
      <c r="D835" s="113" t="str">
        <f>_xlfn.XLOOKUP($C835,'Cost Centers'!$A$2:$A$11,'Cost Centers'!$B$2:$B$11,"")</f>
        <v>Finance</v>
      </c>
      <c r="E835" s="113" t="s">
        <v>32</v>
      </c>
      <c r="F835" s="113" t="str">
        <f>_xlfn.XLOOKUP(E835,'Allocated Transactions'!D:D,'Allocated Transactions'!E:E,"")</f>
        <v>Rent</v>
      </c>
      <c r="G835" s="113" t="s">
        <v>97</v>
      </c>
      <c r="H835" s="113"/>
      <c r="I835" s="113" t="str">
        <f>_xlfn.XLOOKUP($C835,'Cost Centers'!$A$2:$A$11,'Cost Centers'!$C$2:$C$11,"")</f>
        <v>Admin</v>
      </c>
      <c r="J835" s="23">
        <f>MROUND(SUMIFS('Allocated Transactions'!$J:$J,'Allocated Transactions'!$D:$D,$E835,'Allocated Transactions'!$C:$C,$C835,'Allocated Transactions'!$A:$A,"&gt;="&amp;$A835,'Allocated Transactions'!$A:$A,"&lt;="&amp;EOMONTH($A835,0))*0.99,100)</f>
        <v>1100</v>
      </c>
      <c r="K835" s="113" t="s">
        <v>637</v>
      </c>
    </row>
    <row r="836" spans="1:11" ht="15" customHeight="1">
      <c r="A836" s="112">
        <f t="shared" si="47"/>
        <v>46143</v>
      </c>
      <c r="B836" s="113">
        <v>4</v>
      </c>
      <c r="C836" s="18" t="str">
        <f t="shared" si="50"/>
        <v>1040</v>
      </c>
      <c r="D836" s="113" t="str">
        <f>_xlfn.XLOOKUP($C836,'Cost Centers'!$A$2:$A$11,'Cost Centers'!$B$2:$B$11,"")</f>
        <v>Finance</v>
      </c>
      <c r="E836" s="113" t="s">
        <v>33</v>
      </c>
      <c r="F836" s="113" t="str">
        <f>_xlfn.XLOOKUP(E836,'Allocated Transactions'!D:D,'Allocated Transactions'!E:E,"")</f>
        <v>Utilities</v>
      </c>
      <c r="G836" s="113" t="s">
        <v>97</v>
      </c>
      <c r="H836" s="113"/>
      <c r="I836" s="113" t="str">
        <f>_xlfn.XLOOKUP($C836,'Cost Centers'!$A$2:$A$11,'Cost Centers'!$C$2:$C$11,"")</f>
        <v>Admin</v>
      </c>
      <c r="J836" s="23">
        <f>MROUND(SUMIFS('Allocated Transactions'!$J:$J,'Allocated Transactions'!$D:$D,$E836,'Allocated Transactions'!$C:$C,$C836,'Allocated Transactions'!$A:$A,"&gt;="&amp;$A836,'Allocated Transactions'!$A:$A,"&lt;="&amp;EOMONTH($A836,0))*0.99,100)</f>
        <v>100</v>
      </c>
      <c r="K836" s="113" t="s">
        <v>637</v>
      </c>
    </row>
    <row r="837" spans="1:11" ht="15" customHeight="1">
      <c r="A837" s="112">
        <f t="shared" si="47"/>
        <v>46143</v>
      </c>
      <c r="B837" s="113">
        <v>4</v>
      </c>
      <c r="C837" s="18" t="str">
        <f t="shared" si="50"/>
        <v>1040</v>
      </c>
      <c r="D837" s="113" t="str">
        <f>_xlfn.XLOOKUP($C837,'Cost Centers'!$A$2:$A$11,'Cost Centers'!$B$2:$B$11,"")</f>
        <v>Finance</v>
      </c>
      <c r="E837" s="113" t="s">
        <v>105</v>
      </c>
      <c r="F837" s="113" t="str">
        <f>_xlfn.XLOOKUP(E837,'Allocated Transactions'!D:D,'Allocated Transactions'!E:E,"")</f>
        <v>Office Supplies</v>
      </c>
      <c r="G837" s="113" t="s">
        <v>97</v>
      </c>
      <c r="H837" s="113"/>
      <c r="I837" s="113" t="str">
        <f>_xlfn.XLOOKUP($C837,'Cost Centers'!$A$2:$A$11,'Cost Centers'!$C$2:$C$11,"")</f>
        <v>Admin</v>
      </c>
      <c r="J837" s="23">
        <f>MROUND(SUMIFS('Allocated Transactions'!$J:$J,'Allocated Transactions'!$D:$D,$E837,'Allocated Transactions'!$C:$C,$C837,'Allocated Transactions'!$A:$A,"&gt;="&amp;$A837,'Allocated Transactions'!$A:$A,"&lt;="&amp;EOMONTH($A837,0))*0.99,100)</f>
        <v>0</v>
      </c>
      <c r="K837" s="113" t="s">
        <v>637</v>
      </c>
    </row>
    <row r="838" spans="1:11" ht="15" customHeight="1">
      <c r="A838" s="112">
        <f t="shared" si="47"/>
        <v>46143</v>
      </c>
      <c r="B838" s="113">
        <v>4</v>
      </c>
      <c r="C838" s="18" t="str">
        <f t="shared" si="50"/>
        <v>1040</v>
      </c>
      <c r="D838" s="113" t="str">
        <f>_xlfn.XLOOKUP($C838,'Cost Centers'!$A$2:$A$11,'Cost Centers'!$B$2:$B$11,"")</f>
        <v>Finance</v>
      </c>
      <c r="E838" s="113" t="s">
        <v>107</v>
      </c>
      <c r="F838" s="113" t="str">
        <f>_xlfn.XLOOKUP(E838,'Allocated Transactions'!D:D,'Allocated Transactions'!E:E,"")</f>
        <v>Software and Subscriptions</v>
      </c>
      <c r="G838" s="113" t="s">
        <v>97</v>
      </c>
      <c r="H838" s="113"/>
      <c r="I838" s="113" t="str">
        <f>_xlfn.XLOOKUP($C838,'Cost Centers'!$A$2:$A$11,'Cost Centers'!$C$2:$C$11,"")</f>
        <v>Admin</v>
      </c>
      <c r="J838" s="23">
        <f>MROUND(SUMIFS('Allocated Transactions'!$J:$J,'Allocated Transactions'!$D:$D,$E838,'Allocated Transactions'!$C:$C,$C838,'Allocated Transactions'!$A:$A,"&gt;="&amp;$A838,'Allocated Transactions'!$A:$A,"&lt;="&amp;EOMONTH($A838,0))*0.99,100)</f>
        <v>0</v>
      </c>
      <c r="K838" s="113" t="s">
        <v>637</v>
      </c>
    </row>
    <row r="839" spans="1:11" ht="15" customHeight="1">
      <c r="A839" s="112">
        <f t="shared" si="47"/>
        <v>46143</v>
      </c>
      <c r="B839" s="113">
        <v>4</v>
      </c>
      <c r="C839" s="18" t="str">
        <f t="shared" si="50"/>
        <v>1040</v>
      </c>
      <c r="D839" s="113" t="str">
        <f>_xlfn.XLOOKUP($C839,'Cost Centers'!$A$2:$A$11,'Cost Centers'!$B$2:$B$11,"")</f>
        <v>Finance</v>
      </c>
      <c r="E839" s="113" t="s">
        <v>109</v>
      </c>
      <c r="F839" s="113" t="str">
        <f>_xlfn.XLOOKUP(E839,'Allocated Transactions'!D:D,'Allocated Transactions'!E:E,"")</f>
        <v>Travel</v>
      </c>
      <c r="G839" s="113" t="s">
        <v>97</v>
      </c>
      <c r="H839" s="113"/>
      <c r="I839" s="113" t="str">
        <f>_xlfn.XLOOKUP($C839,'Cost Centers'!$A$2:$A$11,'Cost Centers'!$C$2:$C$11,"")</f>
        <v>Admin</v>
      </c>
      <c r="J839" s="23">
        <f>MROUND(SUMIFS('Allocated Transactions'!$J:$J,'Allocated Transactions'!$D:$D,$E839,'Allocated Transactions'!$C:$C,$C839,'Allocated Transactions'!$A:$A,"&gt;="&amp;$A839,'Allocated Transactions'!$A:$A,"&lt;="&amp;EOMONTH($A839,0))*0.99,100)</f>
        <v>0</v>
      </c>
      <c r="K839" s="113" t="s">
        <v>637</v>
      </c>
    </row>
    <row r="840" spans="1:11" ht="15" customHeight="1">
      <c r="A840" s="112">
        <f t="shared" si="47"/>
        <v>46143</v>
      </c>
      <c r="B840" s="113">
        <v>4</v>
      </c>
      <c r="C840" s="18" t="str">
        <f t="shared" si="50"/>
        <v>1040</v>
      </c>
      <c r="D840" s="113" t="str">
        <f>_xlfn.XLOOKUP($C840,'Cost Centers'!$A$2:$A$11,'Cost Centers'!$B$2:$B$11,"")</f>
        <v>Finance</v>
      </c>
      <c r="E840" s="113" t="s">
        <v>111</v>
      </c>
      <c r="F840" s="113" t="str">
        <f>_xlfn.XLOOKUP(E840,'Allocated Transactions'!D:D,'Allocated Transactions'!E:E,"")</f>
        <v>Meals and Entertainment</v>
      </c>
      <c r="G840" s="113" t="s">
        <v>97</v>
      </c>
      <c r="H840" s="113"/>
      <c r="I840" s="113" t="str">
        <f>_xlfn.XLOOKUP($C840,'Cost Centers'!$A$2:$A$11,'Cost Centers'!$C$2:$C$11,"")</f>
        <v>Admin</v>
      </c>
      <c r="J840" s="23">
        <f>MROUND(SUMIFS('Allocated Transactions'!$J:$J,'Allocated Transactions'!$D:$D,$E840,'Allocated Transactions'!$C:$C,$C840,'Allocated Transactions'!$A:$A,"&gt;="&amp;$A840,'Allocated Transactions'!$A:$A,"&lt;="&amp;EOMONTH($A840,0))*0.99,100)</f>
        <v>0</v>
      </c>
      <c r="K840" s="113" t="s">
        <v>637</v>
      </c>
    </row>
    <row r="841" spans="1:11" ht="15" customHeight="1">
      <c r="A841" s="112">
        <f t="shared" si="47"/>
        <v>46143</v>
      </c>
      <c r="B841" s="113">
        <v>4</v>
      </c>
      <c r="C841" s="18" t="str">
        <f t="shared" si="50"/>
        <v>1040</v>
      </c>
      <c r="D841" s="113" t="str">
        <f>_xlfn.XLOOKUP($C841,'Cost Centers'!$A$2:$A$11,'Cost Centers'!$B$2:$B$11,"")</f>
        <v>Finance</v>
      </c>
      <c r="E841" s="113" t="s">
        <v>113</v>
      </c>
      <c r="F841" s="113" t="str">
        <f>_xlfn.XLOOKUP(E841,'Allocated Transactions'!D:D,'Allocated Transactions'!E:E,"")</f>
        <v>Professional Fees - Legal</v>
      </c>
      <c r="G841" s="113" t="s">
        <v>97</v>
      </c>
      <c r="H841" s="113"/>
      <c r="I841" s="113" t="str">
        <f>_xlfn.XLOOKUP($C841,'Cost Centers'!$A$2:$A$11,'Cost Centers'!$C$2:$C$11,"")</f>
        <v>Admin</v>
      </c>
      <c r="J841" s="23">
        <f>MROUND(SUMIFS('Allocated Transactions'!$J:$J,'Allocated Transactions'!$D:$D,$E841,'Allocated Transactions'!$C:$C,$C841,'Allocated Transactions'!$A:$A,"&gt;="&amp;$A841,'Allocated Transactions'!$A:$A,"&lt;="&amp;EOMONTH($A841,0))*0.99,100)</f>
        <v>0</v>
      </c>
      <c r="K841" s="113" t="s">
        <v>637</v>
      </c>
    </row>
    <row r="842" spans="1:11" ht="15" customHeight="1">
      <c r="A842" s="112">
        <f t="shared" si="47"/>
        <v>46143</v>
      </c>
      <c r="B842" s="113">
        <v>4</v>
      </c>
      <c r="C842" s="18" t="str">
        <f t="shared" si="50"/>
        <v>1040</v>
      </c>
      <c r="D842" s="113" t="str">
        <f>_xlfn.XLOOKUP($C842,'Cost Centers'!$A$2:$A$11,'Cost Centers'!$B$2:$B$11,"")</f>
        <v>Finance</v>
      </c>
      <c r="E842" s="113" t="s">
        <v>115</v>
      </c>
      <c r="F842" s="113" t="str">
        <f>_xlfn.XLOOKUP(E842,'Allocated Transactions'!D:D,'Allocated Transactions'!E:E,"")</f>
        <v>Professional Fees - Accounting/Audit</v>
      </c>
      <c r="G842" s="113" t="s">
        <v>97</v>
      </c>
      <c r="H842" s="113"/>
      <c r="I842" s="113" t="str">
        <f>_xlfn.XLOOKUP($C842,'Cost Centers'!$A$2:$A$11,'Cost Centers'!$C$2:$C$11,"")</f>
        <v>Admin</v>
      </c>
      <c r="J842" s="23">
        <f>MROUND(SUMIFS('Allocated Transactions'!$J:$J,'Allocated Transactions'!$D:$D,$E842,'Allocated Transactions'!$C:$C,$C842,'Allocated Transactions'!$A:$A,"&gt;="&amp;$A842,'Allocated Transactions'!$A:$A,"&lt;="&amp;EOMONTH($A842,0))*0.99,100)</f>
        <v>0</v>
      </c>
      <c r="K842" s="113" t="s">
        <v>637</v>
      </c>
    </row>
    <row r="843" spans="1:11" ht="15" customHeight="1">
      <c r="A843" s="112">
        <f t="shared" si="47"/>
        <v>46143</v>
      </c>
      <c r="B843" s="113">
        <v>4</v>
      </c>
      <c r="C843" s="18" t="str">
        <f t="shared" si="50"/>
        <v>1040</v>
      </c>
      <c r="D843" s="113" t="str">
        <f>_xlfn.XLOOKUP($C843,'Cost Centers'!$A$2:$A$11,'Cost Centers'!$B$2:$B$11,"")</f>
        <v>Finance</v>
      </c>
      <c r="E843" s="113" t="s">
        <v>117</v>
      </c>
      <c r="F843" s="113" t="str">
        <f>_xlfn.XLOOKUP(E843,'Allocated Transactions'!D:D,'Allocated Transactions'!E:E,"")</f>
        <v>Insurance</v>
      </c>
      <c r="G843" s="113" t="s">
        <v>97</v>
      </c>
      <c r="H843" s="113"/>
      <c r="I843" s="113" t="str">
        <f>_xlfn.XLOOKUP($C843,'Cost Centers'!$A$2:$A$11,'Cost Centers'!$C$2:$C$11,"")</f>
        <v>Admin</v>
      </c>
      <c r="J843" s="23">
        <f>MROUND(SUMIFS('Allocated Transactions'!$J:$J,'Allocated Transactions'!$D:$D,$E843,'Allocated Transactions'!$C:$C,$C843,'Allocated Transactions'!$A:$A,"&gt;="&amp;$A843,'Allocated Transactions'!$A:$A,"&lt;="&amp;EOMONTH($A843,0))*0.99,100)</f>
        <v>800</v>
      </c>
      <c r="K843" s="113" t="s">
        <v>637</v>
      </c>
    </row>
    <row r="844" spans="1:11" ht="15" customHeight="1">
      <c r="A844" s="112">
        <f t="shared" si="47"/>
        <v>46143</v>
      </c>
      <c r="B844" s="113">
        <v>4</v>
      </c>
      <c r="C844" s="18" t="str">
        <f t="shared" si="50"/>
        <v>1040</v>
      </c>
      <c r="D844" s="113" t="str">
        <f>_xlfn.XLOOKUP($C844,'Cost Centers'!$A$2:$A$11,'Cost Centers'!$B$2:$B$11,"")</f>
        <v>Finance</v>
      </c>
      <c r="E844" s="113" t="s">
        <v>119</v>
      </c>
      <c r="F844" s="113" t="str">
        <f>_xlfn.XLOOKUP(E844,'Allocated Transactions'!D:D,'Allocated Transactions'!E:E,"")</f>
        <v>Depreciation Expense</v>
      </c>
      <c r="G844" s="113" t="s">
        <v>97</v>
      </c>
      <c r="H844" s="113"/>
      <c r="I844" s="113" t="str">
        <f>_xlfn.XLOOKUP($C844,'Cost Centers'!$A$2:$A$11,'Cost Centers'!$C$2:$C$11,"")</f>
        <v>Admin</v>
      </c>
      <c r="J844" s="23">
        <f>MROUND(SUMIFS('Allocated Transactions'!$J:$J,'Allocated Transactions'!$D:$D,$E844,'Allocated Transactions'!$C:$C,$C844,'Allocated Transactions'!$A:$A,"&gt;="&amp;$A844,'Allocated Transactions'!$A:$A,"&lt;="&amp;EOMONTH($A844,0))*0.99,100)</f>
        <v>0</v>
      </c>
      <c r="K844" s="113" t="s">
        <v>637</v>
      </c>
    </row>
    <row r="845" spans="1:11" ht="15" customHeight="1">
      <c r="A845" s="112">
        <f t="shared" si="47"/>
        <v>46143</v>
      </c>
      <c r="B845" s="113">
        <v>4</v>
      </c>
      <c r="C845" s="18" t="str">
        <f t="shared" si="50"/>
        <v>1040</v>
      </c>
      <c r="D845" s="113" t="str">
        <f>_xlfn.XLOOKUP($C845,'Cost Centers'!$A$2:$A$11,'Cost Centers'!$B$2:$B$11,"")</f>
        <v>Finance</v>
      </c>
      <c r="E845" s="113" t="s">
        <v>121</v>
      </c>
      <c r="F845" s="113" t="str">
        <f>_xlfn.XLOOKUP(E845,'Allocated Transactions'!D:D,'Allocated Transactions'!E:E,"")</f>
        <v>Bank Fees</v>
      </c>
      <c r="G845" s="113" t="s">
        <v>97</v>
      </c>
      <c r="H845" s="113"/>
      <c r="I845" s="113" t="str">
        <f>_xlfn.XLOOKUP($C845,'Cost Centers'!$A$2:$A$11,'Cost Centers'!$C$2:$C$11,"")</f>
        <v>Admin</v>
      </c>
      <c r="J845" s="23">
        <f>MROUND(SUMIFS('Allocated Transactions'!$J:$J,'Allocated Transactions'!$D:$D,$E845,'Allocated Transactions'!$C:$C,$C845,'Allocated Transactions'!$A:$A,"&gt;="&amp;$A845,'Allocated Transactions'!$A:$A,"&lt;="&amp;EOMONTH($A845,0))*0.99,100)</f>
        <v>0</v>
      </c>
      <c r="K845" s="113" t="s">
        <v>637</v>
      </c>
    </row>
    <row r="846" spans="1:11" ht="15" customHeight="1">
      <c r="A846" s="112">
        <f t="shared" si="47"/>
        <v>46143</v>
      </c>
      <c r="B846" s="113">
        <v>4</v>
      </c>
      <c r="C846" s="18" t="str">
        <f t="shared" si="50"/>
        <v>1040</v>
      </c>
      <c r="D846" s="113" t="str">
        <f>_xlfn.XLOOKUP($C846,'Cost Centers'!$A$2:$A$11,'Cost Centers'!$B$2:$B$11,"")</f>
        <v>Finance</v>
      </c>
      <c r="E846" s="113" t="s">
        <v>123</v>
      </c>
      <c r="F846" s="113" t="str">
        <f>_xlfn.XLOOKUP(E846,'Allocated Transactions'!D:D,'Allocated Transactions'!E:E,"")</f>
        <v>Interest Expense</v>
      </c>
      <c r="G846" s="113" t="s">
        <v>97</v>
      </c>
      <c r="H846" s="113"/>
      <c r="I846" s="113" t="str">
        <f>_xlfn.XLOOKUP($C846,'Cost Centers'!$A$2:$A$11,'Cost Centers'!$C$2:$C$11,"")</f>
        <v>Admin</v>
      </c>
      <c r="J846" s="23">
        <f>MROUND(SUMIFS('Allocated Transactions'!$J:$J,'Allocated Transactions'!$D:$D,$E846,'Allocated Transactions'!$C:$C,$C846,'Allocated Transactions'!$A:$A,"&gt;="&amp;$A846,'Allocated Transactions'!$A:$A,"&lt;="&amp;EOMONTH($A846,0))*0.99,100)</f>
        <v>0</v>
      </c>
      <c r="K846" s="113" t="s">
        <v>637</v>
      </c>
    </row>
    <row r="847" spans="1:11" ht="15" customHeight="1">
      <c r="A847" s="112">
        <f t="shared" si="47"/>
        <v>46143</v>
      </c>
      <c r="B847" s="113">
        <v>4</v>
      </c>
      <c r="C847" s="18" t="str">
        <f t="shared" si="50"/>
        <v>1040</v>
      </c>
      <c r="D847" s="113" t="str">
        <f>_xlfn.XLOOKUP($C847,'Cost Centers'!$A$2:$A$11,'Cost Centers'!$B$2:$B$11,"")</f>
        <v>Finance</v>
      </c>
      <c r="E847" s="113" t="s">
        <v>125</v>
      </c>
      <c r="F847" s="113" t="str">
        <f>_xlfn.XLOOKUP(E847,'Allocated Transactions'!D:D,'Allocated Transactions'!E:E,"")</f>
        <v>Miscellaneous Expense</v>
      </c>
      <c r="G847" s="113" t="s">
        <v>97</v>
      </c>
      <c r="H847" s="113"/>
      <c r="I847" s="113" t="str">
        <f>_xlfn.XLOOKUP($C847,'Cost Centers'!$A$2:$A$11,'Cost Centers'!$C$2:$C$11,"")</f>
        <v>Admin</v>
      </c>
      <c r="J847" s="23">
        <f>MROUND(SUMIFS('Allocated Transactions'!$J:$J,'Allocated Transactions'!$D:$D,$E847,'Allocated Transactions'!$C:$C,$C847,'Allocated Transactions'!$A:$A,"&gt;="&amp;$A847,'Allocated Transactions'!$A:$A,"&lt;="&amp;EOMONTH($A847,0))*0.99,100)</f>
        <v>0</v>
      </c>
      <c r="K847" s="113" t="s">
        <v>637</v>
      </c>
    </row>
    <row r="848" spans="1:11" ht="15" customHeight="1">
      <c r="A848" s="112">
        <f t="shared" si="47"/>
        <v>46174</v>
      </c>
      <c r="B848" s="113">
        <v>4</v>
      </c>
      <c r="C848" s="18" t="s">
        <v>8</v>
      </c>
      <c r="D848" s="113" t="str">
        <f>_xlfn.XLOOKUP($C848,'Cost Centers'!$A$2:$A$11,'Cost Centers'!$B$2:$B$11,"")</f>
        <v>Finance</v>
      </c>
      <c r="E848" s="113" t="s">
        <v>28</v>
      </c>
      <c r="F848" s="113" t="str">
        <f>_xlfn.XLOOKUP(E848,'Allocated Transactions'!D:D,'Allocated Transactions'!E:E,"")</f>
        <v>Salaries and Wages</v>
      </c>
      <c r="G848" s="113" t="s">
        <v>97</v>
      </c>
      <c r="H848" s="113"/>
      <c r="I848" s="113" t="str">
        <f>_xlfn.XLOOKUP($C848,'Cost Centers'!$A$2:$A$11,'Cost Centers'!$C$2:$C$11,"")</f>
        <v>Admin</v>
      </c>
      <c r="J848" s="23">
        <f>MROUND(SUMIFS('Allocated Transactions'!$J:$J,'Allocated Transactions'!$D:$D,$E848,'Allocated Transactions'!$C:$C,$C848,'Allocated Transactions'!$A:$A,"&gt;="&amp;$A848,'Allocated Transactions'!$A:$A,"&lt;="&amp;EOMONTH($A848,0))*0.99,100)</f>
        <v>14200</v>
      </c>
      <c r="K848" s="113" t="s">
        <v>637</v>
      </c>
    </row>
    <row r="849" spans="1:11" ht="15" customHeight="1">
      <c r="A849" s="112">
        <f t="shared" si="47"/>
        <v>46174</v>
      </c>
      <c r="B849" s="113">
        <v>4</v>
      </c>
      <c r="C849" s="18" t="str">
        <f t="shared" ref="C849:C865" si="51">C848</f>
        <v>1040</v>
      </c>
      <c r="D849" s="113" t="str">
        <f>_xlfn.XLOOKUP($C849,'Cost Centers'!$A$2:$A$11,'Cost Centers'!$B$2:$B$11,"")</f>
        <v>Finance</v>
      </c>
      <c r="E849" s="113" t="s">
        <v>29</v>
      </c>
      <c r="F849" s="113" t="str">
        <f>_xlfn.XLOOKUP(E849,'Allocated Transactions'!D:D,'Allocated Transactions'!E:E,"")</f>
        <v>Payroll Taxes</v>
      </c>
      <c r="G849" s="113" t="s">
        <v>97</v>
      </c>
      <c r="H849" s="113"/>
      <c r="I849" s="113" t="str">
        <f>_xlfn.XLOOKUP($C849,'Cost Centers'!$A$2:$A$11,'Cost Centers'!$C$2:$C$11,"")</f>
        <v>Admin</v>
      </c>
      <c r="J849" s="23">
        <f>MROUND(SUMIFS('Allocated Transactions'!$J:$J,'Allocated Transactions'!$D:$D,$E849,'Allocated Transactions'!$C:$C,$C849,'Allocated Transactions'!$A:$A,"&gt;="&amp;$A849,'Allocated Transactions'!$A:$A,"&lt;="&amp;EOMONTH($A849,0))*0.99,100)</f>
        <v>1100</v>
      </c>
      <c r="K849" s="113" t="s">
        <v>637</v>
      </c>
    </row>
    <row r="850" spans="1:11" ht="15" customHeight="1">
      <c r="A850" s="112">
        <f t="shared" si="47"/>
        <v>46174</v>
      </c>
      <c r="B850" s="113">
        <v>4</v>
      </c>
      <c r="C850" s="18" t="str">
        <f t="shared" si="51"/>
        <v>1040</v>
      </c>
      <c r="D850" s="113" t="str">
        <f>_xlfn.XLOOKUP($C850,'Cost Centers'!$A$2:$A$11,'Cost Centers'!$B$2:$B$11,"")</f>
        <v>Finance</v>
      </c>
      <c r="E850" s="113" t="s">
        <v>30</v>
      </c>
      <c r="F850" s="113" t="str">
        <f>_xlfn.XLOOKUP(E850,'Allocated Transactions'!D:D,'Allocated Transactions'!E:E,"")</f>
        <v>Employee Benefits</v>
      </c>
      <c r="G850" s="113" t="s">
        <v>97</v>
      </c>
      <c r="H850" s="113"/>
      <c r="I850" s="113" t="str">
        <f>_xlfn.XLOOKUP($C850,'Cost Centers'!$A$2:$A$11,'Cost Centers'!$C$2:$C$11,"")</f>
        <v>Admin</v>
      </c>
      <c r="J850" s="23">
        <f>MROUND(SUMIFS('Allocated Transactions'!$J:$J,'Allocated Transactions'!$D:$D,$E850,'Allocated Transactions'!$C:$C,$C850,'Allocated Transactions'!$A:$A,"&gt;="&amp;$A850,'Allocated Transactions'!$A:$A,"&lt;="&amp;EOMONTH($A850,0))*0.99,100)</f>
        <v>4300</v>
      </c>
      <c r="K850" s="113" t="s">
        <v>637</v>
      </c>
    </row>
    <row r="851" spans="1:11" ht="15" customHeight="1">
      <c r="A851" s="112">
        <f t="shared" si="47"/>
        <v>46174</v>
      </c>
      <c r="B851" s="113">
        <v>4</v>
      </c>
      <c r="C851" s="18" t="str">
        <f t="shared" si="51"/>
        <v>1040</v>
      </c>
      <c r="D851" s="113" t="str">
        <f>_xlfn.XLOOKUP($C851,'Cost Centers'!$A$2:$A$11,'Cost Centers'!$B$2:$B$11,"")</f>
        <v>Finance</v>
      </c>
      <c r="E851" s="113" t="s">
        <v>31</v>
      </c>
      <c r="F851" s="113" t="str">
        <f>_xlfn.XLOOKUP(E851,'Allocated Transactions'!D:D,'Allocated Transactions'!E:E,"")</f>
        <v>Retirement Contributions</v>
      </c>
      <c r="G851" s="113" t="s">
        <v>97</v>
      </c>
      <c r="H851" s="113"/>
      <c r="I851" s="113" t="str">
        <f>_xlfn.XLOOKUP($C851,'Cost Centers'!$A$2:$A$11,'Cost Centers'!$C$2:$C$11,"")</f>
        <v>Admin</v>
      </c>
      <c r="J851" s="23">
        <f>MROUND(SUMIFS('Allocated Transactions'!$J:$J,'Allocated Transactions'!$D:$D,$E851,'Allocated Transactions'!$C:$C,$C851,'Allocated Transactions'!$A:$A,"&gt;="&amp;$A851,'Allocated Transactions'!$A:$A,"&lt;="&amp;EOMONTH($A851,0))*0.99,100)</f>
        <v>400</v>
      </c>
      <c r="K851" s="113" t="s">
        <v>637</v>
      </c>
    </row>
    <row r="852" spans="1:11" ht="15" customHeight="1">
      <c r="A852" s="112">
        <f t="shared" si="47"/>
        <v>46174</v>
      </c>
      <c r="B852" s="113">
        <v>4</v>
      </c>
      <c r="C852" s="18" t="str">
        <f t="shared" si="51"/>
        <v>1040</v>
      </c>
      <c r="D852" s="113" t="str">
        <f>_xlfn.XLOOKUP($C852,'Cost Centers'!$A$2:$A$11,'Cost Centers'!$B$2:$B$11,"")</f>
        <v>Finance</v>
      </c>
      <c r="E852" s="113" t="s">
        <v>101</v>
      </c>
      <c r="F852" s="113" t="str">
        <f>_xlfn.XLOOKUP(E852,'Allocated Transactions'!D:D,'Allocated Transactions'!E:E,"")</f>
        <v>Contract Labor / Consultants</v>
      </c>
      <c r="G852" s="113" t="s">
        <v>97</v>
      </c>
      <c r="H852" s="113"/>
      <c r="I852" s="113" t="str">
        <f>_xlfn.XLOOKUP($C852,'Cost Centers'!$A$2:$A$11,'Cost Centers'!$C$2:$C$11,"")</f>
        <v>Admin</v>
      </c>
      <c r="J852" s="23">
        <f>MROUND(SUMIFS('Allocated Transactions'!$J:$J,'Allocated Transactions'!$D:$D,$E852,'Allocated Transactions'!$C:$C,$C852,'Allocated Transactions'!$A:$A,"&gt;="&amp;$A852,'Allocated Transactions'!$A:$A,"&lt;="&amp;EOMONTH($A852,0))*0.99,100)</f>
        <v>0</v>
      </c>
      <c r="K852" s="113" t="s">
        <v>637</v>
      </c>
    </row>
    <row r="853" spans="1:11" ht="15" customHeight="1">
      <c r="A853" s="112">
        <f t="shared" si="47"/>
        <v>46174</v>
      </c>
      <c r="B853" s="113">
        <v>4</v>
      </c>
      <c r="C853" s="18" t="str">
        <f t="shared" si="51"/>
        <v>1040</v>
      </c>
      <c r="D853" s="113" t="str">
        <f>_xlfn.XLOOKUP($C853,'Cost Centers'!$A$2:$A$11,'Cost Centers'!$B$2:$B$11,"")</f>
        <v>Finance</v>
      </c>
      <c r="E853" s="113" t="s">
        <v>32</v>
      </c>
      <c r="F853" s="113" t="str">
        <f>_xlfn.XLOOKUP(E853,'Allocated Transactions'!D:D,'Allocated Transactions'!E:E,"")</f>
        <v>Rent</v>
      </c>
      <c r="G853" s="113" t="s">
        <v>97</v>
      </c>
      <c r="H853" s="113"/>
      <c r="I853" s="113" t="str">
        <f>_xlfn.XLOOKUP($C853,'Cost Centers'!$A$2:$A$11,'Cost Centers'!$C$2:$C$11,"")</f>
        <v>Admin</v>
      </c>
      <c r="J853" s="23">
        <f>MROUND(SUMIFS('Allocated Transactions'!$J:$J,'Allocated Transactions'!$D:$D,$E853,'Allocated Transactions'!$C:$C,$C853,'Allocated Transactions'!$A:$A,"&gt;="&amp;$A853,'Allocated Transactions'!$A:$A,"&lt;="&amp;EOMONTH($A853,0))*0.99,100)</f>
        <v>1100</v>
      </c>
      <c r="K853" s="113" t="s">
        <v>637</v>
      </c>
    </row>
    <row r="854" spans="1:11" ht="15" customHeight="1">
      <c r="A854" s="112">
        <f t="shared" si="47"/>
        <v>46174</v>
      </c>
      <c r="B854" s="113">
        <v>4</v>
      </c>
      <c r="C854" s="18" t="str">
        <f t="shared" si="51"/>
        <v>1040</v>
      </c>
      <c r="D854" s="113" t="str">
        <f>_xlfn.XLOOKUP($C854,'Cost Centers'!$A$2:$A$11,'Cost Centers'!$B$2:$B$11,"")</f>
        <v>Finance</v>
      </c>
      <c r="E854" s="113" t="s">
        <v>33</v>
      </c>
      <c r="F854" s="113" t="str">
        <f>_xlfn.XLOOKUP(E854,'Allocated Transactions'!D:D,'Allocated Transactions'!E:E,"")</f>
        <v>Utilities</v>
      </c>
      <c r="G854" s="113" t="s">
        <v>97</v>
      </c>
      <c r="H854" s="113"/>
      <c r="I854" s="113" t="str">
        <f>_xlfn.XLOOKUP($C854,'Cost Centers'!$A$2:$A$11,'Cost Centers'!$C$2:$C$11,"")</f>
        <v>Admin</v>
      </c>
      <c r="J854" s="23">
        <f>MROUND(SUMIFS('Allocated Transactions'!$J:$J,'Allocated Transactions'!$D:$D,$E854,'Allocated Transactions'!$C:$C,$C854,'Allocated Transactions'!$A:$A,"&gt;="&amp;$A854,'Allocated Transactions'!$A:$A,"&lt;="&amp;EOMONTH($A854,0))*0.99,100)</f>
        <v>100</v>
      </c>
      <c r="K854" s="113" t="s">
        <v>637</v>
      </c>
    </row>
    <row r="855" spans="1:11" ht="15" customHeight="1">
      <c r="A855" s="112">
        <f t="shared" si="47"/>
        <v>46174</v>
      </c>
      <c r="B855" s="113">
        <v>4</v>
      </c>
      <c r="C855" s="18" t="str">
        <f t="shared" si="51"/>
        <v>1040</v>
      </c>
      <c r="D855" s="113" t="str">
        <f>_xlfn.XLOOKUP($C855,'Cost Centers'!$A$2:$A$11,'Cost Centers'!$B$2:$B$11,"")</f>
        <v>Finance</v>
      </c>
      <c r="E855" s="113" t="s">
        <v>105</v>
      </c>
      <c r="F855" s="113" t="str">
        <f>_xlfn.XLOOKUP(E855,'Allocated Transactions'!D:D,'Allocated Transactions'!E:E,"")</f>
        <v>Office Supplies</v>
      </c>
      <c r="G855" s="113" t="s">
        <v>97</v>
      </c>
      <c r="H855" s="113"/>
      <c r="I855" s="113" t="str">
        <f>_xlfn.XLOOKUP($C855,'Cost Centers'!$A$2:$A$11,'Cost Centers'!$C$2:$C$11,"")</f>
        <v>Admin</v>
      </c>
      <c r="J855" s="23">
        <f>MROUND(SUMIFS('Allocated Transactions'!$J:$J,'Allocated Transactions'!$D:$D,$E855,'Allocated Transactions'!$C:$C,$C855,'Allocated Transactions'!$A:$A,"&gt;="&amp;$A855,'Allocated Transactions'!$A:$A,"&lt;="&amp;EOMONTH($A855,0))*0.99,100)</f>
        <v>0</v>
      </c>
      <c r="K855" s="113" t="s">
        <v>637</v>
      </c>
    </row>
    <row r="856" spans="1:11" ht="15" customHeight="1">
      <c r="A856" s="112">
        <f t="shared" si="47"/>
        <v>46174</v>
      </c>
      <c r="B856" s="113">
        <v>4</v>
      </c>
      <c r="C856" s="18" t="str">
        <f t="shared" si="51"/>
        <v>1040</v>
      </c>
      <c r="D856" s="113" t="str">
        <f>_xlfn.XLOOKUP($C856,'Cost Centers'!$A$2:$A$11,'Cost Centers'!$B$2:$B$11,"")</f>
        <v>Finance</v>
      </c>
      <c r="E856" s="113" t="s">
        <v>107</v>
      </c>
      <c r="F856" s="113" t="str">
        <f>_xlfn.XLOOKUP(E856,'Allocated Transactions'!D:D,'Allocated Transactions'!E:E,"")</f>
        <v>Software and Subscriptions</v>
      </c>
      <c r="G856" s="113" t="s">
        <v>97</v>
      </c>
      <c r="H856" s="113"/>
      <c r="I856" s="113" t="str">
        <f>_xlfn.XLOOKUP($C856,'Cost Centers'!$A$2:$A$11,'Cost Centers'!$C$2:$C$11,"")</f>
        <v>Admin</v>
      </c>
      <c r="J856" s="23">
        <f>MROUND(SUMIFS('Allocated Transactions'!$J:$J,'Allocated Transactions'!$D:$D,$E856,'Allocated Transactions'!$C:$C,$C856,'Allocated Transactions'!$A:$A,"&gt;="&amp;$A856,'Allocated Transactions'!$A:$A,"&lt;="&amp;EOMONTH($A856,0))*0.99,100)</f>
        <v>0</v>
      </c>
      <c r="K856" s="113" t="s">
        <v>637</v>
      </c>
    </row>
    <row r="857" spans="1:11" ht="15" customHeight="1">
      <c r="A857" s="112">
        <f t="shared" ref="A857:A920" si="52">IF(C857&lt;&gt;C856,DATE(2025,7,1),IF(E857="5000",EOMONTH(A856,0)+1,A856))</f>
        <v>46174</v>
      </c>
      <c r="B857" s="113">
        <v>4</v>
      </c>
      <c r="C857" s="18" t="str">
        <f t="shared" si="51"/>
        <v>1040</v>
      </c>
      <c r="D857" s="113" t="str">
        <f>_xlfn.XLOOKUP($C857,'Cost Centers'!$A$2:$A$11,'Cost Centers'!$B$2:$B$11,"")</f>
        <v>Finance</v>
      </c>
      <c r="E857" s="113" t="s">
        <v>109</v>
      </c>
      <c r="F857" s="113" t="str">
        <f>_xlfn.XLOOKUP(E857,'Allocated Transactions'!D:D,'Allocated Transactions'!E:E,"")</f>
        <v>Travel</v>
      </c>
      <c r="G857" s="113" t="s">
        <v>97</v>
      </c>
      <c r="H857" s="113"/>
      <c r="I857" s="113" t="str">
        <f>_xlfn.XLOOKUP($C857,'Cost Centers'!$A$2:$A$11,'Cost Centers'!$C$2:$C$11,"")</f>
        <v>Admin</v>
      </c>
      <c r="J857" s="23">
        <f>MROUND(SUMIFS('Allocated Transactions'!$J:$J,'Allocated Transactions'!$D:$D,$E857,'Allocated Transactions'!$C:$C,$C857,'Allocated Transactions'!$A:$A,"&gt;="&amp;$A857,'Allocated Transactions'!$A:$A,"&lt;="&amp;EOMONTH($A857,0))*0.99,100)</f>
        <v>0</v>
      </c>
      <c r="K857" s="113" t="s">
        <v>637</v>
      </c>
    </row>
    <row r="858" spans="1:11" ht="15" customHeight="1">
      <c r="A858" s="112">
        <f t="shared" si="52"/>
        <v>46174</v>
      </c>
      <c r="B858" s="113">
        <v>4</v>
      </c>
      <c r="C858" s="18" t="str">
        <f t="shared" si="51"/>
        <v>1040</v>
      </c>
      <c r="D858" s="113" t="str">
        <f>_xlfn.XLOOKUP($C858,'Cost Centers'!$A$2:$A$11,'Cost Centers'!$B$2:$B$11,"")</f>
        <v>Finance</v>
      </c>
      <c r="E858" s="113" t="s">
        <v>111</v>
      </c>
      <c r="F858" s="113" t="str">
        <f>_xlfn.XLOOKUP(E858,'Allocated Transactions'!D:D,'Allocated Transactions'!E:E,"")</f>
        <v>Meals and Entertainment</v>
      </c>
      <c r="G858" s="113" t="s">
        <v>97</v>
      </c>
      <c r="H858" s="113"/>
      <c r="I858" s="113" t="str">
        <f>_xlfn.XLOOKUP($C858,'Cost Centers'!$A$2:$A$11,'Cost Centers'!$C$2:$C$11,"")</f>
        <v>Admin</v>
      </c>
      <c r="J858" s="23">
        <f>MROUND(SUMIFS('Allocated Transactions'!$J:$J,'Allocated Transactions'!$D:$D,$E858,'Allocated Transactions'!$C:$C,$C858,'Allocated Transactions'!$A:$A,"&gt;="&amp;$A858,'Allocated Transactions'!$A:$A,"&lt;="&amp;EOMONTH($A858,0))*0.99,100)</f>
        <v>0</v>
      </c>
      <c r="K858" s="113" t="s">
        <v>637</v>
      </c>
    </row>
    <row r="859" spans="1:11" ht="15" customHeight="1">
      <c r="A859" s="112">
        <f t="shared" si="52"/>
        <v>46174</v>
      </c>
      <c r="B859" s="113">
        <v>4</v>
      </c>
      <c r="C859" s="18" t="str">
        <f t="shared" si="51"/>
        <v>1040</v>
      </c>
      <c r="D859" s="113" t="str">
        <f>_xlfn.XLOOKUP($C859,'Cost Centers'!$A$2:$A$11,'Cost Centers'!$B$2:$B$11,"")</f>
        <v>Finance</v>
      </c>
      <c r="E859" s="113" t="s">
        <v>113</v>
      </c>
      <c r="F859" s="113" t="str">
        <f>_xlfn.XLOOKUP(E859,'Allocated Transactions'!D:D,'Allocated Transactions'!E:E,"")</f>
        <v>Professional Fees - Legal</v>
      </c>
      <c r="G859" s="113" t="s">
        <v>97</v>
      </c>
      <c r="H859" s="113"/>
      <c r="I859" s="113" t="str">
        <f>_xlfn.XLOOKUP($C859,'Cost Centers'!$A$2:$A$11,'Cost Centers'!$C$2:$C$11,"")</f>
        <v>Admin</v>
      </c>
      <c r="J859" s="23">
        <f>MROUND(SUMIFS('Allocated Transactions'!$J:$J,'Allocated Transactions'!$D:$D,$E859,'Allocated Transactions'!$C:$C,$C859,'Allocated Transactions'!$A:$A,"&gt;="&amp;$A859,'Allocated Transactions'!$A:$A,"&lt;="&amp;EOMONTH($A859,0))*0.99,100)</f>
        <v>0</v>
      </c>
      <c r="K859" s="113" t="s">
        <v>637</v>
      </c>
    </row>
    <row r="860" spans="1:11" ht="15" customHeight="1">
      <c r="A860" s="112">
        <f t="shared" si="52"/>
        <v>46174</v>
      </c>
      <c r="B860" s="113">
        <v>4</v>
      </c>
      <c r="C860" s="18" t="str">
        <f t="shared" si="51"/>
        <v>1040</v>
      </c>
      <c r="D860" s="113" t="str">
        <f>_xlfn.XLOOKUP($C860,'Cost Centers'!$A$2:$A$11,'Cost Centers'!$B$2:$B$11,"")</f>
        <v>Finance</v>
      </c>
      <c r="E860" s="113" t="s">
        <v>115</v>
      </c>
      <c r="F860" s="113" t="str">
        <f>_xlfn.XLOOKUP(E860,'Allocated Transactions'!D:D,'Allocated Transactions'!E:E,"")</f>
        <v>Professional Fees - Accounting/Audit</v>
      </c>
      <c r="G860" s="113" t="s">
        <v>97</v>
      </c>
      <c r="H860" s="113"/>
      <c r="I860" s="113" t="str">
        <f>_xlfn.XLOOKUP($C860,'Cost Centers'!$A$2:$A$11,'Cost Centers'!$C$2:$C$11,"")</f>
        <v>Admin</v>
      </c>
      <c r="J860" s="23">
        <f>MROUND(SUMIFS('Allocated Transactions'!$J:$J,'Allocated Transactions'!$D:$D,$E860,'Allocated Transactions'!$C:$C,$C860,'Allocated Transactions'!$A:$A,"&gt;="&amp;$A860,'Allocated Transactions'!$A:$A,"&lt;="&amp;EOMONTH($A860,0))*0.99,100)</f>
        <v>0</v>
      </c>
      <c r="K860" s="113" t="s">
        <v>637</v>
      </c>
    </row>
    <row r="861" spans="1:11" ht="15" customHeight="1">
      <c r="A861" s="112">
        <f t="shared" si="52"/>
        <v>46174</v>
      </c>
      <c r="B861" s="113">
        <v>4</v>
      </c>
      <c r="C861" s="18" t="str">
        <f t="shared" si="51"/>
        <v>1040</v>
      </c>
      <c r="D861" s="113" t="str">
        <f>_xlfn.XLOOKUP($C861,'Cost Centers'!$A$2:$A$11,'Cost Centers'!$B$2:$B$11,"")</f>
        <v>Finance</v>
      </c>
      <c r="E861" s="113" t="s">
        <v>117</v>
      </c>
      <c r="F861" s="113" t="str">
        <f>_xlfn.XLOOKUP(E861,'Allocated Transactions'!D:D,'Allocated Transactions'!E:E,"")</f>
        <v>Insurance</v>
      </c>
      <c r="G861" s="113" t="s">
        <v>97</v>
      </c>
      <c r="H861" s="113"/>
      <c r="I861" s="113" t="str">
        <f>_xlfn.XLOOKUP($C861,'Cost Centers'!$A$2:$A$11,'Cost Centers'!$C$2:$C$11,"")</f>
        <v>Admin</v>
      </c>
      <c r="J861" s="23">
        <f>MROUND(SUMIFS('Allocated Transactions'!$J:$J,'Allocated Transactions'!$D:$D,$E861,'Allocated Transactions'!$C:$C,$C861,'Allocated Transactions'!$A:$A,"&gt;="&amp;$A861,'Allocated Transactions'!$A:$A,"&lt;="&amp;EOMONTH($A861,0))*0.99,100)</f>
        <v>800</v>
      </c>
      <c r="K861" s="113" t="s">
        <v>637</v>
      </c>
    </row>
    <row r="862" spans="1:11" ht="15" customHeight="1">
      <c r="A862" s="112">
        <f t="shared" si="52"/>
        <v>46174</v>
      </c>
      <c r="B862" s="113">
        <v>4</v>
      </c>
      <c r="C862" s="18" t="str">
        <f t="shared" si="51"/>
        <v>1040</v>
      </c>
      <c r="D862" s="113" t="str">
        <f>_xlfn.XLOOKUP($C862,'Cost Centers'!$A$2:$A$11,'Cost Centers'!$B$2:$B$11,"")</f>
        <v>Finance</v>
      </c>
      <c r="E862" s="113" t="s">
        <v>119</v>
      </c>
      <c r="F862" s="113" t="str">
        <f>_xlfn.XLOOKUP(E862,'Allocated Transactions'!D:D,'Allocated Transactions'!E:E,"")</f>
        <v>Depreciation Expense</v>
      </c>
      <c r="G862" s="113" t="s">
        <v>97</v>
      </c>
      <c r="H862" s="113"/>
      <c r="I862" s="113" t="str">
        <f>_xlfn.XLOOKUP($C862,'Cost Centers'!$A$2:$A$11,'Cost Centers'!$C$2:$C$11,"")</f>
        <v>Admin</v>
      </c>
      <c r="J862" s="23">
        <f>MROUND(SUMIFS('Allocated Transactions'!$J:$J,'Allocated Transactions'!$D:$D,$E862,'Allocated Transactions'!$C:$C,$C862,'Allocated Transactions'!$A:$A,"&gt;="&amp;$A862,'Allocated Transactions'!$A:$A,"&lt;="&amp;EOMONTH($A862,0))*0.99,100)</f>
        <v>0</v>
      </c>
      <c r="K862" s="113" t="s">
        <v>637</v>
      </c>
    </row>
    <row r="863" spans="1:11" ht="15" customHeight="1">
      <c r="A863" s="112">
        <f t="shared" si="52"/>
        <v>46174</v>
      </c>
      <c r="B863" s="113">
        <v>4</v>
      </c>
      <c r="C863" s="18" t="str">
        <f t="shared" si="51"/>
        <v>1040</v>
      </c>
      <c r="D863" s="113" t="str">
        <f>_xlfn.XLOOKUP($C863,'Cost Centers'!$A$2:$A$11,'Cost Centers'!$B$2:$B$11,"")</f>
        <v>Finance</v>
      </c>
      <c r="E863" s="113" t="s">
        <v>121</v>
      </c>
      <c r="F863" s="113" t="str">
        <f>_xlfn.XLOOKUP(E863,'Allocated Transactions'!D:D,'Allocated Transactions'!E:E,"")</f>
        <v>Bank Fees</v>
      </c>
      <c r="G863" s="113" t="s">
        <v>97</v>
      </c>
      <c r="H863" s="113"/>
      <c r="I863" s="113" t="str">
        <f>_xlfn.XLOOKUP($C863,'Cost Centers'!$A$2:$A$11,'Cost Centers'!$C$2:$C$11,"")</f>
        <v>Admin</v>
      </c>
      <c r="J863" s="23">
        <f>MROUND(SUMIFS('Allocated Transactions'!$J:$J,'Allocated Transactions'!$D:$D,$E863,'Allocated Transactions'!$C:$C,$C863,'Allocated Transactions'!$A:$A,"&gt;="&amp;$A863,'Allocated Transactions'!$A:$A,"&lt;="&amp;EOMONTH($A863,0))*0.99,100)</f>
        <v>0</v>
      </c>
      <c r="K863" s="113" t="s">
        <v>637</v>
      </c>
    </row>
    <row r="864" spans="1:11" ht="15" customHeight="1">
      <c r="A864" s="112">
        <f t="shared" si="52"/>
        <v>46174</v>
      </c>
      <c r="B864" s="113">
        <v>4</v>
      </c>
      <c r="C864" s="18" t="str">
        <f t="shared" si="51"/>
        <v>1040</v>
      </c>
      <c r="D864" s="113" t="str">
        <f>_xlfn.XLOOKUP($C864,'Cost Centers'!$A$2:$A$11,'Cost Centers'!$B$2:$B$11,"")</f>
        <v>Finance</v>
      </c>
      <c r="E864" s="113" t="s">
        <v>123</v>
      </c>
      <c r="F864" s="113" t="str">
        <f>_xlfn.XLOOKUP(E864,'Allocated Transactions'!D:D,'Allocated Transactions'!E:E,"")</f>
        <v>Interest Expense</v>
      </c>
      <c r="G864" s="113" t="s">
        <v>97</v>
      </c>
      <c r="H864" s="113"/>
      <c r="I864" s="113" t="str">
        <f>_xlfn.XLOOKUP($C864,'Cost Centers'!$A$2:$A$11,'Cost Centers'!$C$2:$C$11,"")</f>
        <v>Admin</v>
      </c>
      <c r="J864" s="23">
        <f>MROUND(SUMIFS('Allocated Transactions'!$J:$J,'Allocated Transactions'!$D:$D,$E864,'Allocated Transactions'!$C:$C,$C864,'Allocated Transactions'!$A:$A,"&gt;="&amp;$A864,'Allocated Transactions'!$A:$A,"&lt;="&amp;EOMONTH($A864,0))*0.99,100)</f>
        <v>0</v>
      </c>
      <c r="K864" s="113" t="s">
        <v>637</v>
      </c>
    </row>
    <row r="865" spans="1:11" ht="15" customHeight="1">
      <c r="A865" s="112">
        <f t="shared" si="52"/>
        <v>46174</v>
      </c>
      <c r="B865" s="113">
        <v>4</v>
      </c>
      <c r="C865" s="18" t="str">
        <f t="shared" si="51"/>
        <v>1040</v>
      </c>
      <c r="D865" s="113" t="str">
        <f>_xlfn.XLOOKUP($C865,'Cost Centers'!$A$2:$A$11,'Cost Centers'!$B$2:$B$11,"")</f>
        <v>Finance</v>
      </c>
      <c r="E865" s="113" t="s">
        <v>125</v>
      </c>
      <c r="F865" s="113" t="str">
        <f>_xlfn.XLOOKUP(E865,'Allocated Transactions'!D:D,'Allocated Transactions'!E:E,"")</f>
        <v>Miscellaneous Expense</v>
      </c>
      <c r="G865" s="113" t="s">
        <v>97</v>
      </c>
      <c r="H865" s="113"/>
      <c r="I865" s="113" t="str">
        <f>_xlfn.XLOOKUP($C865,'Cost Centers'!$A$2:$A$11,'Cost Centers'!$C$2:$C$11,"")</f>
        <v>Admin</v>
      </c>
      <c r="J865" s="23">
        <f>MROUND(SUMIFS('Allocated Transactions'!$J:$J,'Allocated Transactions'!$D:$D,$E865,'Allocated Transactions'!$C:$C,$C865,'Allocated Transactions'!$A:$A,"&gt;="&amp;$A865,'Allocated Transactions'!$A:$A,"&lt;="&amp;EOMONTH($A865,0))*0.99,100)</f>
        <v>0</v>
      </c>
      <c r="K865" s="113" t="s">
        <v>637</v>
      </c>
    </row>
    <row r="866" spans="1:11" ht="15" customHeight="1">
      <c r="A866" s="112">
        <f t="shared" si="52"/>
        <v>45839</v>
      </c>
      <c r="B866" s="113">
        <v>5</v>
      </c>
      <c r="C866" s="18" t="s">
        <v>10</v>
      </c>
      <c r="D866" s="113" t="str">
        <f>_xlfn.XLOOKUP($C866,'Cost Centers'!$A$2:$A$11,'Cost Centers'!$B$2:$B$11,"")</f>
        <v>Business Development</v>
      </c>
      <c r="E866" s="113" t="s">
        <v>28</v>
      </c>
      <c r="F866" s="113" t="str">
        <f>_xlfn.XLOOKUP(E866,'Allocated Transactions'!D:D,'Allocated Transactions'!E:E,"")</f>
        <v>Salaries and Wages</v>
      </c>
      <c r="G866" s="113" t="s">
        <v>97</v>
      </c>
      <c r="H866" s="113"/>
      <c r="I866" s="113" t="str">
        <f>_xlfn.XLOOKUP($C866,'Cost Centers'!$A$2:$A$11,'Cost Centers'!$C$2:$C$11,"")</f>
        <v>Admin</v>
      </c>
      <c r="J866" s="23">
        <f>MROUND(SUMIFS('Allocated Transactions'!$J:$J,'Allocated Transactions'!$D:$D,$E866,'Allocated Transactions'!$C:$C,$C866,'Allocated Transactions'!$A:$A,"&gt;="&amp;$A866,'Allocated Transactions'!$A:$A,"&lt;="&amp;EOMONTH($A866,0))*0.99,100)</f>
        <v>9700</v>
      </c>
      <c r="K866" s="113" t="s">
        <v>637</v>
      </c>
    </row>
    <row r="867" spans="1:11" ht="15" customHeight="1">
      <c r="A867" s="112">
        <f t="shared" si="52"/>
        <v>45839</v>
      </c>
      <c r="B867" s="113">
        <v>5</v>
      </c>
      <c r="C867" s="18" t="str">
        <f t="shared" ref="C867:C883" si="53">C866</f>
        <v>1050</v>
      </c>
      <c r="D867" s="113" t="str">
        <f>_xlfn.XLOOKUP($C867,'Cost Centers'!$A$2:$A$11,'Cost Centers'!$B$2:$B$11,"")</f>
        <v>Business Development</v>
      </c>
      <c r="E867" s="113" t="s">
        <v>29</v>
      </c>
      <c r="F867" s="113" t="str">
        <f>_xlfn.XLOOKUP(E867,'Allocated Transactions'!D:D,'Allocated Transactions'!E:E,"")</f>
        <v>Payroll Taxes</v>
      </c>
      <c r="G867" s="113" t="s">
        <v>97</v>
      </c>
      <c r="H867" s="113"/>
      <c r="I867" s="113" t="str">
        <f>_xlfn.XLOOKUP($C867,'Cost Centers'!$A$2:$A$11,'Cost Centers'!$C$2:$C$11,"")</f>
        <v>Admin</v>
      </c>
      <c r="J867" s="23">
        <f>MROUND(SUMIFS('Allocated Transactions'!$J:$J,'Allocated Transactions'!$D:$D,$E867,'Allocated Transactions'!$C:$C,$C867,'Allocated Transactions'!$A:$A,"&gt;="&amp;$A867,'Allocated Transactions'!$A:$A,"&lt;="&amp;EOMONTH($A867,0))*0.99,100)</f>
        <v>700</v>
      </c>
      <c r="K867" s="113" t="s">
        <v>637</v>
      </c>
    </row>
    <row r="868" spans="1:11" ht="15" customHeight="1">
      <c r="A868" s="112">
        <f t="shared" si="52"/>
        <v>45839</v>
      </c>
      <c r="B868" s="113">
        <v>5</v>
      </c>
      <c r="C868" s="18" t="str">
        <f t="shared" si="53"/>
        <v>1050</v>
      </c>
      <c r="D868" s="113" t="str">
        <f>_xlfn.XLOOKUP($C868,'Cost Centers'!$A$2:$A$11,'Cost Centers'!$B$2:$B$11,"")</f>
        <v>Business Development</v>
      </c>
      <c r="E868" s="113" t="s">
        <v>30</v>
      </c>
      <c r="F868" s="113" t="str">
        <f>_xlfn.XLOOKUP(E868,'Allocated Transactions'!D:D,'Allocated Transactions'!E:E,"")</f>
        <v>Employee Benefits</v>
      </c>
      <c r="G868" s="113" t="s">
        <v>97</v>
      </c>
      <c r="H868" s="113"/>
      <c r="I868" s="113" t="str">
        <f>_xlfn.XLOOKUP($C868,'Cost Centers'!$A$2:$A$11,'Cost Centers'!$C$2:$C$11,"")</f>
        <v>Admin</v>
      </c>
      <c r="J868" s="23">
        <f>MROUND(SUMIFS('Allocated Transactions'!$J:$J,'Allocated Transactions'!$D:$D,$E868,'Allocated Transactions'!$C:$C,$C868,'Allocated Transactions'!$A:$A,"&gt;="&amp;$A868,'Allocated Transactions'!$A:$A,"&lt;="&amp;EOMONTH($A868,0))*0.99,100)</f>
        <v>3400</v>
      </c>
      <c r="K868" s="113" t="s">
        <v>637</v>
      </c>
    </row>
    <row r="869" spans="1:11" ht="15" customHeight="1">
      <c r="A869" s="112">
        <f t="shared" si="52"/>
        <v>45839</v>
      </c>
      <c r="B869" s="113">
        <v>5</v>
      </c>
      <c r="C869" s="18" t="str">
        <f t="shared" si="53"/>
        <v>1050</v>
      </c>
      <c r="D869" s="113" t="str">
        <f>_xlfn.XLOOKUP($C869,'Cost Centers'!$A$2:$A$11,'Cost Centers'!$B$2:$B$11,"")</f>
        <v>Business Development</v>
      </c>
      <c r="E869" s="113" t="s">
        <v>31</v>
      </c>
      <c r="F869" s="113" t="str">
        <f>_xlfn.XLOOKUP(E869,'Allocated Transactions'!D:D,'Allocated Transactions'!E:E,"")</f>
        <v>Retirement Contributions</v>
      </c>
      <c r="G869" s="113" t="s">
        <v>97</v>
      </c>
      <c r="H869" s="113"/>
      <c r="I869" s="113" t="str">
        <f>_xlfn.XLOOKUP($C869,'Cost Centers'!$A$2:$A$11,'Cost Centers'!$C$2:$C$11,"")</f>
        <v>Admin</v>
      </c>
      <c r="J869" s="23">
        <f>MROUND(SUMIFS('Allocated Transactions'!$J:$J,'Allocated Transactions'!$D:$D,$E869,'Allocated Transactions'!$C:$C,$C869,'Allocated Transactions'!$A:$A,"&gt;="&amp;$A869,'Allocated Transactions'!$A:$A,"&lt;="&amp;EOMONTH($A869,0))*0.99,100)</f>
        <v>300</v>
      </c>
      <c r="K869" s="113" t="s">
        <v>637</v>
      </c>
    </row>
    <row r="870" spans="1:11" ht="15" customHeight="1">
      <c r="A870" s="112">
        <f t="shared" si="52"/>
        <v>45839</v>
      </c>
      <c r="B870" s="113">
        <v>5</v>
      </c>
      <c r="C870" s="18" t="str">
        <f t="shared" si="53"/>
        <v>1050</v>
      </c>
      <c r="D870" s="113" t="str">
        <f>_xlfn.XLOOKUP($C870,'Cost Centers'!$A$2:$A$11,'Cost Centers'!$B$2:$B$11,"")</f>
        <v>Business Development</v>
      </c>
      <c r="E870" s="113" t="s">
        <v>101</v>
      </c>
      <c r="F870" s="113" t="str">
        <f>_xlfn.XLOOKUP(E870,'Allocated Transactions'!D:D,'Allocated Transactions'!E:E,"")</f>
        <v>Contract Labor / Consultants</v>
      </c>
      <c r="G870" s="113" t="s">
        <v>97</v>
      </c>
      <c r="H870" s="113"/>
      <c r="I870" s="113" t="str">
        <f>_xlfn.XLOOKUP($C870,'Cost Centers'!$A$2:$A$11,'Cost Centers'!$C$2:$C$11,"")</f>
        <v>Admin</v>
      </c>
      <c r="J870" s="23">
        <f>MROUND(SUMIFS('Allocated Transactions'!$J:$J,'Allocated Transactions'!$D:$D,$E870,'Allocated Transactions'!$C:$C,$C870,'Allocated Transactions'!$A:$A,"&gt;="&amp;$A870,'Allocated Transactions'!$A:$A,"&lt;="&amp;EOMONTH($A870,0))*0.99,100)</f>
        <v>0</v>
      </c>
      <c r="K870" s="113" t="s">
        <v>637</v>
      </c>
    </row>
    <row r="871" spans="1:11" ht="15" customHeight="1">
      <c r="A871" s="112">
        <f t="shared" si="52"/>
        <v>45839</v>
      </c>
      <c r="B871" s="113">
        <v>5</v>
      </c>
      <c r="C871" s="18" t="str">
        <f t="shared" si="53"/>
        <v>1050</v>
      </c>
      <c r="D871" s="113" t="str">
        <f>_xlfn.XLOOKUP($C871,'Cost Centers'!$A$2:$A$11,'Cost Centers'!$B$2:$B$11,"")</f>
        <v>Business Development</v>
      </c>
      <c r="E871" s="113" t="s">
        <v>32</v>
      </c>
      <c r="F871" s="113" t="str">
        <f>_xlfn.XLOOKUP(E871,'Allocated Transactions'!D:D,'Allocated Transactions'!E:E,"")</f>
        <v>Rent</v>
      </c>
      <c r="G871" s="113" t="s">
        <v>97</v>
      </c>
      <c r="H871" s="113"/>
      <c r="I871" s="113" t="str">
        <f>_xlfn.XLOOKUP($C871,'Cost Centers'!$A$2:$A$11,'Cost Centers'!$C$2:$C$11,"")</f>
        <v>Admin</v>
      </c>
      <c r="J871" s="23">
        <f>MROUND(SUMIFS('Allocated Transactions'!$J:$J,'Allocated Transactions'!$D:$D,$E871,'Allocated Transactions'!$C:$C,$C871,'Allocated Transactions'!$A:$A,"&gt;="&amp;$A871,'Allocated Transactions'!$A:$A,"&lt;="&amp;EOMONTH($A871,0))*0.99,100)</f>
        <v>800</v>
      </c>
      <c r="K871" s="113" t="s">
        <v>637</v>
      </c>
    </row>
    <row r="872" spans="1:11" ht="15" customHeight="1">
      <c r="A872" s="112">
        <f t="shared" si="52"/>
        <v>45839</v>
      </c>
      <c r="B872" s="113">
        <v>5</v>
      </c>
      <c r="C872" s="18" t="str">
        <f t="shared" si="53"/>
        <v>1050</v>
      </c>
      <c r="D872" s="113" t="str">
        <f>_xlfn.XLOOKUP($C872,'Cost Centers'!$A$2:$A$11,'Cost Centers'!$B$2:$B$11,"")</f>
        <v>Business Development</v>
      </c>
      <c r="E872" s="113" t="s">
        <v>33</v>
      </c>
      <c r="F872" s="113" t="str">
        <f>_xlfn.XLOOKUP(E872,'Allocated Transactions'!D:D,'Allocated Transactions'!E:E,"")</f>
        <v>Utilities</v>
      </c>
      <c r="G872" s="113" t="s">
        <v>97</v>
      </c>
      <c r="H872" s="113"/>
      <c r="I872" s="113" t="str">
        <f>_xlfn.XLOOKUP($C872,'Cost Centers'!$A$2:$A$11,'Cost Centers'!$C$2:$C$11,"")</f>
        <v>Admin</v>
      </c>
      <c r="J872" s="23">
        <f>MROUND(SUMIFS('Allocated Transactions'!$J:$J,'Allocated Transactions'!$D:$D,$E872,'Allocated Transactions'!$C:$C,$C872,'Allocated Transactions'!$A:$A,"&gt;="&amp;$A872,'Allocated Transactions'!$A:$A,"&lt;="&amp;EOMONTH($A872,0))*0.99,100)</f>
        <v>100</v>
      </c>
      <c r="K872" s="113" t="s">
        <v>637</v>
      </c>
    </row>
    <row r="873" spans="1:11" ht="15" customHeight="1">
      <c r="A873" s="112">
        <f t="shared" si="52"/>
        <v>45839</v>
      </c>
      <c r="B873" s="113">
        <v>5</v>
      </c>
      <c r="C873" s="18" t="str">
        <f t="shared" si="53"/>
        <v>1050</v>
      </c>
      <c r="D873" s="113" t="str">
        <f>_xlfn.XLOOKUP($C873,'Cost Centers'!$A$2:$A$11,'Cost Centers'!$B$2:$B$11,"")</f>
        <v>Business Development</v>
      </c>
      <c r="E873" s="113" t="s">
        <v>105</v>
      </c>
      <c r="F873" s="113" t="str">
        <f>_xlfn.XLOOKUP(E873,'Allocated Transactions'!D:D,'Allocated Transactions'!E:E,"")</f>
        <v>Office Supplies</v>
      </c>
      <c r="G873" s="113" t="s">
        <v>97</v>
      </c>
      <c r="H873" s="113"/>
      <c r="I873" s="113" t="str">
        <f>_xlfn.XLOOKUP($C873,'Cost Centers'!$A$2:$A$11,'Cost Centers'!$C$2:$C$11,"")</f>
        <v>Admin</v>
      </c>
      <c r="J873" s="23">
        <f>MROUND(SUMIFS('Allocated Transactions'!$J:$J,'Allocated Transactions'!$D:$D,$E873,'Allocated Transactions'!$C:$C,$C873,'Allocated Transactions'!$A:$A,"&gt;="&amp;$A873,'Allocated Transactions'!$A:$A,"&lt;="&amp;EOMONTH($A873,0))*0.99,100)</f>
        <v>0</v>
      </c>
      <c r="K873" s="113" t="s">
        <v>637</v>
      </c>
    </row>
    <row r="874" spans="1:11" ht="15" customHeight="1">
      <c r="A874" s="112">
        <f t="shared" si="52"/>
        <v>45839</v>
      </c>
      <c r="B874" s="113">
        <v>5</v>
      </c>
      <c r="C874" s="18" t="str">
        <f t="shared" si="53"/>
        <v>1050</v>
      </c>
      <c r="D874" s="113" t="str">
        <f>_xlfn.XLOOKUP($C874,'Cost Centers'!$A$2:$A$11,'Cost Centers'!$B$2:$B$11,"")</f>
        <v>Business Development</v>
      </c>
      <c r="E874" s="113" t="s">
        <v>107</v>
      </c>
      <c r="F874" s="113" t="str">
        <f>_xlfn.XLOOKUP(E874,'Allocated Transactions'!D:D,'Allocated Transactions'!E:E,"")</f>
        <v>Software and Subscriptions</v>
      </c>
      <c r="G874" s="113" t="s">
        <v>97</v>
      </c>
      <c r="H874" s="113"/>
      <c r="I874" s="113" t="str">
        <f>_xlfn.XLOOKUP($C874,'Cost Centers'!$A$2:$A$11,'Cost Centers'!$C$2:$C$11,"")</f>
        <v>Admin</v>
      </c>
      <c r="J874" s="23">
        <f>MROUND(SUMIFS('Allocated Transactions'!$J:$J,'Allocated Transactions'!$D:$D,$E874,'Allocated Transactions'!$C:$C,$C874,'Allocated Transactions'!$A:$A,"&gt;="&amp;$A874,'Allocated Transactions'!$A:$A,"&lt;="&amp;EOMONTH($A874,0))*0.99,100)</f>
        <v>0</v>
      </c>
      <c r="K874" s="113" t="s">
        <v>637</v>
      </c>
    </row>
    <row r="875" spans="1:11" ht="15" customHeight="1">
      <c r="A875" s="112">
        <f t="shared" si="52"/>
        <v>45839</v>
      </c>
      <c r="B875" s="113">
        <v>5</v>
      </c>
      <c r="C875" s="18" t="str">
        <f t="shared" si="53"/>
        <v>1050</v>
      </c>
      <c r="D875" s="113" t="str">
        <f>_xlfn.XLOOKUP($C875,'Cost Centers'!$A$2:$A$11,'Cost Centers'!$B$2:$B$11,"")</f>
        <v>Business Development</v>
      </c>
      <c r="E875" s="113" t="s">
        <v>109</v>
      </c>
      <c r="F875" s="113" t="str">
        <f>_xlfn.XLOOKUP(E875,'Allocated Transactions'!D:D,'Allocated Transactions'!E:E,"")</f>
        <v>Travel</v>
      </c>
      <c r="G875" s="113" t="s">
        <v>97</v>
      </c>
      <c r="H875" s="113"/>
      <c r="I875" s="113" t="str">
        <f>_xlfn.XLOOKUP($C875,'Cost Centers'!$A$2:$A$11,'Cost Centers'!$C$2:$C$11,"")</f>
        <v>Admin</v>
      </c>
      <c r="J875" s="23">
        <f>MROUND(SUMIFS('Allocated Transactions'!$J:$J,'Allocated Transactions'!$D:$D,$E875,'Allocated Transactions'!$C:$C,$C875,'Allocated Transactions'!$A:$A,"&gt;="&amp;$A875,'Allocated Transactions'!$A:$A,"&lt;="&amp;EOMONTH($A875,0))*0.99,100)</f>
        <v>0</v>
      </c>
      <c r="K875" s="113" t="s">
        <v>637</v>
      </c>
    </row>
    <row r="876" spans="1:11" ht="15" customHeight="1">
      <c r="A876" s="112">
        <f t="shared" si="52"/>
        <v>45839</v>
      </c>
      <c r="B876" s="113">
        <v>5</v>
      </c>
      <c r="C876" s="18" t="str">
        <f t="shared" si="53"/>
        <v>1050</v>
      </c>
      <c r="D876" s="113" t="str">
        <f>_xlfn.XLOOKUP($C876,'Cost Centers'!$A$2:$A$11,'Cost Centers'!$B$2:$B$11,"")</f>
        <v>Business Development</v>
      </c>
      <c r="E876" s="113" t="s">
        <v>111</v>
      </c>
      <c r="F876" s="113" t="str">
        <f>_xlfn.XLOOKUP(E876,'Allocated Transactions'!D:D,'Allocated Transactions'!E:E,"")</f>
        <v>Meals and Entertainment</v>
      </c>
      <c r="G876" s="113" t="s">
        <v>97</v>
      </c>
      <c r="H876" s="113"/>
      <c r="I876" s="113" t="str">
        <f>_xlfn.XLOOKUP($C876,'Cost Centers'!$A$2:$A$11,'Cost Centers'!$C$2:$C$11,"")</f>
        <v>Admin</v>
      </c>
      <c r="J876" s="23">
        <f>MROUND(SUMIFS('Allocated Transactions'!$J:$J,'Allocated Transactions'!$D:$D,$E876,'Allocated Transactions'!$C:$C,$C876,'Allocated Transactions'!$A:$A,"&gt;="&amp;$A876,'Allocated Transactions'!$A:$A,"&lt;="&amp;EOMONTH($A876,0))*0.99,100)</f>
        <v>0</v>
      </c>
      <c r="K876" s="113" t="s">
        <v>637</v>
      </c>
    </row>
    <row r="877" spans="1:11" ht="15" customHeight="1">
      <c r="A877" s="112">
        <f t="shared" si="52"/>
        <v>45839</v>
      </c>
      <c r="B877" s="113">
        <v>5</v>
      </c>
      <c r="C877" s="18" t="str">
        <f t="shared" si="53"/>
        <v>1050</v>
      </c>
      <c r="D877" s="113" t="str">
        <f>_xlfn.XLOOKUP($C877,'Cost Centers'!$A$2:$A$11,'Cost Centers'!$B$2:$B$11,"")</f>
        <v>Business Development</v>
      </c>
      <c r="E877" s="113" t="s">
        <v>113</v>
      </c>
      <c r="F877" s="113" t="str">
        <f>_xlfn.XLOOKUP(E877,'Allocated Transactions'!D:D,'Allocated Transactions'!E:E,"")</f>
        <v>Professional Fees - Legal</v>
      </c>
      <c r="G877" s="113" t="s">
        <v>97</v>
      </c>
      <c r="H877" s="113"/>
      <c r="I877" s="113" t="str">
        <f>_xlfn.XLOOKUP($C877,'Cost Centers'!$A$2:$A$11,'Cost Centers'!$C$2:$C$11,"")</f>
        <v>Admin</v>
      </c>
      <c r="J877" s="23">
        <f>MROUND(SUMIFS('Allocated Transactions'!$J:$J,'Allocated Transactions'!$D:$D,$E877,'Allocated Transactions'!$C:$C,$C877,'Allocated Transactions'!$A:$A,"&gt;="&amp;$A877,'Allocated Transactions'!$A:$A,"&lt;="&amp;EOMONTH($A877,0))*0.99,100)</f>
        <v>0</v>
      </c>
      <c r="K877" s="113" t="s">
        <v>637</v>
      </c>
    </row>
    <row r="878" spans="1:11" ht="15" customHeight="1">
      <c r="A878" s="112">
        <f t="shared" si="52"/>
        <v>45839</v>
      </c>
      <c r="B878" s="113">
        <v>5</v>
      </c>
      <c r="C878" s="18" t="str">
        <f t="shared" si="53"/>
        <v>1050</v>
      </c>
      <c r="D878" s="113" t="str">
        <f>_xlfn.XLOOKUP($C878,'Cost Centers'!$A$2:$A$11,'Cost Centers'!$B$2:$B$11,"")</f>
        <v>Business Development</v>
      </c>
      <c r="E878" s="113" t="s">
        <v>115</v>
      </c>
      <c r="F878" s="113" t="str">
        <f>_xlfn.XLOOKUP(E878,'Allocated Transactions'!D:D,'Allocated Transactions'!E:E,"")</f>
        <v>Professional Fees - Accounting/Audit</v>
      </c>
      <c r="G878" s="113" t="s">
        <v>97</v>
      </c>
      <c r="H878" s="113"/>
      <c r="I878" s="113" t="str">
        <f>_xlfn.XLOOKUP($C878,'Cost Centers'!$A$2:$A$11,'Cost Centers'!$C$2:$C$11,"")</f>
        <v>Admin</v>
      </c>
      <c r="J878" s="23">
        <f>MROUND(SUMIFS('Allocated Transactions'!$J:$J,'Allocated Transactions'!$D:$D,$E878,'Allocated Transactions'!$C:$C,$C878,'Allocated Transactions'!$A:$A,"&gt;="&amp;$A878,'Allocated Transactions'!$A:$A,"&lt;="&amp;EOMONTH($A878,0))*0.99,100)</f>
        <v>0</v>
      </c>
      <c r="K878" s="113" t="s">
        <v>637</v>
      </c>
    </row>
    <row r="879" spans="1:11" ht="15" customHeight="1">
      <c r="A879" s="112">
        <f t="shared" si="52"/>
        <v>45839</v>
      </c>
      <c r="B879" s="113">
        <v>5</v>
      </c>
      <c r="C879" s="18" t="str">
        <f t="shared" si="53"/>
        <v>1050</v>
      </c>
      <c r="D879" s="113" t="str">
        <f>_xlfn.XLOOKUP($C879,'Cost Centers'!$A$2:$A$11,'Cost Centers'!$B$2:$B$11,"")</f>
        <v>Business Development</v>
      </c>
      <c r="E879" s="113" t="s">
        <v>117</v>
      </c>
      <c r="F879" s="113" t="str">
        <f>_xlfn.XLOOKUP(E879,'Allocated Transactions'!D:D,'Allocated Transactions'!E:E,"")</f>
        <v>Insurance</v>
      </c>
      <c r="G879" s="113" t="s">
        <v>97</v>
      </c>
      <c r="H879" s="113"/>
      <c r="I879" s="113" t="str">
        <f>_xlfn.XLOOKUP($C879,'Cost Centers'!$A$2:$A$11,'Cost Centers'!$C$2:$C$11,"")</f>
        <v>Admin</v>
      </c>
      <c r="J879" s="23">
        <f>MROUND(SUMIFS('Allocated Transactions'!$J:$J,'Allocated Transactions'!$D:$D,$E879,'Allocated Transactions'!$C:$C,$C879,'Allocated Transactions'!$A:$A,"&gt;="&amp;$A879,'Allocated Transactions'!$A:$A,"&lt;="&amp;EOMONTH($A879,0))*0.99,100)</f>
        <v>600</v>
      </c>
      <c r="K879" s="113" t="s">
        <v>637</v>
      </c>
    </row>
    <row r="880" spans="1:11" ht="15" customHeight="1">
      <c r="A880" s="112">
        <f t="shared" si="52"/>
        <v>45839</v>
      </c>
      <c r="B880" s="113">
        <v>5</v>
      </c>
      <c r="C880" s="18" t="str">
        <f t="shared" si="53"/>
        <v>1050</v>
      </c>
      <c r="D880" s="113" t="str">
        <f>_xlfn.XLOOKUP($C880,'Cost Centers'!$A$2:$A$11,'Cost Centers'!$B$2:$B$11,"")</f>
        <v>Business Development</v>
      </c>
      <c r="E880" s="113" t="s">
        <v>119</v>
      </c>
      <c r="F880" s="113" t="str">
        <f>_xlfn.XLOOKUP(E880,'Allocated Transactions'!D:D,'Allocated Transactions'!E:E,"")</f>
        <v>Depreciation Expense</v>
      </c>
      <c r="G880" s="113" t="s">
        <v>97</v>
      </c>
      <c r="H880" s="113"/>
      <c r="I880" s="113" t="str">
        <f>_xlfn.XLOOKUP($C880,'Cost Centers'!$A$2:$A$11,'Cost Centers'!$C$2:$C$11,"")</f>
        <v>Admin</v>
      </c>
      <c r="J880" s="23">
        <f>MROUND(SUMIFS('Allocated Transactions'!$J:$J,'Allocated Transactions'!$D:$D,$E880,'Allocated Transactions'!$C:$C,$C880,'Allocated Transactions'!$A:$A,"&gt;="&amp;$A880,'Allocated Transactions'!$A:$A,"&lt;="&amp;EOMONTH($A880,0))*0.99,100)</f>
        <v>0</v>
      </c>
      <c r="K880" s="113" t="s">
        <v>637</v>
      </c>
    </row>
    <row r="881" spans="1:11" ht="15" customHeight="1">
      <c r="A881" s="112">
        <f t="shared" si="52"/>
        <v>45839</v>
      </c>
      <c r="B881" s="113">
        <v>5</v>
      </c>
      <c r="C881" s="18" t="str">
        <f t="shared" si="53"/>
        <v>1050</v>
      </c>
      <c r="D881" s="113" t="str">
        <f>_xlfn.XLOOKUP($C881,'Cost Centers'!$A$2:$A$11,'Cost Centers'!$B$2:$B$11,"")</f>
        <v>Business Development</v>
      </c>
      <c r="E881" s="113" t="s">
        <v>121</v>
      </c>
      <c r="F881" s="113" t="str">
        <f>_xlfn.XLOOKUP(E881,'Allocated Transactions'!D:D,'Allocated Transactions'!E:E,"")</f>
        <v>Bank Fees</v>
      </c>
      <c r="G881" s="113" t="s">
        <v>97</v>
      </c>
      <c r="H881" s="113"/>
      <c r="I881" s="113" t="str">
        <f>_xlfn.XLOOKUP($C881,'Cost Centers'!$A$2:$A$11,'Cost Centers'!$C$2:$C$11,"")</f>
        <v>Admin</v>
      </c>
      <c r="J881" s="23">
        <f>MROUND(SUMIFS('Allocated Transactions'!$J:$J,'Allocated Transactions'!$D:$D,$E881,'Allocated Transactions'!$C:$C,$C881,'Allocated Transactions'!$A:$A,"&gt;="&amp;$A881,'Allocated Transactions'!$A:$A,"&lt;="&amp;EOMONTH($A881,0))*0.99,100)</f>
        <v>0</v>
      </c>
      <c r="K881" s="113" t="s">
        <v>637</v>
      </c>
    </row>
    <row r="882" spans="1:11" ht="15" customHeight="1">
      <c r="A882" s="112">
        <f t="shared" si="52"/>
        <v>45839</v>
      </c>
      <c r="B882" s="113">
        <v>5</v>
      </c>
      <c r="C882" s="18" t="str">
        <f t="shared" si="53"/>
        <v>1050</v>
      </c>
      <c r="D882" s="113" t="str">
        <f>_xlfn.XLOOKUP($C882,'Cost Centers'!$A$2:$A$11,'Cost Centers'!$B$2:$B$11,"")</f>
        <v>Business Development</v>
      </c>
      <c r="E882" s="113" t="s">
        <v>123</v>
      </c>
      <c r="F882" s="113" t="str">
        <f>_xlfn.XLOOKUP(E882,'Allocated Transactions'!D:D,'Allocated Transactions'!E:E,"")</f>
        <v>Interest Expense</v>
      </c>
      <c r="G882" s="113" t="s">
        <v>97</v>
      </c>
      <c r="H882" s="113"/>
      <c r="I882" s="113" t="str">
        <f>_xlfn.XLOOKUP($C882,'Cost Centers'!$A$2:$A$11,'Cost Centers'!$C$2:$C$11,"")</f>
        <v>Admin</v>
      </c>
      <c r="J882" s="23">
        <f>MROUND(SUMIFS('Allocated Transactions'!$J:$J,'Allocated Transactions'!$D:$D,$E882,'Allocated Transactions'!$C:$C,$C882,'Allocated Transactions'!$A:$A,"&gt;="&amp;$A882,'Allocated Transactions'!$A:$A,"&lt;="&amp;EOMONTH($A882,0))*0.99,100)</f>
        <v>0</v>
      </c>
      <c r="K882" s="113" t="s">
        <v>637</v>
      </c>
    </row>
    <row r="883" spans="1:11" ht="15" customHeight="1">
      <c r="A883" s="112">
        <f t="shared" si="52"/>
        <v>45839</v>
      </c>
      <c r="B883" s="113">
        <v>5</v>
      </c>
      <c r="C883" s="18" t="str">
        <f t="shared" si="53"/>
        <v>1050</v>
      </c>
      <c r="D883" s="113" t="str">
        <f>_xlfn.XLOOKUP($C883,'Cost Centers'!$A$2:$A$11,'Cost Centers'!$B$2:$B$11,"")</f>
        <v>Business Development</v>
      </c>
      <c r="E883" s="113" t="s">
        <v>125</v>
      </c>
      <c r="F883" s="113" t="str">
        <f>_xlfn.XLOOKUP(E883,'Allocated Transactions'!D:D,'Allocated Transactions'!E:E,"")</f>
        <v>Miscellaneous Expense</v>
      </c>
      <c r="G883" s="113" t="s">
        <v>97</v>
      </c>
      <c r="H883" s="113"/>
      <c r="I883" s="113" t="str">
        <f>_xlfn.XLOOKUP($C883,'Cost Centers'!$A$2:$A$11,'Cost Centers'!$C$2:$C$11,"")</f>
        <v>Admin</v>
      </c>
      <c r="J883" s="23">
        <f>MROUND(SUMIFS('Allocated Transactions'!$J:$J,'Allocated Transactions'!$D:$D,$E883,'Allocated Transactions'!$C:$C,$C883,'Allocated Transactions'!$A:$A,"&gt;="&amp;$A883,'Allocated Transactions'!$A:$A,"&lt;="&amp;EOMONTH($A883,0))*0.99,100)</f>
        <v>0</v>
      </c>
      <c r="K883" s="113" t="s">
        <v>637</v>
      </c>
    </row>
    <row r="884" spans="1:11" ht="15" customHeight="1">
      <c r="A884" s="112">
        <f t="shared" si="52"/>
        <v>45870</v>
      </c>
      <c r="B884" s="113">
        <v>5</v>
      </c>
      <c r="C884" s="18" t="s">
        <v>10</v>
      </c>
      <c r="D884" s="113" t="str">
        <f>_xlfn.XLOOKUP($C884,'Cost Centers'!$A$2:$A$11,'Cost Centers'!$B$2:$B$11,"")</f>
        <v>Business Development</v>
      </c>
      <c r="E884" s="113" t="s">
        <v>28</v>
      </c>
      <c r="F884" s="113" t="str">
        <f>_xlfn.XLOOKUP(E884,'Allocated Transactions'!D:D,'Allocated Transactions'!E:E,"")</f>
        <v>Salaries and Wages</v>
      </c>
      <c r="G884" s="113" t="s">
        <v>97</v>
      </c>
      <c r="H884" s="113"/>
      <c r="I884" s="113" t="str">
        <f>_xlfn.XLOOKUP($C884,'Cost Centers'!$A$2:$A$11,'Cost Centers'!$C$2:$C$11,"")</f>
        <v>Admin</v>
      </c>
      <c r="J884" s="23">
        <f>MROUND(SUMIFS('Allocated Transactions'!$J:$J,'Allocated Transactions'!$D:$D,$E884,'Allocated Transactions'!$C:$C,$C884,'Allocated Transactions'!$A:$A,"&gt;="&amp;$A884,'Allocated Transactions'!$A:$A,"&lt;="&amp;EOMONTH($A884,0))*0.99,100)</f>
        <v>9900</v>
      </c>
      <c r="K884" s="113" t="s">
        <v>637</v>
      </c>
    </row>
    <row r="885" spans="1:11" ht="15" customHeight="1">
      <c r="A885" s="112">
        <f t="shared" si="52"/>
        <v>45870</v>
      </c>
      <c r="B885" s="113">
        <v>5</v>
      </c>
      <c r="C885" s="18" t="str">
        <f t="shared" ref="C885:C901" si="54">C884</f>
        <v>1050</v>
      </c>
      <c r="D885" s="113" t="str">
        <f>_xlfn.XLOOKUP($C885,'Cost Centers'!$A$2:$A$11,'Cost Centers'!$B$2:$B$11,"")</f>
        <v>Business Development</v>
      </c>
      <c r="E885" s="113" t="s">
        <v>29</v>
      </c>
      <c r="F885" s="113" t="str">
        <f>_xlfn.XLOOKUP(E885,'Allocated Transactions'!D:D,'Allocated Transactions'!E:E,"")</f>
        <v>Payroll Taxes</v>
      </c>
      <c r="G885" s="113" t="s">
        <v>97</v>
      </c>
      <c r="H885" s="113"/>
      <c r="I885" s="113" t="str">
        <f>_xlfn.XLOOKUP($C885,'Cost Centers'!$A$2:$A$11,'Cost Centers'!$C$2:$C$11,"")</f>
        <v>Admin</v>
      </c>
      <c r="J885" s="23">
        <f>MROUND(SUMIFS('Allocated Transactions'!$J:$J,'Allocated Transactions'!$D:$D,$E885,'Allocated Transactions'!$C:$C,$C885,'Allocated Transactions'!$A:$A,"&gt;="&amp;$A885,'Allocated Transactions'!$A:$A,"&lt;="&amp;EOMONTH($A885,0))*0.99,100)</f>
        <v>800</v>
      </c>
      <c r="K885" s="113" t="s">
        <v>637</v>
      </c>
    </row>
    <row r="886" spans="1:11" ht="15" customHeight="1">
      <c r="A886" s="112">
        <f t="shared" si="52"/>
        <v>45870</v>
      </c>
      <c r="B886" s="113">
        <v>5</v>
      </c>
      <c r="C886" s="18" t="str">
        <f t="shared" si="54"/>
        <v>1050</v>
      </c>
      <c r="D886" s="113" t="str">
        <f>_xlfn.XLOOKUP($C886,'Cost Centers'!$A$2:$A$11,'Cost Centers'!$B$2:$B$11,"")</f>
        <v>Business Development</v>
      </c>
      <c r="E886" s="113" t="s">
        <v>30</v>
      </c>
      <c r="F886" s="113" t="str">
        <f>_xlfn.XLOOKUP(E886,'Allocated Transactions'!D:D,'Allocated Transactions'!E:E,"")</f>
        <v>Employee Benefits</v>
      </c>
      <c r="G886" s="113" t="s">
        <v>97</v>
      </c>
      <c r="H886" s="113"/>
      <c r="I886" s="113" t="str">
        <f>_xlfn.XLOOKUP($C886,'Cost Centers'!$A$2:$A$11,'Cost Centers'!$C$2:$C$11,"")</f>
        <v>Admin</v>
      </c>
      <c r="J886" s="23">
        <f>MROUND(SUMIFS('Allocated Transactions'!$J:$J,'Allocated Transactions'!$D:$D,$E886,'Allocated Transactions'!$C:$C,$C886,'Allocated Transactions'!$A:$A,"&gt;="&amp;$A886,'Allocated Transactions'!$A:$A,"&lt;="&amp;EOMONTH($A886,0))*0.99,100)</f>
        <v>2700</v>
      </c>
      <c r="K886" s="113" t="s">
        <v>637</v>
      </c>
    </row>
    <row r="887" spans="1:11" ht="15" customHeight="1">
      <c r="A887" s="112">
        <f t="shared" si="52"/>
        <v>45870</v>
      </c>
      <c r="B887" s="113">
        <v>5</v>
      </c>
      <c r="C887" s="18" t="str">
        <f t="shared" si="54"/>
        <v>1050</v>
      </c>
      <c r="D887" s="113" t="str">
        <f>_xlfn.XLOOKUP($C887,'Cost Centers'!$A$2:$A$11,'Cost Centers'!$B$2:$B$11,"")</f>
        <v>Business Development</v>
      </c>
      <c r="E887" s="113" t="s">
        <v>31</v>
      </c>
      <c r="F887" s="113" t="str">
        <f>_xlfn.XLOOKUP(E887,'Allocated Transactions'!D:D,'Allocated Transactions'!E:E,"")</f>
        <v>Retirement Contributions</v>
      </c>
      <c r="G887" s="113" t="s">
        <v>97</v>
      </c>
      <c r="H887" s="113"/>
      <c r="I887" s="113" t="str">
        <f>_xlfn.XLOOKUP($C887,'Cost Centers'!$A$2:$A$11,'Cost Centers'!$C$2:$C$11,"")</f>
        <v>Admin</v>
      </c>
      <c r="J887" s="23">
        <f>MROUND(SUMIFS('Allocated Transactions'!$J:$J,'Allocated Transactions'!$D:$D,$E887,'Allocated Transactions'!$C:$C,$C887,'Allocated Transactions'!$A:$A,"&gt;="&amp;$A887,'Allocated Transactions'!$A:$A,"&lt;="&amp;EOMONTH($A887,0))*0.99,100)</f>
        <v>300</v>
      </c>
      <c r="K887" s="113" t="s">
        <v>637</v>
      </c>
    </row>
    <row r="888" spans="1:11" ht="15" customHeight="1">
      <c r="A888" s="112">
        <f t="shared" si="52"/>
        <v>45870</v>
      </c>
      <c r="B888" s="113">
        <v>5</v>
      </c>
      <c r="C888" s="18" t="str">
        <f t="shared" si="54"/>
        <v>1050</v>
      </c>
      <c r="D888" s="113" t="str">
        <f>_xlfn.XLOOKUP($C888,'Cost Centers'!$A$2:$A$11,'Cost Centers'!$B$2:$B$11,"")</f>
        <v>Business Development</v>
      </c>
      <c r="E888" s="113" t="s">
        <v>101</v>
      </c>
      <c r="F888" s="113" t="str">
        <f>_xlfn.XLOOKUP(E888,'Allocated Transactions'!D:D,'Allocated Transactions'!E:E,"")</f>
        <v>Contract Labor / Consultants</v>
      </c>
      <c r="G888" s="113" t="s">
        <v>97</v>
      </c>
      <c r="H888" s="113"/>
      <c r="I888" s="113" t="str">
        <f>_xlfn.XLOOKUP($C888,'Cost Centers'!$A$2:$A$11,'Cost Centers'!$C$2:$C$11,"")</f>
        <v>Admin</v>
      </c>
      <c r="J888" s="23">
        <f>MROUND(SUMIFS('Allocated Transactions'!$J:$J,'Allocated Transactions'!$D:$D,$E888,'Allocated Transactions'!$C:$C,$C888,'Allocated Transactions'!$A:$A,"&gt;="&amp;$A888,'Allocated Transactions'!$A:$A,"&lt;="&amp;EOMONTH($A888,0))*0.99,100)</f>
        <v>0</v>
      </c>
      <c r="K888" s="113" t="s">
        <v>637</v>
      </c>
    </row>
    <row r="889" spans="1:11" ht="15" customHeight="1">
      <c r="A889" s="112">
        <f t="shared" si="52"/>
        <v>45870</v>
      </c>
      <c r="B889" s="113">
        <v>5</v>
      </c>
      <c r="C889" s="18" t="str">
        <f t="shared" si="54"/>
        <v>1050</v>
      </c>
      <c r="D889" s="113" t="str">
        <f>_xlfn.XLOOKUP($C889,'Cost Centers'!$A$2:$A$11,'Cost Centers'!$B$2:$B$11,"")</f>
        <v>Business Development</v>
      </c>
      <c r="E889" s="113" t="s">
        <v>32</v>
      </c>
      <c r="F889" s="113" t="str">
        <f>_xlfn.XLOOKUP(E889,'Allocated Transactions'!D:D,'Allocated Transactions'!E:E,"")</f>
        <v>Rent</v>
      </c>
      <c r="G889" s="113" t="s">
        <v>97</v>
      </c>
      <c r="H889" s="113"/>
      <c r="I889" s="113" t="str">
        <f>_xlfn.XLOOKUP($C889,'Cost Centers'!$A$2:$A$11,'Cost Centers'!$C$2:$C$11,"")</f>
        <v>Admin</v>
      </c>
      <c r="J889" s="23">
        <f>MROUND(SUMIFS('Allocated Transactions'!$J:$J,'Allocated Transactions'!$D:$D,$E889,'Allocated Transactions'!$C:$C,$C889,'Allocated Transactions'!$A:$A,"&gt;="&amp;$A889,'Allocated Transactions'!$A:$A,"&lt;="&amp;EOMONTH($A889,0))*0.99,100)</f>
        <v>800</v>
      </c>
      <c r="K889" s="113" t="s">
        <v>637</v>
      </c>
    </row>
    <row r="890" spans="1:11" ht="15" customHeight="1">
      <c r="A890" s="112">
        <f t="shared" si="52"/>
        <v>45870</v>
      </c>
      <c r="B890" s="113">
        <v>5</v>
      </c>
      <c r="C890" s="18" t="str">
        <f t="shared" si="54"/>
        <v>1050</v>
      </c>
      <c r="D890" s="113" t="str">
        <f>_xlfn.XLOOKUP($C890,'Cost Centers'!$A$2:$A$11,'Cost Centers'!$B$2:$B$11,"")</f>
        <v>Business Development</v>
      </c>
      <c r="E890" s="113" t="s">
        <v>33</v>
      </c>
      <c r="F890" s="113" t="str">
        <f>_xlfn.XLOOKUP(E890,'Allocated Transactions'!D:D,'Allocated Transactions'!E:E,"")</f>
        <v>Utilities</v>
      </c>
      <c r="G890" s="113" t="s">
        <v>97</v>
      </c>
      <c r="H890" s="113"/>
      <c r="I890" s="113" t="str">
        <f>_xlfn.XLOOKUP($C890,'Cost Centers'!$A$2:$A$11,'Cost Centers'!$C$2:$C$11,"")</f>
        <v>Admin</v>
      </c>
      <c r="J890" s="23">
        <f>MROUND(SUMIFS('Allocated Transactions'!$J:$J,'Allocated Transactions'!$D:$D,$E890,'Allocated Transactions'!$C:$C,$C890,'Allocated Transactions'!$A:$A,"&gt;="&amp;$A890,'Allocated Transactions'!$A:$A,"&lt;="&amp;EOMONTH($A890,0))*0.99,100)</f>
        <v>100</v>
      </c>
      <c r="K890" s="113" t="s">
        <v>637</v>
      </c>
    </row>
    <row r="891" spans="1:11" ht="15" customHeight="1">
      <c r="A891" s="112">
        <f t="shared" si="52"/>
        <v>45870</v>
      </c>
      <c r="B891" s="113">
        <v>5</v>
      </c>
      <c r="C891" s="18" t="str">
        <f t="shared" si="54"/>
        <v>1050</v>
      </c>
      <c r="D891" s="113" t="str">
        <f>_xlfn.XLOOKUP($C891,'Cost Centers'!$A$2:$A$11,'Cost Centers'!$B$2:$B$11,"")</f>
        <v>Business Development</v>
      </c>
      <c r="E891" s="113" t="s">
        <v>105</v>
      </c>
      <c r="F891" s="113" t="str">
        <f>_xlfn.XLOOKUP(E891,'Allocated Transactions'!D:D,'Allocated Transactions'!E:E,"")</f>
        <v>Office Supplies</v>
      </c>
      <c r="G891" s="113" t="s">
        <v>97</v>
      </c>
      <c r="H891" s="113"/>
      <c r="I891" s="113" t="str">
        <f>_xlfn.XLOOKUP($C891,'Cost Centers'!$A$2:$A$11,'Cost Centers'!$C$2:$C$11,"")</f>
        <v>Admin</v>
      </c>
      <c r="J891" s="23">
        <f>MROUND(SUMIFS('Allocated Transactions'!$J:$J,'Allocated Transactions'!$D:$D,$E891,'Allocated Transactions'!$C:$C,$C891,'Allocated Transactions'!$A:$A,"&gt;="&amp;$A891,'Allocated Transactions'!$A:$A,"&lt;="&amp;EOMONTH($A891,0))*0.99,100)</f>
        <v>1100</v>
      </c>
      <c r="K891" s="113" t="s">
        <v>637</v>
      </c>
    </row>
    <row r="892" spans="1:11" ht="15" customHeight="1">
      <c r="A892" s="112">
        <f t="shared" si="52"/>
        <v>45870</v>
      </c>
      <c r="B892" s="113">
        <v>5</v>
      </c>
      <c r="C892" s="18" t="str">
        <f t="shared" si="54"/>
        <v>1050</v>
      </c>
      <c r="D892" s="113" t="str">
        <f>_xlfn.XLOOKUP($C892,'Cost Centers'!$A$2:$A$11,'Cost Centers'!$B$2:$B$11,"")</f>
        <v>Business Development</v>
      </c>
      <c r="E892" s="113" t="s">
        <v>107</v>
      </c>
      <c r="F892" s="113" t="str">
        <f>_xlfn.XLOOKUP(E892,'Allocated Transactions'!D:D,'Allocated Transactions'!E:E,"")</f>
        <v>Software and Subscriptions</v>
      </c>
      <c r="G892" s="113" t="s">
        <v>97</v>
      </c>
      <c r="H892" s="113"/>
      <c r="I892" s="113" t="str">
        <f>_xlfn.XLOOKUP($C892,'Cost Centers'!$A$2:$A$11,'Cost Centers'!$C$2:$C$11,"")</f>
        <v>Admin</v>
      </c>
      <c r="J892" s="23">
        <f>MROUND(SUMIFS('Allocated Transactions'!$J:$J,'Allocated Transactions'!$D:$D,$E892,'Allocated Transactions'!$C:$C,$C892,'Allocated Transactions'!$A:$A,"&gt;="&amp;$A892,'Allocated Transactions'!$A:$A,"&lt;="&amp;EOMONTH($A892,0))*0.99,100)</f>
        <v>0</v>
      </c>
      <c r="K892" s="113" t="s">
        <v>637</v>
      </c>
    </row>
    <row r="893" spans="1:11" ht="15" customHeight="1">
      <c r="A893" s="112">
        <f t="shared" si="52"/>
        <v>45870</v>
      </c>
      <c r="B893" s="113">
        <v>5</v>
      </c>
      <c r="C893" s="18" t="str">
        <f t="shared" si="54"/>
        <v>1050</v>
      </c>
      <c r="D893" s="113" t="str">
        <f>_xlfn.XLOOKUP($C893,'Cost Centers'!$A$2:$A$11,'Cost Centers'!$B$2:$B$11,"")</f>
        <v>Business Development</v>
      </c>
      <c r="E893" s="113" t="s">
        <v>109</v>
      </c>
      <c r="F893" s="113" t="str">
        <f>_xlfn.XLOOKUP(E893,'Allocated Transactions'!D:D,'Allocated Transactions'!E:E,"")</f>
        <v>Travel</v>
      </c>
      <c r="G893" s="113" t="s">
        <v>97</v>
      </c>
      <c r="H893" s="113"/>
      <c r="I893" s="113" t="str">
        <f>_xlfn.XLOOKUP($C893,'Cost Centers'!$A$2:$A$11,'Cost Centers'!$C$2:$C$11,"")</f>
        <v>Admin</v>
      </c>
      <c r="J893" s="23">
        <f>MROUND(SUMIFS('Allocated Transactions'!$J:$J,'Allocated Transactions'!$D:$D,$E893,'Allocated Transactions'!$C:$C,$C893,'Allocated Transactions'!$A:$A,"&gt;="&amp;$A893,'Allocated Transactions'!$A:$A,"&lt;="&amp;EOMONTH($A893,0))*0.99,100)</f>
        <v>0</v>
      </c>
      <c r="K893" s="113" t="s">
        <v>637</v>
      </c>
    </row>
    <row r="894" spans="1:11" ht="15" customHeight="1">
      <c r="A894" s="112">
        <f t="shared" si="52"/>
        <v>45870</v>
      </c>
      <c r="B894" s="113">
        <v>5</v>
      </c>
      <c r="C894" s="18" t="str">
        <f t="shared" si="54"/>
        <v>1050</v>
      </c>
      <c r="D894" s="113" t="str">
        <f>_xlfn.XLOOKUP($C894,'Cost Centers'!$A$2:$A$11,'Cost Centers'!$B$2:$B$11,"")</f>
        <v>Business Development</v>
      </c>
      <c r="E894" s="113" t="s">
        <v>111</v>
      </c>
      <c r="F894" s="113" t="str">
        <f>_xlfn.XLOOKUP(E894,'Allocated Transactions'!D:D,'Allocated Transactions'!E:E,"")</f>
        <v>Meals and Entertainment</v>
      </c>
      <c r="G894" s="113" t="s">
        <v>97</v>
      </c>
      <c r="H894" s="113"/>
      <c r="I894" s="113" t="str">
        <f>_xlfn.XLOOKUP($C894,'Cost Centers'!$A$2:$A$11,'Cost Centers'!$C$2:$C$11,"")</f>
        <v>Admin</v>
      </c>
      <c r="J894" s="23">
        <f>MROUND(SUMIFS('Allocated Transactions'!$J:$J,'Allocated Transactions'!$D:$D,$E894,'Allocated Transactions'!$C:$C,$C894,'Allocated Transactions'!$A:$A,"&gt;="&amp;$A894,'Allocated Transactions'!$A:$A,"&lt;="&amp;EOMONTH($A894,0))*0.99,100)</f>
        <v>0</v>
      </c>
      <c r="K894" s="113" t="s">
        <v>637</v>
      </c>
    </row>
    <row r="895" spans="1:11" ht="15" customHeight="1">
      <c r="A895" s="112">
        <f t="shared" si="52"/>
        <v>45870</v>
      </c>
      <c r="B895" s="113">
        <v>5</v>
      </c>
      <c r="C895" s="18" t="str">
        <f t="shared" si="54"/>
        <v>1050</v>
      </c>
      <c r="D895" s="113" t="str">
        <f>_xlfn.XLOOKUP($C895,'Cost Centers'!$A$2:$A$11,'Cost Centers'!$B$2:$B$11,"")</f>
        <v>Business Development</v>
      </c>
      <c r="E895" s="113" t="s">
        <v>113</v>
      </c>
      <c r="F895" s="113" t="str">
        <f>_xlfn.XLOOKUP(E895,'Allocated Transactions'!D:D,'Allocated Transactions'!E:E,"")</f>
        <v>Professional Fees - Legal</v>
      </c>
      <c r="G895" s="113" t="s">
        <v>97</v>
      </c>
      <c r="H895" s="113"/>
      <c r="I895" s="113" t="str">
        <f>_xlfn.XLOOKUP($C895,'Cost Centers'!$A$2:$A$11,'Cost Centers'!$C$2:$C$11,"")</f>
        <v>Admin</v>
      </c>
      <c r="J895" s="23">
        <f>MROUND(SUMIFS('Allocated Transactions'!$J:$J,'Allocated Transactions'!$D:$D,$E895,'Allocated Transactions'!$C:$C,$C895,'Allocated Transactions'!$A:$A,"&gt;="&amp;$A895,'Allocated Transactions'!$A:$A,"&lt;="&amp;EOMONTH($A895,0))*0.99,100)</f>
        <v>0</v>
      </c>
      <c r="K895" s="113" t="s">
        <v>637</v>
      </c>
    </row>
    <row r="896" spans="1:11" ht="15" customHeight="1">
      <c r="A896" s="112">
        <f t="shared" si="52"/>
        <v>45870</v>
      </c>
      <c r="B896" s="113">
        <v>5</v>
      </c>
      <c r="C896" s="18" t="str">
        <f t="shared" si="54"/>
        <v>1050</v>
      </c>
      <c r="D896" s="113" t="str">
        <f>_xlfn.XLOOKUP($C896,'Cost Centers'!$A$2:$A$11,'Cost Centers'!$B$2:$B$11,"")</f>
        <v>Business Development</v>
      </c>
      <c r="E896" s="113" t="s">
        <v>115</v>
      </c>
      <c r="F896" s="113" t="str">
        <f>_xlfn.XLOOKUP(E896,'Allocated Transactions'!D:D,'Allocated Transactions'!E:E,"")</f>
        <v>Professional Fees - Accounting/Audit</v>
      </c>
      <c r="G896" s="113" t="s">
        <v>97</v>
      </c>
      <c r="H896" s="113"/>
      <c r="I896" s="113" t="str">
        <f>_xlfn.XLOOKUP($C896,'Cost Centers'!$A$2:$A$11,'Cost Centers'!$C$2:$C$11,"")</f>
        <v>Admin</v>
      </c>
      <c r="J896" s="23">
        <f>MROUND(SUMIFS('Allocated Transactions'!$J:$J,'Allocated Transactions'!$D:$D,$E896,'Allocated Transactions'!$C:$C,$C896,'Allocated Transactions'!$A:$A,"&gt;="&amp;$A896,'Allocated Transactions'!$A:$A,"&lt;="&amp;EOMONTH($A896,0))*0.99,100)</f>
        <v>0</v>
      </c>
      <c r="K896" s="113" t="s">
        <v>637</v>
      </c>
    </row>
    <row r="897" spans="1:11" ht="15" customHeight="1">
      <c r="A897" s="112">
        <f t="shared" si="52"/>
        <v>45870</v>
      </c>
      <c r="B897" s="113">
        <v>5</v>
      </c>
      <c r="C897" s="18" t="str">
        <f t="shared" si="54"/>
        <v>1050</v>
      </c>
      <c r="D897" s="113" t="str">
        <f>_xlfn.XLOOKUP($C897,'Cost Centers'!$A$2:$A$11,'Cost Centers'!$B$2:$B$11,"")</f>
        <v>Business Development</v>
      </c>
      <c r="E897" s="113" t="s">
        <v>117</v>
      </c>
      <c r="F897" s="113" t="str">
        <f>_xlfn.XLOOKUP(E897,'Allocated Transactions'!D:D,'Allocated Transactions'!E:E,"")</f>
        <v>Insurance</v>
      </c>
      <c r="G897" s="113" t="s">
        <v>97</v>
      </c>
      <c r="H897" s="113"/>
      <c r="I897" s="113" t="str">
        <f>_xlfn.XLOOKUP($C897,'Cost Centers'!$A$2:$A$11,'Cost Centers'!$C$2:$C$11,"")</f>
        <v>Admin</v>
      </c>
      <c r="J897" s="23">
        <f>MROUND(SUMIFS('Allocated Transactions'!$J:$J,'Allocated Transactions'!$D:$D,$E897,'Allocated Transactions'!$C:$C,$C897,'Allocated Transactions'!$A:$A,"&gt;="&amp;$A897,'Allocated Transactions'!$A:$A,"&lt;="&amp;EOMONTH($A897,0))*0.99,100)</f>
        <v>600</v>
      </c>
      <c r="K897" s="113" t="s">
        <v>637</v>
      </c>
    </row>
    <row r="898" spans="1:11" ht="15" customHeight="1">
      <c r="A898" s="112">
        <f t="shared" si="52"/>
        <v>45870</v>
      </c>
      <c r="B898" s="113">
        <v>5</v>
      </c>
      <c r="C898" s="18" t="str">
        <f t="shared" si="54"/>
        <v>1050</v>
      </c>
      <c r="D898" s="113" t="str">
        <f>_xlfn.XLOOKUP($C898,'Cost Centers'!$A$2:$A$11,'Cost Centers'!$B$2:$B$11,"")</f>
        <v>Business Development</v>
      </c>
      <c r="E898" s="113" t="s">
        <v>119</v>
      </c>
      <c r="F898" s="113" t="str">
        <f>_xlfn.XLOOKUP(E898,'Allocated Transactions'!D:D,'Allocated Transactions'!E:E,"")</f>
        <v>Depreciation Expense</v>
      </c>
      <c r="G898" s="113" t="s">
        <v>97</v>
      </c>
      <c r="H898" s="113"/>
      <c r="I898" s="113" t="str">
        <f>_xlfn.XLOOKUP($C898,'Cost Centers'!$A$2:$A$11,'Cost Centers'!$C$2:$C$11,"")</f>
        <v>Admin</v>
      </c>
      <c r="J898" s="23">
        <f>MROUND(SUMIFS('Allocated Transactions'!$J:$J,'Allocated Transactions'!$D:$D,$E898,'Allocated Transactions'!$C:$C,$C898,'Allocated Transactions'!$A:$A,"&gt;="&amp;$A898,'Allocated Transactions'!$A:$A,"&lt;="&amp;EOMONTH($A898,0))*0.99,100)</f>
        <v>0</v>
      </c>
      <c r="K898" s="113" t="s">
        <v>637</v>
      </c>
    </row>
    <row r="899" spans="1:11" ht="15" customHeight="1">
      <c r="A899" s="112">
        <f t="shared" si="52"/>
        <v>45870</v>
      </c>
      <c r="B899" s="113">
        <v>5</v>
      </c>
      <c r="C899" s="18" t="str">
        <f t="shared" si="54"/>
        <v>1050</v>
      </c>
      <c r="D899" s="113" t="str">
        <f>_xlfn.XLOOKUP($C899,'Cost Centers'!$A$2:$A$11,'Cost Centers'!$B$2:$B$11,"")</f>
        <v>Business Development</v>
      </c>
      <c r="E899" s="113" t="s">
        <v>121</v>
      </c>
      <c r="F899" s="113" t="str">
        <f>_xlfn.XLOOKUP(E899,'Allocated Transactions'!D:D,'Allocated Transactions'!E:E,"")</f>
        <v>Bank Fees</v>
      </c>
      <c r="G899" s="113" t="s">
        <v>97</v>
      </c>
      <c r="H899" s="113"/>
      <c r="I899" s="113" t="str">
        <f>_xlfn.XLOOKUP($C899,'Cost Centers'!$A$2:$A$11,'Cost Centers'!$C$2:$C$11,"")</f>
        <v>Admin</v>
      </c>
      <c r="J899" s="23">
        <f>MROUND(SUMIFS('Allocated Transactions'!$J:$J,'Allocated Transactions'!$D:$D,$E899,'Allocated Transactions'!$C:$C,$C899,'Allocated Transactions'!$A:$A,"&gt;="&amp;$A899,'Allocated Transactions'!$A:$A,"&lt;="&amp;EOMONTH($A899,0))*0.99,100)</f>
        <v>0</v>
      </c>
      <c r="K899" s="113" t="s">
        <v>637</v>
      </c>
    </row>
    <row r="900" spans="1:11" ht="15" customHeight="1">
      <c r="A900" s="112">
        <f t="shared" si="52"/>
        <v>45870</v>
      </c>
      <c r="B900" s="113">
        <v>5</v>
      </c>
      <c r="C900" s="18" t="str">
        <f t="shared" si="54"/>
        <v>1050</v>
      </c>
      <c r="D900" s="113" t="str">
        <f>_xlfn.XLOOKUP($C900,'Cost Centers'!$A$2:$A$11,'Cost Centers'!$B$2:$B$11,"")</f>
        <v>Business Development</v>
      </c>
      <c r="E900" s="113" t="s">
        <v>123</v>
      </c>
      <c r="F900" s="113" t="str">
        <f>_xlfn.XLOOKUP(E900,'Allocated Transactions'!D:D,'Allocated Transactions'!E:E,"")</f>
        <v>Interest Expense</v>
      </c>
      <c r="G900" s="113" t="s">
        <v>97</v>
      </c>
      <c r="H900" s="113"/>
      <c r="I900" s="113" t="str">
        <f>_xlfn.XLOOKUP($C900,'Cost Centers'!$A$2:$A$11,'Cost Centers'!$C$2:$C$11,"")</f>
        <v>Admin</v>
      </c>
      <c r="J900" s="23">
        <f>MROUND(SUMIFS('Allocated Transactions'!$J:$J,'Allocated Transactions'!$D:$D,$E900,'Allocated Transactions'!$C:$C,$C900,'Allocated Transactions'!$A:$A,"&gt;="&amp;$A900,'Allocated Transactions'!$A:$A,"&lt;="&amp;EOMONTH($A900,0))*0.99,100)</f>
        <v>0</v>
      </c>
      <c r="K900" s="113" t="s">
        <v>637</v>
      </c>
    </row>
    <row r="901" spans="1:11" ht="15" customHeight="1">
      <c r="A901" s="112">
        <f t="shared" si="52"/>
        <v>45870</v>
      </c>
      <c r="B901" s="113">
        <v>5</v>
      </c>
      <c r="C901" s="18" t="str">
        <f t="shared" si="54"/>
        <v>1050</v>
      </c>
      <c r="D901" s="113" t="str">
        <f>_xlfn.XLOOKUP($C901,'Cost Centers'!$A$2:$A$11,'Cost Centers'!$B$2:$B$11,"")</f>
        <v>Business Development</v>
      </c>
      <c r="E901" s="113" t="s">
        <v>125</v>
      </c>
      <c r="F901" s="113" t="str">
        <f>_xlfn.XLOOKUP(E901,'Allocated Transactions'!D:D,'Allocated Transactions'!E:E,"")</f>
        <v>Miscellaneous Expense</v>
      </c>
      <c r="G901" s="113" t="s">
        <v>97</v>
      </c>
      <c r="H901" s="113"/>
      <c r="I901" s="113" t="str">
        <f>_xlfn.XLOOKUP($C901,'Cost Centers'!$A$2:$A$11,'Cost Centers'!$C$2:$C$11,"")</f>
        <v>Admin</v>
      </c>
      <c r="J901" s="23">
        <f>MROUND(SUMIFS('Allocated Transactions'!$J:$J,'Allocated Transactions'!$D:$D,$E901,'Allocated Transactions'!$C:$C,$C901,'Allocated Transactions'!$A:$A,"&gt;="&amp;$A901,'Allocated Transactions'!$A:$A,"&lt;="&amp;EOMONTH($A901,0))*0.99,100)</f>
        <v>0</v>
      </c>
      <c r="K901" s="113" t="s">
        <v>637</v>
      </c>
    </row>
    <row r="902" spans="1:11" ht="15" customHeight="1">
      <c r="A902" s="112">
        <f t="shared" si="52"/>
        <v>45901</v>
      </c>
      <c r="B902" s="113">
        <v>5</v>
      </c>
      <c r="C902" s="18" t="s">
        <v>10</v>
      </c>
      <c r="D902" s="113" t="str">
        <f>_xlfn.XLOOKUP($C902,'Cost Centers'!$A$2:$A$11,'Cost Centers'!$B$2:$B$11,"")</f>
        <v>Business Development</v>
      </c>
      <c r="E902" s="113" t="s">
        <v>28</v>
      </c>
      <c r="F902" s="113" t="str">
        <f>_xlfn.XLOOKUP(E902,'Allocated Transactions'!D:D,'Allocated Transactions'!E:E,"")</f>
        <v>Salaries and Wages</v>
      </c>
      <c r="G902" s="113" t="s">
        <v>97</v>
      </c>
      <c r="H902" s="113"/>
      <c r="I902" s="113" t="str">
        <f>_xlfn.XLOOKUP($C902,'Cost Centers'!$A$2:$A$11,'Cost Centers'!$C$2:$C$11,"")</f>
        <v>Admin</v>
      </c>
      <c r="J902" s="23">
        <f>MROUND(SUMIFS('Allocated Transactions'!$J:$J,'Allocated Transactions'!$D:$D,$E902,'Allocated Transactions'!$C:$C,$C902,'Allocated Transactions'!$A:$A,"&gt;="&amp;$A902,'Allocated Transactions'!$A:$A,"&lt;="&amp;EOMONTH($A902,0))*0.99,100)</f>
        <v>10100</v>
      </c>
      <c r="K902" s="113" t="s">
        <v>637</v>
      </c>
    </row>
    <row r="903" spans="1:11" ht="15" customHeight="1">
      <c r="A903" s="112">
        <f t="shared" si="52"/>
        <v>45901</v>
      </c>
      <c r="B903" s="113">
        <v>5</v>
      </c>
      <c r="C903" s="18" t="str">
        <f t="shared" ref="C903:C919" si="55">C902</f>
        <v>1050</v>
      </c>
      <c r="D903" s="113" t="str">
        <f>_xlfn.XLOOKUP($C903,'Cost Centers'!$A$2:$A$11,'Cost Centers'!$B$2:$B$11,"")</f>
        <v>Business Development</v>
      </c>
      <c r="E903" s="113" t="s">
        <v>29</v>
      </c>
      <c r="F903" s="113" t="str">
        <f>_xlfn.XLOOKUP(E903,'Allocated Transactions'!D:D,'Allocated Transactions'!E:E,"")</f>
        <v>Payroll Taxes</v>
      </c>
      <c r="G903" s="113" t="s">
        <v>97</v>
      </c>
      <c r="H903" s="113"/>
      <c r="I903" s="113" t="str">
        <f>_xlfn.XLOOKUP($C903,'Cost Centers'!$A$2:$A$11,'Cost Centers'!$C$2:$C$11,"")</f>
        <v>Admin</v>
      </c>
      <c r="J903" s="23">
        <f>MROUND(SUMIFS('Allocated Transactions'!$J:$J,'Allocated Transactions'!$D:$D,$E903,'Allocated Transactions'!$C:$C,$C903,'Allocated Transactions'!$A:$A,"&gt;="&amp;$A903,'Allocated Transactions'!$A:$A,"&lt;="&amp;EOMONTH($A903,0))*0.99,100)</f>
        <v>800</v>
      </c>
      <c r="K903" s="113" t="s">
        <v>637</v>
      </c>
    </row>
    <row r="904" spans="1:11" ht="15" customHeight="1">
      <c r="A904" s="112">
        <f t="shared" si="52"/>
        <v>45901</v>
      </c>
      <c r="B904" s="113">
        <v>5</v>
      </c>
      <c r="C904" s="18" t="str">
        <f t="shared" si="55"/>
        <v>1050</v>
      </c>
      <c r="D904" s="113" t="str">
        <f>_xlfn.XLOOKUP($C904,'Cost Centers'!$A$2:$A$11,'Cost Centers'!$B$2:$B$11,"")</f>
        <v>Business Development</v>
      </c>
      <c r="E904" s="113" t="s">
        <v>30</v>
      </c>
      <c r="F904" s="113" t="str">
        <f>_xlfn.XLOOKUP(E904,'Allocated Transactions'!D:D,'Allocated Transactions'!E:E,"")</f>
        <v>Employee Benefits</v>
      </c>
      <c r="G904" s="113" t="s">
        <v>97</v>
      </c>
      <c r="H904" s="113"/>
      <c r="I904" s="113" t="str">
        <f>_xlfn.XLOOKUP($C904,'Cost Centers'!$A$2:$A$11,'Cost Centers'!$C$2:$C$11,"")</f>
        <v>Admin</v>
      </c>
      <c r="J904" s="23">
        <f>MROUND(SUMIFS('Allocated Transactions'!$J:$J,'Allocated Transactions'!$D:$D,$E904,'Allocated Transactions'!$C:$C,$C904,'Allocated Transactions'!$A:$A,"&gt;="&amp;$A904,'Allocated Transactions'!$A:$A,"&lt;="&amp;EOMONTH($A904,0))*0.99,100)</f>
        <v>2800</v>
      </c>
      <c r="K904" s="113" t="s">
        <v>637</v>
      </c>
    </row>
    <row r="905" spans="1:11" ht="15" customHeight="1">
      <c r="A905" s="112">
        <f t="shared" si="52"/>
        <v>45901</v>
      </c>
      <c r="B905" s="113">
        <v>5</v>
      </c>
      <c r="C905" s="18" t="str">
        <f t="shared" si="55"/>
        <v>1050</v>
      </c>
      <c r="D905" s="113" t="str">
        <f>_xlfn.XLOOKUP($C905,'Cost Centers'!$A$2:$A$11,'Cost Centers'!$B$2:$B$11,"")</f>
        <v>Business Development</v>
      </c>
      <c r="E905" s="113" t="s">
        <v>31</v>
      </c>
      <c r="F905" s="113" t="str">
        <f>_xlfn.XLOOKUP(E905,'Allocated Transactions'!D:D,'Allocated Transactions'!E:E,"")</f>
        <v>Retirement Contributions</v>
      </c>
      <c r="G905" s="113" t="s">
        <v>97</v>
      </c>
      <c r="H905" s="113"/>
      <c r="I905" s="113" t="str">
        <f>_xlfn.XLOOKUP($C905,'Cost Centers'!$A$2:$A$11,'Cost Centers'!$C$2:$C$11,"")</f>
        <v>Admin</v>
      </c>
      <c r="J905" s="23">
        <f>MROUND(SUMIFS('Allocated Transactions'!$J:$J,'Allocated Transactions'!$D:$D,$E905,'Allocated Transactions'!$C:$C,$C905,'Allocated Transactions'!$A:$A,"&gt;="&amp;$A905,'Allocated Transactions'!$A:$A,"&lt;="&amp;EOMONTH($A905,0))*0.99,100)</f>
        <v>300</v>
      </c>
      <c r="K905" s="113" t="s">
        <v>637</v>
      </c>
    </row>
    <row r="906" spans="1:11" ht="15" customHeight="1">
      <c r="A906" s="112">
        <f t="shared" si="52"/>
        <v>45901</v>
      </c>
      <c r="B906" s="113">
        <v>5</v>
      </c>
      <c r="C906" s="18" t="str">
        <f t="shared" si="55"/>
        <v>1050</v>
      </c>
      <c r="D906" s="113" t="str">
        <f>_xlfn.XLOOKUP($C906,'Cost Centers'!$A$2:$A$11,'Cost Centers'!$B$2:$B$11,"")</f>
        <v>Business Development</v>
      </c>
      <c r="E906" s="113" t="s">
        <v>101</v>
      </c>
      <c r="F906" s="113" t="str">
        <f>_xlfn.XLOOKUP(E906,'Allocated Transactions'!D:D,'Allocated Transactions'!E:E,"")</f>
        <v>Contract Labor / Consultants</v>
      </c>
      <c r="G906" s="113" t="s">
        <v>97</v>
      </c>
      <c r="H906" s="113"/>
      <c r="I906" s="113" t="str">
        <f>_xlfn.XLOOKUP($C906,'Cost Centers'!$A$2:$A$11,'Cost Centers'!$C$2:$C$11,"")</f>
        <v>Admin</v>
      </c>
      <c r="J906" s="23">
        <f>MROUND(SUMIFS('Allocated Transactions'!$J:$J,'Allocated Transactions'!$D:$D,$E906,'Allocated Transactions'!$C:$C,$C906,'Allocated Transactions'!$A:$A,"&gt;="&amp;$A906,'Allocated Transactions'!$A:$A,"&lt;="&amp;EOMONTH($A906,0))*0.99,100)</f>
        <v>0</v>
      </c>
      <c r="K906" s="113" t="s">
        <v>637</v>
      </c>
    </row>
    <row r="907" spans="1:11" ht="15" customHeight="1">
      <c r="A907" s="112">
        <f t="shared" si="52"/>
        <v>45901</v>
      </c>
      <c r="B907" s="113">
        <v>5</v>
      </c>
      <c r="C907" s="18" t="str">
        <f t="shared" si="55"/>
        <v>1050</v>
      </c>
      <c r="D907" s="113" t="str">
        <f>_xlfn.XLOOKUP($C907,'Cost Centers'!$A$2:$A$11,'Cost Centers'!$B$2:$B$11,"")</f>
        <v>Business Development</v>
      </c>
      <c r="E907" s="113" t="s">
        <v>32</v>
      </c>
      <c r="F907" s="113" t="str">
        <f>_xlfn.XLOOKUP(E907,'Allocated Transactions'!D:D,'Allocated Transactions'!E:E,"")</f>
        <v>Rent</v>
      </c>
      <c r="G907" s="113" t="s">
        <v>97</v>
      </c>
      <c r="H907" s="113"/>
      <c r="I907" s="113" t="str">
        <f>_xlfn.XLOOKUP($C907,'Cost Centers'!$A$2:$A$11,'Cost Centers'!$C$2:$C$11,"")</f>
        <v>Admin</v>
      </c>
      <c r="J907" s="23">
        <f>MROUND(SUMIFS('Allocated Transactions'!$J:$J,'Allocated Transactions'!$D:$D,$E907,'Allocated Transactions'!$C:$C,$C907,'Allocated Transactions'!$A:$A,"&gt;="&amp;$A907,'Allocated Transactions'!$A:$A,"&lt;="&amp;EOMONTH($A907,0))*0.99,100)</f>
        <v>800</v>
      </c>
      <c r="K907" s="113" t="s">
        <v>637</v>
      </c>
    </row>
    <row r="908" spans="1:11" ht="15" customHeight="1">
      <c r="A908" s="112">
        <f t="shared" si="52"/>
        <v>45901</v>
      </c>
      <c r="B908" s="113">
        <v>5</v>
      </c>
      <c r="C908" s="18" t="str">
        <f t="shared" si="55"/>
        <v>1050</v>
      </c>
      <c r="D908" s="113" t="str">
        <f>_xlfn.XLOOKUP($C908,'Cost Centers'!$A$2:$A$11,'Cost Centers'!$B$2:$B$11,"")</f>
        <v>Business Development</v>
      </c>
      <c r="E908" s="113" t="s">
        <v>33</v>
      </c>
      <c r="F908" s="113" t="str">
        <f>_xlfn.XLOOKUP(E908,'Allocated Transactions'!D:D,'Allocated Transactions'!E:E,"")</f>
        <v>Utilities</v>
      </c>
      <c r="G908" s="113" t="s">
        <v>97</v>
      </c>
      <c r="H908" s="113"/>
      <c r="I908" s="113" t="str">
        <f>_xlfn.XLOOKUP($C908,'Cost Centers'!$A$2:$A$11,'Cost Centers'!$C$2:$C$11,"")</f>
        <v>Admin</v>
      </c>
      <c r="J908" s="23">
        <f>MROUND(SUMIFS('Allocated Transactions'!$J:$J,'Allocated Transactions'!$D:$D,$E908,'Allocated Transactions'!$C:$C,$C908,'Allocated Transactions'!$A:$A,"&gt;="&amp;$A908,'Allocated Transactions'!$A:$A,"&lt;="&amp;EOMONTH($A908,0))*0.99,100)</f>
        <v>100</v>
      </c>
      <c r="K908" s="113" t="s">
        <v>637</v>
      </c>
    </row>
    <row r="909" spans="1:11" ht="15" customHeight="1">
      <c r="A909" s="112">
        <f t="shared" si="52"/>
        <v>45901</v>
      </c>
      <c r="B909" s="113">
        <v>5</v>
      </c>
      <c r="C909" s="18" t="str">
        <f t="shared" si="55"/>
        <v>1050</v>
      </c>
      <c r="D909" s="113" t="str">
        <f>_xlfn.XLOOKUP($C909,'Cost Centers'!$A$2:$A$11,'Cost Centers'!$B$2:$B$11,"")</f>
        <v>Business Development</v>
      </c>
      <c r="E909" s="113" t="s">
        <v>105</v>
      </c>
      <c r="F909" s="113" t="str">
        <f>_xlfn.XLOOKUP(E909,'Allocated Transactions'!D:D,'Allocated Transactions'!E:E,"")</f>
        <v>Office Supplies</v>
      </c>
      <c r="G909" s="113" t="s">
        <v>97</v>
      </c>
      <c r="H909" s="113"/>
      <c r="I909" s="113" t="str">
        <f>_xlfn.XLOOKUP($C909,'Cost Centers'!$A$2:$A$11,'Cost Centers'!$C$2:$C$11,"")</f>
        <v>Admin</v>
      </c>
      <c r="J909" s="23">
        <f>MROUND(SUMIFS('Allocated Transactions'!$J:$J,'Allocated Transactions'!$D:$D,$E909,'Allocated Transactions'!$C:$C,$C909,'Allocated Transactions'!$A:$A,"&gt;="&amp;$A909,'Allocated Transactions'!$A:$A,"&lt;="&amp;EOMONTH($A909,0))*0.99,100)</f>
        <v>0</v>
      </c>
      <c r="K909" s="113" t="s">
        <v>637</v>
      </c>
    </row>
    <row r="910" spans="1:11" ht="15" customHeight="1">
      <c r="A910" s="112">
        <f t="shared" si="52"/>
        <v>45901</v>
      </c>
      <c r="B910" s="113">
        <v>5</v>
      </c>
      <c r="C910" s="18" t="str">
        <f t="shared" si="55"/>
        <v>1050</v>
      </c>
      <c r="D910" s="113" t="str">
        <f>_xlfn.XLOOKUP($C910,'Cost Centers'!$A$2:$A$11,'Cost Centers'!$B$2:$B$11,"")</f>
        <v>Business Development</v>
      </c>
      <c r="E910" s="113" t="s">
        <v>107</v>
      </c>
      <c r="F910" s="113" t="str">
        <f>_xlfn.XLOOKUP(E910,'Allocated Transactions'!D:D,'Allocated Transactions'!E:E,"")</f>
        <v>Software and Subscriptions</v>
      </c>
      <c r="G910" s="113" t="s">
        <v>97</v>
      </c>
      <c r="H910" s="113"/>
      <c r="I910" s="113" t="str">
        <f>_xlfn.XLOOKUP($C910,'Cost Centers'!$A$2:$A$11,'Cost Centers'!$C$2:$C$11,"")</f>
        <v>Admin</v>
      </c>
      <c r="J910" s="23">
        <f>MROUND(SUMIFS('Allocated Transactions'!$J:$J,'Allocated Transactions'!$D:$D,$E910,'Allocated Transactions'!$C:$C,$C910,'Allocated Transactions'!$A:$A,"&gt;="&amp;$A910,'Allocated Transactions'!$A:$A,"&lt;="&amp;EOMONTH($A910,0))*0.99,100)</f>
        <v>0</v>
      </c>
      <c r="K910" s="113" t="s">
        <v>637</v>
      </c>
    </row>
    <row r="911" spans="1:11" ht="15" customHeight="1">
      <c r="A911" s="112">
        <f t="shared" si="52"/>
        <v>45901</v>
      </c>
      <c r="B911" s="113">
        <v>5</v>
      </c>
      <c r="C911" s="18" t="str">
        <f t="shared" si="55"/>
        <v>1050</v>
      </c>
      <c r="D911" s="113" t="str">
        <f>_xlfn.XLOOKUP($C911,'Cost Centers'!$A$2:$A$11,'Cost Centers'!$B$2:$B$11,"")</f>
        <v>Business Development</v>
      </c>
      <c r="E911" s="113" t="s">
        <v>109</v>
      </c>
      <c r="F911" s="113" t="str">
        <f>_xlfn.XLOOKUP(E911,'Allocated Transactions'!D:D,'Allocated Transactions'!E:E,"")</f>
        <v>Travel</v>
      </c>
      <c r="G911" s="113" t="s">
        <v>97</v>
      </c>
      <c r="H911" s="113"/>
      <c r="I911" s="113" t="str">
        <f>_xlfn.XLOOKUP($C911,'Cost Centers'!$A$2:$A$11,'Cost Centers'!$C$2:$C$11,"")</f>
        <v>Admin</v>
      </c>
      <c r="J911" s="23">
        <f>MROUND(SUMIFS('Allocated Transactions'!$J:$J,'Allocated Transactions'!$D:$D,$E911,'Allocated Transactions'!$C:$C,$C911,'Allocated Transactions'!$A:$A,"&gt;="&amp;$A911,'Allocated Transactions'!$A:$A,"&lt;="&amp;EOMONTH($A911,0))*0.99,100)</f>
        <v>0</v>
      </c>
      <c r="K911" s="113" t="s">
        <v>637</v>
      </c>
    </row>
    <row r="912" spans="1:11" ht="15" customHeight="1">
      <c r="A912" s="112">
        <f t="shared" si="52"/>
        <v>45901</v>
      </c>
      <c r="B912" s="113">
        <v>5</v>
      </c>
      <c r="C912" s="18" t="str">
        <f t="shared" si="55"/>
        <v>1050</v>
      </c>
      <c r="D912" s="113" t="str">
        <f>_xlfn.XLOOKUP($C912,'Cost Centers'!$A$2:$A$11,'Cost Centers'!$B$2:$B$11,"")</f>
        <v>Business Development</v>
      </c>
      <c r="E912" s="113" t="s">
        <v>111</v>
      </c>
      <c r="F912" s="113" t="str">
        <f>_xlfn.XLOOKUP(E912,'Allocated Transactions'!D:D,'Allocated Transactions'!E:E,"")</f>
        <v>Meals and Entertainment</v>
      </c>
      <c r="G912" s="113" t="s">
        <v>97</v>
      </c>
      <c r="H912" s="113"/>
      <c r="I912" s="113" t="str">
        <f>_xlfn.XLOOKUP($C912,'Cost Centers'!$A$2:$A$11,'Cost Centers'!$C$2:$C$11,"")</f>
        <v>Admin</v>
      </c>
      <c r="J912" s="23">
        <f>MROUND(SUMIFS('Allocated Transactions'!$J:$J,'Allocated Transactions'!$D:$D,$E912,'Allocated Transactions'!$C:$C,$C912,'Allocated Transactions'!$A:$A,"&gt;="&amp;$A912,'Allocated Transactions'!$A:$A,"&lt;="&amp;EOMONTH($A912,0))*0.99,100)</f>
        <v>0</v>
      </c>
      <c r="K912" s="113" t="s">
        <v>637</v>
      </c>
    </row>
    <row r="913" spans="1:11" ht="15" customHeight="1">
      <c r="A913" s="112">
        <f t="shared" si="52"/>
        <v>45901</v>
      </c>
      <c r="B913" s="113">
        <v>5</v>
      </c>
      <c r="C913" s="18" t="str">
        <f t="shared" si="55"/>
        <v>1050</v>
      </c>
      <c r="D913" s="113" t="str">
        <f>_xlfn.XLOOKUP($C913,'Cost Centers'!$A$2:$A$11,'Cost Centers'!$B$2:$B$11,"")</f>
        <v>Business Development</v>
      </c>
      <c r="E913" s="113" t="s">
        <v>113</v>
      </c>
      <c r="F913" s="113" t="str">
        <f>_xlfn.XLOOKUP(E913,'Allocated Transactions'!D:D,'Allocated Transactions'!E:E,"")</f>
        <v>Professional Fees - Legal</v>
      </c>
      <c r="G913" s="113" t="s">
        <v>97</v>
      </c>
      <c r="H913" s="113"/>
      <c r="I913" s="113" t="str">
        <f>_xlfn.XLOOKUP($C913,'Cost Centers'!$A$2:$A$11,'Cost Centers'!$C$2:$C$11,"")</f>
        <v>Admin</v>
      </c>
      <c r="J913" s="23">
        <f>MROUND(SUMIFS('Allocated Transactions'!$J:$J,'Allocated Transactions'!$D:$D,$E913,'Allocated Transactions'!$C:$C,$C913,'Allocated Transactions'!$A:$A,"&gt;="&amp;$A913,'Allocated Transactions'!$A:$A,"&lt;="&amp;EOMONTH($A913,0))*0.99,100)</f>
        <v>0</v>
      </c>
      <c r="K913" s="113" t="s">
        <v>637</v>
      </c>
    </row>
    <row r="914" spans="1:11" ht="15" customHeight="1">
      <c r="A914" s="112">
        <f t="shared" si="52"/>
        <v>45901</v>
      </c>
      <c r="B914" s="113">
        <v>5</v>
      </c>
      <c r="C914" s="18" t="str">
        <f t="shared" si="55"/>
        <v>1050</v>
      </c>
      <c r="D914" s="113" t="str">
        <f>_xlfn.XLOOKUP($C914,'Cost Centers'!$A$2:$A$11,'Cost Centers'!$B$2:$B$11,"")</f>
        <v>Business Development</v>
      </c>
      <c r="E914" s="113" t="s">
        <v>115</v>
      </c>
      <c r="F914" s="113" t="str">
        <f>_xlfn.XLOOKUP(E914,'Allocated Transactions'!D:D,'Allocated Transactions'!E:E,"")</f>
        <v>Professional Fees - Accounting/Audit</v>
      </c>
      <c r="G914" s="113" t="s">
        <v>97</v>
      </c>
      <c r="H914" s="113"/>
      <c r="I914" s="113" t="str">
        <f>_xlfn.XLOOKUP($C914,'Cost Centers'!$A$2:$A$11,'Cost Centers'!$C$2:$C$11,"")</f>
        <v>Admin</v>
      </c>
      <c r="J914" s="23">
        <f>MROUND(SUMIFS('Allocated Transactions'!$J:$J,'Allocated Transactions'!$D:$D,$E914,'Allocated Transactions'!$C:$C,$C914,'Allocated Transactions'!$A:$A,"&gt;="&amp;$A914,'Allocated Transactions'!$A:$A,"&lt;="&amp;EOMONTH($A914,0))*0.99,100)</f>
        <v>0</v>
      </c>
      <c r="K914" s="113" t="s">
        <v>637</v>
      </c>
    </row>
    <row r="915" spans="1:11" ht="15" customHeight="1">
      <c r="A915" s="112">
        <f t="shared" si="52"/>
        <v>45901</v>
      </c>
      <c r="B915" s="113">
        <v>5</v>
      </c>
      <c r="C915" s="18" t="str">
        <f t="shared" si="55"/>
        <v>1050</v>
      </c>
      <c r="D915" s="113" t="str">
        <f>_xlfn.XLOOKUP($C915,'Cost Centers'!$A$2:$A$11,'Cost Centers'!$B$2:$B$11,"")</f>
        <v>Business Development</v>
      </c>
      <c r="E915" s="113" t="s">
        <v>117</v>
      </c>
      <c r="F915" s="113" t="str">
        <f>_xlfn.XLOOKUP(E915,'Allocated Transactions'!D:D,'Allocated Transactions'!E:E,"")</f>
        <v>Insurance</v>
      </c>
      <c r="G915" s="113" t="s">
        <v>97</v>
      </c>
      <c r="H915" s="113"/>
      <c r="I915" s="113" t="str">
        <f>_xlfn.XLOOKUP($C915,'Cost Centers'!$A$2:$A$11,'Cost Centers'!$C$2:$C$11,"")</f>
        <v>Admin</v>
      </c>
      <c r="J915" s="23">
        <f>MROUND(SUMIFS('Allocated Transactions'!$J:$J,'Allocated Transactions'!$D:$D,$E915,'Allocated Transactions'!$C:$C,$C915,'Allocated Transactions'!$A:$A,"&gt;="&amp;$A915,'Allocated Transactions'!$A:$A,"&lt;="&amp;EOMONTH($A915,0))*0.99,100)</f>
        <v>600</v>
      </c>
      <c r="K915" s="113" t="s">
        <v>637</v>
      </c>
    </row>
    <row r="916" spans="1:11" ht="15" customHeight="1">
      <c r="A916" s="112">
        <f t="shared" si="52"/>
        <v>45901</v>
      </c>
      <c r="B916" s="113">
        <v>5</v>
      </c>
      <c r="C916" s="18" t="str">
        <f t="shared" si="55"/>
        <v>1050</v>
      </c>
      <c r="D916" s="113" t="str">
        <f>_xlfn.XLOOKUP($C916,'Cost Centers'!$A$2:$A$11,'Cost Centers'!$B$2:$B$11,"")</f>
        <v>Business Development</v>
      </c>
      <c r="E916" s="113" t="s">
        <v>119</v>
      </c>
      <c r="F916" s="113" t="str">
        <f>_xlfn.XLOOKUP(E916,'Allocated Transactions'!D:D,'Allocated Transactions'!E:E,"")</f>
        <v>Depreciation Expense</v>
      </c>
      <c r="G916" s="113" t="s">
        <v>97</v>
      </c>
      <c r="H916" s="113"/>
      <c r="I916" s="113" t="str">
        <f>_xlfn.XLOOKUP($C916,'Cost Centers'!$A$2:$A$11,'Cost Centers'!$C$2:$C$11,"")</f>
        <v>Admin</v>
      </c>
      <c r="J916" s="23">
        <f>MROUND(SUMIFS('Allocated Transactions'!$J:$J,'Allocated Transactions'!$D:$D,$E916,'Allocated Transactions'!$C:$C,$C916,'Allocated Transactions'!$A:$A,"&gt;="&amp;$A916,'Allocated Transactions'!$A:$A,"&lt;="&amp;EOMONTH($A916,0))*0.99,100)</f>
        <v>0</v>
      </c>
      <c r="K916" s="113" t="s">
        <v>637</v>
      </c>
    </row>
    <row r="917" spans="1:11" ht="15" customHeight="1">
      <c r="A917" s="112">
        <f t="shared" si="52"/>
        <v>45901</v>
      </c>
      <c r="B917" s="113">
        <v>5</v>
      </c>
      <c r="C917" s="18" t="str">
        <f t="shared" si="55"/>
        <v>1050</v>
      </c>
      <c r="D917" s="113" t="str">
        <f>_xlfn.XLOOKUP($C917,'Cost Centers'!$A$2:$A$11,'Cost Centers'!$B$2:$B$11,"")</f>
        <v>Business Development</v>
      </c>
      <c r="E917" s="113" t="s">
        <v>121</v>
      </c>
      <c r="F917" s="113" t="str">
        <f>_xlfn.XLOOKUP(E917,'Allocated Transactions'!D:D,'Allocated Transactions'!E:E,"")</f>
        <v>Bank Fees</v>
      </c>
      <c r="G917" s="113" t="s">
        <v>97</v>
      </c>
      <c r="H917" s="113"/>
      <c r="I917" s="113" t="str">
        <f>_xlfn.XLOOKUP($C917,'Cost Centers'!$A$2:$A$11,'Cost Centers'!$C$2:$C$11,"")</f>
        <v>Admin</v>
      </c>
      <c r="J917" s="23">
        <f>MROUND(SUMIFS('Allocated Transactions'!$J:$J,'Allocated Transactions'!$D:$D,$E917,'Allocated Transactions'!$C:$C,$C917,'Allocated Transactions'!$A:$A,"&gt;="&amp;$A917,'Allocated Transactions'!$A:$A,"&lt;="&amp;EOMONTH($A917,0))*0.99,100)</f>
        <v>0</v>
      </c>
      <c r="K917" s="113" t="s">
        <v>637</v>
      </c>
    </row>
    <row r="918" spans="1:11" ht="15" customHeight="1">
      <c r="A918" s="112">
        <f t="shared" si="52"/>
        <v>45901</v>
      </c>
      <c r="B918" s="113">
        <v>5</v>
      </c>
      <c r="C918" s="18" t="str">
        <f t="shared" si="55"/>
        <v>1050</v>
      </c>
      <c r="D918" s="113" t="str">
        <f>_xlfn.XLOOKUP($C918,'Cost Centers'!$A$2:$A$11,'Cost Centers'!$B$2:$B$11,"")</f>
        <v>Business Development</v>
      </c>
      <c r="E918" s="113" t="s">
        <v>123</v>
      </c>
      <c r="F918" s="113" t="str">
        <f>_xlfn.XLOOKUP(E918,'Allocated Transactions'!D:D,'Allocated Transactions'!E:E,"")</f>
        <v>Interest Expense</v>
      </c>
      <c r="G918" s="113" t="s">
        <v>97</v>
      </c>
      <c r="H918" s="113"/>
      <c r="I918" s="113" t="str">
        <f>_xlfn.XLOOKUP($C918,'Cost Centers'!$A$2:$A$11,'Cost Centers'!$C$2:$C$11,"")</f>
        <v>Admin</v>
      </c>
      <c r="J918" s="23">
        <f>MROUND(SUMIFS('Allocated Transactions'!$J:$J,'Allocated Transactions'!$D:$D,$E918,'Allocated Transactions'!$C:$C,$C918,'Allocated Transactions'!$A:$A,"&gt;="&amp;$A918,'Allocated Transactions'!$A:$A,"&lt;="&amp;EOMONTH($A918,0))*0.99,100)</f>
        <v>0</v>
      </c>
      <c r="K918" s="113" t="s">
        <v>637</v>
      </c>
    </row>
    <row r="919" spans="1:11" ht="15" customHeight="1">
      <c r="A919" s="112">
        <f t="shared" si="52"/>
        <v>45901</v>
      </c>
      <c r="B919" s="113">
        <v>5</v>
      </c>
      <c r="C919" s="18" t="str">
        <f t="shared" si="55"/>
        <v>1050</v>
      </c>
      <c r="D919" s="113" t="str">
        <f>_xlfn.XLOOKUP($C919,'Cost Centers'!$A$2:$A$11,'Cost Centers'!$B$2:$B$11,"")</f>
        <v>Business Development</v>
      </c>
      <c r="E919" s="113" t="s">
        <v>125</v>
      </c>
      <c r="F919" s="113" t="str">
        <f>_xlfn.XLOOKUP(E919,'Allocated Transactions'!D:D,'Allocated Transactions'!E:E,"")</f>
        <v>Miscellaneous Expense</v>
      </c>
      <c r="G919" s="113" t="s">
        <v>97</v>
      </c>
      <c r="H919" s="113"/>
      <c r="I919" s="113" t="str">
        <f>_xlfn.XLOOKUP($C919,'Cost Centers'!$A$2:$A$11,'Cost Centers'!$C$2:$C$11,"")</f>
        <v>Admin</v>
      </c>
      <c r="J919" s="23">
        <f>MROUND(SUMIFS('Allocated Transactions'!$J:$J,'Allocated Transactions'!$D:$D,$E919,'Allocated Transactions'!$C:$C,$C919,'Allocated Transactions'!$A:$A,"&gt;="&amp;$A919,'Allocated Transactions'!$A:$A,"&lt;="&amp;EOMONTH($A919,0))*0.99,100)</f>
        <v>0</v>
      </c>
      <c r="K919" s="113" t="s">
        <v>637</v>
      </c>
    </row>
    <row r="920" spans="1:11" ht="15" customHeight="1">
      <c r="A920" s="112">
        <f t="shared" si="52"/>
        <v>45931</v>
      </c>
      <c r="B920" s="113">
        <v>5</v>
      </c>
      <c r="C920" s="18" t="s">
        <v>10</v>
      </c>
      <c r="D920" s="113" t="str">
        <f>_xlfn.XLOOKUP($C920,'Cost Centers'!$A$2:$A$11,'Cost Centers'!$B$2:$B$11,"")</f>
        <v>Business Development</v>
      </c>
      <c r="E920" s="113" t="s">
        <v>28</v>
      </c>
      <c r="F920" s="113" t="str">
        <f>_xlfn.XLOOKUP(E920,'Allocated Transactions'!D:D,'Allocated Transactions'!E:E,"")</f>
        <v>Salaries and Wages</v>
      </c>
      <c r="G920" s="113" t="s">
        <v>97</v>
      </c>
      <c r="H920" s="113"/>
      <c r="I920" s="113" t="str">
        <f>_xlfn.XLOOKUP($C920,'Cost Centers'!$A$2:$A$11,'Cost Centers'!$C$2:$C$11,"")</f>
        <v>Admin</v>
      </c>
      <c r="J920" s="23">
        <f>MROUND(SUMIFS('Allocated Transactions'!$J:$J,'Allocated Transactions'!$D:$D,$E920,'Allocated Transactions'!$C:$C,$C920,'Allocated Transactions'!$A:$A,"&gt;="&amp;$A920,'Allocated Transactions'!$A:$A,"&lt;="&amp;EOMONTH($A920,0))*0.99,100)</f>
        <v>10200</v>
      </c>
      <c r="K920" s="113" t="s">
        <v>637</v>
      </c>
    </row>
    <row r="921" spans="1:11" ht="15" customHeight="1">
      <c r="A921" s="112">
        <f t="shared" ref="A921:A984" si="56">IF(C921&lt;&gt;C920,DATE(2025,7,1),IF(E921="5000",EOMONTH(A920,0)+1,A920))</f>
        <v>45931</v>
      </c>
      <c r="B921" s="113">
        <v>5</v>
      </c>
      <c r="C921" s="18" t="str">
        <f t="shared" ref="C921:C937" si="57">C920</f>
        <v>1050</v>
      </c>
      <c r="D921" s="113" t="str">
        <f>_xlfn.XLOOKUP($C921,'Cost Centers'!$A$2:$A$11,'Cost Centers'!$B$2:$B$11,"")</f>
        <v>Business Development</v>
      </c>
      <c r="E921" s="113" t="s">
        <v>29</v>
      </c>
      <c r="F921" s="113" t="str">
        <f>_xlfn.XLOOKUP(E921,'Allocated Transactions'!D:D,'Allocated Transactions'!E:E,"")</f>
        <v>Payroll Taxes</v>
      </c>
      <c r="G921" s="113" t="s">
        <v>97</v>
      </c>
      <c r="H921" s="113"/>
      <c r="I921" s="113" t="str">
        <f>_xlfn.XLOOKUP($C921,'Cost Centers'!$A$2:$A$11,'Cost Centers'!$C$2:$C$11,"")</f>
        <v>Admin</v>
      </c>
      <c r="J921" s="23">
        <f>MROUND(SUMIFS('Allocated Transactions'!$J:$J,'Allocated Transactions'!$D:$D,$E921,'Allocated Transactions'!$C:$C,$C921,'Allocated Transactions'!$A:$A,"&gt;="&amp;$A921,'Allocated Transactions'!$A:$A,"&lt;="&amp;EOMONTH($A921,0))*0.99,100)</f>
        <v>800</v>
      </c>
      <c r="K921" s="113" t="s">
        <v>637</v>
      </c>
    </row>
    <row r="922" spans="1:11" ht="15" customHeight="1">
      <c r="A922" s="112">
        <f t="shared" si="56"/>
        <v>45931</v>
      </c>
      <c r="B922" s="113">
        <v>5</v>
      </c>
      <c r="C922" s="18" t="str">
        <f t="shared" si="57"/>
        <v>1050</v>
      </c>
      <c r="D922" s="113" t="str">
        <f>_xlfn.XLOOKUP($C922,'Cost Centers'!$A$2:$A$11,'Cost Centers'!$B$2:$B$11,"")</f>
        <v>Business Development</v>
      </c>
      <c r="E922" s="113" t="s">
        <v>30</v>
      </c>
      <c r="F922" s="113" t="str">
        <f>_xlfn.XLOOKUP(E922,'Allocated Transactions'!D:D,'Allocated Transactions'!E:E,"")</f>
        <v>Employee Benefits</v>
      </c>
      <c r="G922" s="113" t="s">
        <v>97</v>
      </c>
      <c r="H922" s="113"/>
      <c r="I922" s="113" t="str">
        <f>_xlfn.XLOOKUP($C922,'Cost Centers'!$A$2:$A$11,'Cost Centers'!$C$2:$C$11,"")</f>
        <v>Admin</v>
      </c>
      <c r="J922" s="23">
        <f>MROUND(SUMIFS('Allocated Transactions'!$J:$J,'Allocated Transactions'!$D:$D,$E922,'Allocated Transactions'!$C:$C,$C922,'Allocated Transactions'!$A:$A,"&gt;="&amp;$A922,'Allocated Transactions'!$A:$A,"&lt;="&amp;EOMONTH($A922,0))*0.99,100)</f>
        <v>3100</v>
      </c>
      <c r="K922" s="113" t="s">
        <v>637</v>
      </c>
    </row>
    <row r="923" spans="1:11" ht="15" customHeight="1">
      <c r="A923" s="112">
        <f t="shared" si="56"/>
        <v>45931</v>
      </c>
      <c r="B923" s="113">
        <v>5</v>
      </c>
      <c r="C923" s="18" t="str">
        <f t="shared" si="57"/>
        <v>1050</v>
      </c>
      <c r="D923" s="113" t="str">
        <f>_xlfn.XLOOKUP($C923,'Cost Centers'!$A$2:$A$11,'Cost Centers'!$B$2:$B$11,"")</f>
        <v>Business Development</v>
      </c>
      <c r="E923" s="113" t="s">
        <v>31</v>
      </c>
      <c r="F923" s="113" t="str">
        <f>_xlfn.XLOOKUP(E923,'Allocated Transactions'!D:D,'Allocated Transactions'!E:E,"")</f>
        <v>Retirement Contributions</v>
      </c>
      <c r="G923" s="113" t="s">
        <v>97</v>
      </c>
      <c r="H923" s="113"/>
      <c r="I923" s="113" t="str">
        <f>_xlfn.XLOOKUP($C923,'Cost Centers'!$A$2:$A$11,'Cost Centers'!$C$2:$C$11,"")</f>
        <v>Admin</v>
      </c>
      <c r="J923" s="23">
        <f>MROUND(SUMIFS('Allocated Transactions'!$J:$J,'Allocated Transactions'!$D:$D,$E923,'Allocated Transactions'!$C:$C,$C923,'Allocated Transactions'!$A:$A,"&gt;="&amp;$A923,'Allocated Transactions'!$A:$A,"&lt;="&amp;EOMONTH($A923,0))*0.99,100)</f>
        <v>300</v>
      </c>
      <c r="K923" s="113" t="s">
        <v>637</v>
      </c>
    </row>
    <row r="924" spans="1:11" ht="15" customHeight="1">
      <c r="A924" s="112">
        <f t="shared" si="56"/>
        <v>45931</v>
      </c>
      <c r="B924" s="113">
        <v>5</v>
      </c>
      <c r="C924" s="18" t="str">
        <f t="shared" si="57"/>
        <v>1050</v>
      </c>
      <c r="D924" s="113" t="str">
        <f>_xlfn.XLOOKUP($C924,'Cost Centers'!$A$2:$A$11,'Cost Centers'!$B$2:$B$11,"")</f>
        <v>Business Development</v>
      </c>
      <c r="E924" s="113" t="s">
        <v>101</v>
      </c>
      <c r="F924" s="113" t="str">
        <f>_xlfn.XLOOKUP(E924,'Allocated Transactions'!D:D,'Allocated Transactions'!E:E,"")</f>
        <v>Contract Labor / Consultants</v>
      </c>
      <c r="G924" s="113" t="s">
        <v>97</v>
      </c>
      <c r="H924" s="113"/>
      <c r="I924" s="113" t="str">
        <f>_xlfn.XLOOKUP($C924,'Cost Centers'!$A$2:$A$11,'Cost Centers'!$C$2:$C$11,"")</f>
        <v>Admin</v>
      </c>
      <c r="J924" s="23">
        <f>MROUND(SUMIFS('Allocated Transactions'!$J:$J,'Allocated Transactions'!$D:$D,$E924,'Allocated Transactions'!$C:$C,$C924,'Allocated Transactions'!$A:$A,"&gt;="&amp;$A924,'Allocated Transactions'!$A:$A,"&lt;="&amp;EOMONTH($A924,0))*0.99,100)</f>
        <v>0</v>
      </c>
      <c r="K924" s="113" t="s">
        <v>637</v>
      </c>
    </row>
    <row r="925" spans="1:11" ht="15" customHeight="1">
      <c r="A925" s="112">
        <f t="shared" si="56"/>
        <v>45931</v>
      </c>
      <c r="B925" s="113">
        <v>5</v>
      </c>
      <c r="C925" s="18" t="str">
        <f t="shared" si="57"/>
        <v>1050</v>
      </c>
      <c r="D925" s="113" t="str">
        <f>_xlfn.XLOOKUP($C925,'Cost Centers'!$A$2:$A$11,'Cost Centers'!$B$2:$B$11,"")</f>
        <v>Business Development</v>
      </c>
      <c r="E925" s="113" t="s">
        <v>32</v>
      </c>
      <c r="F925" s="113" t="str">
        <f>_xlfn.XLOOKUP(E925,'Allocated Transactions'!D:D,'Allocated Transactions'!E:E,"")</f>
        <v>Rent</v>
      </c>
      <c r="G925" s="113" t="s">
        <v>97</v>
      </c>
      <c r="H925" s="113"/>
      <c r="I925" s="113" t="str">
        <f>_xlfn.XLOOKUP($C925,'Cost Centers'!$A$2:$A$11,'Cost Centers'!$C$2:$C$11,"")</f>
        <v>Admin</v>
      </c>
      <c r="J925" s="23">
        <f>MROUND(SUMIFS('Allocated Transactions'!$J:$J,'Allocated Transactions'!$D:$D,$E925,'Allocated Transactions'!$C:$C,$C925,'Allocated Transactions'!$A:$A,"&gt;="&amp;$A925,'Allocated Transactions'!$A:$A,"&lt;="&amp;EOMONTH($A925,0))*0.99,100)</f>
        <v>800</v>
      </c>
      <c r="K925" s="113" t="s">
        <v>637</v>
      </c>
    </row>
    <row r="926" spans="1:11" ht="15" customHeight="1">
      <c r="A926" s="112">
        <f t="shared" si="56"/>
        <v>45931</v>
      </c>
      <c r="B926" s="113">
        <v>5</v>
      </c>
      <c r="C926" s="18" t="str">
        <f t="shared" si="57"/>
        <v>1050</v>
      </c>
      <c r="D926" s="113" t="str">
        <f>_xlfn.XLOOKUP($C926,'Cost Centers'!$A$2:$A$11,'Cost Centers'!$B$2:$B$11,"")</f>
        <v>Business Development</v>
      </c>
      <c r="E926" s="113" t="s">
        <v>33</v>
      </c>
      <c r="F926" s="113" t="str">
        <f>_xlfn.XLOOKUP(E926,'Allocated Transactions'!D:D,'Allocated Transactions'!E:E,"")</f>
        <v>Utilities</v>
      </c>
      <c r="G926" s="113" t="s">
        <v>97</v>
      </c>
      <c r="H926" s="113"/>
      <c r="I926" s="113" t="str">
        <f>_xlfn.XLOOKUP($C926,'Cost Centers'!$A$2:$A$11,'Cost Centers'!$C$2:$C$11,"")</f>
        <v>Admin</v>
      </c>
      <c r="J926" s="23">
        <f>MROUND(SUMIFS('Allocated Transactions'!$J:$J,'Allocated Transactions'!$D:$D,$E926,'Allocated Transactions'!$C:$C,$C926,'Allocated Transactions'!$A:$A,"&gt;="&amp;$A926,'Allocated Transactions'!$A:$A,"&lt;="&amp;EOMONTH($A926,0))*0.99,100)</f>
        <v>100</v>
      </c>
      <c r="K926" s="113" t="s">
        <v>637</v>
      </c>
    </row>
    <row r="927" spans="1:11" ht="15" customHeight="1">
      <c r="A927" s="112">
        <f t="shared" si="56"/>
        <v>45931</v>
      </c>
      <c r="B927" s="113">
        <v>5</v>
      </c>
      <c r="C927" s="18" t="str">
        <f t="shared" si="57"/>
        <v>1050</v>
      </c>
      <c r="D927" s="113" t="str">
        <f>_xlfn.XLOOKUP($C927,'Cost Centers'!$A$2:$A$11,'Cost Centers'!$B$2:$B$11,"")</f>
        <v>Business Development</v>
      </c>
      <c r="E927" s="113" t="s">
        <v>105</v>
      </c>
      <c r="F927" s="113" t="str">
        <f>_xlfn.XLOOKUP(E927,'Allocated Transactions'!D:D,'Allocated Transactions'!E:E,"")</f>
        <v>Office Supplies</v>
      </c>
      <c r="G927" s="113" t="s">
        <v>97</v>
      </c>
      <c r="H927" s="113"/>
      <c r="I927" s="113" t="str">
        <f>_xlfn.XLOOKUP($C927,'Cost Centers'!$A$2:$A$11,'Cost Centers'!$C$2:$C$11,"")</f>
        <v>Admin</v>
      </c>
      <c r="J927" s="23">
        <f>MROUND(SUMIFS('Allocated Transactions'!$J:$J,'Allocated Transactions'!$D:$D,$E927,'Allocated Transactions'!$C:$C,$C927,'Allocated Transactions'!$A:$A,"&gt;="&amp;$A927,'Allocated Transactions'!$A:$A,"&lt;="&amp;EOMONTH($A927,0))*0.99,100)</f>
        <v>0</v>
      </c>
      <c r="K927" s="113" t="s">
        <v>637</v>
      </c>
    </row>
    <row r="928" spans="1:11" ht="15" customHeight="1">
      <c r="A928" s="112">
        <f t="shared" si="56"/>
        <v>45931</v>
      </c>
      <c r="B928" s="113">
        <v>5</v>
      </c>
      <c r="C928" s="18" t="str">
        <f t="shared" si="57"/>
        <v>1050</v>
      </c>
      <c r="D928" s="113" t="str">
        <f>_xlfn.XLOOKUP($C928,'Cost Centers'!$A$2:$A$11,'Cost Centers'!$B$2:$B$11,"")</f>
        <v>Business Development</v>
      </c>
      <c r="E928" s="113" t="s">
        <v>107</v>
      </c>
      <c r="F928" s="113" t="str">
        <f>_xlfn.XLOOKUP(E928,'Allocated Transactions'!D:D,'Allocated Transactions'!E:E,"")</f>
        <v>Software and Subscriptions</v>
      </c>
      <c r="G928" s="113" t="s">
        <v>97</v>
      </c>
      <c r="H928" s="113"/>
      <c r="I928" s="113" t="str">
        <f>_xlfn.XLOOKUP($C928,'Cost Centers'!$A$2:$A$11,'Cost Centers'!$C$2:$C$11,"")</f>
        <v>Admin</v>
      </c>
      <c r="J928" s="23">
        <f>MROUND(SUMIFS('Allocated Transactions'!$J:$J,'Allocated Transactions'!$D:$D,$E928,'Allocated Transactions'!$C:$C,$C928,'Allocated Transactions'!$A:$A,"&gt;="&amp;$A928,'Allocated Transactions'!$A:$A,"&lt;="&amp;EOMONTH($A928,0))*0.99,100)</f>
        <v>0</v>
      </c>
      <c r="K928" s="113" t="s">
        <v>637</v>
      </c>
    </row>
    <row r="929" spans="1:11" ht="15" customHeight="1">
      <c r="A929" s="112">
        <f t="shared" si="56"/>
        <v>45931</v>
      </c>
      <c r="B929" s="113">
        <v>5</v>
      </c>
      <c r="C929" s="18" t="str">
        <f t="shared" si="57"/>
        <v>1050</v>
      </c>
      <c r="D929" s="113" t="str">
        <f>_xlfn.XLOOKUP($C929,'Cost Centers'!$A$2:$A$11,'Cost Centers'!$B$2:$B$11,"")</f>
        <v>Business Development</v>
      </c>
      <c r="E929" s="113" t="s">
        <v>109</v>
      </c>
      <c r="F929" s="113" t="str">
        <f>_xlfn.XLOOKUP(E929,'Allocated Transactions'!D:D,'Allocated Transactions'!E:E,"")</f>
        <v>Travel</v>
      </c>
      <c r="G929" s="113" t="s">
        <v>97</v>
      </c>
      <c r="H929" s="113"/>
      <c r="I929" s="113" t="str">
        <f>_xlfn.XLOOKUP($C929,'Cost Centers'!$A$2:$A$11,'Cost Centers'!$C$2:$C$11,"")</f>
        <v>Admin</v>
      </c>
      <c r="J929" s="23">
        <f>MROUND(SUMIFS('Allocated Transactions'!$J:$J,'Allocated Transactions'!$D:$D,$E929,'Allocated Transactions'!$C:$C,$C929,'Allocated Transactions'!$A:$A,"&gt;="&amp;$A929,'Allocated Transactions'!$A:$A,"&lt;="&amp;EOMONTH($A929,0))*0.99,100)</f>
        <v>0</v>
      </c>
      <c r="K929" s="113" t="s">
        <v>637</v>
      </c>
    </row>
    <row r="930" spans="1:11" ht="15" customHeight="1">
      <c r="A930" s="112">
        <f t="shared" si="56"/>
        <v>45931</v>
      </c>
      <c r="B930" s="113">
        <v>5</v>
      </c>
      <c r="C930" s="18" t="str">
        <f t="shared" si="57"/>
        <v>1050</v>
      </c>
      <c r="D930" s="113" t="str">
        <f>_xlfn.XLOOKUP($C930,'Cost Centers'!$A$2:$A$11,'Cost Centers'!$B$2:$B$11,"")</f>
        <v>Business Development</v>
      </c>
      <c r="E930" s="113" t="s">
        <v>111</v>
      </c>
      <c r="F930" s="113" t="str">
        <f>_xlfn.XLOOKUP(E930,'Allocated Transactions'!D:D,'Allocated Transactions'!E:E,"")</f>
        <v>Meals and Entertainment</v>
      </c>
      <c r="G930" s="113" t="s">
        <v>97</v>
      </c>
      <c r="H930" s="113"/>
      <c r="I930" s="113" t="str">
        <f>_xlfn.XLOOKUP($C930,'Cost Centers'!$A$2:$A$11,'Cost Centers'!$C$2:$C$11,"")</f>
        <v>Admin</v>
      </c>
      <c r="J930" s="23">
        <f>MROUND(SUMIFS('Allocated Transactions'!$J:$J,'Allocated Transactions'!$D:$D,$E930,'Allocated Transactions'!$C:$C,$C930,'Allocated Transactions'!$A:$A,"&gt;="&amp;$A930,'Allocated Transactions'!$A:$A,"&lt;="&amp;EOMONTH($A930,0))*0.99,100)</f>
        <v>0</v>
      </c>
      <c r="K930" s="113" t="s">
        <v>637</v>
      </c>
    </row>
    <row r="931" spans="1:11" ht="15" customHeight="1">
      <c r="A931" s="112">
        <f t="shared" si="56"/>
        <v>45931</v>
      </c>
      <c r="B931" s="113">
        <v>5</v>
      </c>
      <c r="C931" s="18" t="str">
        <f t="shared" si="57"/>
        <v>1050</v>
      </c>
      <c r="D931" s="113" t="str">
        <f>_xlfn.XLOOKUP($C931,'Cost Centers'!$A$2:$A$11,'Cost Centers'!$B$2:$B$11,"")</f>
        <v>Business Development</v>
      </c>
      <c r="E931" s="113" t="s">
        <v>113</v>
      </c>
      <c r="F931" s="113" t="str">
        <f>_xlfn.XLOOKUP(E931,'Allocated Transactions'!D:D,'Allocated Transactions'!E:E,"")</f>
        <v>Professional Fees - Legal</v>
      </c>
      <c r="G931" s="113" t="s">
        <v>97</v>
      </c>
      <c r="H931" s="113"/>
      <c r="I931" s="113" t="str">
        <f>_xlfn.XLOOKUP($C931,'Cost Centers'!$A$2:$A$11,'Cost Centers'!$C$2:$C$11,"")</f>
        <v>Admin</v>
      </c>
      <c r="J931" s="23">
        <f>MROUND(SUMIFS('Allocated Transactions'!$J:$J,'Allocated Transactions'!$D:$D,$E931,'Allocated Transactions'!$C:$C,$C931,'Allocated Transactions'!$A:$A,"&gt;="&amp;$A931,'Allocated Transactions'!$A:$A,"&lt;="&amp;EOMONTH($A931,0))*0.99,100)</f>
        <v>0</v>
      </c>
      <c r="K931" s="113" t="s">
        <v>637</v>
      </c>
    </row>
    <row r="932" spans="1:11" ht="15" customHeight="1">
      <c r="A932" s="112">
        <f t="shared" si="56"/>
        <v>45931</v>
      </c>
      <c r="B932" s="113">
        <v>5</v>
      </c>
      <c r="C932" s="18" t="str">
        <f t="shared" si="57"/>
        <v>1050</v>
      </c>
      <c r="D932" s="113" t="str">
        <f>_xlfn.XLOOKUP($C932,'Cost Centers'!$A$2:$A$11,'Cost Centers'!$B$2:$B$11,"")</f>
        <v>Business Development</v>
      </c>
      <c r="E932" s="113" t="s">
        <v>115</v>
      </c>
      <c r="F932" s="113" t="str">
        <f>_xlfn.XLOOKUP(E932,'Allocated Transactions'!D:D,'Allocated Transactions'!E:E,"")</f>
        <v>Professional Fees - Accounting/Audit</v>
      </c>
      <c r="G932" s="113" t="s">
        <v>97</v>
      </c>
      <c r="H932" s="113"/>
      <c r="I932" s="113" t="str">
        <f>_xlfn.XLOOKUP($C932,'Cost Centers'!$A$2:$A$11,'Cost Centers'!$C$2:$C$11,"")</f>
        <v>Admin</v>
      </c>
      <c r="J932" s="23">
        <f>MROUND(SUMIFS('Allocated Transactions'!$J:$J,'Allocated Transactions'!$D:$D,$E932,'Allocated Transactions'!$C:$C,$C932,'Allocated Transactions'!$A:$A,"&gt;="&amp;$A932,'Allocated Transactions'!$A:$A,"&lt;="&amp;EOMONTH($A932,0))*0.99,100)</f>
        <v>0</v>
      </c>
      <c r="K932" s="113" t="s">
        <v>637</v>
      </c>
    </row>
    <row r="933" spans="1:11" ht="15" customHeight="1">
      <c r="A933" s="112">
        <f t="shared" si="56"/>
        <v>45931</v>
      </c>
      <c r="B933" s="113">
        <v>5</v>
      </c>
      <c r="C933" s="18" t="str">
        <f t="shared" si="57"/>
        <v>1050</v>
      </c>
      <c r="D933" s="113" t="str">
        <f>_xlfn.XLOOKUP($C933,'Cost Centers'!$A$2:$A$11,'Cost Centers'!$B$2:$B$11,"")</f>
        <v>Business Development</v>
      </c>
      <c r="E933" s="113" t="s">
        <v>117</v>
      </c>
      <c r="F933" s="113" t="str">
        <f>_xlfn.XLOOKUP(E933,'Allocated Transactions'!D:D,'Allocated Transactions'!E:E,"")</f>
        <v>Insurance</v>
      </c>
      <c r="G933" s="113" t="s">
        <v>97</v>
      </c>
      <c r="H933" s="113"/>
      <c r="I933" s="113" t="str">
        <f>_xlfn.XLOOKUP($C933,'Cost Centers'!$A$2:$A$11,'Cost Centers'!$C$2:$C$11,"")</f>
        <v>Admin</v>
      </c>
      <c r="J933" s="23">
        <f>MROUND(SUMIFS('Allocated Transactions'!$J:$J,'Allocated Transactions'!$D:$D,$E933,'Allocated Transactions'!$C:$C,$C933,'Allocated Transactions'!$A:$A,"&gt;="&amp;$A933,'Allocated Transactions'!$A:$A,"&lt;="&amp;EOMONTH($A933,0))*0.99,100)</f>
        <v>600</v>
      </c>
      <c r="K933" s="113" t="s">
        <v>637</v>
      </c>
    </row>
    <row r="934" spans="1:11" ht="15" customHeight="1">
      <c r="A934" s="112">
        <f t="shared" si="56"/>
        <v>45931</v>
      </c>
      <c r="B934" s="113">
        <v>5</v>
      </c>
      <c r="C934" s="18" t="str">
        <f t="shared" si="57"/>
        <v>1050</v>
      </c>
      <c r="D934" s="113" t="str">
        <f>_xlfn.XLOOKUP($C934,'Cost Centers'!$A$2:$A$11,'Cost Centers'!$B$2:$B$11,"")</f>
        <v>Business Development</v>
      </c>
      <c r="E934" s="113" t="s">
        <v>119</v>
      </c>
      <c r="F934" s="113" t="str">
        <f>_xlfn.XLOOKUP(E934,'Allocated Transactions'!D:D,'Allocated Transactions'!E:E,"")</f>
        <v>Depreciation Expense</v>
      </c>
      <c r="G934" s="113" t="s">
        <v>97</v>
      </c>
      <c r="H934" s="113"/>
      <c r="I934" s="113" t="str">
        <f>_xlfn.XLOOKUP($C934,'Cost Centers'!$A$2:$A$11,'Cost Centers'!$C$2:$C$11,"")</f>
        <v>Admin</v>
      </c>
      <c r="J934" s="23">
        <f>MROUND(SUMIFS('Allocated Transactions'!$J:$J,'Allocated Transactions'!$D:$D,$E934,'Allocated Transactions'!$C:$C,$C934,'Allocated Transactions'!$A:$A,"&gt;="&amp;$A934,'Allocated Transactions'!$A:$A,"&lt;="&amp;EOMONTH($A934,0))*0.99,100)</f>
        <v>0</v>
      </c>
      <c r="K934" s="113" t="s">
        <v>637</v>
      </c>
    </row>
    <row r="935" spans="1:11" ht="15" customHeight="1">
      <c r="A935" s="112">
        <f t="shared" si="56"/>
        <v>45931</v>
      </c>
      <c r="B935" s="113">
        <v>5</v>
      </c>
      <c r="C935" s="18" t="str">
        <f t="shared" si="57"/>
        <v>1050</v>
      </c>
      <c r="D935" s="113" t="str">
        <f>_xlfn.XLOOKUP($C935,'Cost Centers'!$A$2:$A$11,'Cost Centers'!$B$2:$B$11,"")</f>
        <v>Business Development</v>
      </c>
      <c r="E935" s="113" t="s">
        <v>121</v>
      </c>
      <c r="F935" s="113" t="str">
        <f>_xlfn.XLOOKUP(E935,'Allocated Transactions'!D:D,'Allocated Transactions'!E:E,"")</f>
        <v>Bank Fees</v>
      </c>
      <c r="G935" s="113" t="s">
        <v>97</v>
      </c>
      <c r="H935" s="113"/>
      <c r="I935" s="113" t="str">
        <f>_xlfn.XLOOKUP($C935,'Cost Centers'!$A$2:$A$11,'Cost Centers'!$C$2:$C$11,"")</f>
        <v>Admin</v>
      </c>
      <c r="J935" s="23">
        <f>MROUND(SUMIFS('Allocated Transactions'!$J:$J,'Allocated Transactions'!$D:$D,$E935,'Allocated Transactions'!$C:$C,$C935,'Allocated Transactions'!$A:$A,"&gt;="&amp;$A935,'Allocated Transactions'!$A:$A,"&lt;="&amp;EOMONTH($A935,0))*0.99,100)</f>
        <v>0</v>
      </c>
      <c r="K935" s="113" t="s">
        <v>637</v>
      </c>
    </row>
    <row r="936" spans="1:11" ht="15" customHeight="1">
      <c r="A936" s="112">
        <f t="shared" si="56"/>
        <v>45931</v>
      </c>
      <c r="B936" s="113">
        <v>5</v>
      </c>
      <c r="C936" s="18" t="str">
        <f t="shared" si="57"/>
        <v>1050</v>
      </c>
      <c r="D936" s="113" t="str">
        <f>_xlfn.XLOOKUP($C936,'Cost Centers'!$A$2:$A$11,'Cost Centers'!$B$2:$B$11,"")</f>
        <v>Business Development</v>
      </c>
      <c r="E936" s="113" t="s">
        <v>123</v>
      </c>
      <c r="F936" s="113" t="str">
        <f>_xlfn.XLOOKUP(E936,'Allocated Transactions'!D:D,'Allocated Transactions'!E:E,"")</f>
        <v>Interest Expense</v>
      </c>
      <c r="G936" s="113" t="s">
        <v>97</v>
      </c>
      <c r="H936" s="113"/>
      <c r="I936" s="113" t="str">
        <f>_xlfn.XLOOKUP($C936,'Cost Centers'!$A$2:$A$11,'Cost Centers'!$C$2:$C$11,"")</f>
        <v>Admin</v>
      </c>
      <c r="J936" s="23">
        <f>MROUND(SUMIFS('Allocated Transactions'!$J:$J,'Allocated Transactions'!$D:$D,$E936,'Allocated Transactions'!$C:$C,$C936,'Allocated Transactions'!$A:$A,"&gt;="&amp;$A936,'Allocated Transactions'!$A:$A,"&lt;="&amp;EOMONTH($A936,0))*0.99,100)</f>
        <v>0</v>
      </c>
      <c r="K936" s="113" t="s">
        <v>637</v>
      </c>
    </row>
    <row r="937" spans="1:11" ht="15" customHeight="1">
      <c r="A937" s="112">
        <f t="shared" si="56"/>
        <v>45931</v>
      </c>
      <c r="B937" s="113">
        <v>5</v>
      </c>
      <c r="C937" s="18" t="str">
        <f t="shared" si="57"/>
        <v>1050</v>
      </c>
      <c r="D937" s="113" t="str">
        <f>_xlfn.XLOOKUP($C937,'Cost Centers'!$A$2:$A$11,'Cost Centers'!$B$2:$B$11,"")</f>
        <v>Business Development</v>
      </c>
      <c r="E937" s="113" t="s">
        <v>125</v>
      </c>
      <c r="F937" s="113" t="str">
        <f>_xlfn.XLOOKUP(E937,'Allocated Transactions'!D:D,'Allocated Transactions'!E:E,"")</f>
        <v>Miscellaneous Expense</v>
      </c>
      <c r="G937" s="113" t="s">
        <v>97</v>
      </c>
      <c r="H937" s="113"/>
      <c r="I937" s="113" t="str">
        <f>_xlfn.XLOOKUP($C937,'Cost Centers'!$A$2:$A$11,'Cost Centers'!$C$2:$C$11,"")</f>
        <v>Admin</v>
      </c>
      <c r="J937" s="23">
        <f>MROUND(SUMIFS('Allocated Transactions'!$J:$J,'Allocated Transactions'!$D:$D,$E937,'Allocated Transactions'!$C:$C,$C937,'Allocated Transactions'!$A:$A,"&gt;="&amp;$A937,'Allocated Transactions'!$A:$A,"&lt;="&amp;EOMONTH($A937,0))*0.99,100)</f>
        <v>0</v>
      </c>
      <c r="K937" s="113" t="s">
        <v>637</v>
      </c>
    </row>
    <row r="938" spans="1:11" ht="15" customHeight="1">
      <c r="A938" s="112">
        <f t="shared" si="56"/>
        <v>45962</v>
      </c>
      <c r="B938" s="113">
        <v>5</v>
      </c>
      <c r="C938" s="18" t="s">
        <v>10</v>
      </c>
      <c r="D938" s="113" t="str">
        <f>_xlfn.XLOOKUP($C938,'Cost Centers'!$A$2:$A$11,'Cost Centers'!$B$2:$B$11,"")</f>
        <v>Business Development</v>
      </c>
      <c r="E938" s="113" t="s">
        <v>28</v>
      </c>
      <c r="F938" s="113" t="str">
        <f>_xlfn.XLOOKUP(E938,'Allocated Transactions'!D:D,'Allocated Transactions'!E:E,"")</f>
        <v>Salaries and Wages</v>
      </c>
      <c r="G938" s="113" t="s">
        <v>97</v>
      </c>
      <c r="H938" s="113"/>
      <c r="I938" s="113" t="str">
        <f>_xlfn.XLOOKUP($C938,'Cost Centers'!$A$2:$A$11,'Cost Centers'!$C$2:$C$11,"")</f>
        <v>Admin</v>
      </c>
      <c r="J938" s="23">
        <f>MROUND(SUMIFS('Allocated Transactions'!$J:$J,'Allocated Transactions'!$D:$D,$E938,'Allocated Transactions'!$C:$C,$C938,'Allocated Transactions'!$A:$A,"&gt;="&amp;$A938,'Allocated Transactions'!$A:$A,"&lt;="&amp;EOMONTH($A938,0))*0.99,100)</f>
        <v>9500</v>
      </c>
      <c r="K938" s="113" t="s">
        <v>637</v>
      </c>
    </row>
    <row r="939" spans="1:11" ht="15" customHeight="1">
      <c r="A939" s="112">
        <f t="shared" si="56"/>
        <v>45962</v>
      </c>
      <c r="B939" s="113">
        <v>5</v>
      </c>
      <c r="C939" s="18" t="str">
        <f t="shared" ref="C939:C955" si="58">C938</f>
        <v>1050</v>
      </c>
      <c r="D939" s="113" t="str">
        <f>_xlfn.XLOOKUP($C939,'Cost Centers'!$A$2:$A$11,'Cost Centers'!$B$2:$B$11,"")</f>
        <v>Business Development</v>
      </c>
      <c r="E939" s="113" t="s">
        <v>29</v>
      </c>
      <c r="F939" s="113" t="str">
        <f>_xlfn.XLOOKUP(E939,'Allocated Transactions'!D:D,'Allocated Transactions'!E:E,"")</f>
        <v>Payroll Taxes</v>
      </c>
      <c r="G939" s="113" t="s">
        <v>97</v>
      </c>
      <c r="H939" s="113"/>
      <c r="I939" s="113" t="str">
        <f>_xlfn.XLOOKUP($C939,'Cost Centers'!$A$2:$A$11,'Cost Centers'!$C$2:$C$11,"")</f>
        <v>Admin</v>
      </c>
      <c r="J939" s="23">
        <f>MROUND(SUMIFS('Allocated Transactions'!$J:$J,'Allocated Transactions'!$D:$D,$E939,'Allocated Transactions'!$C:$C,$C939,'Allocated Transactions'!$A:$A,"&gt;="&amp;$A939,'Allocated Transactions'!$A:$A,"&lt;="&amp;EOMONTH($A939,0))*0.99,100)</f>
        <v>700</v>
      </c>
      <c r="K939" s="113" t="s">
        <v>637</v>
      </c>
    </row>
    <row r="940" spans="1:11" ht="15" customHeight="1">
      <c r="A940" s="112">
        <f t="shared" si="56"/>
        <v>45962</v>
      </c>
      <c r="B940" s="113">
        <v>5</v>
      </c>
      <c r="C940" s="18" t="str">
        <f t="shared" si="58"/>
        <v>1050</v>
      </c>
      <c r="D940" s="113" t="str">
        <f>_xlfn.XLOOKUP($C940,'Cost Centers'!$A$2:$A$11,'Cost Centers'!$B$2:$B$11,"")</f>
        <v>Business Development</v>
      </c>
      <c r="E940" s="113" t="s">
        <v>30</v>
      </c>
      <c r="F940" s="113" t="str">
        <f>_xlfn.XLOOKUP(E940,'Allocated Transactions'!D:D,'Allocated Transactions'!E:E,"")</f>
        <v>Employee Benefits</v>
      </c>
      <c r="G940" s="113" t="s">
        <v>97</v>
      </c>
      <c r="H940" s="113"/>
      <c r="I940" s="113" t="str">
        <f>_xlfn.XLOOKUP($C940,'Cost Centers'!$A$2:$A$11,'Cost Centers'!$C$2:$C$11,"")</f>
        <v>Admin</v>
      </c>
      <c r="J940" s="23">
        <f>MROUND(SUMIFS('Allocated Transactions'!$J:$J,'Allocated Transactions'!$D:$D,$E940,'Allocated Transactions'!$C:$C,$C940,'Allocated Transactions'!$A:$A,"&gt;="&amp;$A940,'Allocated Transactions'!$A:$A,"&lt;="&amp;EOMONTH($A940,0))*0.99,100)</f>
        <v>3500</v>
      </c>
      <c r="K940" s="113" t="s">
        <v>637</v>
      </c>
    </row>
    <row r="941" spans="1:11" ht="15" customHeight="1">
      <c r="A941" s="112">
        <f t="shared" si="56"/>
        <v>45962</v>
      </c>
      <c r="B941" s="113">
        <v>5</v>
      </c>
      <c r="C941" s="18" t="str">
        <f t="shared" si="58"/>
        <v>1050</v>
      </c>
      <c r="D941" s="113" t="str">
        <f>_xlfn.XLOOKUP($C941,'Cost Centers'!$A$2:$A$11,'Cost Centers'!$B$2:$B$11,"")</f>
        <v>Business Development</v>
      </c>
      <c r="E941" s="113" t="s">
        <v>31</v>
      </c>
      <c r="F941" s="113" t="str">
        <f>_xlfn.XLOOKUP(E941,'Allocated Transactions'!D:D,'Allocated Transactions'!E:E,"")</f>
        <v>Retirement Contributions</v>
      </c>
      <c r="G941" s="113" t="s">
        <v>97</v>
      </c>
      <c r="H941" s="113"/>
      <c r="I941" s="113" t="str">
        <f>_xlfn.XLOOKUP($C941,'Cost Centers'!$A$2:$A$11,'Cost Centers'!$C$2:$C$11,"")</f>
        <v>Admin</v>
      </c>
      <c r="J941" s="23">
        <f>MROUND(SUMIFS('Allocated Transactions'!$J:$J,'Allocated Transactions'!$D:$D,$E941,'Allocated Transactions'!$C:$C,$C941,'Allocated Transactions'!$A:$A,"&gt;="&amp;$A941,'Allocated Transactions'!$A:$A,"&lt;="&amp;EOMONTH($A941,0))*0.99,100)</f>
        <v>300</v>
      </c>
      <c r="K941" s="113" t="s">
        <v>637</v>
      </c>
    </row>
    <row r="942" spans="1:11" ht="15" customHeight="1">
      <c r="A942" s="112">
        <f t="shared" si="56"/>
        <v>45962</v>
      </c>
      <c r="B942" s="113">
        <v>5</v>
      </c>
      <c r="C942" s="18" t="str">
        <f t="shared" si="58"/>
        <v>1050</v>
      </c>
      <c r="D942" s="113" t="str">
        <f>_xlfn.XLOOKUP($C942,'Cost Centers'!$A$2:$A$11,'Cost Centers'!$B$2:$B$11,"")</f>
        <v>Business Development</v>
      </c>
      <c r="E942" s="113" t="s">
        <v>101</v>
      </c>
      <c r="F942" s="113" t="str">
        <f>_xlfn.XLOOKUP(E942,'Allocated Transactions'!D:D,'Allocated Transactions'!E:E,"")</f>
        <v>Contract Labor / Consultants</v>
      </c>
      <c r="G942" s="113" t="s">
        <v>97</v>
      </c>
      <c r="H942" s="113"/>
      <c r="I942" s="113" t="str">
        <f>_xlfn.XLOOKUP($C942,'Cost Centers'!$A$2:$A$11,'Cost Centers'!$C$2:$C$11,"")</f>
        <v>Admin</v>
      </c>
      <c r="J942" s="23">
        <f>MROUND(SUMIFS('Allocated Transactions'!$J:$J,'Allocated Transactions'!$D:$D,$E942,'Allocated Transactions'!$C:$C,$C942,'Allocated Transactions'!$A:$A,"&gt;="&amp;$A942,'Allocated Transactions'!$A:$A,"&lt;="&amp;EOMONTH($A942,0))*0.99,100)</f>
        <v>0</v>
      </c>
      <c r="K942" s="113" t="s">
        <v>637</v>
      </c>
    </row>
    <row r="943" spans="1:11" ht="15" customHeight="1">
      <c r="A943" s="112">
        <f t="shared" si="56"/>
        <v>45962</v>
      </c>
      <c r="B943" s="113">
        <v>5</v>
      </c>
      <c r="C943" s="18" t="str">
        <f t="shared" si="58"/>
        <v>1050</v>
      </c>
      <c r="D943" s="113" t="str">
        <f>_xlfn.XLOOKUP($C943,'Cost Centers'!$A$2:$A$11,'Cost Centers'!$B$2:$B$11,"")</f>
        <v>Business Development</v>
      </c>
      <c r="E943" s="113" t="s">
        <v>32</v>
      </c>
      <c r="F943" s="113" t="str">
        <f>_xlfn.XLOOKUP(E943,'Allocated Transactions'!D:D,'Allocated Transactions'!E:E,"")</f>
        <v>Rent</v>
      </c>
      <c r="G943" s="113" t="s">
        <v>97</v>
      </c>
      <c r="H943" s="113"/>
      <c r="I943" s="113" t="str">
        <f>_xlfn.XLOOKUP($C943,'Cost Centers'!$A$2:$A$11,'Cost Centers'!$C$2:$C$11,"")</f>
        <v>Admin</v>
      </c>
      <c r="J943" s="23">
        <f>MROUND(SUMIFS('Allocated Transactions'!$J:$J,'Allocated Transactions'!$D:$D,$E943,'Allocated Transactions'!$C:$C,$C943,'Allocated Transactions'!$A:$A,"&gt;="&amp;$A943,'Allocated Transactions'!$A:$A,"&lt;="&amp;EOMONTH($A943,0))*0.99,100)</f>
        <v>700</v>
      </c>
      <c r="K943" s="113" t="s">
        <v>637</v>
      </c>
    </row>
    <row r="944" spans="1:11" ht="15" customHeight="1">
      <c r="A944" s="112">
        <f t="shared" si="56"/>
        <v>45962</v>
      </c>
      <c r="B944" s="113">
        <v>5</v>
      </c>
      <c r="C944" s="18" t="str">
        <f t="shared" si="58"/>
        <v>1050</v>
      </c>
      <c r="D944" s="113" t="str">
        <f>_xlfn.XLOOKUP($C944,'Cost Centers'!$A$2:$A$11,'Cost Centers'!$B$2:$B$11,"")</f>
        <v>Business Development</v>
      </c>
      <c r="E944" s="113" t="s">
        <v>33</v>
      </c>
      <c r="F944" s="113" t="str">
        <f>_xlfn.XLOOKUP(E944,'Allocated Transactions'!D:D,'Allocated Transactions'!E:E,"")</f>
        <v>Utilities</v>
      </c>
      <c r="G944" s="113" t="s">
        <v>97</v>
      </c>
      <c r="H944" s="113"/>
      <c r="I944" s="113" t="str">
        <f>_xlfn.XLOOKUP($C944,'Cost Centers'!$A$2:$A$11,'Cost Centers'!$C$2:$C$11,"")</f>
        <v>Admin</v>
      </c>
      <c r="J944" s="23">
        <f>MROUND(SUMIFS('Allocated Transactions'!$J:$J,'Allocated Transactions'!$D:$D,$E944,'Allocated Transactions'!$C:$C,$C944,'Allocated Transactions'!$A:$A,"&gt;="&amp;$A944,'Allocated Transactions'!$A:$A,"&lt;="&amp;EOMONTH($A944,0))*0.99,100)</f>
        <v>100</v>
      </c>
      <c r="K944" s="113" t="s">
        <v>637</v>
      </c>
    </row>
    <row r="945" spans="1:11" ht="15" customHeight="1">
      <c r="A945" s="112">
        <f t="shared" si="56"/>
        <v>45962</v>
      </c>
      <c r="B945" s="113">
        <v>5</v>
      </c>
      <c r="C945" s="18" t="str">
        <f t="shared" si="58"/>
        <v>1050</v>
      </c>
      <c r="D945" s="113" t="str">
        <f>_xlfn.XLOOKUP($C945,'Cost Centers'!$A$2:$A$11,'Cost Centers'!$B$2:$B$11,"")</f>
        <v>Business Development</v>
      </c>
      <c r="E945" s="113" t="s">
        <v>105</v>
      </c>
      <c r="F945" s="113" t="str">
        <f>_xlfn.XLOOKUP(E945,'Allocated Transactions'!D:D,'Allocated Transactions'!E:E,"")</f>
        <v>Office Supplies</v>
      </c>
      <c r="G945" s="113" t="s">
        <v>97</v>
      </c>
      <c r="H945" s="113"/>
      <c r="I945" s="113" t="str">
        <f>_xlfn.XLOOKUP($C945,'Cost Centers'!$A$2:$A$11,'Cost Centers'!$C$2:$C$11,"")</f>
        <v>Admin</v>
      </c>
      <c r="J945" s="23">
        <f>MROUND(SUMIFS('Allocated Transactions'!$J:$J,'Allocated Transactions'!$D:$D,$E945,'Allocated Transactions'!$C:$C,$C945,'Allocated Transactions'!$A:$A,"&gt;="&amp;$A945,'Allocated Transactions'!$A:$A,"&lt;="&amp;EOMONTH($A945,0))*0.99,100)</f>
        <v>0</v>
      </c>
      <c r="K945" s="113" t="s">
        <v>637</v>
      </c>
    </row>
    <row r="946" spans="1:11" ht="15" customHeight="1">
      <c r="A946" s="112">
        <f t="shared" si="56"/>
        <v>45962</v>
      </c>
      <c r="B946" s="113">
        <v>5</v>
      </c>
      <c r="C946" s="18" t="str">
        <f t="shared" si="58"/>
        <v>1050</v>
      </c>
      <c r="D946" s="113" t="str">
        <f>_xlfn.XLOOKUP($C946,'Cost Centers'!$A$2:$A$11,'Cost Centers'!$B$2:$B$11,"")</f>
        <v>Business Development</v>
      </c>
      <c r="E946" s="113" t="s">
        <v>107</v>
      </c>
      <c r="F946" s="113" t="str">
        <f>_xlfn.XLOOKUP(E946,'Allocated Transactions'!D:D,'Allocated Transactions'!E:E,"")</f>
        <v>Software and Subscriptions</v>
      </c>
      <c r="G946" s="113" t="s">
        <v>97</v>
      </c>
      <c r="H946" s="113"/>
      <c r="I946" s="113" t="str">
        <f>_xlfn.XLOOKUP($C946,'Cost Centers'!$A$2:$A$11,'Cost Centers'!$C$2:$C$11,"")</f>
        <v>Admin</v>
      </c>
      <c r="J946" s="23">
        <f>MROUND(SUMIFS('Allocated Transactions'!$J:$J,'Allocated Transactions'!$D:$D,$E946,'Allocated Transactions'!$C:$C,$C946,'Allocated Transactions'!$A:$A,"&gt;="&amp;$A946,'Allocated Transactions'!$A:$A,"&lt;="&amp;EOMONTH($A946,0))*0.99,100)</f>
        <v>0</v>
      </c>
      <c r="K946" s="113" t="s">
        <v>637</v>
      </c>
    </row>
    <row r="947" spans="1:11" ht="15" customHeight="1">
      <c r="A947" s="112">
        <f t="shared" si="56"/>
        <v>45962</v>
      </c>
      <c r="B947" s="113">
        <v>5</v>
      </c>
      <c r="C947" s="18" t="str">
        <f t="shared" si="58"/>
        <v>1050</v>
      </c>
      <c r="D947" s="113" t="str">
        <f>_xlfn.XLOOKUP($C947,'Cost Centers'!$A$2:$A$11,'Cost Centers'!$B$2:$B$11,"")</f>
        <v>Business Development</v>
      </c>
      <c r="E947" s="113" t="s">
        <v>109</v>
      </c>
      <c r="F947" s="113" t="str">
        <f>_xlfn.XLOOKUP(E947,'Allocated Transactions'!D:D,'Allocated Transactions'!E:E,"")</f>
        <v>Travel</v>
      </c>
      <c r="G947" s="113" t="s">
        <v>97</v>
      </c>
      <c r="H947" s="113"/>
      <c r="I947" s="113" t="str">
        <f>_xlfn.XLOOKUP($C947,'Cost Centers'!$A$2:$A$11,'Cost Centers'!$C$2:$C$11,"")</f>
        <v>Admin</v>
      </c>
      <c r="J947" s="23">
        <f>MROUND(SUMIFS('Allocated Transactions'!$J:$J,'Allocated Transactions'!$D:$D,$E947,'Allocated Transactions'!$C:$C,$C947,'Allocated Transactions'!$A:$A,"&gt;="&amp;$A947,'Allocated Transactions'!$A:$A,"&lt;="&amp;EOMONTH($A947,0))*0.99,100)</f>
        <v>0</v>
      </c>
      <c r="K947" s="113" t="s">
        <v>637</v>
      </c>
    </row>
    <row r="948" spans="1:11" ht="15" customHeight="1">
      <c r="A948" s="112">
        <f t="shared" si="56"/>
        <v>45962</v>
      </c>
      <c r="B948" s="113">
        <v>5</v>
      </c>
      <c r="C948" s="18" t="str">
        <f t="shared" si="58"/>
        <v>1050</v>
      </c>
      <c r="D948" s="113" t="str">
        <f>_xlfn.XLOOKUP($C948,'Cost Centers'!$A$2:$A$11,'Cost Centers'!$B$2:$B$11,"")</f>
        <v>Business Development</v>
      </c>
      <c r="E948" s="113" t="s">
        <v>111</v>
      </c>
      <c r="F948" s="113" t="str">
        <f>_xlfn.XLOOKUP(E948,'Allocated Transactions'!D:D,'Allocated Transactions'!E:E,"")</f>
        <v>Meals and Entertainment</v>
      </c>
      <c r="G948" s="113" t="s">
        <v>97</v>
      </c>
      <c r="H948" s="113"/>
      <c r="I948" s="113" t="str">
        <f>_xlfn.XLOOKUP($C948,'Cost Centers'!$A$2:$A$11,'Cost Centers'!$C$2:$C$11,"")</f>
        <v>Admin</v>
      </c>
      <c r="J948" s="23">
        <f>MROUND(SUMIFS('Allocated Transactions'!$J:$J,'Allocated Transactions'!$D:$D,$E948,'Allocated Transactions'!$C:$C,$C948,'Allocated Transactions'!$A:$A,"&gt;="&amp;$A948,'Allocated Transactions'!$A:$A,"&lt;="&amp;EOMONTH($A948,0))*0.99,100)</f>
        <v>0</v>
      </c>
      <c r="K948" s="113" t="s">
        <v>637</v>
      </c>
    </row>
    <row r="949" spans="1:11" ht="15" customHeight="1">
      <c r="A949" s="112">
        <f t="shared" si="56"/>
        <v>45962</v>
      </c>
      <c r="B949" s="113">
        <v>5</v>
      </c>
      <c r="C949" s="18" t="str">
        <f t="shared" si="58"/>
        <v>1050</v>
      </c>
      <c r="D949" s="113" t="str">
        <f>_xlfn.XLOOKUP($C949,'Cost Centers'!$A$2:$A$11,'Cost Centers'!$B$2:$B$11,"")</f>
        <v>Business Development</v>
      </c>
      <c r="E949" s="113" t="s">
        <v>113</v>
      </c>
      <c r="F949" s="113" t="str">
        <f>_xlfn.XLOOKUP(E949,'Allocated Transactions'!D:D,'Allocated Transactions'!E:E,"")</f>
        <v>Professional Fees - Legal</v>
      </c>
      <c r="G949" s="113" t="s">
        <v>97</v>
      </c>
      <c r="H949" s="113"/>
      <c r="I949" s="113" t="str">
        <f>_xlfn.XLOOKUP($C949,'Cost Centers'!$A$2:$A$11,'Cost Centers'!$C$2:$C$11,"")</f>
        <v>Admin</v>
      </c>
      <c r="J949" s="23">
        <f>MROUND(SUMIFS('Allocated Transactions'!$J:$J,'Allocated Transactions'!$D:$D,$E949,'Allocated Transactions'!$C:$C,$C949,'Allocated Transactions'!$A:$A,"&gt;="&amp;$A949,'Allocated Transactions'!$A:$A,"&lt;="&amp;EOMONTH($A949,0))*0.99,100)</f>
        <v>0</v>
      </c>
      <c r="K949" s="113" t="s">
        <v>637</v>
      </c>
    </row>
    <row r="950" spans="1:11" ht="15" customHeight="1">
      <c r="A950" s="112">
        <f t="shared" si="56"/>
        <v>45962</v>
      </c>
      <c r="B950" s="113">
        <v>5</v>
      </c>
      <c r="C950" s="18" t="str">
        <f t="shared" si="58"/>
        <v>1050</v>
      </c>
      <c r="D950" s="113" t="str">
        <f>_xlfn.XLOOKUP($C950,'Cost Centers'!$A$2:$A$11,'Cost Centers'!$B$2:$B$11,"")</f>
        <v>Business Development</v>
      </c>
      <c r="E950" s="113" t="s">
        <v>115</v>
      </c>
      <c r="F950" s="113" t="str">
        <f>_xlfn.XLOOKUP(E950,'Allocated Transactions'!D:D,'Allocated Transactions'!E:E,"")</f>
        <v>Professional Fees - Accounting/Audit</v>
      </c>
      <c r="G950" s="113" t="s">
        <v>97</v>
      </c>
      <c r="H950" s="113"/>
      <c r="I950" s="113" t="str">
        <f>_xlfn.XLOOKUP($C950,'Cost Centers'!$A$2:$A$11,'Cost Centers'!$C$2:$C$11,"")</f>
        <v>Admin</v>
      </c>
      <c r="J950" s="23">
        <f>MROUND(SUMIFS('Allocated Transactions'!$J:$J,'Allocated Transactions'!$D:$D,$E950,'Allocated Transactions'!$C:$C,$C950,'Allocated Transactions'!$A:$A,"&gt;="&amp;$A950,'Allocated Transactions'!$A:$A,"&lt;="&amp;EOMONTH($A950,0))*0.99,100)</f>
        <v>0</v>
      </c>
      <c r="K950" s="113" t="s">
        <v>637</v>
      </c>
    </row>
    <row r="951" spans="1:11" ht="15" customHeight="1">
      <c r="A951" s="112">
        <f t="shared" si="56"/>
        <v>45962</v>
      </c>
      <c r="B951" s="113">
        <v>5</v>
      </c>
      <c r="C951" s="18" t="str">
        <f t="shared" si="58"/>
        <v>1050</v>
      </c>
      <c r="D951" s="113" t="str">
        <f>_xlfn.XLOOKUP($C951,'Cost Centers'!$A$2:$A$11,'Cost Centers'!$B$2:$B$11,"")</f>
        <v>Business Development</v>
      </c>
      <c r="E951" s="113" t="s">
        <v>117</v>
      </c>
      <c r="F951" s="113" t="str">
        <f>_xlfn.XLOOKUP(E951,'Allocated Transactions'!D:D,'Allocated Transactions'!E:E,"")</f>
        <v>Insurance</v>
      </c>
      <c r="G951" s="113" t="s">
        <v>97</v>
      </c>
      <c r="H951" s="113"/>
      <c r="I951" s="113" t="str">
        <f>_xlfn.XLOOKUP($C951,'Cost Centers'!$A$2:$A$11,'Cost Centers'!$C$2:$C$11,"")</f>
        <v>Admin</v>
      </c>
      <c r="J951" s="23">
        <f>MROUND(SUMIFS('Allocated Transactions'!$J:$J,'Allocated Transactions'!$D:$D,$E951,'Allocated Transactions'!$C:$C,$C951,'Allocated Transactions'!$A:$A,"&gt;="&amp;$A951,'Allocated Transactions'!$A:$A,"&lt;="&amp;EOMONTH($A951,0))*0.99,100)</f>
        <v>600</v>
      </c>
      <c r="K951" s="113" t="s">
        <v>637</v>
      </c>
    </row>
    <row r="952" spans="1:11" ht="15" customHeight="1">
      <c r="A952" s="112">
        <f t="shared" si="56"/>
        <v>45962</v>
      </c>
      <c r="B952" s="113">
        <v>5</v>
      </c>
      <c r="C952" s="18" t="str">
        <f t="shared" si="58"/>
        <v>1050</v>
      </c>
      <c r="D952" s="113" t="str">
        <f>_xlfn.XLOOKUP($C952,'Cost Centers'!$A$2:$A$11,'Cost Centers'!$B$2:$B$11,"")</f>
        <v>Business Development</v>
      </c>
      <c r="E952" s="113" t="s">
        <v>119</v>
      </c>
      <c r="F952" s="113" t="str">
        <f>_xlfn.XLOOKUP(E952,'Allocated Transactions'!D:D,'Allocated Transactions'!E:E,"")</f>
        <v>Depreciation Expense</v>
      </c>
      <c r="G952" s="113" t="s">
        <v>97</v>
      </c>
      <c r="H952" s="113"/>
      <c r="I952" s="113" t="str">
        <f>_xlfn.XLOOKUP($C952,'Cost Centers'!$A$2:$A$11,'Cost Centers'!$C$2:$C$11,"")</f>
        <v>Admin</v>
      </c>
      <c r="J952" s="23">
        <f>MROUND(SUMIFS('Allocated Transactions'!$J:$J,'Allocated Transactions'!$D:$D,$E952,'Allocated Transactions'!$C:$C,$C952,'Allocated Transactions'!$A:$A,"&gt;="&amp;$A952,'Allocated Transactions'!$A:$A,"&lt;="&amp;EOMONTH($A952,0))*0.99,100)</f>
        <v>0</v>
      </c>
      <c r="K952" s="113" t="s">
        <v>637</v>
      </c>
    </row>
    <row r="953" spans="1:11" ht="15" customHeight="1">
      <c r="A953" s="112">
        <f t="shared" si="56"/>
        <v>45962</v>
      </c>
      <c r="B953" s="113">
        <v>5</v>
      </c>
      <c r="C953" s="18" t="str">
        <f t="shared" si="58"/>
        <v>1050</v>
      </c>
      <c r="D953" s="113" t="str">
        <f>_xlfn.XLOOKUP($C953,'Cost Centers'!$A$2:$A$11,'Cost Centers'!$B$2:$B$11,"")</f>
        <v>Business Development</v>
      </c>
      <c r="E953" s="113" t="s">
        <v>121</v>
      </c>
      <c r="F953" s="113" t="str">
        <f>_xlfn.XLOOKUP(E953,'Allocated Transactions'!D:D,'Allocated Transactions'!E:E,"")</f>
        <v>Bank Fees</v>
      </c>
      <c r="G953" s="113" t="s">
        <v>97</v>
      </c>
      <c r="H953" s="113"/>
      <c r="I953" s="113" t="str">
        <f>_xlfn.XLOOKUP($C953,'Cost Centers'!$A$2:$A$11,'Cost Centers'!$C$2:$C$11,"")</f>
        <v>Admin</v>
      </c>
      <c r="J953" s="23">
        <f>MROUND(SUMIFS('Allocated Transactions'!$J:$J,'Allocated Transactions'!$D:$D,$E953,'Allocated Transactions'!$C:$C,$C953,'Allocated Transactions'!$A:$A,"&gt;="&amp;$A953,'Allocated Transactions'!$A:$A,"&lt;="&amp;EOMONTH($A953,0))*0.99,100)</f>
        <v>0</v>
      </c>
      <c r="K953" s="113" t="s">
        <v>637</v>
      </c>
    </row>
    <row r="954" spans="1:11" ht="15" customHeight="1">
      <c r="A954" s="112">
        <f t="shared" si="56"/>
        <v>45962</v>
      </c>
      <c r="B954" s="113">
        <v>5</v>
      </c>
      <c r="C954" s="18" t="str">
        <f t="shared" si="58"/>
        <v>1050</v>
      </c>
      <c r="D954" s="113" t="str">
        <f>_xlfn.XLOOKUP($C954,'Cost Centers'!$A$2:$A$11,'Cost Centers'!$B$2:$B$11,"")</f>
        <v>Business Development</v>
      </c>
      <c r="E954" s="113" t="s">
        <v>123</v>
      </c>
      <c r="F954" s="113" t="str">
        <f>_xlfn.XLOOKUP(E954,'Allocated Transactions'!D:D,'Allocated Transactions'!E:E,"")</f>
        <v>Interest Expense</v>
      </c>
      <c r="G954" s="113" t="s">
        <v>97</v>
      </c>
      <c r="H954" s="113"/>
      <c r="I954" s="113" t="str">
        <f>_xlfn.XLOOKUP($C954,'Cost Centers'!$A$2:$A$11,'Cost Centers'!$C$2:$C$11,"")</f>
        <v>Admin</v>
      </c>
      <c r="J954" s="23">
        <f>MROUND(SUMIFS('Allocated Transactions'!$J:$J,'Allocated Transactions'!$D:$D,$E954,'Allocated Transactions'!$C:$C,$C954,'Allocated Transactions'!$A:$A,"&gt;="&amp;$A954,'Allocated Transactions'!$A:$A,"&lt;="&amp;EOMONTH($A954,0))*0.99,100)</f>
        <v>0</v>
      </c>
      <c r="K954" s="113" t="s">
        <v>637</v>
      </c>
    </row>
    <row r="955" spans="1:11" ht="15" customHeight="1">
      <c r="A955" s="112">
        <f t="shared" si="56"/>
        <v>45962</v>
      </c>
      <c r="B955" s="113">
        <v>5</v>
      </c>
      <c r="C955" s="18" t="str">
        <f t="shared" si="58"/>
        <v>1050</v>
      </c>
      <c r="D955" s="113" t="str">
        <f>_xlfn.XLOOKUP($C955,'Cost Centers'!$A$2:$A$11,'Cost Centers'!$B$2:$B$11,"")</f>
        <v>Business Development</v>
      </c>
      <c r="E955" s="113" t="s">
        <v>125</v>
      </c>
      <c r="F955" s="113" t="str">
        <f>_xlfn.XLOOKUP(E955,'Allocated Transactions'!D:D,'Allocated Transactions'!E:E,"")</f>
        <v>Miscellaneous Expense</v>
      </c>
      <c r="G955" s="113" t="s">
        <v>97</v>
      </c>
      <c r="H955" s="113"/>
      <c r="I955" s="113" t="str">
        <f>_xlfn.XLOOKUP($C955,'Cost Centers'!$A$2:$A$11,'Cost Centers'!$C$2:$C$11,"")</f>
        <v>Admin</v>
      </c>
      <c r="J955" s="23">
        <f>MROUND(SUMIFS('Allocated Transactions'!$J:$J,'Allocated Transactions'!$D:$D,$E955,'Allocated Transactions'!$C:$C,$C955,'Allocated Transactions'!$A:$A,"&gt;="&amp;$A955,'Allocated Transactions'!$A:$A,"&lt;="&amp;EOMONTH($A955,0))*0.99,100)</f>
        <v>0</v>
      </c>
      <c r="K955" s="113" t="s">
        <v>637</v>
      </c>
    </row>
    <row r="956" spans="1:11" ht="15" customHeight="1">
      <c r="A956" s="112">
        <f t="shared" si="56"/>
        <v>45992</v>
      </c>
      <c r="B956" s="113">
        <v>5</v>
      </c>
      <c r="C956" s="18" t="s">
        <v>10</v>
      </c>
      <c r="D956" s="113" t="str">
        <f>_xlfn.XLOOKUP($C956,'Cost Centers'!$A$2:$A$11,'Cost Centers'!$B$2:$B$11,"")</f>
        <v>Business Development</v>
      </c>
      <c r="E956" s="113" t="s">
        <v>28</v>
      </c>
      <c r="F956" s="113" t="str">
        <f>_xlfn.XLOOKUP(E956,'Allocated Transactions'!D:D,'Allocated Transactions'!E:E,"")</f>
        <v>Salaries and Wages</v>
      </c>
      <c r="G956" s="113" t="s">
        <v>97</v>
      </c>
      <c r="H956" s="113"/>
      <c r="I956" s="113" t="str">
        <f>_xlfn.XLOOKUP($C956,'Cost Centers'!$A$2:$A$11,'Cost Centers'!$C$2:$C$11,"")</f>
        <v>Admin</v>
      </c>
      <c r="J956" s="23">
        <f>MROUND(SUMIFS('Allocated Transactions'!$J:$J,'Allocated Transactions'!$D:$D,$E956,'Allocated Transactions'!$C:$C,$C956,'Allocated Transactions'!$A:$A,"&gt;="&amp;$A956,'Allocated Transactions'!$A:$A,"&lt;="&amp;EOMONTH($A956,0))*0.99,100)</f>
        <v>9700</v>
      </c>
      <c r="K956" s="113" t="s">
        <v>637</v>
      </c>
    </row>
    <row r="957" spans="1:11" ht="15" customHeight="1">
      <c r="A957" s="112">
        <f t="shared" si="56"/>
        <v>45992</v>
      </c>
      <c r="B957" s="113">
        <v>5</v>
      </c>
      <c r="C957" s="18" t="str">
        <f t="shared" ref="C957:C973" si="59">C956</f>
        <v>1050</v>
      </c>
      <c r="D957" s="113" t="str">
        <f>_xlfn.XLOOKUP($C957,'Cost Centers'!$A$2:$A$11,'Cost Centers'!$B$2:$B$11,"")</f>
        <v>Business Development</v>
      </c>
      <c r="E957" s="113" t="s">
        <v>29</v>
      </c>
      <c r="F957" s="113" t="str">
        <f>_xlfn.XLOOKUP(E957,'Allocated Transactions'!D:D,'Allocated Transactions'!E:E,"")</f>
        <v>Payroll Taxes</v>
      </c>
      <c r="G957" s="113" t="s">
        <v>97</v>
      </c>
      <c r="H957" s="113"/>
      <c r="I957" s="113" t="str">
        <f>_xlfn.XLOOKUP($C957,'Cost Centers'!$A$2:$A$11,'Cost Centers'!$C$2:$C$11,"")</f>
        <v>Admin</v>
      </c>
      <c r="J957" s="23">
        <f>MROUND(SUMIFS('Allocated Transactions'!$J:$J,'Allocated Transactions'!$D:$D,$E957,'Allocated Transactions'!$C:$C,$C957,'Allocated Transactions'!$A:$A,"&gt;="&amp;$A957,'Allocated Transactions'!$A:$A,"&lt;="&amp;EOMONTH($A957,0))*0.99,100)</f>
        <v>700</v>
      </c>
      <c r="K957" s="113" t="s">
        <v>637</v>
      </c>
    </row>
    <row r="958" spans="1:11" ht="15" customHeight="1">
      <c r="A958" s="112">
        <f t="shared" si="56"/>
        <v>45992</v>
      </c>
      <c r="B958" s="113">
        <v>5</v>
      </c>
      <c r="C958" s="18" t="str">
        <f t="shared" si="59"/>
        <v>1050</v>
      </c>
      <c r="D958" s="113" t="str">
        <f>_xlfn.XLOOKUP($C958,'Cost Centers'!$A$2:$A$11,'Cost Centers'!$B$2:$B$11,"")</f>
        <v>Business Development</v>
      </c>
      <c r="E958" s="113" t="s">
        <v>30</v>
      </c>
      <c r="F958" s="113" t="str">
        <f>_xlfn.XLOOKUP(E958,'Allocated Transactions'!D:D,'Allocated Transactions'!E:E,"")</f>
        <v>Employee Benefits</v>
      </c>
      <c r="G958" s="113" t="s">
        <v>97</v>
      </c>
      <c r="H958" s="113"/>
      <c r="I958" s="113" t="str">
        <f>_xlfn.XLOOKUP($C958,'Cost Centers'!$A$2:$A$11,'Cost Centers'!$C$2:$C$11,"")</f>
        <v>Admin</v>
      </c>
      <c r="J958" s="23">
        <f>MROUND(SUMIFS('Allocated Transactions'!$J:$J,'Allocated Transactions'!$D:$D,$E958,'Allocated Transactions'!$C:$C,$C958,'Allocated Transactions'!$A:$A,"&gt;="&amp;$A958,'Allocated Transactions'!$A:$A,"&lt;="&amp;EOMONTH($A958,0))*0.99,100)</f>
        <v>2800</v>
      </c>
      <c r="K958" s="113" t="s">
        <v>637</v>
      </c>
    </row>
    <row r="959" spans="1:11" ht="15" customHeight="1">
      <c r="A959" s="112">
        <f t="shared" si="56"/>
        <v>45992</v>
      </c>
      <c r="B959" s="113">
        <v>5</v>
      </c>
      <c r="C959" s="18" t="str">
        <f t="shared" si="59"/>
        <v>1050</v>
      </c>
      <c r="D959" s="113" t="str">
        <f>_xlfn.XLOOKUP($C959,'Cost Centers'!$A$2:$A$11,'Cost Centers'!$B$2:$B$11,"")</f>
        <v>Business Development</v>
      </c>
      <c r="E959" s="113" t="s">
        <v>31</v>
      </c>
      <c r="F959" s="113" t="str">
        <f>_xlfn.XLOOKUP(E959,'Allocated Transactions'!D:D,'Allocated Transactions'!E:E,"")</f>
        <v>Retirement Contributions</v>
      </c>
      <c r="G959" s="113" t="s">
        <v>97</v>
      </c>
      <c r="H959" s="113"/>
      <c r="I959" s="113" t="str">
        <f>_xlfn.XLOOKUP($C959,'Cost Centers'!$A$2:$A$11,'Cost Centers'!$C$2:$C$11,"")</f>
        <v>Admin</v>
      </c>
      <c r="J959" s="23">
        <f>MROUND(SUMIFS('Allocated Transactions'!$J:$J,'Allocated Transactions'!$D:$D,$E959,'Allocated Transactions'!$C:$C,$C959,'Allocated Transactions'!$A:$A,"&gt;="&amp;$A959,'Allocated Transactions'!$A:$A,"&lt;="&amp;EOMONTH($A959,0))*0.99,100)</f>
        <v>300</v>
      </c>
      <c r="K959" s="113" t="s">
        <v>637</v>
      </c>
    </row>
    <row r="960" spans="1:11" ht="15" customHeight="1">
      <c r="A960" s="112">
        <f t="shared" si="56"/>
        <v>45992</v>
      </c>
      <c r="B960" s="113">
        <v>5</v>
      </c>
      <c r="C960" s="18" t="str">
        <f t="shared" si="59"/>
        <v>1050</v>
      </c>
      <c r="D960" s="113" t="str">
        <f>_xlfn.XLOOKUP($C960,'Cost Centers'!$A$2:$A$11,'Cost Centers'!$B$2:$B$11,"")</f>
        <v>Business Development</v>
      </c>
      <c r="E960" s="113" t="s">
        <v>101</v>
      </c>
      <c r="F960" s="113" t="str">
        <f>_xlfn.XLOOKUP(E960,'Allocated Transactions'!D:D,'Allocated Transactions'!E:E,"")</f>
        <v>Contract Labor / Consultants</v>
      </c>
      <c r="G960" s="113" t="s">
        <v>97</v>
      </c>
      <c r="H960" s="113"/>
      <c r="I960" s="113" t="str">
        <f>_xlfn.XLOOKUP($C960,'Cost Centers'!$A$2:$A$11,'Cost Centers'!$C$2:$C$11,"")</f>
        <v>Admin</v>
      </c>
      <c r="J960" s="23">
        <f>MROUND(SUMIFS('Allocated Transactions'!$J:$J,'Allocated Transactions'!$D:$D,$E960,'Allocated Transactions'!$C:$C,$C960,'Allocated Transactions'!$A:$A,"&gt;="&amp;$A960,'Allocated Transactions'!$A:$A,"&lt;="&amp;EOMONTH($A960,0))*0.99,100)</f>
        <v>0</v>
      </c>
      <c r="K960" s="113" t="s">
        <v>637</v>
      </c>
    </row>
    <row r="961" spans="1:11" ht="15" customHeight="1">
      <c r="A961" s="112">
        <f t="shared" si="56"/>
        <v>45992</v>
      </c>
      <c r="B961" s="113">
        <v>5</v>
      </c>
      <c r="C961" s="18" t="str">
        <f t="shared" si="59"/>
        <v>1050</v>
      </c>
      <c r="D961" s="113" t="str">
        <f>_xlfn.XLOOKUP($C961,'Cost Centers'!$A$2:$A$11,'Cost Centers'!$B$2:$B$11,"")</f>
        <v>Business Development</v>
      </c>
      <c r="E961" s="113" t="s">
        <v>32</v>
      </c>
      <c r="F961" s="113" t="str">
        <f>_xlfn.XLOOKUP(E961,'Allocated Transactions'!D:D,'Allocated Transactions'!E:E,"")</f>
        <v>Rent</v>
      </c>
      <c r="G961" s="113" t="s">
        <v>97</v>
      </c>
      <c r="H961" s="113"/>
      <c r="I961" s="113" t="str">
        <f>_xlfn.XLOOKUP($C961,'Cost Centers'!$A$2:$A$11,'Cost Centers'!$C$2:$C$11,"")</f>
        <v>Admin</v>
      </c>
      <c r="J961" s="23">
        <f>MROUND(SUMIFS('Allocated Transactions'!$J:$J,'Allocated Transactions'!$D:$D,$E961,'Allocated Transactions'!$C:$C,$C961,'Allocated Transactions'!$A:$A,"&gt;="&amp;$A961,'Allocated Transactions'!$A:$A,"&lt;="&amp;EOMONTH($A961,0))*0.99,100)</f>
        <v>700</v>
      </c>
      <c r="K961" s="113" t="s">
        <v>637</v>
      </c>
    </row>
    <row r="962" spans="1:11" ht="15" customHeight="1">
      <c r="A962" s="112">
        <f t="shared" si="56"/>
        <v>45992</v>
      </c>
      <c r="B962" s="113">
        <v>5</v>
      </c>
      <c r="C962" s="18" t="str">
        <f t="shared" si="59"/>
        <v>1050</v>
      </c>
      <c r="D962" s="113" t="str">
        <f>_xlfn.XLOOKUP($C962,'Cost Centers'!$A$2:$A$11,'Cost Centers'!$B$2:$B$11,"")</f>
        <v>Business Development</v>
      </c>
      <c r="E962" s="113" t="s">
        <v>33</v>
      </c>
      <c r="F962" s="113" t="str">
        <f>_xlfn.XLOOKUP(E962,'Allocated Transactions'!D:D,'Allocated Transactions'!E:E,"")</f>
        <v>Utilities</v>
      </c>
      <c r="G962" s="113" t="s">
        <v>97</v>
      </c>
      <c r="H962" s="113"/>
      <c r="I962" s="113" t="str">
        <f>_xlfn.XLOOKUP($C962,'Cost Centers'!$A$2:$A$11,'Cost Centers'!$C$2:$C$11,"")</f>
        <v>Admin</v>
      </c>
      <c r="J962" s="23">
        <f>MROUND(SUMIFS('Allocated Transactions'!$J:$J,'Allocated Transactions'!$D:$D,$E962,'Allocated Transactions'!$C:$C,$C962,'Allocated Transactions'!$A:$A,"&gt;="&amp;$A962,'Allocated Transactions'!$A:$A,"&lt;="&amp;EOMONTH($A962,0))*0.99,100)</f>
        <v>100</v>
      </c>
      <c r="K962" s="113" t="s">
        <v>637</v>
      </c>
    </row>
    <row r="963" spans="1:11" ht="15" customHeight="1">
      <c r="A963" s="112">
        <f t="shared" si="56"/>
        <v>45992</v>
      </c>
      <c r="B963" s="113">
        <v>5</v>
      </c>
      <c r="C963" s="18" t="str">
        <f t="shared" si="59"/>
        <v>1050</v>
      </c>
      <c r="D963" s="113" t="str">
        <f>_xlfn.XLOOKUP($C963,'Cost Centers'!$A$2:$A$11,'Cost Centers'!$B$2:$B$11,"")</f>
        <v>Business Development</v>
      </c>
      <c r="E963" s="113" t="s">
        <v>105</v>
      </c>
      <c r="F963" s="113" t="str">
        <f>_xlfn.XLOOKUP(E963,'Allocated Transactions'!D:D,'Allocated Transactions'!E:E,"")</f>
        <v>Office Supplies</v>
      </c>
      <c r="G963" s="113" t="s">
        <v>97</v>
      </c>
      <c r="H963" s="113"/>
      <c r="I963" s="113" t="str">
        <f>_xlfn.XLOOKUP($C963,'Cost Centers'!$A$2:$A$11,'Cost Centers'!$C$2:$C$11,"")</f>
        <v>Admin</v>
      </c>
      <c r="J963" s="23">
        <f>MROUND(SUMIFS('Allocated Transactions'!$J:$J,'Allocated Transactions'!$D:$D,$E963,'Allocated Transactions'!$C:$C,$C963,'Allocated Transactions'!$A:$A,"&gt;="&amp;$A963,'Allocated Transactions'!$A:$A,"&lt;="&amp;EOMONTH($A963,0))*0.99,100)</f>
        <v>1000</v>
      </c>
      <c r="K963" s="113" t="s">
        <v>637</v>
      </c>
    </row>
    <row r="964" spans="1:11" ht="15" customHeight="1">
      <c r="A964" s="112">
        <f t="shared" si="56"/>
        <v>45992</v>
      </c>
      <c r="B964" s="113">
        <v>5</v>
      </c>
      <c r="C964" s="18" t="str">
        <f t="shared" si="59"/>
        <v>1050</v>
      </c>
      <c r="D964" s="113" t="str">
        <f>_xlfn.XLOOKUP($C964,'Cost Centers'!$A$2:$A$11,'Cost Centers'!$B$2:$B$11,"")</f>
        <v>Business Development</v>
      </c>
      <c r="E964" s="113" t="s">
        <v>107</v>
      </c>
      <c r="F964" s="113" t="str">
        <f>_xlfn.XLOOKUP(E964,'Allocated Transactions'!D:D,'Allocated Transactions'!E:E,"")</f>
        <v>Software and Subscriptions</v>
      </c>
      <c r="G964" s="113" t="s">
        <v>97</v>
      </c>
      <c r="H964" s="113"/>
      <c r="I964" s="113" t="str">
        <f>_xlfn.XLOOKUP($C964,'Cost Centers'!$A$2:$A$11,'Cost Centers'!$C$2:$C$11,"")</f>
        <v>Admin</v>
      </c>
      <c r="J964" s="23">
        <f>MROUND(SUMIFS('Allocated Transactions'!$J:$J,'Allocated Transactions'!$D:$D,$E964,'Allocated Transactions'!$C:$C,$C964,'Allocated Transactions'!$A:$A,"&gt;="&amp;$A964,'Allocated Transactions'!$A:$A,"&lt;="&amp;EOMONTH($A964,0))*0.99,100)</f>
        <v>2600</v>
      </c>
      <c r="K964" s="113" t="s">
        <v>637</v>
      </c>
    </row>
    <row r="965" spans="1:11" ht="15" customHeight="1">
      <c r="A965" s="112">
        <f t="shared" si="56"/>
        <v>45992</v>
      </c>
      <c r="B965" s="113">
        <v>5</v>
      </c>
      <c r="C965" s="18" t="str">
        <f t="shared" si="59"/>
        <v>1050</v>
      </c>
      <c r="D965" s="113" t="str">
        <f>_xlfn.XLOOKUP($C965,'Cost Centers'!$A$2:$A$11,'Cost Centers'!$B$2:$B$11,"")</f>
        <v>Business Development</v>
      </c>
      <c r="E965" s="113" t="s">
        <v>109</v>
      </c>
      <c r="F965" s="113" t="str">
        <f>_xlfn.XLOOKUP(E965,'Allocated Transactions'!D:D,'Allocated Transactions'!E:E,"")</f>
        <v>Travel</v>
      </c>
      <c r="G965" s="113" t="s">
        <v>97</v>
      </c>
      <c r="H965" s="113"/>
      <c r="I965" s="113" t="str">
        <f>_xlfn.XLOOKUP($C965,'Cost Centers'!$A$2:$A$11,'Cost Centers'!$C$2:$C$11,"")</f>
        <v>Admin</v>
      </c>
      <c r="J965" s="23">
        <f>MROUND(SUMIFS('Allocated Transactions'!$J:$J,'Allocated Transactions'!$D:$D,$E965,'Allocated Transactions'!$C:$C,$C965,'Allocated Transactions'!$A:$A,"&gt;="&amp;$A965,'Allocated Transactions'!$A:$A,"&lt;="&amp;EOMONTH($A965,0))*0.99,100)</f>
        <v>0</v>
      </c>
      <c r="K965" s="113" t="s">
        <v>637</v>
      </c>
    </row>
    <row r="966" spans="1:11" ht="15" customHeight="1">
      <c r="A966" s="112">
        <f t="shared" si="56"/>
        <v>45992</v>
      </c>
      <c r="B966" s="113">
        <v>5</v>
      </c>
      <c r="C966" s="18" t="str">
        <f t="shared" si="59"/>
        <v>1050</v>
      </c>
      <c r="D966" s="113" t="str">
        <f>_xlfn.XLOOKUP($C966,'Cost Centers'!$A$2:$A$11,'Cost Centers'!$B$2:$B$11,"")</f>
        <v>Business Development</v>
      </c>
      <c r="E966" s="113" t="s">
        <v>111</v>
      </c>
      <c r="F966" s="113" t="str">
        <f>_xlfn.XLOOKUP(E966,'Allocated Transactions'!D:D,'Allocated Transactions'!E:E,"")</f>
        <v>Meals and Entertainment</v>
      </c>
      <c r="G966" s="113" t="s">
        <v>97</v>
      </c>
      <c r="H966" s="113"/>
      <c r="I966" s="113" t="str">
        <f>_xlfn.XLOOKUP($C966,'Cost Centers'!$A$2:$A$11,'Cost Centers'!$C$2:$C$11,"")</f>
        <v>Admin</v>
      </c>
      <c r="J966" s="23">
        <f>MROUND(SUMIFS('Allocated Transactions'!$J:$J,'Allocated Transactions'!$D:$D,$E966,'Allocated Transactions'!$C:$C,$C966,'Allocated Transactions'!$A:$A,"&gt;="&amp;$A966,'Allocated Transactions'!$A:$A,"&lt;="&amp;EOMONTH($A966,0))*0.99,100)</f>
        <v>0</v>
      </c>
      <c r="K966" s="113" t="s">
        <v>637</v>
      </c>
    </row>
    <row r="967" spans="1:11" ht="15" customHeight="1">
      <c r="A967" s="112">
        <f t="shared" si="56"/>
        <v>45992</v>
      </c>
      <c r="B967" s="113">
        <v>5</v>
      </c>
      <c r="C967" s="18" t="str">
        <f t="shared" si="59"/>
        <v>1050</v>
      </c>
      <c r="D967" s="113" t="str">
        <f>_xlfn.XLOOKUP($C967,'Cost Centers'!$A$2:$A$11,'Cost Centers'!$B$2:$B$11,"")</f>
        <v>Business Development</v>
      </c>
      <c r="E967" s="113" t="s">
        <v>113</v>
      </c>
      <c r="F967" s="113" t="str">
        <f>_xlfn.XLOOKUP(E967,'Allocated Transactions'!D:D,'Allocated Transactions'!E:E,"")</f>
        <v>Professional Fees - Legal</v>
      </c>
      <c r="G967" s="113" t="s">
        <v>97</v>
      </c>
      <c r="H967" s="113"/>
      <c r="I967" s="113" t="str">
        <f>_xlfn.XLOOKUP($C967,'Cost Centers'!$A$2:$A$11,'Cost Centers'!$C$2:$C$11,"")</f>
        <v>Admin</v>
      </c>
      <c r="J967" s="23">
        <f>MROUND(SUMIFS('Allocated Transactions'!$J:$J,'Allocated Transactions'!$D:$D,$E967,'Allocated Transactions'!$C:$C,$C967,'Allocated Transactions'!$A:$A,"&gt;="&amp;$A967,'Allocated Transactions'!$A:$A,"&lt;="&amp;EOMONTH($A967,0))*0.99,100)</f>
        <v>0</v>
      </c>
      <c r="K967" s="113" t="s">
        <v>637</v>
      </c>
    </row>
    <row r="968" spans="1:11" ht="15" customHeight="1">
      <c r="A968" s="112">
        <f t="shared" si="56"/>
        <v>45992</v>
      </c>
      <c r="B968" s="113">
        <v>5</v>
      </c>
      <c r="C968" s="18" t="str">
        <f t="shared" si="59"/>
        <v>1050</v>
      </c>
      <c r="D968" s="113" t="str">
        <f>_xlfn.XLOOKUP($C968,'Cost Centers'!$A$2:$A$11,'Cost Centers'!$B$2:$B$11,"")</f>
        <v>Business Development</v>
      </c>
      <c r="E968" s="113" t="s">
        <v>115</v>
      </c>
      <c r="F968" s="113" t="str">
        <f>_xlfn.XLOOKUP(E968,'Allocated Transactions'!D:D,'Allocated Transactions'!E:E,"")</f>
        <v>Professional Fees - Accounting/Audit</v>
      </c>
      <c r="G968" s="113" t="s">
        <v>97</v>
      </c>
      <c r="H968" s="113"/>
      <c r="I968" s="113" t="str">
        <f>_xlfn.XLOOKUP($C968,'Cost Centers'!$A$2:$A$11,'Cost Centers'!$C$2:$C$11,"")</f>
        <v>Admin</v>
      </c>
      <c r="J968" s="23">
        <f>MROUND(SUMIFS('Allocated Transactions'!$J:$J,'Allocated Transactions'!$D:$D,$E968,'Allocated Transactions'!$C:$C,$C968,'Allocated Transactions'!$A:$A,"&gt;="&amp;$A968,'Allocated Transactions'!$A:$A,"&lt;="&amp;EOMONTH($A968,0))*0.99,100)</f>
        <v>0</v>
      </c>
      <c r="K968" s="113" t="s">
        <v>637</v>
      </c>
    </row>
    <row r="969" spans="1:11" ht="15" customHeight="1">
      <c r="A969" s="112">
        <f t="shared" si="56"/>
        <v>45992</v>
      </c>
      <c r="B969" s="113">
        <v>5</v>
      </c>
      <c r="C969" s="18" t="str">
        <f t="shared" si="59"/>
        <v>1050</v>
      </c>
      <c r="D969" s="113" t="str">
        <f>_xlfn.XLOOKUP($C969,'Cost Centers'!$A$2:$A$11,'Cost Centers'!$B$2:$B$11,"")</f>
        <v>Business Development</v>
      </c>
      <c r="E969" s="113" t="s">
        <v>117</v>
      </c>
      <c r="F969" s="113" t="str">
        <f>_xlfn.XLOOKUP(E969,'Allocated Transactions'!D:D,'Allocated Transactions'!E:E,"")</f>
        <v>Insurance</v>
      </c>
      <c r="G969" s="113" t="s">
        <v>97</v>
      </c>
      <c r="H969" s="113"/>
      <c r="I969" s="113" t="str">
        <f>_xlfn.XLOOKUP($C969,'Cost Centers'!$A$2:$A$11,'Cost Centers'!$C$2:$C$11,"")</f>
        <v>Admin</v>
      </c>
      <c r="J969" s="23">
        <f>MROUND(SUMIFS('Allocated Transactions'!$J:$J,'Allocated Transactions'!$D:$D,$E969,'Allocated Transactions'!$C:$C,$C969,'Allocated Transactions'!$A:$A,"&gt;="&amp;$A969,'Allocated Transactions'!$A:$A,"&lt;="&amp;EOMONTH($A969,0))*0.99,100)</f>
        <v>600</v>
      </c>
      <c r="K969" s="113" t="s">
        <v>637</v>
      </c>
    </row>
    <row r="970" spans="1:11" ht="15" customHeight="1">
      <c r="A970" s="112">
        <f t="shared" si="56"/>
        <v>45992</v>
      </c>
      <c r="B970" s="113">
        <v>5</v>
      </c>
      <c r="C970" s="18" t="str">
        <f t="shared" si="59"/>
        <v>1050</v>
      </c>
      <c r="D970" s="113" t="str">
        <f>_xlfn.XLOOKUP($C970,'Cost Centers'!$A$2:$A$11,'Cost Centers'!$B$2:$B$11,"")</f>
        <v>Business Development</v>
      </c>
      <c r="E970" s="113" t="s">
        <v>119</v>
      </c>
      <c r="F970" s="113" t="str">
        <f>_xlfn.XLOOKUP(E970,'Allocated Transactions'!D:D,'Allocated Transactions'!E:E,"")</f>
        <v>Depreciation Expense</v>
      </c>
      <c r="G970" s="113" t="s">
        <v>97</v>
      </c>
      <c r="H970" s="113"/>
      <c r="I970" s="113" t="str">
        <f>_xlfn.XLOOKUP($C970,'Cost Centers'!$A$2:$A$11,'Cost Centers'!$C$2:$C$11,"")</f>
        <v>Admin</v>
      </c>
      <c r="J970" s="23">
        <f>MROUND(SUMIFS('Allocated Transactions'!$J:$J,'Allocated Transactions'!$D:$D,$E970,'Allocated Transactions'!$C:$C,$C970,'Allocated Transactions'!$A:$A,"&gt;="&amp;$A970,'Allocated Transactions'!$A:$A,"&lt;="&amp;EOMONTH($A970,0))*0.99,100)</f>
        <v>0</v>
      </c>
      <c r="K970" s="113" t="s">
        <v>637</v>
      </c>
    </row>
    <row r="971" spans="1:11" ht="15" customHeight="1">
      <c r="A971" s="112">
        <f t="shared" si="56"/>
        <v>45992</v>
      </c>
      <c r="B971" s="113">
        <v>5</v>
      </c>
      <c r="C971" s="18" t="str">
        <f t="shared" si="59"/>
        <v>1050</v>
      </c>
      <c r="D971" s="113" t="str">
        <f>_xlfn.XLOOKUP($C971,'Cost Centers'!$A$2:$A$11,'Cost Centers'!$B$2:$B$11,"")</f>
        <v>Business Development</v>
      </c>
      <c r="E971" s="113" t="s">
        <v>121</v>
      </c>
      <c r="F971" s="113" t="str">
        <f>_xlfn.XLOOKUP(E971,'Allocated Transactions'!D:D,'Allocated Transactions'!E:E,"")</f>
        <v>Bank Fees</v>
      </c>
      <c r="G971" s="113" t="s">
        <v>97</v>
      </c>
      <c r="H971" s="113"/>
      <c r="I971" s="113" t="str">
        <f>_xlfn.XLOOKUP($C971,'Cost Centers'!$A$2:$A$11,'Cost Centers'!$C$2:$C$11,"")</f>
        <v>Admin</v>
      </c>
      <c r="J971" s="23">
        <f>MROUND(SUMIFS('Allocated Transactions'!$J:$J,'Allocated Transactions'!$D:$D,$E971,'Allocated Transactions'!$C:$C,$C971,'Allocated Transactions'!$A:$A,"&gt;="&amp;$A971,'Allocated Transactions'!$A:$A,"&lt;="&amp;EOMONTH($A971,0))*0.99,100)</f>
        <v>0</v>
      </c>
      <c r="K971" s="113" t="s">
        <v>637</v>
      </c>
    </row>
    <row r="972" spans="1:11" ht="15" customHeight="1">
      <c r="A972" s="112">
        <f t="shared" si="56"/>
        <v>45992</v>
      </c>
      <c r="B972" s="113">
        <v>5</v>
      </c>
      <c r="C972" s="18" t="str">
        <f t="shared" si="59"/>
        <v>1050</v>
      </c>
      <c r="D972" s="113" t="str">
        <f>_xlfn.XLOOKUP($C972,'Cost Centers'!$A$2:$A$11,'Cost Centers'!$B$2:$B$11,"")</f>
        <v>Business Development</v>
      </c>
      <c r="E972" s="113" t="s">
        <v>123</v>
      </c>
      <c r="F972" s="113" t="str">
        <f>_xlfn.XLOOKUP(E972,'Allocated Transactions'!D:D,'Allocated Transactions'!E:E,"")</f>
        <v>Interest Expense</v>
      </c>
      <c r="G972" s="113" t="s">
        <v>97</v>
      </c>
      <c r="H972" s="113"/>
      <c r="I972" s="113" t="str">
        <f>_xlfn.XLOOKUP($C972,'Cost Centers'!$A$2:$A$11,'Cost Centers'!$C$2:$C$11,"")</f>
        <v>Admin</v>
      </c>
      <c r="J972" s="23">
        <f>MROUND(SUMIFS('Allocated Transactions'!$J:$J,'Allocated Transactions'!$D:$D,$E972,'Allocated Transactions'!$C:$C,$C972,'Allocated Transactions'!$A:$A,"&gt;="&amp;$A972,'Allocated Transactions'!$A:$A,"&lt;="&amp;EOMONTH($A972,0))*0.99,100)</f>
        <v>0</v>
      </c>
      <c r="K972" s="113" t="s">
        <v>637</v>
      </c>
    </row>
    <row r="973" spans="1:11" ht="15" customHeight="1">
      <c r="A973" s="112">
        <f t="shared" si="56"/>
        <v>45992</v>
      </c>
      <c r="B973" s="113">
        <v>5</v>
      </c>
      <c r="C973" s="18" t="str">
        <f t="shared" si="59"/>
        <v>1050</v>
      </c>
      <c r="D973" s="113" t="str">
        <f>_xlfn.XLOOKUP($C973,'Cost Centers'!$A$2:$A$11,'Cost Centers'!$B$2:$B$11,"")</f>
        <v>Business Development</v>
      </c>
      <c r="E973" s="113" t="s">
        <v>125</v>
      </c>
      <c r="F973" s="113" t="str">
        <f>_xlfn.XLOOKUP(E973,'Allocated Transactions'!D:D,'Allocated Transactions'!E:E,"")</f>
        <v>Miscellaneous Expense</v>
      </c>
      <c r="G973" s="113" t="s">
        <v>97</v>
      </c>
      <c r="H973" s="113"/>
      <c r="I973" s="113" t="str">
        <f>_xlfn.XLOOKUP($C973,'Cost Centers'!$A$2:$A$11,'Cost Centers'!$C$2:$C$11,"")</f>
        <v>Admin</v>
      </c>
      <c r="J973" s="23">
        <f>MROUND(SUMIFS('Allocated Transactions'!$J:$J,'Allocated Transactions'!$D:$D,$E973,'Allocated Transactions'!$C:$C,$C973,'Allocated Transactions'!$A:$A,"&gt;="&amp;$A973,'Allocated Transactions'!$A:$A,"&lt;="&amp;EOMONTH($A973,0))*0.99,100)</f>
        <v>0</v>
      </c>
      <c r="K973" s="113" t="s">
        <v>637</v>
      </c>
    </row>
    <row r="974" spans="1:11" ht="15" customHeight="1">
      <c r="A974" s="112">
        <f t="shared" si="56"/>
        <v>46023</v>
      </c>
      <c r="B974" s="113">
        <v>5</v>
      </c>
      <c r="C974" s="18" t="s">
        <v>10</v>
      </c>
      <c r="D974" s="113" t="str">
        <f>_xlfn.XLOOKUP($C974,'Cost Centers'!$A$2:$A$11,'Cost Centers'!$B$2:$B$11,"")</f>
        <v>Business Development</v>
      </c>
      <c r="E974" s="113" t="s">
        <v>28</v>
      </c>
      <c r="F974" s="113" t="str">
        <f>_xlfn.XLOOKUP(E974,'Allocated Transactions'!D:D,'Allocated Transactions'!E:E,"")</f>
        <v>Salaries and Wages</v>
      </c>
      <c r="G974" s="113" t="s">
        <v>97</v>
      </c>
      <c r="H974" s="113"/>
      <c r="I974" s="113" t="str">
        <f>_xlfn.XLOOKUP($C974,'Cost Centers'!$A$2:$A$11,'Cost Centers'!$C$2:$C$11,"")</f>
        <v>Admin</v>
      </c>
      <c r="J974" s="23">
        <f>MROUND(SUMIFS('Allocated Transactions'!$J:$J,'Allocated Transactions'!$D:$D,$E974,'Allocated Transactions'!$C:$C,$C974,'Allocated Transactions'!$A:$A,"&gt;="&amp;$A974,'Allocated Transactions'!$A:$A,"&lt;="&amp;EOMONTH($A974,0))*0.99,100)</f>
        <v>9900</v>
      </c>
      <c r="K974" s="113" t="s">
        <v>637</v>
      </c>
    </row>
    <row r="975" spans="1:11" ht="15" customHeight="1">
      <c r="A975" s="112">
        <f t="shared" si="56"/>
        <v>46023</v>
      </c>
      <c r="B975" s="113">
        <v>5</v>
      </c>
      <c r="C975" s="18" t="str">
        <f t="shared" ref="C975:C991" si="60">C974</f>
        <v>1050</v>
      </c>
      <c r="D975" s="113" t="str">
        <f>_xlfn.XLOOKUP($C975,'Cost Centers'!$A$2:$A$11,'Cost Centers'!$B$2:$B$11,"")</f>
        <v>Business Development</v>
      </c>
      <c r="E975" s="113" t="s">
        <v>29</v>
      </c>
      <c r="F975" s="113" t="str">
        <f>_xlfn.XLOOKUP(E975,'Allocated Transactions'!D:D,'Allocated Transactions'!E:E,"")</f>
        <v>Payroll Taxes</v>
      </c>
      <c r="G975" s="113" t="s">
        <v>97</v>
      </c>
      <c r="H975" s="113"/>
      <c r="I975" s="113" t="str">
        <f>_xlfn.XLOOKUP($C975,'Cost Centers'!$A$2:$A$11,'Cost Centers'!$C$2:$C$11,"")</f>
        <v>Admin</v>
      </c>
      <c r="J975" s="23">
        <f>MROUND(SUMIFS('Allocated Transactions'!$J:$J,'Allocated Transactions'!$D:$D,$E975,'Allocated Transactions'!$C:$C,$C975,'Allocated Transactions'!$A:$A,"&gt;="&amp;$A975,'Allocated Transactions'!$A:$A,"&lt;="&amp;EOMONTH($A975,0))*0.99,100)</f>
        <v>800</v>
      </c>
      <c r="K975" s="113" t="s">
        <v>637</v>
      </c>
    </row>
    <row r="976" spans="1:11" ht="15" customHeight="1">
      <c r="A976" s="112">
        <f t="shared" si="56"/>
        <v>46023</v>
      </c>
      <c r="B976" s="113">
        <v>5</v>
      </c>
      <c r="C976" s="18" t="str">
        <f t="shared" si="60"/>
        <v>1050</v>
      </c>
      <c r="D976" s="113" t="str">
        <f>_xlfn.XLOOKUP($C976,'Cost Centers'!$A$2:$A$11,'Cost Centers'!$B$2:$B$11,"")</f>
        <v>Business Development</v>
      </c>
      <c r="E976" s="113" t="s">
        <v>30</v>
      </c>
      <c r="F976" s="113" t="str">
        <f>_xlfn.XLOOKUP(E976,'Allocated Transactions'!D:D,'Allocated Transactions'!E:E,"")</f>
        <v>Employee Benefits</v>
      </c>
      <c r="G976" s="113" t="s">
        <v>97</v>
      </c>
      <c r="H976" s="113"/>
      <c r="I976" s="113" t="str">
        <f>_xlfn.XLOOKUP($C976,'Cost Centers'!$A$2:$A$11,'Cost Centers'!$C$2:$C$11,"")</f>
        <v>Admin</v>
      </c>
      <c r="J976" s="23">
        <f>MROUND(SUMIFS('Allocated Transactions'!$J:$J,'Allocated Transactions'!$D:$D,$E976,'Allocated Transactions'!$C:$C,$C976,'Allocated Transactions'!$A:$A,"&gt;="&amp;$A976,'Allocated Transactions'!$A:$A,"&lt;="&amp;EOMONTH($A976,0))*0.99,100)</f>
        <v>3600</v>
      </c>
      <c r="K976" s="113" t="s">
        <v>637</v>
      </c>
    </row>
    <row r="977" spans="1:11" ht="15" customHeight="1">
      <c r="A977" s="112">
        <f t="shared" si="56"/>
        <v>46023</v>
      </c>
      <c r="B977" s="113">
        <v>5</v>
      </c>
      <c r="C977" s="18" t="str">
        <f t="shared" si="60"/>
        <v>1050</v>
      </c>
      <c r="D977" s="113" t="str">
        <f>_xlfn.XLOOKUP($C977,'Cost Centers'!$A$2:$A$11,'Cost Centers'!$B$2:$B$11,"")</f>
        <v>Business Development</v>
      </c>
      <c r="E977" s="113" t="s">
        <v>31</v>
      </c>
      <c r="F977" s="113" t="str">
        <f>_xlfn.XLOOKUP(E977,'Allocated Transactions'!D:D,'Allocated Transactions'!E:E,"")</f>
        <v>Retirement Contributions</v>
      </c>
      <c r="G977" s="113" t="s">
        <v>97</v>
      </c>
      <c r="H977" s="113"/>
      <c r="I977" s="113" t="str">
        <f>_xlfn.XLOOKUP($C977,'Cost Centers'!$A$2:$A$11,'Cost Centers'!$C$2:$C$11,"")</f>
        <v>Admin</v>
      </c>
      <c r="J977" s="23">
        <f>MROUND(SUMIFS('Allocated Transactions'!$J:$J,'Allocated Transactions'!$D:$D,$E977,'Allocated Transactions'!$C:$C,$C977,'Allocated Transactions'!$A:$A,"&gt;="&amp;$A977,'Allocated Transactions'!$A:$A,"&lt;="&amp;EOMONTH($A977,0))*0.99,100)</f>
        <v>300</v>
      </c>
      <c r="K977" s="113" t="s">
        <v>637</v>
      </c>
    </row>
    <row r="978" spans="1:11" ht="15" customHeight="1">
      <c r="A978" s="112">
        <f t="shared" si="56"/>
        <v>46023</v>
      </c>
      <c r="B978" s="113">
        <v>5</v>
      </c>
      <c r="C978" s="18" t="str">
        <f t="shared" si="60"/>
        <v>1050</v>
      </c>
      <c r="D978" s="113" t="str">
        <f>_xlfn.XLOOKUP($C978,'Cost Centers'!$A$2:$A$11,'Cost Centers'!$B$2:$B$11,"")</f>
        <v>Business Development</v>
      </c>
      <c r="E978" s="113" t="s">
        <v>101</v>
      </c>
      <c r="F978" s="113" t="str">
        <f>_xlfn.XLOOKUP(E978,'Allocated Transactions'!D:D,'Allocated Transactions'!E:E,"")</f>
        <v>Contract Labor / Consultants</v>
      </c>
      <c r="G978" s="113" t="s">
        <v>97</v>
      </c>
      <c r="H978" s="113"/>
      <c r="I978" s="113" t="str">
        <f>_xlfn.XLOOKUP($C978,'Cost Centers'!$A$2:$A$11,'Cost Centers'!$C$2:$C$11,"")</f>
        <v>Admin</v>
      </c>
      <c r="J978" s="23">
        <f>MROUND(SUMIFS('Allocated Transactions'!$J:$J,'Allocated Transactions'!$D:$D,$E978,'Allocated Transactions'!$C:$C,$C978,'Allocated Transactions'!$A:$A,"&gt;="&amp;$A978,'Allocated Transactions'!$A:$A,"&lt;="&amp;EOMONTH($A978,0))*0.99,100)</f>
        <v>0</v>
      </c>
      <c r="K978" s="113" t="s">
        <v>637</v>
      </c>
    </row>
    <row r="979" spans="1:11" ht="15" customHeight="1">
      <c r="A979" s="112">
        <f t="shared" si="56"/>
        <v>46023</v>
      </c>
      <c r="B979" s="113">
        <v>5</v>
      </c>
      <c r="C979" s="18" t="str">
        <f t="shared" si="60"/>
        <v>1050</v>
      </c>
      <c r="D979" s="113" t="str">
        <f>_xlfn.XLOOKUP($C979,'Cost Centers'!$A$2:$A$11,'Cost Centers'!$B$2:$B$11,"")</f>
        <v>Business Development</v>
      </c>
      <c r="E979" s="113" t="s">
        <v>32</v>
      </c>
      <c r="F979" s="113" t="str">
        <f>_xlfn.XLOOKUP(E979,'Allocated Transactions'!D:D,'Allocated Transactions'!E:E,"")</f>
        <v>Rent</v>
      </c>
      <c r="G979" s="113" t="s">
        <v>97</v>
      </c>
      <c r="H979" s="113"/>
      <c r="I979" s="113" t="str">
        <f>_xlfn.XLOOKUP($C979,'Cost Centers'!$A$2:$A$11,'Cost Centers'!$C$2:$C$11,"")</f>
        <v>Admin</v>
      </c>
      <c r="J979" s="23">
        <f>MROUND(SUMIFS('Allocated Transactions'!$J:$J,'Allocated Transactions'!$D:$D,$E979,'Allocated Transactions'!$C:$C,$C979,'Allocated Transactions'!$A:$A,"&gt;="&amp;$A979,'Allocated Transactions'!$A:$A,"&lt;="&amp;EOMONTH($A979,0))*0.99,100)</f>
        <v>800</v>
      </c>
      <c r="K979" s="113" t="s">
        <v>637</v>
      </c>
    </row>
    <row r="980" spans="1:11" ht="15" customHeight="1">
      <c r="A980" s="112">
        <f t="shared" si="56"/>
        <v>46023</v>
      </c>
      <c r="B980" s="113">
        <v>5</v>
      </c>
      <c r="C980" s="18" t="str">
        <f t="shared" si="60"/>
        <v>1050</v>
      </c>
      <c r="D980" s="113" t="str">
        <f>_xlfn.XLOOKUP($C980,'Cost Centers'!$A$2:$A$11,'Cost Centers'!$B$2:$B$11,"")</f>
        <v>Business Development</v>
      </c>
      <c r="E980" s="113" t="s">
        <v>33</v>
      </c>
      <c r="F980" s="113" t="str">
        <f>_xlfn.XLOOKUP(E980,'Allocated Transactions'!D:D,'Allocated Transactions'!E:E,"")</f>
        <v>Utilities</v>
      </c>
      <c r="G980" s="113" t="s">
        <v>97</v>
      </c>
      <c r="H980" s="113"/>
      <c r="I980" s="113" t="str">
        <f>_xlfn.XLOOKUP($C980,'Cost Centers'!$A$2:$A$11,'Cost Centers'!$C$2:$C$11,"")</f>
        <v>Admin</v>
      </c>
      <c r="J980" s="23">
        <f>MROUND(SUMIFS('Allocated Transactions'!$J:$J,'Allocated Transactions'!$D:$D,$E980,'Allocated Transactions'!$C:$C,$C980,'Allocated Transactions'!$A:$A,"&gt;="&amp;$A980,'Allocated Transactions'!$A:$A,"&lt;="&amp;EOMONTH($A980,0))*0.99,100)</f>
        <v>100</v>
      </c>
      <c r="K980" s="113" t="s">
        <v>637</v>
      </c>
    </row>
    <row r="981" spans="1:11" ht="15" customHeight="1">
      <c r="A981" s="112">
        <f t="shared" si="56"/>
        <v>46023</v>
      </c>
      <c r="B981" s="113">
        <v>5</v>
      </c>
      <c r="C981" s="18" t="str">
        <f t="shared" si="60"/>
        <v>1050</v>
      </c>
      <c r="D981" s="113" t="str">
        <f>_xlfn.XLOOKUP($C981,'Cost Centers'!$A$2:$A$11,'Cost Centers'!$B$2:$B$11,"")</f>
        <v>Business Development</v>
      </c>
      <c r="E981" s="113" t="s">
        <v>105</v>
      </c>
      <c r="F981" s="113" t="str">
        <f>_xlfn.XLOOKUP(E981,'Allocated Transactions'!D:D,'Allocated Transactions'!E:E,"")</f>
        <v>Office Supplies</v>
      </c>
      <c r="G981" s="113" t="s">
        <v>97</v>
      </c>
      <c r="H981" s="113"/>
      <c r="I981" s="113" t="str">
        <f>_xlfn.XLOOKUP($C981,'Cost Centers'!$A$2:$A$11,'Cost Centers'!$C$2:$C$11,"")</f>
        <v>Admin</v>
      </c>
      <c r="J981" s="23">
        <f>MROUND(SUMIFS('Allocated Transactions'!$J:$J,'Allocated Transactions'!$D:$D,$E981,'Allocated Transactions'!$C:$C,$C981,'Allocated Transactions'!$A:$A,"&gt;="&amp;$A981,'Allocated Transactions'!$A:$A,"&lt;="&amp;EOMONTH($A981,0))*0.99,100)</f>
        <v>0</v>
      </c>
      <c r="K981" s="113" t="s">
        <v>637</v>
      </c>
    </row>
    <row r="982" spans="1:11" ht="15" customHeight="1">
      <c r="A982" s="112">
        <f t="shared" si="56"/>
        <v>46023</v>
      </c>
      <c r="B982" s="113">
        <v>5</v>
      </c>
      <c r="C982" s="18" t="str">
        <f t="shared" si="60"/>
        <v>1050</v>
      </c>
      <c r="D982" s="113" t="str">
        <f>_xlfn.XLOOKUP($C982,'Cost Centers'!$A$2:$A$11,'Cost Centers'!$B$2:$B$11,"")</f>
        <v>Business Development</v>
      </c>
      <c r="E982" s="113" t="s">
        <v>107</v>
      </c>
      <c r="F982" s="113" t="str">
        <f>_xlfn.XLOOKUP(E982,'Allocated Transactions'!D:D,'Allocated Transactions'!E:E,"")</f>
        <v>Software and Subscriptions</v>
      </c>
      <c r="G982" s="113" t="s">
        <v>97</v>
      </c>
      <c r="H982" s="113"/>
      <c r="I982" s="113" t="str">
        <f>_xlfn.XLOOKUP($C982,'Cost Centers'!$A$2:$A$11,'Cost Centers'!$C$2:$C$11,"")</f>
        <v>Admin</v>
      </c>
      <c r="J982" s="23">
        <f>MROUND(SUMIFS('Allocated Transactions'!$J:$J,'Allocated Transactions'!$D:$D,$E982,'Allocated Transactions'!$C:$C,$C982,'Allocated Transactions'!$A:$A,"&gt;="&amp;$A982,'Allocated Transactions'!$A:$A,"&lt;="&amp;EOMONTH($A982,0))*0.99,100)</f>
        <v>0</v>
      </c>
      <c r="K982" s="113" t="s">
        <v>637</v>
      </c>
    </row>
    <row r="983" spans="1:11" ht="15" customHeight="1">
      <c r="A983" s="112">
        <f t="shared" si="56"/>
        <v>46023</v>
      </c>
      <c r="B983" s="113">
        <v>5</v>
      </c>
      <c r="C983" s="18" t="str">
        <f t="shared" si="60"/>
        <v>1050</v>
      </c>
      <c r="D983" s="113" t="str">
        <f>_xlfn.XLOOKUP($C983,'Cost Centers'!$A$2:$A$11,'Cost Centers'!$B$2:$B$11,"")</f>
        <v>Business Development</v>
      </c>
      <c r="E983" s="113" t="s">
        <v>109</v>
      </c>
      <c r="F983" s="113" t="str">
        <f>_xlfn.XLOOKUP(E983,'Allocated Transactions'!D:D,'Allocated Transactions'!E:E,"")</f>
        <v>Travel</v>
      </c>
      <c r="G983" s="113" t="s">
        <v>97</v>
      </c>
      <c r="H983" s="113"/>
      <c r="I983" s="113" t="str">
        <f>_xlfn.XLOOKUP($C983,'Cost Centers'!$A$2:$A$11,'Cost Centers'!$C$2:$C$11,"")</f>
        <v>Admin</v>
      </c>
      <c r="J983" s="23">
        <f>MROUND(SUMIFS('Allocated Transactions'!$J:$J,'Allocated Transactions'!$D:$D,$E983,'Allocated Transactions'!$C:$C,$C983,'Allocated Transactions'!$A:$A,"&gt;="&amp;$A983,'Allocated Transactions'!$A:$A,"&lt;="&amp;EOMONTH($A983,0))*0.99,100)</f>
        <v>0</v>
      </c>
      <c r="K983" s="113" t="s">
        <v>637</v>
      </c>
    </row>
    <row r="984" spans="1:11" ht="15" customHeight="1">
      <c r="A984" s="112">
        <f t="shared" si="56"/>
        <v>46023</v>
      </c>
      <c r="B984" s="113">
        <v>5</v>
      </c>
      <c r="C984" s="18" t="str">
        <f t="shared" si="60"/>
        <v>1050</v>
      </c>
      <c r="D984" s="113" t="str">
        <f>_xlfn.XLOOKUP($C984,'Cost Centers'!$A$2:$A$11,'Cost Centers'!$B$2:$B$11,"")</f>
        <v>Business Development</v>
      </c>
      <c r="E984" s="113" t="s">
        <v>111</v>
      </c>
      <c r="F984" s="113" t="str">
        <f>_xlfn.XLOOKUP(E984,'Allocated Transactions'!D:D,'Allocated Transactions'!E:E,"")</f>
        <v>Meals and Entertainment</v>
      </c>
      <c r="G984" s="113" t="s">
        <v>97</v>
      </c>
      <c r="H984" s="113"/>
      <c r="I984" s="113" t="str">
        <f>_xlfn.XLOOKUP($C984,'Cost Centers'!$A$2:$A$11,'Cost Centers'!$C$2:$C$11,"")</f>
        <v>Admin</v>
      </c>
      <c r="J984" s="23">
        <f>MROUND(SUMIFS('Allocated Transactions'!$J:$J,'Allocated Transactions'!$D:$D,$E984,'Allocated Transactions'!$C:$C,$C984,'Allocated Transactions'!$A:$A,"&gt;="&amp;$A984,'Allocated Transactions'!$A:$A,"&lt;="&amp;EOMONTH($A984,0))*0.99,100)</f>
        <v>0</v>
      </c>
      <c r="K984" s="113" t="s">
        <v>637</v>
      </c>
    </row>
    <row r="985" spans="1:11" ht="15" customHeight="1">
      <c r="A985" s="112">
        <f t="shared" ref="A985:A1048" si="61">IF(C985&lt;&gt;C984,DATE(2025,7,1),IF(E985="5000",EOMONTH(A984,0)+1,A984))</f>
        <v>46023</v>
      </c>
      <c r="B985" s="113">
        <v>5</v>
      </c>
      <c r="C985" s="18" t="str">
        <f t="shared" si="60"/>
        <v>1050</v>
      </c>
      <c r="D985" s="113" t="str">
        <f>_xlfn.XLOOKUP($C985,'Cost Centers'!$A$2:$A$11,'Cost Centers'!$B$2:$B$11,"")</f>
        <v>Business Development</v>
      </c>
      <c r="E985" s="113" t="s">
        <v>113</v>
      </c>
      <c r="F985" s="113" t="str">
        <f>_xlfn.XLOOKUP(E985,'Allocated Transactions'!D:D,'Allocated Transactions'!E:E,"")</f>
        <v>Professional Fees - Legal</v>
      </c>
      <c r="G985" s="113" t="s">
        <v>97</v>
      </c>
      <c r="H985" s="113"/>
      <c r="I985" s="113" t="str">
        <f>_xlfn.XLOOKUP($C985,'Cost Centers'!$A$2:$A$11,'Cost Centers'!$C$2:$C$11,"")</f>
        <v>Admin</v>
      </c>
      <c r="J985" s="23">
        <f>MROUND(SUMIFS('Allocated Transactions'!$J:$J,'Allocated Transactions'!$D:$D,$E985,'Allocated Transactions'!$C:$C,$C985,'Allocated Transactions'!$A:$A,"&gt;="&amp;$A985,'Allocated Transactions'!$A:$A,"&lt;="&amp;EOMONTH($A985,0))*0.99,100)</f>
        <v>0</v>
      </c>
      <c r="K985" s="113" t="s">
        <v>637</v>
      </c>
    </row>
    <row r="986" spans="1:11" ht="15" customHeight="1">
      <c r="A986" s="112">
        <f t="shared" si="61"/>
        <v>46023</v>
      </c>
      <c r="B986" s="113">
        <v>5</v>
      </c>
      <c r="C986" s="18" t="str">
        <f t="shared" si="60"/>
        <v>1050</v>
      </c>
      <c r="D986" s="113" t="str">
        <f>_xlfn.XLOOKUP($C986,'Cost Centers'!$A$2:$A$11,'Cost Centers'!$B$2:$B$11,"")</f>
        <v>Business Development</v>
      </c>
      <c r="E986" s="113" t="s">
        <v>115</v>
      </c>
      <c r="F986" s="113" t="str">
        <f>_xlfn.XLOOKUP(E986,'Allocated Transactions'!D:D,'Allocated Transactions'!E:E,"")</f>
        <v>Professional Fees - Accounting/Audit</v>
      </c>
      <c r="G986" s="113" t="s">
        <v>97</v>
      </c>
      <c r="H986" s="113"/>
      <c r="I986" s="113" t="str">
        <f>_xlfn.XLOOKUP($C986,'Cost Centers'!$A$2:$A$11,'Cost Centers'!$C$2:$C$11,"")</f>
        <v>Admin</v>
      </c>
      <c r="J986" s="23">
        <f>MROUND(SUMIFS('Allocated Transactions'!$J:$J,'Allocated Transactions'!$D:$D,$E986,'Allocated Transactions'!$C:$C,$C986,'Allocated Transactions'!$A:$A,"&gt;="&amp;$A986,'Allocated Transactions'!$A:$A,"&lt;="&amp;EOMONTH($A986,0))*0.99,100)</f>
        <v>0</v>
      </c>
      <c r="K986" s="113" t="s">
        <v>637</v>
      </c>
    </row>
    <row r="987" spans="1:11" ht="15" customHeight="1">
      <c r="A987" s="112">
        <f t="shared" si="61"/>
        <v>46023</v>
      </c>
      <c r="B987" s="113">
        <v>5</v>
      </c>
      <c r="C987" s="18" t="str">
        <f t="shared" si="60"/>
        <v>1050</v>
      </c>
      <c r="D987" s="113" t="str">
        <f>_xlfn.XLOOKUP($C987,'Cost Centers'!$A$2:$A$11,'Cost Centers'!$B$2:$B$11,"")</f>
        <v>Business Development</v>
      </c>
      <c r="E987" s="113" t="s">
        <v>117</v>
      </c>
      <c r="F987" s="113" t="str">
        <f>_xlfn.XLOOKUP(E987,'Allocated Transactions'!D:D,'Allocated Transactions'!E:E,"")</f>
        <v>Insurance</v>
      </c>
      <c r="G987" s="113" t="s">
        <v>97</v>
      </c>
      <c r="H987" s="113"/>
      <c r="I987" s="113" t="str">
        <f>_xlfn.XLOOKUP($C987,'Cost Centers'!$A$2:$A$11,'Cost Centers'!$C$2:$C$11,"")</f>
        <v>Admin</v>
      </c>
      <c r="J987" s="23">
        <f>MROUND(SUMIFS('Allocated Transactions'!$J:$J,'Allocated Transactions'!$D:$D,$E987,'Allocated Transactions'!$C:$C,$C987,'Allocated Transactions'!$A:$A,"&gt;="&amp;$A987,'Allocated Transactions'!$A:$A,"&lt;="&amp;EOMONTH($A987,0))*0.99,100)</f>
        <v>600</v>
      </c>
      <c r="K987" s="113" t="s">
        <v>637</v>
      </c>
    </row>
    <row r="988" spans="1:11" ht="15" customHeight="1">
      <c r="A988" s="112">
        <f t="shared" si="61"/>
        <v>46023</v>
      </c>
      <c r="B988" s="113">
        <v>5</v>
      </c>
      <c r="C988" s="18" t="str">
        <f t="shared" si="60"/>
        <v>1050</v>
      </c>
      <c r="D988" s="113" t="str">
        <f>_xlfn.XLOOKUP($C988,'Cost Centers'!$A$2:$A$11,'Cost Centers'!$B$2:$B$11,"")</f>
        <v>Business Development</v>
      </c>
      <c r="E988" s="113" t="s">
        <v>119</v>
      </c>
      <c r="F988" s="113" t="str">
        <f>_xlfn.XLOOKUP(E988,'Allocated Transactions'!D:D,'Allocated Transactions'!E:E,"")</f>
        <v>Depreciation Expense</v>
      </c>
      <c r="G988" s="113" t="s">
        <v>97</v>
      </c>
      <c r="H988" s="113"/>
      <c r="I988" s="113" t="str">
        <f>_xlfn.XLOOKUP($C988,'Cost Centers'!$A$2:$A$11,'Cost Centers'!$C$2:$C$11,"")</f>
        <v>Admin</v>
      </c>
      <c r="J988" s="23">
        <f>MROUND(SUMIFS('Allocated Transactions'!$J:$J,'Allocated Transactions'!$D:$D,$E988,'Allocated Transactions'!$C:$C,$C988,'Allocated Transactions'!$A:$A,"&gt;="&amp;$A988,'Allocated Transactions'!$A:$A,"&lt;="&amp;EOMONTH($A988,0))*0.99,100)</f>
        <v>0</v>
      </c>
      <c r="K988" s="113" t="s">
        <v>637</v>
      </c>
    </row>
    <row r="989" spans="1:11" ht="15" customHeight="1">
      <c r="A989" s="112">
        <f t="shared" si="61"/>
        <v>46023</v>
      </c>
      <c r="B989" s="113">
        <v>5</v>
      </c>
      <c r="C989" s="18" t="str">
        <f t="shared" si="60"/>
        <v>1050</v>
      </c>
      <c r="D989" s="113" t="str">
        <f>_xlfn.XLOOKUP($C989,'Cost Centers'!$A$2:$A$11,'Cost Centers'!$B$2:$B$11,"")</f>
        <v>Business Development</v>
      </c>
      <c r="E989" s="113" t="s">
        <v>121</v>
      </c>
      <c r="F989" s="113" t="str">
        <f>_xlfn.XLOOKUP(E989,'Allocated Transactions'!D:D,'Allocated Transactions'!E:E,"")</f>
        <v>Bank Fees</v>
      </c>
      <c r="G989" s="113" t="s">
        <v>97</v>
      </c>
      <c r="H989" s="113"/>
      <c r="I989" s="113" t="str">
        <f>_xlfn.XLOOKUP($C989,'Cost Centers'!$A$2:$A$11,'Cost Centers'!$C$2:$C$11,"")</f>
        <v>Admin</v>
      </c>
      <c r="J989" s="23">
        <f>MROUND(SUMIFS('Allocated Transactions'!$J:$J,'Allocated Transactions'!$D:$D,$E989,'Allocated Transactions'!$C:$C,$C989,'Allocated Transactions'!$A:$A,"&gt;="&amp;$A989,'Allocated Transactions'!$A:$A,"&lt;="&amp;EOMONTH($A989,0))*0.99,100)</f>
        <v>0</v>
      </c>
      <c r="K989" s="113" t="s">
        <v>637</v>
      </c>
    </row>
    <row r="990" spans="1:11" ht="15" customHeight="1">
      <c r="A990" s="112">
        <f t="shared" si="61"/>
        <v>46023</v>
      </c>
      <c r="B990" s="113">
        <v>5</v>
      </c>
      <c r="C990" s="18" t="str">
        <f t="shared" si="60"/>
        <v>1050</v>
      </c>
      <c r="D990" s="113" t="str">
        <f>_xlfn.XLOOKUP($C990,'Cost Centers'!$A$2:$A$11,'Cost Centers'!$B$2:$B$11,"")</f>
        <v>Business Development</v>
      </c>
      <c r="E990" s="113" t="s">
        <v>123</v>
      </c>
      <c r="F990" s="113" t="str">
        <f>_xlfn.XLOOKUP(E990,'Allocated Transactions'!D:D,'Allocated Transactions'!E:E,"")</f>
        <v>Interest Expense</v>
      </c>
      <c r="G990" s="113" t="s">
        <v>97</v>
      </c>
      <c r="H990" s="113"/>
      <c r="I990" s="113" t="str">
        <f>_xlfn.XLOOKUP($C990,'Cost Centers'!$A$2:$A$11,'Cost Centers'!$C$2:$C$11,"")</f>
        <v>Admin</v>
      </c>
      <c r="J990" s="23">
        <f>MROUND(SUMIFS('Allocated Transactions'!$J:$J,'Allocated Transactions'!$D:$D,$E990,'Allocated Transactions'!$C:$C,$C990,'Allocated Transactions'!$A:$A,"&gt;="&amp;$A990,'Allocated Transactions'!$A:$A,"&lt;="&amp;EOMONTH($A990,0))*0.99,100)</f>
        <v>0</v>
      </c>
      <c r="K990" s="113" t="s">
        <v>637</v>
      </c>
    </row>
    <row r="991" spans="1:11" ht="15" customHeight="1">
      <c r="A991" s="112">
        <f t="shared" si="61"/>
        <v>46023</v>
      </c>
      <c r="B991" s="113">
        <v>5</v>
      </c>
      <c r="C991" s="18" t="str">
        <f t="shared" si="60"/>
        <v>1050</v>
      </c>
      <c r="D991" s="113" t="str">
        <f>_xlfn.XLOOKUP($C991,'Cost Centers'!$A$2:$A$11,'Cost Centers'!$B$2:$B$11,"")</f>
        <v>Business Development</v>
      </c>
      <c r="E991" s="113" t="s">
        <v>125</v>
      </c>
      <c r="F991" s="113" t="str">
        <f>_xlfn.XLOOKUP(E991,'Allocated Transactions'!D:D,'Allocated Transactions'!E:E,"")</f>
        <v>Miscellaneous Expense</v>
      </c>
      <c r="G991" s="113" t="s">
        <v>97</v>
      </c>
      <c r="H991" s="113"/>
      <c r="I991" s="113" t="str">
        <f>_xlfn.XLOOKUP($C991,'Cost Centers'!$A$2:$A$11,'Cost Centers'!$C$2:$C$11,"")</f>
        <v>Admin</v>
      </c>
      <c r="J991" s="23">
        <f>MROUND(SUMIFS('Allocated Transactions'!$J:$J,'Allocated Transactions'!$D:$D,$E991,'Allocated Transactions'!$C:$C,$C991,'Allocated Transactions'!$A:$A,"&gt;="&amp;$A991,'Allocated Transactions'!$A:$A,"&lt;="&amp;EOMONTH($A991,0))*0.99,100)</f>
        <v>0</v>
      </c>
      <c r="K991" s="113" t="s">
        <v>637</v>
      </c>
    </row>
    <row r="992" spans="1:11" ht="15" customHeight="1">
      <c r="A992" s="112">
        <f t="shared" si="61"/>
        <v>46054</v>
      </c>
      <c r="B992" s="113">
        <v>5</v>
      </c>
      <c r="C992" s="18" t="s">
        <v>10</v>
      </c>
      <c r="D992" s="113" t="str">
        <f>_xlfn.XLOOKUP($C992,'Cost Centers'!$A$2:$A$11,'Cost Centers'!$B$2:$B$11,"")</f>
        <v>Business Development</v>
      </c>
      <c r="E992" s="113" t="s">
        <v>28</v>
      </c>
      <c r="F992" s="113" t="str">
        <f>_xlfn.XLOOKUP(E992,'Allocated Transactions'!D:D,'Allocated Transactions'!E:E,"")</f>
        <v>Salaries and Wages</v>
      </c>
      <c r="G992" s="113" t="s">
        <v>97</v>
      </c>
      <c r="H992" s="113"/>
      <c r="I992" s="113" t="str">
        <f>_xlfn.XLOOKUP($C992,'Cost Centers'!$A$2:$A$11,'Cost Centers'!$C$2:$C$11,"")</f>
        <v>Admin</v>
      </c>
      <c r="J992" s="23">
        <f>MROUND(SUMIFS('Allocated Transactions'!$J:$J,'Allocated Transactions'!$D:$D,$E992,'Allocated Transactions'!$C:$C,$C992,'Allocated Transactions'!$A:$A,"&gt;="&amp;$A992,'Allocated Transactions'!$A:$A,"&lt;="&amp;EOMONTH($A992,0))*0.99,100)</f>
        <v>9800</v>
      </c>
      <c r="K992" s="113" t="s">
        <v>637</v>
      </c>
    </row>
    <row r="993" spans="1:11" ht="15" customHeight="1">
      <c r="A993" s="112">
        <f t="shared" si="61"/>
        <v>46054</v>
      </c>
      <c r="B993" s="113">
        <v>5</v>
      </c>
      <c r="C993" s="18" t="str">
        <f t="shared" ref="C993:C1009" si="62">C992</f>
        <v>1050</v>
      </c>
      <c r="D993" s="113" t="str">
        <f>_xlfn.XLOOKUP($C993,'Cost Centers'!$A$2:$A$11,'Cost Centers'!$B$2:$B$11,"")</f>
        <v>Business Development</v>
      </c>
      <c r="E993" s="113" t="s">
        <v>29</v>
      </c>
      <c r="F993" s="113" t="str">
        <f>_xlfn.XLOOKUP(E993,'Allocated Transactions'!D:D,'Allocated Transactions'!E:E,"")</f>
        <v>Payroll Taxes</v>
      </c>
      <c r="G993" s="113" t="s">
        <v>97</v>
      </c>
      <c r="H993" s="113"/>
      <c r="I993" s="113" t="str">
        <f>_xlfn.XLOOKUP($C993,'Cost Centers'!$A$2:$A$11,'Cost Centers'!$C$2:$C$11,"")</f>
        <v>Admin</v>
      </c>
      <c r="J993" s="23">
        <f>MROUND(SUMIFS('Allocated Transactions'!$J:$J,'Allocated Transactions'!$D:$D,$E993,'Allocated Transactions'!$C:$C,$C993,'Allocated Transactions'!$A:$A,"&gt;="&amp;$A993,'Allocated Transactions'!$A:$A,"&lt;="&amp;EOMONTH($A993,0))*0.99,100)</f>
        <v>800</v>
      </c>
      <c r="K993" s="113" t="s">
        <v>637</v>
      </c>
    </row>
    <row r="994" spans="1:11" ht="15" customHeight="1">
      <c r="A994" s="112">
        <f t="shared" si="61"/>
        <v>46054</v>
      </c>
      <c r="B994" s="113">
        <v>5</v>
      </c>
      <c r="C994" s="18" t="str">
        <f t="shared" si="62"/>
        <v>1050</v>
      </c>
      <c r="D994" s="113" t="str">
        <f>_xlfn.XLOOKUP($C994,'Cost Centers'!$A$2:$A$11,'Cost Centers'!$B$2:$B$11,"")</f>
        <v>Business Development</v>
      </c>
      <c r="E994" s="113" t="s">
        <v>30</v>
      </c>
      <c r="F994" s="113" t="str">
        <f>_xlfn.XLOOKUP(E994,'Allocated Transactions'!D:D,'Allocated Transactions'!E:E,"")</f>
        <v>Employee Benefits</v>
      </c>
      <c r="G994" s="113" t="s">
        <v>97</v>
      </c>
      <c r="H994" s="113"/>
      <c r="I994" s="113" t="str">
        <f>_xlfn.XLOOKUP($C994,'Cost Centers'!$A$2:$A$11,'Cost Centers'!$C$2:$C$11,"")</f>
        <v>Admin</v>
      </c>
      <c r="J994" s="23">
        <f>MROUND(SUMIFS('Allocated Transactions'!$J:$J,'Allocated Transactions'!$D:$D,$E994,'Allocated Transactions'!$C:$C,$C994,'Allocated Transactions'!$A:$A,"&gt;="&amp;$A994,'Allocated Transactions'!$A:$A,"&lt;="&amp;EOMONTH($A994,0))*0.99,100)</f>
        <v>3600</v>
      </c>
      <c r="K994" s="113" t="s">
        <v>637</v>
      </c>
    </row>
    <row r="995" spans="1:11" ht="15" customHeight="1">
      <c r="A995" s="112">
        <f t="shared" si="61"/>
        <v>46054</v>
      </c>
      <c r="B995" s="113">
        <v>5</v>
      </c>
      <c r="C995" s="18" t="str">
        <f t="shared" si="62"/>
        <v>1050</v>
      </c>
      <c r="D995" s="113" t="str">
        <f>_xlfn.XLOOKUP($C995,'Cost Centers'!$A$2:$A$11,'Cost Centers'!$B$2:$B$11,"")</f>
        <v>Business Development</v>
      </c>
      <c r="E995" s="113" t="s">
        <v>31</v>
      </c>
      <c r="F995" s="113" t="str">
        <f>_xlfn.XLOOKUP(E995,'Allocated Transactions'!D:D,'Allocated Transactions'!E:E,"")</f>
        <v>Retirement Contributions</v>
      </c>
      <c r="G995" s="113" t="s">
        <v>97</v>
      </c>
      <c r="H995" s="113"/>
      <c r="I995" s="113" t="str">
        <f>_xlfn.XLOOKUP($C995,'Cost Centers'!$A$2:$A$11,'Cost Centers'!$C$2:$C$11,"")</f>
        <v>Admin</v>
      </c>
      <c r="J995" s="23">
        <f>MROUND(SUMIFS('Allocated Transactions'!$J:$J,'Allocated Transactions'!$D:$D,$E995,'Allocated Transactions'!$C:$C,$C995,'Allocated Transactions'!$A:$A,"&gt;="&amp;$A995,'Allocated Transactions'!$A:$A,"&lt;="&amp;EOMONTH($A995,0))*0.99,100)</f>
        <v>300</v>
      </c>
      <c r="K995" s="113" t="s">
        <v>637</v>
      </c>
    </row>
    <row r="996" spans="1:11" ht="15" customHeight="1">
      <c r="A996" s="112">
        <f t="shared" si="61"/>
        <v>46054</v>
      </c>
      <c r="B996" s="113">
        <v>5</v>
      </c>
      <c r="C996" s="18" t="str">
        <f t="shared" si="62"/>
        <v>1050</v>
      </c>
      <c r="D996" s="113" t="str">
        <f>_xlfn.XLOOKUP($C996,'Cost Centers'!$A$2:$A$11,'Cost Centers'!$B$2:$B$11,"")</f>
        <v>Business Development</v>
      </c>
      <c r="E996" s="113" t="s">
        <v>101</v>
      </c>
      <c r="F996" s="113" t="str">
        <f>_xlfn.XLOOKUP(E996,'Allocated Transactions'!D:D,'Allocated Transactions'!E:E,"")</f>
        <v>Contract Labor / Consultants</v>
      </c>
      <c r="G996" s="113" t="s">
        <v>97</v>
      </c>
      <c r="H996" s="113"/>
      <c r="I996" s="113" t="str">
        <f>_xlfn.XLOOKUP($C996,'Cost Centers'!$A$2:$A$11,'Cost Centers'!$C$2:$C$11,"")</f>
        <v>Admin</v>
      </c>
      <c r="J996" s="23">
        <f>MROUND(SUMIFS('Allocated Transactions'!$J:$J,'Allocated Transactions'!$D:$D,$E996,'Allocated Transactions'!$C:$C,$C996,'Allocated Transactions'!$A:$A,"&gt;="&amp;$A996,'Allocated Transactions'!$A:$A,"&lt;="&amp;EOMONTH($A996,0))*0.99,100)</f>
        <v>0</v>
      </c>
      <c r="K996" s="113" t="s">
        <v>637</v>
      </c>
    </row>
    <row r="997" spans="1:11" ht="15" customHeight="1">
      <c r="A997" s="112">
        <f t="shared" si="61"/>
        <v>46054</v>
      </c>
      <c r="B997" s="113">
        <v>5</v>
      </c>
      <c r="C997" s="18" t="str">
        <f t="shared" si="62"/>
        <v>1050</v>
      </c>
      <c r="D997" s="113" t="str">
        <f>_xlfn.XLOOKUP($C997,'Cost Centers'!$A$2:$A$11,'Cost Centers'!$B$2:$B$11,"")</f>
        <v>Business Development</v>
      </c>
      <c r="E997" s="113" t="s">
        <v>32</v>
      </c>
      <c r="F997" s="113" t="str">
        <f>_xlfn.XLOOKUP(E997,'Allocated Transactions'!D:D,'Allocated Transactions'!E:E,"")</f>
        <v>Rent</v>
      </c>
      <c r="G997" s="113" t="s">
        <v>97</v>
      </c>
      <c r="H997" s="113"/>
      <c r="I997" s="113" t="str">
        <f>_xlfn.XLOOKUP($C997,'Cost Centers'!$A$2:$A$11,'Cost Centers'!$C$2:$C$11,"")</f>
        <v>Admin</v>
      </c>
      <c r="J997" s="23">
        <f>MROUND(SUMIFS('Allocated Transactions'!$J:$J,'Allocated Transactions'!$D:$D,$E997,'Allocated Transactions'!$C:$C,$C997,'Allocated Transactions'!$A:$A,"&gt;="&amp;$A997,'Allocated Transactions'!$A:$A,"&lt;="&amp;EOMONTH($A997,0))*0.99,100)</f>
        <v>700</v>
      </c>
      <c r="K997" s="113" t="s">
        <v>637</v>
      </c>
    </row>
    <row r="998" spans="1:11" ht="15" customHeight="1">
      <c r="A998" s="112">
        <f t="shared" si="61"/>
        <v>46054</v>
      </c>
      <c r="B998" s="113">
        <v>5</v>
      </c>
      <c r="C998" s="18" t="str">
        <f t="shared" si="62"/>
        <v>1050</v>
      </c>
      <c r="D998" s="113" t="str">
        <f>_xlfn.XLOOKUP($C998,'Cost Centers'!$A$2:$A$11,'Cost Centers'!$B$2:$B$11,"")</f>
        <v>Business Development</v>
      </c>
      <c r="E998" s="113" t="s">
        <v>33</v>
      </c>
      <c r="F998" s="113" t="str">
        <f>_xlfn.XLOOKUP(E998,'Allocated Transactions'!D:D,'Allocated Transactions'!E:E,"")</f>
        <v>Utilities</v>
      </c>
      <c r="G998" s="113" t="s">
        <v>97</v>
      </c>
      <c r="H998" s="113"/>
      <c r="I998" s="113" t="str">
        <f>_xlfn.XLOOKUP($C998,'Cost Centers'!$A$2:$A$11,'Cost Centers'!$C$2:$C$11,"")</f>
        <v>Admin</v>
      </c>
      <c r="J998" s="23">
        <f>MROUND(SUMIFS('Allocated Transactions'!$J:$J,'Allocated Transactions'!$D:$D,$E998,'Allocated Transactions'!$C:$C,$C998,'Allocated Transactions'!$A:$A,"&gt;="&amp;$A998,'Allocated Transactions'!$A:$A,"&lt;="&amp;EOMONTH($A998,0))*0.99,100)</f>
        <v>100</v>
      </c>
      <c r="K998" s="113" t="s">
        <v>637</v>
      </c>
    </row>
    <row r="999" spans="1:11" ht="15" customHeight="1">
      <c r="A999" s="112">
        <f t="shared" si="61"/>
        <v>46054</v>
      </c>
      <c r="B999" s="113">
        <v>5</v>
      </c>
      <c r="C999" s="18" t="str">
        <f t="shared" si="62"/>
        <v>1050</v>
      </c>
      <c r="D999" s="113" t="str">
        <f>_xlfn.XLOOKUP($C999,'Cost Centers'!$A$2:$A$11,'Cost Centers'!$B$2:$B$11,"")</f>
        <v>Business Development</v>
      </c>
      <c r="E999" s="113" t="s">
        <v>105</v>
      </c>
      <c r="F999" s="113" t="str">
        <f>_xlfn.XLOOKUP(E999,'Allocated Transactions'!D:D,'Allocated Transactions'!E:E,"")</f>
        <v>Office Supplies</v>
      </c>
      <c r="G999" s="113" t="s">
        <v>97</v>
      </c>
      <c r="H999" s="113"/>
      <c r="I999" s="113" t="str">
        <f>_xlfn.XLOOKUP($C999,'Cost Centers'!$A$2:$A$11,'Cost Centers'!$C$2:$C$11,"")</f>
        <v>Admin</v>
      </c>
      <c r="J999" s="23">
        <f>MROUND(SUMIFS('Allocated Transactions'!$J:$J,'Allocated Transactions'!$D:$D,$E999,'Allocated Transactions'!$C:$C,$C999,'Allocated Transactions'!$A:$A,"&gt;="&amp;$A999,'Allocated Transactions'!$A:$A,"&lt;="&amp;EOMONTH($A999,0))*0.99,100)</f>
        <v>0</v>
      </c>
      <c r="K999" s="113" t="s">
        <v>637</v>
      </c>
    </row>
    <row r="1000" spans="1:11" ht="15" customHeight="1">
      <c r="A1000" s="112">
        <f t="shared" si="61"/>
        <v>46054</v>
      </c>
      <c r="B1000" s="113">
        <v>5</v>
      </c>
      <c r="C1000" s="18" t="str">
        <f t="shared" si="62"/>
        <v>1050</v>
      </c>
      <c r="D1000" s="113" t="str">
        <f>_xlfn.XLOOKUP($C1000,'Cost Centers'!$A$2:$A$11,'Cost Centers'!$B$2:$B$11,"")</f>
        <v>Business Development</v>
      </c>
      <c r="E1000" s="113" t="s">
        <v>107</v>
      </c>
      <c r="F1000" s="113" t="str">
        <f>_xlfn.XLOOKUP(E1000,'Allocated Transactions'!D:D,'Allocated Transactions'!E:E,"")</f>
        <v>Software and Subscriptions</v>
      </c>
      <c r="G1000" s="113" t="s">
        <v>97</v>
      </c>
      <c r="H1000" s="113"/>
      <c r="I1000" s="113" t="str">
        <f>_xlfn.XLOOKUP($C1000,'Cost Centers'!$A$2:$A$11,'Cost Centers'!$C$2:$C$11,"")</f>
        <v>Admin</v>
      </c>
      <c r="J1000" s="23">
        <f>MROUND(SUMIFS('Allocated Transactions'!$J:$J,'Allocated Transactions'!$D:$D,$E1000,'Allocated Transactions'!$C:$C,$C1000,'Allocated Transactions'!$A:$A,"&gt;="&amp;$A1000,'Allocated Transactions'!$A:$A,"&lt;="&amp;EOMONTH($A1000,0))*0.99,100)</f>
        <v>0</v>
      </c>
      <c r="K1000" s="113" t="s">
        <v>637</v>
      </c>
    </row>
    <row r="1001" spans="1:11" ht="15" customHeight="1">
      <c r="A1001" s="112">
        <f t="shared" si="61"/>
        <v>46054</v>
      </c>
      <c r="B1001" s="113">
        <v>5</v>
      </c>
      <c r="C1001" s="18" t="str">
        <f t="shared" si="62"/>
        <v>1050</v>
      </c>
      <c r="D1001" s="113" t="str">
        <f>_xlfn.XLOOKUP($C1001,'Cost Centers'!$A$2:$A$11,'Cost Centers'!$B$2:$B$11,"")</f>
        <v>Business Development</v>
      </c>
      <c r="E1001" s="113" t="s">
        <v>109</v>
      </c>
      <c r="F1001" s="113" t="str">
        <f>_xlfn.XLOOKUP(E1001,'Allocated Transactions'!D:D,'Allocated Transactions'!E:E,"")</f>
        <v>Travel</v>
      </c>
      <c r="G1001" s="113" t="s">
        <v>97</v>
      </c>
      <c r="H1001" s="113"/>
      <c r="I1001" s="113" t="str">
        <f>_xlfn.XLOOKUP($C1001,'Cost Centers'!$A$2:$A$11,'Cost Centers'!$C$2:$C$11,"")</f>
        <v>Admin</v>
      </c>
      <c r="J1001" s="23">
        <f>MROUND(SUMIFS('Allocated Transactions'!$J:$J,'Allocated Transactions'!$D:$D,$E1001,'Allocated Transactions'!$C:$C,$C1001,'Allocated Transactions'!$A:$A,"&gt;="&amp;$A1001,'Allocated Transactions'!$A:$A,"&lt;="&amp;EOMONTH($A1001,0))*0.99,100)</f>
        <v>0</v>
      </c>
      <c r="K1001" s="113" t="s">
        <v>637</v>
      </c>
    </row>
    <row r="1002" spans="1:11" ht="15" customHeight="1">
      <c r="A1002" s="112">
        <f t="shared" si="61"/>
        <v>46054</v>
      </c>
      <c r="B1002" s="113">
        <v>5</v>
      </c>
      <c r="C1002" s="18" t="str">
        <f t="shared" si="62"/>
        <v>1050</v>
      </c>
      <c r="D1002" s="113" t="str">
        <f>_xlfn.XLOOKUP($C1002,'Cost Centers'!$A$2:$A$11,'Cost Centers'!$B$2:$B$11,"")</f>
        <v>Business Development</v>
      </c>
      <c r="E1002" s="113" t="s">
        <v>111</v>
      </c>
      <c r="F1002" s="113" t="str">
        <f>_xlfn.XLOOKUP(E1002,'Allocated Transactions'!D:D,'Allocated Transactions'!E:E,"")</f>
        <v>Meals and Entertainment</v>
      </c>
      <c r="G1002" s="113" t="s">
        <v>97</v>
      </c>
      <c r="H1002" s="113"/>
      <c r="I1002" s="113" t="str">
        <f>_xlfn.XLOOKUP($C1002,'Cost Centers'!$A$2:$A$11,'Cost Centers'!$C$2:$C$11,"")</f>
        <v>Admin</v>
      </c>
      <c r="J1002" s="23">
        <f>MROUND(SUMIFS('Allocated Transactions'!$J:$J,'Allocated Transactions'!$D:$D,$E1002,'Allocated Transactions'!$C:$C,$C1002,'Allocated Transactions'!$A:$A,"&gt;="&amp;$A1002,'Allocated Transactions'!$A:$A,"&lt;="&amp;EOMONTH($A1002,0))*0.99,100)</f>
        <v>0</v>
      </c>
      <c r="K1002" s="113" t="s">
        <v>637</v>
      </c>
    </row>
    <row r="1003" spans="1:11" ht="15" customHeight="1">
      <c r="A1003" s="112">
        <f t="shared" si="61"/>
        <v>46054</v>
      </c>
      <c r="B1003" s="113">
        <v>5</v>
      </c>
      <c r="C1003" s="18" t="str">
        <f t="shared" si="62"/>
        <v>1050</v>
      </c>
      <c r="D1003" s="113" t="str">
        <f>_xlfn.XLOOKUP($C1003,'Cost Centers'!$A$2:$A$11,'Cost Centers'!$B$2:$B$11,"")</f>
        <v>Business Development</v>
      </c>
      <c r="E1003" s="113" t="s">
        <v>113</v>
      </c>
      <c r="F1003" s="113" t="str">
        <f>_xlfn.XLOOKUP(E1003,'Allocated Transactions'!D:D,'Allocated Transactions'!E:E,"")</f>
        <v>Professional Fees - Legal</v>
      </c>
      <c r="G1003" s="113" t="s">
        <v>97</v>
      </c>
      <c r="H1003" s="113"/>
      <c r="I1003" s="113" t="str">
        <f>_xlfn.XLOOKUP($C1003,'Cost Centers'!$A$2:$A$11,'Cost Centers'!$C$2:$C$11,"")</f>
        <v>Admin</v>
      </c>
      <c r="J1003" s="23">
        <f>MROUND(SUMIFS('Allocated Transactions'!$J:$J,'Allocated Transactions'!$D:$D,$E1003,'Allocated Transactions'!$C:$C,$C1003,'Allocated Transactions'!$A:$A,"&gt;="&amp;$A1003,'Allocated Transactions'!$A:$A,"&lt;="&amp;EOMONTH($A1003,0))*0.99,100)</f>
        <v>0</v>
      </c>
      <c r="K1003" s="113" t="s">
        <v>637</v>
      </c>
    </row>
    <row r="1004" spans="1:11" ht="15" customHeight="1">
      <c r="A1004" s="112">
        <f t="shared" si="61"/>
        <v>46054</v>
      </c>
      <c r="B1004" s="113">
        <v>5</v>
      </c>
      <c r="C1004" s="18" t="str">
        <f t="shared" si="62"/>
        <v>1050</v>
      </c>
      <c r="D1004" s="113" t="str">
        <f>_xlfn.XLOOKUP($C1004,'Cost Centers'!$A$2:$A$11,'Cost Centers'!$B$2:$B$11,"")</f>
        <v>Business Development</v>
      </c>
      <c r="E1004" s="113" t="s">
        <v>115</v>
      </c>
      <c r="F1004" s="113" t="str">
        <f>_xlfn.XLOOKUP(E1004,'Allocated Transactions'!D:D,'Allocated Transactions'!E:E,"")</f>
        <v>Professional Fees - Accounting/Audit</v>
      </c>
      <c r="G1004" s="113" t="s">
        <v>97</v>
      </c>
      <c r="H1004" s="113"/>
      <c r="I1004" s="113" t="str">
        <f>_xlfn.XLOOKUP($C1004,'Cost Centers'!$A$2:$A$11,'Cost Centers'!$C$2:$C$11,"")</f>
        <v>Admin</v>
      </c>
      <c r="J1004" s="23">
        <f>MROUND(SUMIFS('Allocated Transactions'!$J:$J,'Allocated Transactions'!$D:$D,$E1004,'Allocated Transactions'!$C:$C,$C1004,'Allocated Transactions'!$A:$A,"&gt;="&amp;$A1004,'Allocated Transactions'!$A:$A,"&lt;="&amp;EOMONTH($A1004,0))*0.99,100)</f>
        <v>0</v>
      </c>
      <c r="K1004" s="113" t="s">
        <v>637</v>
      </c>
    </row>
    <row r="1005" spans="1:11" ht="15" customHeight="1">
      <c r="A1005" s="112">
        <f t="shared" si="61"/>
        <v>46054</v>
      </c>
      <c r="B1005" s="113">
        <v>5</v>
      </c>
      <c r="C1005" s="18" t="str">
        <f t="shared" si="62"/>
        <v>1050</v>
      </c>
      <c r="D1005" s="113" t="str">
        <f>_xlfn.XLOOKUP($C1005,'Cost Centers'!$A$2:$A$11,'Cost Centers'!$B$2:$B$11,"")</f>
        <v>Business Development</v>
      </c>
      <c r="E1005" s="113" t="s">
        <v>117</v>
      </c>
      <c r="F1005" s="113" t="str">
        <f>_xlfn.XLOOKUP(E1005,'Allocated Transactions'!D:D,'Allocated Transactions'!E:E,"")</f>
        <v>Insurance</v>
      </c>
      <c r="G1005" s="113" t="s">
        <v>97</v>
      </c>
      <c r="H1005" s="113"/>
      <c r="I1005" s="113" t="str">
        <f>_xlfn.XLOOKUP($C1005,'Cost Centers'!$A$2:$A$11,'Cost Centers'!$C$2:$C$11,"")</f>
        <v>Admin</v>
      </c>
      <c r="J1005" s="23">
        <f>MROUND(SUMIFS('Allocated Transactions'!$J:$J,'Allocated Transactions'!$D:$D,$E1005,'Allocated Transactions'!$C:$C,$C1005,'Allocated Transactions'!$A:$A,"&gt;="&amp;$A1005,'Allocated Transactions'!$A:$A,"&lt;="&amp;EOMONTH($A1005,0))*0.99,100)</f>
        <v>600</v>
      </c>
      <c r="K1005" s="113" t="s">
        <v>637</v>
      </c>
    </row>
    <row r="1006" spans="1:11" ht="15" customHeight="1">
      <c r="A1006" s="112">
        <f t="shared" si="61"/>
        <v>46054</v>
      </c>
      <c r="B1006" s="113">
        <v>5</v>
      </c>
      <c r="C1006" s="18" t="str">
        <f t="shared" si="62"/>
        <v>1050</v>
      </c>
      <c r="D1006" s="113" t="str">
        <f>_xlfn.XLOOKUP($C1006,'Cost Centers'!$A$2:$A$11,'Cost Centers'!$B$2:$B$11,"")</f>
        <v>Business Development</v>
      </c>
      <c r="E1006" s="113" t="s">
        <v>119</v>
      </c>
      <c r="F1006" s="113" t="str">
        <f>_xlfn.XLOOKUP(E1006,'Allocated Transactions'!D:D,'Allocated Transactions'!E:E,"")</f>
        <v>Depreciation Expense</v>
      </c>
      <c r="G1006" s="113" t="s">
        <v>97</v>
      </c>
      <c r="H1006" s="113"/>
      <c r="I1006" s="113" t="str">
        <f>_xlfn.XLOOKUP($C1006,'Cost Centers'!$A$2:$A$11,'Cost Centers'!$C$2:$C$11,"")</f>
        <v>Admin</v>
      </c>
      <c r="J1006" s="23">
        <f>MROUND(SUMIFS('Allocated Transactions'!$J:$J,'Allocated Transactions'!$D:$D,$E1006,'Allocated Transactions'!$C:$C,$C1006,'Allocated Transactions'!$A:$A,"&gt;="&amp;$A1006,'Allocated Transactions'!$A:$A,"&lt;="&amp;EOMONTH($A1006,0))*0.99,100)</f>
        <v>0</v>
      </c>
      <c r="K1006" s="113" t="s">
        <v>637</v>
      </c>
    </row>
    <row r="1007" spans="1:11" ht="15" customHeight="1">
      <c r="A1007" s="112">
        <f t="shared" si="61"/>
        <v>46054</v>
      </c>
      <c r="B1007" s="113">
        <v>5</v>
      </c>
      <c r="C1007" s="18" t="str">
        <f t="shared" si="62"/>
        <v>1050</v>
      </c>
      <c r="D1007" s="113" t="str">
        <f>_xlfn.XLOOKUP($C1007,'Cost Centers'!$A$2:$A$11,'Cost Centers'!$B$2:$B$11,"")</f>
        <v>Business Development</v>
      </c>
      <c r="E1007" s="113" t="s">
        <v>121</v>
      </c>
      <c r="F1007" s="113" t="str">
        <f>_xlfn.XLOOKUP(E1007,'Allocated Transactions'!D:D,'Allocated Transactions'!E:E,"")</f>
        <v>Bank Fees</v>
      </c>
      <c r="G1007" s="113" t="s">
        <v>97</v>
      </c>
      <c r="H1007" s="113"/>
      <c r="I1007" s="113" t="str">
        <f>_xlfn.XLOOKUP($C1007,'Cost Centers'!$A$2:$A$11,'Cost Centers'!$C$2:$C$11,"")</f>
        <v>Admin</v>
      </c>
      <c r="J1007" s="23">
        <f>MROUND(SUMIFS('Allocated Transactions'!$J:$J,'Allocated Transactions'!$D:$D,$E1007,'Allocated Transactions'!$C:$C,$C1007,'Allocated Transactions'!$A:$A,"&gt;="&amp;$A1007,'Allocated Transactions'!$A:$A,"&lt;="&amp;EOMONTH($A1007,0))*0.99,100)</f>
        <v>0</v>
      </c>
      <c r="K1007" s="113" t="s">
        <v>637</v>
      </c>
    </row>
    <row r="1008" spans="1:11" ht="15" customHeight="1">
      <c r="A1008" s="112">
        <f t="shared" si="61"/>
        <v>46054</v>
      </c>
      <c r="B1008" s="113">
        <v>5</v>
      </c>
      <c r="C1008" s="18" t="str">
        <f t="shared" si="62"/>
        <v>1050</v>
      </c>
      <c r="D1008" s="113" t="str">
        <f>_xlfn.XLOOKUP($C1008,'Cost Centers'!$A$2:$A$11,'Cost Centers'!$B$2:$B$11,"")</f>
        <v>Business Development</v>
      </c>
      <c r="E1008" s="113" t="s">
        <v>123</v>
      </c>
      <c r="F1008" s="113" t="str">
        <f>_xlfn.XLOOKUP(E1008,'Allocated Transactions'!D:D,'Allocated Transactions'!E:E,"")</f>
        <v>Interest Expense</v>
      </c>
      <c r="G1008" s="113" t="s">
        <v>97</v>
      </c>
      <c r="H1008" s="113"/>
      <c r="I1008" s="113" t="str">
        <f>_xlfn.XLOOKUP($C1008,'Cost Centers'!$A$2:$A$11,'Cost Centers'!$C$2:$C$11,"")</f>
        <v>Admin</v>
      </c>
      <c r="J1008" s="23">
        <f>MROUND(SUMIFS('Allocated Transactions'!$J:$J,'Allocated Transactions'!$D:$D,$E1008,'Allocated Transactions'!$C:$C,$C1008,'Allocated Transactions'!$A:$A,"&gt;="&amp;$A1008,'Allocated Transactions'!$A:$A,"&lt;="&amp;EOMONTH($A1008,0))*0.99,100)</f>
        <v>0</v>
      </c>
      <c r="K1008" s="113" t="s">
        <v>637</v>
      </c>
    </row>
    <row r="1009" spans="1:11" ht="15" customHeight="1">
      <c r="A1009" s="112">
        <f t="shared" si="61"/>
        <v>46054</v>
      </c>
      <c r="B1009" s="113">
        <v>5</v>
      </c>
      <c r="C1009" s="18" t="str">
        <f t="shared" si="62"/>
        <v>1050</v>
      </c>
      <c r="D1009" s="113" t="str">
        <f>_xlfn.XLOOKUP($C1009,'Cost Centers'!$A$2:$A$11,'Cost Centers'!$B$2:$B$11,"")</f>
        <v>Business Development</v>
      </c>
      <c r="E1009" s="113" t="s">
        <v>125</v>
      </c>
      <c r="F1009" s="113" t="str">
        <f>_xlfn.XLOOKUP(E1009,'Allocated Transactions'!D:D,'Allocated Transactions'!E:E,"")</f>
        <v>Miscellaneous Expense</v>
      </c>
      <c r="G1009" s="113" t="s">
        <v>97</v>
      </c>
      <c r="H1009" s="113"/>
      <c r="I1009" s="113" t="str">
        <f>_xlfn.XLOOKUP($C1009,'Cost Centers'!$A$2:$A$11,'Cost Centers'!$C$2:$C$11,"")</f>
        <v>Admin</v>
      </c>
      <c r="J1009" s="23">
        <f>MROUND(SUMIFS('Allocated Transactions'!$J:$J,'Allocated Transactions'!$D:$D,$E1009,'Allocated Transactions'!$C:$C,$C1009,'Allocated Transactions'!$A:$A,"&gt;="&amp;$A1009,'Allocated Transactions'!$A:$A,"&lt;="&amp;EOMONTH($A1009,0))*0.99,100)</f>
        <v>0</v>
      </c>
      <c r="K1009" s="113" t="s">
        <v>637</v>
      </c>
    </row>
    <row r="1010" spans="1:11" ht="15" customHeight="1">
      <c r="A1010" s="112">
        <f t="shared" si="61"/>
        <v>46082</v>
      </c>
      <c r="B1010" s="113">
        <v>5</v>
      </c>
      <c r="C1010" s="18" t="s">
        <v>10</v>
      </c>
      <c r="D1010" s="113" t="str">
        <f>_xlfn.XLOOKUP($C1010,'Cost Centers'!$A$2:$A$11,'Cost Centers'!$B$2:$B$11,"")</f>
        <v>Business Development</v>
      </c>
      <c r="E1010" s="113" t="s">
        <v>28</v>
      </c>
      <c r="F1010" s="113" t="str">
        <f>_xlfn.XLOOKUP(E1010,'Allocated Transactions'!D:D,'Allocated Transactions'!E:E,"")</f>
        <v>Salaries and Wages</v>
      </c>
      <c r="G1010" s="113" t="s">
        <v>97</v>
      </c>
      <c r="H1010" s="113"/>
      <c r="I1010" s="113" t="str">
        <f>_xlfn.XLOOKUP($C1010,'Cost Centers'!$A$2:$A$11,'Cost Centers'!$C$2:$C$11,"")</f>
        <v>Admin</v>
      </c>
      <c r="J1010" s="23">
        <f>MROUND(SUMIFS('Allocated Transactions'!$J:$J,'Allocated Transactions'!$D:$D,$E1010,'Allocated Transactions'!$C:$C,$C1010,'Allocated Transactions'!$A:$A,"&gt;="&amp;$A1010,'Allocated Transactions'!$A:$A,"&lt;="&amp;EOMONTH($A1010,0))*0.99,100)</f>
        <v>4800</v>
      </c>
      <c r="K1010" s="113" t="s">
        <v>637</v>
      </c>
    </row>
    <row r="1011" spans="1:11" ht="15" customHeight="1">
      <c r="A1011" s="112">
        <f t="shared" si="61"/>
        <v>46082</v>
      </c>
      <c r="B1011" s="113">
        <v>5</v>
      </c>
      <c r="C1011" s="18" t="str">
        <f t="shared" ref="C1011:C1027" si="63">C1010</f>
        <v>1050</v>
      </c>
      <c r="D1011" s="113" t="str">
        <f>_xlfn.XLOOKUP($C1011,'Cost Centers'!$A$2:$A$11,'Cost Centers'!$B$2:$B$11,"")</f>
        <v>Business Development</v>
      </c>
      <c r="E1011" s="113" t="s">
        <v>29</v>
      </c>
      <c r="F1011" s="113" t="str">
        <f>_xlfn.XLOOKUP(E1011,'Allocated Transactions'!D:D,'Allocated Transactions'!E:E,"")</f>
        <v>Payroll Taxes</v>
      </c>
      <c r="G1011" s="113" t="s">
        <v>97</v>
      </c>
      <c r="H1011" s="113"/>
      <c r="I1011" s="113" t="str">
        <f>_xlfn.XLOOKUP($C1011,'Cost Centers'!$A$2:$A$11,'Cost Centers'!$C$2:$C$11,"")</f>
        <v>Admin</v>
      </c>
      <c r="J1011" s="23">
        <f>MROUND(SUMIFS('Allocated Transactions'!$J:$J,'Allocated Transactions'!$D:$D,$E1011,'Allocated Transactions'!$C:$C,$C1011,'Allocated Transactions'!$A:$A,"&gt;="&amp;$A1011,'Allocated Transactions'!$A:$A,"&lt;="&amp;EOMONTH($A1011,0))*0.99,100)</f>
        <v>400</v>
      </c>
      <c r="K1011" s="113" t="s">
        <v>637</v>
      </c>
    </row>
    <row r="1012" spans="1:11" ht="15" customHeight="1">
      <c r="A1012" s="112">
        <f t="shared" si="61"/>
        <v>46082</v>
      </c>
      <c r="B1012" s="113">
        <v>5</v>
      </c>
      <c r="C1012" s="18" t="str">
        <f t="shared" si="63"/>
        <v>1050</v>
      </c>
      <c r="D1012" s="113" t="str">
        <f>_xlfn.XLOOKUP($C1012,'Cost Centers'!$A$2:$A$11,'Cost Centers'!$B$2:$B$11,"")</f>
        <v>Business Development</v>
      </c>
      <c r="E1012" s="113" t="s">
        <v>30</v>
      </c>
      <c r="F1012" s="113" t="str">
        <f>_xlfn.XLOOKUP(E1012,'Allocated Transactions'!D:D,'Allocated Transactions'!E:E,"")</f>
        <v>Employee Benefits</v>
      </c>
      <c r="G1012" s="113" t="s">
        <v>97</v>
      </c>
      <c r="H1012" s="113"/>
      <c r="I1012" s="113" t="str">
        <f>_xlfn.XLOOKUP($C1012,'Cost Centers'!$A$2:$A$11,'Cost Centers'!$C$2:$C$11,"")</f>
        <v>Admin</v>
      </c>
      <c r="J1012" s="23">
        <f>MROUND(SUMIFS('Allocated Transactions'!$J:$J,'Allocated Transactions'!$D:$D,$E1012,'Allocated Transactions'!$C:$C,$C1012,'Allocated Transactions'!$A:$A,"&gt;="&amp;$A1012,'Allocated Transactions'!$A:$A,"&lt;="&amp;EOMONTH($A1012,0))*0.99,100)</f>
        <v>2900</v>
      </c>
      <c r="K1012" s="113" t="s">
        <v>637</v>
      </c>
    </row>
    <row r="1013" spans="1:11" ht="15" customHeight="1">
      <c r="A1013" s="112">
        <f t="shared" si="61"/>
        <v>46082</v>
      </c>
      <c r="B1013" s="113">
        <v>5</v>
      </c>
      <c r="C1013" s="18" t="str">
        <f t="shared" si="63"/>
        <v>1050</v>
      </c>
      <c r="D1013" s="113" t="str">
        <f>_xlfn.XLOOKUP($C1013,'Cost Centers'!$A$2:$A$11,'Cost Centers'!$B$2:$B$11,"")</f>
        <v>Business Development</v>
      </c>
      <c r="E1013" s="113" t="s">
        <v>31</v>
      </c>
      <c r="F1013" s="113" t="str">
        <f>_xlfn.XLOOKUP(E1013,'Allocated Transactions'!D:D,'Allocated Transactions'!E:E,"")</f>
        <v>Retirement Contributions</v>
      </c>
      <c r="G1013" s="113" t="s">
        <v>97</v>
      </c>
      <c r="H1013" s="113"/>
      <c r="I1013" s="113" t="str">
        <f>_xlfn.XLOOKUP($C1013,'Cost Centers'!$A$2:$A$11,'Cost Centers'!$C$2:$C$11,"")</f>
        <v>Admin</v>
      </c>
      <c r="J1013" s="23">
        <f>MROUND(SUMIFS('Allocated Transactions'!$J:$J,'Allocated Transactions'!$D:$D,$E1013,'Allocated Transactions'!$C:$C,$C1013,'Allocated Transactions'!$A:$A,"&gt;="&amp;$A1013,'Allocated Transactions'!$A:$A,"&lt;="&amp;EOMONTH($A1013,0))*0.99,100)</f>
        <v>100</v>
      </c>
      <c r="K1013" s="113" t="s">
        <v>637</v>
      </c>
    </row>
    <row r="1014" spans="1:11" ht="15" customHeight="1">
      <c r="A1014" s="112">
        <f t="shared" si="61"/>
        <v>46082</v>
      </c>
      <c r="B1014" s="113">
        <v>5</v>
      </c>
      <c r="C1014" s="18" t="str">
        <f t="shared" si="63"/>
        <v>1050</v>
      </c>
      <c r="D1014" s="113" t="str">
        <f>_xlfn.XLOOKUP($C1014,'Cost Centers'!$A$2:$A$11,'Cost Centers'!$B$2:$B$11,"")</f>
        <v>Business Development</v>
      </c>
      <c r="E1014" s="113" t="s">
        <v>101</v>
      </c>
      <c r="F1014" s="113" t="str">
        <f>_xlfn.XLOOKUP(E1014,'Allocated Transactions'!D:D,'Allocated Transactions'!E:E,"")</f>
        <v>Contract Labor / Consultants</v>
      </c>
      <c r="G1014" s="113" t="s">
        <v>97</v>
      </c>
      <c r="H1014" s="113"/>
      <c r="I1014" s="113" t="str">
        <f>_xlfn.XLOOKUP($C1014,'Cost Centers'!$A$2:$A$11,'Cost Centers'!$C$2:$C$11,"")</f>
        <v>Admin</v>
      </c>
      <c r="J1014" s="23">
        <f>MROUND(SUMIFS('Allocated Transactions'!$J:$J,'Allocated Transactions'!$D:$D,$E1014,'Allocated Transactions'!$C:$C,$C1014,'Allocated Transactions'!$A:$A,"&gt;="&amp;$A1014,'Allocated Transactions'!$A:$A,"&lt;="&amp;EOMONTH($A1014,0))*0.99,100)</f>
        <v>0</v>
      </c>
      <c r="K1014" s="113" t="s">
        <v>637</v>
      </c>
    </row>
    <row r="1015" spans="1:11" ht="15" customHeight="1">
      <c r="A1015" s="112">
        <f t="shared" si="61"/>
        <v>46082</v>
      </c>
      <c r="B1015" s="113">
        <v>5</v>
      </c>
      <c r="C1015" s="18" t="str">
        <f t="shared" si="63"/>
        <v>1050</v>
      </c>
      <c r="D1015" s="113" t="str">
        <f>_xlfn.XLOOKUP($C1015,'Cost Centers'!$A$2:$A$11,'Cost Centers'!$B$2:$B$11,"")</f>
        <v>Business Development</v>
      </c>
      <c r="E1015" s="113" t="s">
        <v>32</v>
      </c>
      <c r="F1015" s="113" t="str">
        <f>_xlfn.XLOOKUP(E1015,'Allocated Transactions'!D:D,'Allocated Transactions'!E:E,"")</f>
        <v>Rent</v>
      </c>
      <c r="G1015" s="113" t="s">
        <v>97</v>
      </c>
      <c r="H1015" s="113"/>
      <c r="I1015" s="113" t="str">
        <f>_xlfn.XLOOKUP($C1015,'Cost Centers'!$A$2:$A$11,'Cost Centers'!$C$2:$C$11,"")</f>
        <v>Admin</v>
      </c>
      <c r="J1015" s="23">
        <f>MROUND(SUMIFS('Allocated Transactions'!$J:$J,'Allocated Transactions'!$D:$D,$E1015,'Allocated Transactions'!$C:$C,$C1015,'Allocated Transactions'!$A:$A,"&gt;="&amp;$A1015,'Allocated Transactions'!$A:$A,"&lt;="&amp;EOMONTH($A1015,0))*0.99,100)</f>
        <v>400</v>
      </c>
      <c r="K1015" s="113" t="s">
        <v>637</v>
      </c>
    </row>
    <row r="1016" spans="1:11" ht="15" customHeight="1">
      <c r="A1016" s="112">
        <f t="shared" si="61"/>
        <v>46082</v>
      </c>
      <c r="B1016" s="113">
        <v>5</v>
      </c>
      <c r="C1016" s="18" t="str">
        <f t="shared" si="63"/>
        <v>1050</v>
      </c>
      <c r="D1016" s="113" t="str">
        <f>_xlfn.XLOOKUP($C1016,'Cost Centers'!$A$2:$A$11,'Cost Centers'!$B$2:$B$11,"")</f>
        <v>Business Development</v>
      </c>
      <c r="E1016" s="113" t="s">
        <v>33</v>
      </c>
      <c r="F1016" s="113" t="str">
        <f>_xlfn.XLOOKUP(E1016,'Allocated Transactions'!D:D,'Allocated Transactions'!E:E,"")</f>
        <v>Utilities</v>
      </c>
      <c r="G1016" s="113" t="s">
        <v>97</v>
      </c>
      <c r="H1016" s="113"/>
      <c r="I1016" s="113" t="str">
        <f>_xlfn.XLOOKUP($C1016,'Cost Centers'!$A$2:$A$11,'Cost Centers'!$C$2:$C$11,"")</f>
        <v>Admin</v>
      </c>
      <c r="J1016" s="23">
        <f>MROUND(SUMIFS('Allocated Transactions'!$J:$J,'Allocated Transactions'!$D:$D,$E1016,'Allocated Transactions'!$C:$C,$C1016,'Allocated Transactions'!$A:$A,"&gt;="&amp;$A1016,'Allocated Transactions'!$A:$A,"&lt;="&amp;EOMONTH($A1016,0))*0.99,100)</f>
        <v>0</v>
      </c>
      <c r="K1016" s="113" t="s">
        <v>637</v>
      </c>
    </row>
    <row r="1017" spans="1:11" ht="15" customHeight="1">
      <c r="A1017" s="112">
        <f t="shared" si="61"/>
        <v>46082</v>
      </c>
      <c r="B1017" s="113">
        <v>5</v>
      </c>
      <c r="C1017" s="18" t="str">
        <f t="shared" si="63"/>
        <v>1050</v>
      </c>
      <c r="D1017" s="113" t="str">
        <f>_xlfn.XLOOKUP($C1017,'Cost Centers'!$A$2:$A$11,'Cost Centers'!$B$2:$B$11,"")</f>
        <v>Business Development</v>
      </c>
      <c r="E1017" s="113" t="s">
        <v>105</v>
      </c>
      <c r="F1017" s="113" t="str">
        <f>_xlfn.XLOOKUP(E1017,'Allocated Transactions'!D:D,'Allocated Transactions'!E:E,"")</f>
        <v>Office Supplies</v>
      </c>
      <c r="G1017" s="113" t="s">
        <v>97</v>
      </c>
      <c r="H1017" s="113"/>
      <c r="I1017" s="113" t="str">
        <f>_xlfn.XLOOKUP($C1017,'Cost Centers'!$A$2:$A$11,'Cost Centers'!$C$2:$C$11,"")</f>
        <v>Admin</v>
      </c>
      <c r="J1017" s="23">
        <f>MROUND(SUMIFS('Allocated Transactions'!$J:$J,'Allocated Transactions'!$D:$D,$E1017,'Allocated Transactions'!$C:$C,$C1017,'Allocated Transactions'!$A:$A,"&gt;="&amp;$A1017,'Allocated Transactions'!$A:$A,"&lt;="&amp;EOMONTH($A1017,0))*0.99,100)</f>
        <v>0</v>
      </c>
      <c r="K1017" s="113" t="s">
        <v>637</v>
      </c>
    </row>
    <row r="1018" spans="1:11" ht="15" customHeight="1">
      <c r="A1018" s="112">
        <f t="shared" si="61"/>
        <v>46082</v>
      </c>
      <c r="B1018" s="113">
        <v>5</v>
      </c>
      <c r="C1018" s="18" t="str">
        <f t="shared" si="63"/>
        <v>1050</v>
      </c>
      <c r="D1018" s="113" t="str">
        <f>_xlfn.XLOOKUP($C1018,'Cost Centers'!$A$2:$A$11,'Cost Centers'!$B$2:$B$11,"")</f>
        <v>Business Development</v>
      </c>
      <c r="E1018" s="113" t="s">
        <v>107</v>
      </c>
      <c r="F1018" s="113" t="str">
        <f>_xlfn.XLOOKUP(E1018,'Allocated Transactions'!D:D,'Allocated Transactions'!E:E,"")</f>
        <v>Software and Subscriptions</v>
      </c>
      <c r="G1018" s="113" t="s">
        <v>97</v>
      </c>
      <c r="H1018" s="113"/>
      <c r="I1018" s="113" t="str">
        <f>_xlfn.XLOOKUP($C1018,'Cost Centers'!$A$2:$A$11,'Cost Centers'!$C$2:$C$11,"")</f>
        <v>Admin</v>
      </c>
      <c r="J1018" s="23">
        <f>MROUND(SUMIFS('Allocated Transactions'!$J:$J,'Allocated Transactions'!$D:$D,$E1018,'Allocated Transactions'!$C:$C,$C1018,'Allocated Transactions'!$A:$A,"&gt;="&amp;$A1018,'Allocated Transactions'!$A:$A,"&lt;="&amp;EOMONTH($A1018,0))*0.99,100)</f>
        <v>0</v>
      </c>
      <c r="K1018" s="113" t="s">
        <v>637</v>
      </c>
    </row>
    <row r="1019" spans="1:11" ht="15" customHeight="1">
      <c r="A1019" s="112">
        <f t="shared" si="61"/>
        <v>46082</v>
      </c>
      <c r="B1019" s="113">
        <v>5</v>
      </c>
      <c r="C1019" s="18" t="str">
        <f t="shared" si="63"/>
        <v>1050</v>
      </c>
      <c r="D1019" s="113" t="str">
        <f>_xlfn.XLOOKUP($C1019,'Cost Centers'!$A$2:$A$11,'Cost Centers'!$B$2:$B$11,"")</f>
        <v>Business Development</v>
      </c>
      <c r="E1019" s="113" t="s">
        <v>109</v>
      </c>
      <c r="F1019" s="113" t="str">
        <f>_xlfn.XLOOKUP(E1019,'Allocated Transactions'!D:D,'Allocated Transactions'!E:E,"")</f>
        <v>Travel</v>
      </c>
      <c r="G1019" s="113" t="s">
        <v>97</v>
      </c>
      <c r="H1019" s="113"/>
      <c r="I1019" s="113" t="str">
        <f>_xlfn.XLOOKUP($C1019,'Cost Centers'!$A$2:$A$11,'Cost Centers'!$C$2:$C$11,"")</f>
        <v>Admin</v>
      </c>
      <c r="J1019" s="23">
        <f>MROUND(SUMIFS('Allocated Transactions'!$J:$J,'Allocated Transactions'!$D:$D,$E1019,'Allocated Transactions'!$C:$C,$C1019,'Allocated Transactions'!$A:$A,"&gt;="&amp;$A1019,'Allocated Transactions'!$A:$A,"&lt;="&amp;EOMONTH($A1019,0))*0.99,100)</f>
        <v>0</v>
      </c>
      <c r="K1019" s="113" t="s">
        <v>637</v>
      </c>
    </row>
    <row r="1020" spans="1:11" ht="15" customHeight="1">
      <c r="A1020" s="112">
        <f t="shared" si="61"/>
        <v>46082</v>
      </c>
      <c r="B1020" s="113">
        <v>5</v>
      </c>
      <c r="C1020" s="18" t="str">
        <f t="shared" si="63"/>
        <v>1050</v>
      </c>
      <c r="D1020" s="113" t="str">
        <f>_xlfn.XLOOKUP($C1020,'Cost Centers'!$A$2:$A$11,'Cost Centers'!$B$2:$B$11,"")</f>
        <v>Business Development</v>
      </c>
      <c r="E1020" s="113" t="s">
        <v>111</v>
      </c>
      <c r="F1020" s="113" t="str">
        <f>_xlfn.XLOOKUP(E1020,'Allocated Transactions'!D:D,'Allocated Transactions'!E:E,"")</f>
        <v>Meals and Entertainment</v>
      </c>
      <c r="G1020" s="113" t="s">
        <v>97</v>
      </c>
      <c r="H1020" s="113"/>
      <c r="I1020" s="113" t="str">
        <f>_xlfn.XLOOKUP($C1020,'Cost Centers'!$A$2:$A$11,'Cost Centers'!$C$2:$C$11,"")</f>
        <v>Admin</v>
      </c>
      <c r="J1020" s="23">
        <f>MROUND(SUMIFS('Allocated Transactions'!$J:$J,'Allocated Transactions'!$D:$D,$E1020,'Allocated Transactions'!$C:$C,$C1020,'Allocated Transactions'!$A:$A,"&gt;="&amp;$A1020,'Allocated Transactions'!$A:$A,"&lt;="&amp;EOMONTH($A1020,0))*0.99,100)</f>
        <v>0</v>
      </c>
      <c r="K1020" s="113" t="s">
        <v>637</v>
      </c>
    </row>
    <row r="1021" spans="1:11" ht="15" customHeight="1">
      <c r="A1021" s="112">
        <f t="shared" si="61"/>
        <v>46082</v>
      </c>
      <c r="B1021" s="113">
        <v>5</v>
      </c>
      <c r="C1021" s="18" t="str">
        <f t="shared" si="63"/>
        <v>1050</v>
      </c>
      <c r="D1021" s="113" t="str">
        <f>_xlfn.XLOOKUP($C1021,'Cost Centers'!$A$2:$A$11,'Cost Centers'!$B$2:$B$11,"")</f>
        <v>Business Development</v>
      </c>
      <c r="E1021" s="113" t="s">
        <v>113</v>
      </c>
      <c r="F1021" s="113" t="str">
        <f>_xlfn.XLOOKUP(E1021,'Allocated Transactions'!D:D,'Allocated Transactions'!E:E,"")</f>
        <v>Professional Fees - Legal</v>
      </c>
      <c r="G1021" s="113" t="s">
        <v>97</v>
      </c>
      <c r="H1021" s="113"/>
      <c r="I1021" s="113" t="str">
        <f>_xlfn.XLOOKUP($C1021,'Cost Centers'!$A$2:$A$11,'Cost Centers'!$C$2:$C$11,"")</f>
        <v>Admin</v>
      </c>
      <c r="J1021" s="23">
        <f>MROUND(SUMIFS('Allocated Transactions'!$J:$J,'Allocated Transactions'!$D:$D,$E1021,'Allocated Transactions'!$C:$C,$C1021,'Allocated Transactions'!$A:$A,"&gt;="&amp;$A1021,'Allocated Transactions'!$A:$A,"&lt;="&amp;EOMONTH($A1021,0))*0.99,100)</f>
        <v>0</v>
      </c>
      <c r="K1021" s="113" t="s">
        <v>637</v>
      </c>
    </row>
    <row r="1022" spans="1:11" ht="15" customHeight="1">
      <c r="A1022" s="112">
        <f t="shared" si="61"/>
        <v>46082</v>
      </c>
      <c r="B1022" s="113">
        <v>5</v>
      </c>
      <c r="C1022" s="18" t="str">
        <f t="shared" si="63"/>
        <v>1050</v>
      </c>
      <c r="D1022" s="113" t="str">
        <f>_xlfn.XLOOKUP($C1022,'Cost Centers'!$A$2:$A$11,'Cost Centers'!$B$2:$B$11,"")</f>
        <v>Business Development</v>
      </c>
      <c r="E1022" s="113" t="s">
        <v>115</v>
      </c>
      <c r="F1022" s="113" t="str">
        <f>_xlfn.XLOOKUP(E1022,'Allocated Transactions'!D:D,'Allocated Transactions'!E:E,"")</f>
        <v>Professional Fees - Accounting/Audit</v>
      </c>
      <c r="G1022" s="113" t="s">
        <v>97</v>
      </c>
      <c r="H1022" s="113"/>
      <c r="I1022" s="113" t="str">
        <f>_xlfn.XLOOKUP($C1022,'Cost Centers'!$A$2:$A$11,'Cost Centers'!$C$2:$C$11,"")</f>
        <v>Admin</v>
      </c>
      <c r="J1022" s="23">
        <f>MROUND(SUMIFS('Allocated Transactions'!$J:$J,'Allocated Transactions'!$D:$D,$E1022,'Allocated Transactions'!$C:$C,$C1022,'Allocated Transactions'!$A:$A,"&gt;="&amp;$A1022,'Allocated Transactions'!$A:$A,"&lt;="&amp;EOMONTH($A1022,0))*0.99,100)</f>
        <v>0</v>
      </c>
      <c r="K1022" s="113" t="s">
        <v>637</v>
      </c>
    </row>
    <row r="1023" spans="1:11" ht="15" customHeight="1">
      <c r="A1023" s="112">
        <f t="shared" si="61"/>
        <v>46082</v>
      </c>
      <c r="B1023" s="113">
        <v>5</v>
      </c>
      <c r="C1023" s="18" t="str">
        <f t="shared" si="63"/>
        <v>1050</v>
      </c>
      <c r="D1023" s="113" t="str">
        <f>_xlfn.XLOOKUP($C1023,'Cost Centers'!$A$2:$A$11,'Cost Centers'!$B$2:$B$11,"")</f>
        <v>Business Development</v>
      </c>
      <c r="E1023" s="113" t="s">
        <v>117</v>
      </c>
      <c r="F1023" s="113" t="str">
        <f>_xlfn.XLOOKUP(E1023,'Allocated Transactions'!D:D,'Allocated Transactions'!E:E,"")</f>
        <v>Insurance</v>
      </c>
      <c r="G1023" s="113" t="s">
        <v>97</v>
      </c>
      <c r="H1023" s="113"/>
      <c r="I1023" s="113" t="str">
        <f>_xlfn.XLOOKUP($C1023,'Cost Centers'!$A$2:$A$11,'Cost Centers'!$C$2:$C$11,"")</f>
        <v>Admin</v>
      </c>
      <c r="J1023" s="23">
        <f>MROUND(SUMIFS('Allocated Transactions'!$J:$J,'Allocated Transactions'!$D:$D,$E1023,'Allocated Transactions'!$C:$C,$C1023,'Allocated Transactions'!$A:$A,"&gt;="&amp;$A1023,'Allocated Transactions'!$A:$A,"&lt;="&amp;EOMONTH($A1023,0))*0.99,100)</f>
        <v>300</v>
      </c>
      <c r="K1023" s="113" t="s">
        <v>637</v>
      </c>
    </row>
    <row r="1024" spans="1:11" ht="15" customHeight="1">
      <c r="A1024" s="112">
        <f t="shared" si="61"/>
        <v>46082</v>
      </c>
      <c r="B1024" s="113">
        <v>5</v>
      </c>
      <c r="C1024" s="18" t="str">
        <f t="shared" si="63"/>
        <v>1050</v>
      </c>
      <c r="D1024" s="113" t="str">
        <f>_xlfn.XLOOKUP($C1024,'Cost Centers'!$A$2:$A$11,'Cost Centers'!$B$2:$B$11,"")</f>
        <v>Business Development</v>
      </c>
      <c r="E1024" s="113" t="s">
        <v>119</v>
      </c>
      <c r="F1024" s="113" t="str">
        <f>_xlfn.XLOOKUP(E1024,'Allocated Transactions'!D:D,'Allocated Transactions'!E:E,"")</f>
        <v>Depreciation Expense</v>
      </c>
      <c r="G1024" s="113" t="s">
        <v>97</v>
      </c>
      <c r="H1024" s="113"/>
      <c r="I1024" s="113" t="str">
        <f>_xlfn.XLOOKUP($C1024,'Cost Centers'!$A$2:$A$11,'Cost Centers'!$C$2:$C$11,"")</f>
        <v>Admin</v>
      </c>
      <c r="J1024" s="23">
        <f>MROUND(SUMIFS('Allocated Transactions'!$J:$J,'Allocated Transactions'!$D:$D,$E1024,'Allocated Transactions'!$C:$C,$C1024,'Allocated Transactions'!$A:$A,"&gt;="&amp;$A1024,'Allocated Transactions'!$A:$A,"&lt;="&amp;EOMONTH($A1024,0))*0.99,100)</f>
        <v>0</v>
      </c>
      <c r="K1024" s="113" t="s">
        <v>637</v>
      </c>
    </row>
    <row r="1025" spans="1:11" ht="15" customHeight="1">
      <c r="A1025" s="112">
        <f t="shared" si="61"/>
        <v>46082</v>
      </c>
      <c r="B1025" s="113">
        <v>5</v>
      </c>
      <c r="C1025" s="18" t="str">
        <f t="shared" si="63"/>
        <v>1050</v>
      </c>
      <c r="D1025" s="113" t="str">
        <f>_xlfn.XLOOKUP($C1025,'Cost Centers'!$A$2:$A$11,'Cost Centers'!$B$2:$B$11,"")</f>
        <v>Business Development</v>
      </c>
      <c r="E1025" s="113" t="s">
        <v>121</v>
      </c>
      <c r="F1025" s="113" t="str">
        <f>_xlfn.XLOOKUP(E1025,'Allocated Transactions'!D:D,'Allocated Transactions'!E:E,"")</f>
        <v>Bank Fees</v>
      </c>
      <c r="G1025" s="113" t="s">
        <v>97</v>
      </c>
      <c r="H1025" s="113"/>
      <c r="I1025" s="113" t="str">
        <f>_xlfn.XLOOKUP($C1025,'Cost Centers'!$A$2:$A$11,'Cost Centers'!$C$2:$C$11,"")</f>
        <v>Admin</v>
      </c>
      <c r="J1025" s="23">
        <f>MROUND(SUMIFS('Allocated Transactions'!$J:$J,'Allocated Transactions'!$D:$D,$E1025,'Allocated Transactions'!$C:$C,$C1025,'Allocated Transactions'!$A:$A,"&gt;="&amp;$A1025,'Allocated Transactions'!$A:$A,"&lt;="&amp;EOMONTH($A1025,0))*0.99,100)</f>
        <v>0</v>
      </c>
      <c r="K1025" s="113" t="s">
        <v>637</v>
      </c>
    </row>
    <row r="1026" spans="1:11" ht="15" customHeight="1">
      <c r="A1026" s="112">
        <f t="shared" si="61"/>
        <v>46082</v>
      </c>
      <c r="B1026" s="113">
        <v>5</v>
      </c>
      <c r="C1026" s="18" t="str">
        <f t="shared" si="63"/>
        <v>1050</v>
      </c>
      <c r="D1026" s="113" t="str">
        <f>_xlfn.XLOOKUP($C1026,'Cost Centers'!$A$2:$A$11,'Cost Centers'!$B$2:$B$11,"")</f>
        <v>Business Development</v>
      </c>
      <c r="E1026" s="113" t="s">
        <v>123</v>
      </c>
      <c r="F1026" s="113" t="str">
        <f>_xlfn.XLOOKUP(E1026,'Allocated Transactions'!D:D,'Allocated Transactions'!E:E,"")</f>
        <v>Interest Expense</v>
      </c>
      <c r="G1026" s="113" t="s">
        <v>97</v>
      </c>
      <c r="H1026" s="113"/>
      <c r="I1026" s="113" t="str">
        <f>_xlfn.XLOOKUP($C1026,'Cost Centers'!$A$2:$A$11,'Cost Centers'!$C$2:$C$11,"")</f>
        <v>Admin</v>
      </c>
      <c r="J1026" s="23">
        <f>MROUND(SUMIFS('Allocated Transactions'!$J:$J,'Allocated Transactions'!$D:$D,$E1026,'Allocated Transactions'!$C:$C,$C1026,'Allocated Transactions'!$A:$A,"&gt;="&amp;$A1026,'Allocated Transactions'!$A:$A,"&lt;="&amp;EOMONTH($A1026,0))*0.99,100)</f>
        <v>0</v>
      </c>
      <c r="K1026" s="113" t="s">
        <v>637</v>
      </c>
    </row>
    <row r="1027" spans="1:11" ht="15" customHeight="1">
      <c r="A1027" s="112">
        <f t="shared" si="61"/>
        <v>46082</v>
      </c>
      <c r="B1027" s="113">
        <v>5</v>
      </c>
      <c r="C1027" s="18" t="str">
        <f t="shared" si="63"/>
        <v>1050</v>
      </c>
      <c r="D1027" s="113" t="str">
        <f>_xlfn.XLOOKUP($C1027,'Cost Centers'!$A$2:$A$11,'Cost Centers'!$B$2:$B$11,"")</f>
        <v>Business Development</v>
      </c>
      <c r="E1027" s="113" t="s">
        <v>125</v>
      </c>
      <c r="F1027" s="113" t="str">
        <f>_xlfn.XLOOKUP(E1027,'Allocated Transactions'!D:D,'Allocated Transactions'!E:E,"")</f>
        <v>Miscellaneous Expense</v>
      </c>
      <c r="G1027" s="113" t="s">
        <v>97</v>
      </c>
      <c r="H1027" s="113"/>
      <c r="I1027" s="113" t="str">
        <f>_xlfn.XLOOKUP($C1027,'Cost Centers'!$A$2:$A$11,'Cost Centers'!$C$2:$C$11,"")</f>
        <v>Admin</v>
      </c>
      <c r="J1027" s="23">
        <f>MROUND(SUMIFS('Allocated Transactions'!$J:$J,'Allocated Transactions'!$D:$D,$E1027,'Allocated Transactions'!$C:$C,$C1027,'Allocated Transactions'!$A:$A,"&gt;="&amp;$A1027,'Allocated Transactions'!$A:$A,"&lt;="&amp;EOMONTH($A1027,0))*0.99,100)</f>
        <v>0</v>
      </c>
      <c r="K1027" s="113" t="s">
        <v>637</v>
      </c>
    </row>
    <row r="1028" spans="1:11" ht="15" customHeight="1">
      <c r="A1028" s="112">
        <f t="shared" si="61"/>
        <v>46113</v>
      </c>
      <c r="B1028" s="113">
        <v>5</v>
      </c>
      <c r="C1028" s="18" t="s">
        <v>10</v>
      </c>
      <c r="D1028" s="113" t="str">
        <f>_xlfn.XLOOKUP($C1028,'Cost Centers'!$A$2:$A$11,'Cost Centers'!$B$2:$B$11,"")</f>
        <v>Business Development</v>
      </c>
      <c r="E1028" s="113" t="s">
        <v>28</v>
      </c>
      <c r="F1028" s="113" t="str">
        <f>_xlfn.XLOOKUP(E1028,'Allocated Transactions'!D:D,'Allocated Transactions'!E:E,"")</f>
        <v>Salaries and Wages</v>
      </c>
      <c r="G1028" s="113" t="s">
        <v>97</v>
      </c>
      <c r="H1028" s="113"/>
      <c r="I1028" s="113" t="str">
        <f>_xlfn.XLOOKUP($C1028,'Cost Centers'!$A$2:$A$11,'Cost Centers'!$C$2:$C$11,"")</f>
        <v>Admin</v>
      </c>
      <c r="J1028" s="23">
        <f>MROUND(SUMIFS('Allocated Transactions'!$J:$J,'Allocated Transactions'!$D:$D,$E1028,'Allocated Transactions'!$C:$C,$C1028,'Allocated Transactions'!$A:$A,"&gt;="&amp;$A1028,'Allocated Transactions'!$A:$A,"&lt;="&amp;EOMONTH($A1028,0))*0.99,100)</f>
        <v>4800</v>
      </c>
      <c r="K1028" s="113" t="s">
        <v>637</v>
      </c>
    </row>
    <row r="1029" spans="1:11" ht="15" customHeight="1">
      <c r="A1029" s="112">
        <f t="shared" si="61"/>
        <v>46113</v>
      </c>
      <c r="B1029" s="113">
        <v>5</v>
      </c>
      <c r="C1029" s="18" t="str">
        <f t="shared" ref="C1029:C1045" si="64">C1028</f>
        <v>1050</v>
      </c>
      <c r="D1029" s="113" t="str">
        <f>_xlfn.XLOOKUP($C1029,'Cost Centers'!$A$2:$A$11,'Cost Centers'!$B$2:$B$11,"")</f>
        <v>Business Development</v>
      </c>
      <c r="E1029" s="113" t="s">
        <v>29</v>
      </c>
      <c r="F1029" s="113" t="str">
        <f>_xlfn.XLOOKUP(E1029,'Allocated Transactions'!D:D,'Allocated Transactions'!E:E,"")</f>
        <v>Payroll Taxes</v>
      </c>
      <c r="G1029" s="113" t="s">
        <v>97</v>
      </c>
      <c r="H1029" s="113"/>
      <c r="I1029" s="113" t="str">
        <f>_xlfn.XLOOKUP($C1029,'Cost Centers'!$A$2:$A$11,'Cost Centers'!$C$2:$C$11,"")</f>
        <v>Admin</v>
      </c>
      <c r="J1029" s="23">
        <f>MROUND(SUMIFS('Allocated Transactions'!$J:$J,'Allocated Transactions'!$D:$D,$E1029,'Allocated Transactions'!$C:$C,$C1029,'Allocated Transactions'!$A:$A,"&gt;="&amp;$A1029,'Allocated Transactions'!$A:$A,"&lt;="&amp;EOMONTH($A1029,0))*0.99,100)</f>
        <v>400</v>
      </c>
      <c r="K1029" s="113" t="s">
        <v>637</v>
      </c>
    </row>
    <row r="1030" spans="1:11" ht="15" customHeight="1">
      <c r="A1030" s="112">
        <f t="shared" si="61"/>
        <v>46113</v>
      </c>
      <c r="B1030" s="113">
        <v>5</v>
      </c>
      <c r="C1030" s="18" t="str">
        <f t="shared" si="64"/>
        <v>1050</v>
      </c>
      <c r="D1030" s="113" t="str">
        <f>_xlfn.XLOOKUP($C1030,'Cost Centers'!$A$2:$A$11,'Cost Centers'!$B$2:$B$11,"")</f>
        <v>Business Development</v>
      </c>
      <c r="E1030" s="113" t="s">
        <v>30</v>
      </c>
      <c r="F1030" s="113" t="str">
        <f>_xlfn.XLOOKUP(E1030,'Allocated Transactions'!D:D,'Allocated Transactions'!E:E,"")</f>
        <v>Employee Benefits</v>
      </c>
      <c r="G1030" s="113" t="s">
        <v>97</v>
      </c>
      <c r="H1030" s="113"/>
      <c r="I1030" s="113" t="str">
        <f>_xlfn.XLOOKUP($C1030,'Cost Centers'!$A$2:$A$11,'Cost Centers'!$C$2:$C$11,"")</f>
        <v>Admin</v>
      </c>
      <c r="J1030" s="23">
        <f>MROUND(SUMIFS('Allocated Transactions'!$J:$J,'Allocated Transactions'!$D:$D,$E1030,'Allocated Transactions'!$C:$C,$C1030,'Allocated Transactions'!$A:$A,"&gt;="&amp;$A1030,'Allocated Transactions'!$A:$A,"&lt;="&amp;EOMONTH($A1030,0))*0.99,100)</f>
        <v>3100</v>
      </c>
      <c r="K1030" s="113" t="s">
        <v>637</v>
      </c>
    </row>
    <row r="1031" spans="1:11" ht="15" customHeight="1">
      <c r="A1031" s="112">
        <f t="shared" si="61"/>
        <v>46113</v>
      </c>
      <c r="B1031" s="113">
        <v>5</v>
      </c>
      <c r="C1031" s="18" t="str">
        <f t="shared" si="64"/>
        <v>1050</v>
      </c>
      <c r="D1031" s="113" t="str">
        <f>_xlfn.XLOOKUP($C1031,'Cost Centers'!$A$2:$A$11,'Cost Centers'!$B$2:$B$11,"")</f>
        <v>Business Development</v>
      </c>
      <c r="E1031" s="113" t="s">
        <v>31</v>
      </c>
      <c r="F1031" s="113" t="str">
        <f>_xlfn.XLOOKUP(E1031,'Allocated Transactions'!D:D,'Allocated Transactions'!E:E,"")</f>
        <v>Retirement Contributions</v>
      </c>
      <c r="G1031" s="113" t="s">
        <v>97</v>
      </c>
      <c r="H1031" s="113"/>
      <c r="I1031" s="113" t="str">
        <f>_xlfn.XLOOKUP($C1031,'Cost Centers'!$A$2:$A$11,'Cost Centers'!$C$2:$C$11,"")</f>
        <v>Admin</v>
      </c>
      <c r="J1031" s="23">
        <f>MROUND(SUMIFS('Allocated Transactions'!$J:$J,'Allocated Transactions'!$D:$D,$E1031,'Allocated Transactions'!$C:$C,$C1031,'Allocated Transactions'!$A:$A,"&gt;="&amp;$A1031,'Allocated Transactions'!$A:$A,"&lt;="&amp;EOMONTH($A1031,0))*0.99,100)</f>
        <v>100</v>
      </c>
      <c r="K1031" s="113" t="s">
        <v>637</v>
      </c>
    </row>
    <row r="1032" spans="1:11" ht="15" customHeight="1">
      <c r="A1032" s="112">
        <f t="shared" si="61"/>
        <v>46113</v>
      </c>
      <c r="B1032" s="113">
        <v>5</v>
      </c>
      <c r="C1032" s="18" t="str">
        <f t="shared" si="64"/>
        <v>1050</v>
      </c>
      <c r="D1032" s="113" t="str">
        <f>_xlfn.XLOOKUP($C1032,'Cost Centers'!$A$2:$A$11,'Cost Centers'!$B$2:$B$11,"")</f>
        <v>Business Development</v>
      </c>
      <c r="E1032" s="113" t="s">
        <v>101</v>
      </c>
      <c r="F1032" s="113" t="str">
        <f>_xlfn.XLOOKUP(E1032,'Allocated Transactions'!D:D,'Allocated Transactions'!E:E,"")</f>
        <v>Contract Labor / Consultants</v>
      </c>
      <c r="G1032" s="113" t="s">
        <v>97</v>
      </c>
      <c r="H1032" s="113"/>
      <c r="I1032" s="113" t="str">
        <f>_xlfn.XLOOKUP($C1032,'Cost Centers'!$A$2:$A$11,'Cost Centers'!$C$2:$C$11,"")</f>
        <v>Admin</v>
      </c>
      <c r="J1032" s="23">
        <f>MROUND(SUMIFS('Allocated Transactions'!$J:$J,'Allocated Transactions'!$D:$D,$E1032,'Allocated Transactions'!$C:$C,$C1032,'Allocated Transactions'!$A:$A,"&gt;="&amp;$A1032,'Allocated Transactions'!$A:$A,"&lt;="&amp;EOMONTH($A1032,0))*0.99,100)</f>
        <v>0</v>
      </c>
      <c r="K1032" s="113" t="s">
        <v>637</v>
      </c>
    </row>
    <row r="1033" spans="1:11" ht="15" customHeight="1">
      <c r="A1033" s="112">
        <f t="shared" si="61"/>
        <v>46113</v>
      </c>
      <c r="B1033" s="113">
        <v>5</v>
      </c>
      <c r="C1033" s="18" t="str">
        <f t="shared" si="64"/>
        <v>1050</v>
      </c>
      <c r="D1033" s="113" t="str">
        <f>_xlfn.XLOOKUP($C1033,'Cost Centers'!$A$2:$A$11,'Cost Centers'!$B$2:$B$11,"")</f>
        <v>Business Development</v>
      </c>
      <c r="E1033" s="113" t="s">
        <v>32</v>
      </c>
      <c r="F1033" s="113" t="str">
        <f>_xlfn.XLOOKUP(E1033,'Allocated Transactions'!D:D,'Allocated Transactions'!E:E,"")</f>
        <v>Rent</v>
      </c>
      <c r="G1033" s="113" t="s">
        <v>97</v>
      </c>
      <c r="H1033" s="113"/>
      <c r="I1033" s="113" t="str">
        <f>_xlfn.XLOOKUP($C1033,'Cost Centers'!$A$2:$A$11,'Cost Centers'!$C$2:$C$11,"")</f>
        <v>Admin</v>
      </c>
      <c r="J1033" s="23">
        <f>MROUND(SUMIFS('Allocated Transactions'!$J:$J,'Allocated Transactions'!$D:$D,$E1033,'Allocated Transactions'!$C:$C,$C1033,'Allocated Transactions'!$A:$A,"&gt;="&amp;$A1033,'Allocated Transactions'!$A:$A,"&lt;="&amp;EOMONTH($A1033,0))*0.99,100)</f>
        <v>400</v>
      </c>
      <c r="K1033" s="113" t="s">
        <v>637</v>
      </c>
    </row>
    <row r="1034" spans="1:11" ht="15" customHeight="1">
      <c r="A1034" s="112">
        <f t="shared" si="61"/>
        <v>46113</v>
      </c>
      <c r="B1034" s="113">
        <v>5</v>
      </c>
      <c r="C1034" s="18" t="str">
        <f t="shared" si="64"/>
        <v>1050</v>
      </c>
      <c r="D1034" s="113" t="str">
        <f>_xlfn.XLOOKUP($C1034,'Cost Centers'!$A$2:$A$11,'Cost Centers'!$B$2:$B$11,"")</f>
        <v>Business Development</v>
      </c>
      <c r="E1034" s="113" t="s">
        <v>33</v>
      </c>
      <c r="F1034" s="113" t="str">
        <f>_xlfn.XLOOKUP(E1034,'Allocated Transactions'!D:D,'Allocated Transactions'!E:E,"")</f>
        <v>Utilities</v>
      </c>
      <c r="G1034" s="113" t="s">
        <v>97</v>
      </c>
      <c r="H1034" s="113"/>
      <c r="I1034" s="113" t="str">
        <f>_xlfn.XLOOKUP($C1034,'Cost Centers'!$A$2:$A$11,'Cost Centers'!$C$2:$C$11,"")</f>
        <v>Admin</v>
      </c>
      <c r="J1034" s="23">
        <f>MROUND(SUMIFS('Allocated Transactions'!$J:$J,'Allocated Transactions'!$D:$D,$E1034,'Allocated Transactions'!$C:$C,$C1034,'Allocated Transactions'!$A:$A,"&gt;="&amp;$A1034,'Allocated Transactions'!$A:$A,"&lt;="&amp;EOMONTH($A1034,0))*0.99,100)</f>
        <v>0</v>
      </c>
      <c r="K1034" s="113" t="s">
        <v>637</v>
      </c>
    </row>
    <row r="1035" spans="1:11" ht="15" customHeight="1">
      <c r="A1035" s="112">
        <f t="shared" si="61"/>
        <v>46113</v>
      </c>
      <c r="B1035" s="113">
        <v>5</v>
      </c>
      <c r="C1035" s="18" t="str">
        <f t="shared" si="64"/>
        <v>1050</v>
      </c>
      <c r="D1035" s="113" t="str">
        <f>_xlfn.XLOOKUP($C1035,'Cost Centers'!$A$2:$A$11,'Cost Centers'!$B$2:$B$11,"")</f>
        <v>Business Development</v>
      </c>
      <c r="E1035" s="113" t="s">
        <v>105</v>
      </c>
      <c r="F1035" s="113" t="str">
        <f>_xlfn.XLOOKUP(E1035,'Allocated Transactions'!D:D,'Allocated Transactions'!E:E,"")</f>
        <v>Office Supplies</v>
      </c>
      <c r="G1035" s="113" t="s">
        <v>97</v>
      </c>
      <c r="H1035" s="113"/>
      <c r="I1035" s="113" t="str">
        <f>_xlfn.XLOOKUP($C1035,'Cost Centers'!$A$2:$A$11,'Cost Centers'!$C$2:$C$11,"")</f>
        <v>Admin</v>
      </c>
      <c r="J1035" s="23">
        <f>MROUND(SUMIFS('Allocated Transactions'!$J:$J,'Allocated Transactions'!$D:$D,$E1035,'Allocated Transactions'!$C:$C,$C1035,'Allocated Transactions'!$A:$A,"&gt;="&amp;$A1035,'Allocated Transactions'!$A:$A,"&lt;="&amp;EOMONTH($A1035,0))*0.99,100)</f>
        <v>1100</v>
      </c>
      <c r="K1035" s="113" t="s">
        <v>637</v>
      </c>
    </row>
    <row r="1036" spans="1:11" ht="15" customHeight="1">
      <c r="A1036" s="112">
        <f t="shared" si="61"/>
        <v>46113</v>
      </c>
      <c r="B1036" s="113">
        <v>5</v>
      </c>
      <c r="C1036" s="18" t="str">
        <f t="shared" si="64"/>
        <v>1050</v>
      </c>
      <c r="D1036" s="113" t="str">
        <f>_xlfn.XLOOKUP($C1036,'Cost Centers'!$A$2:$A$11,'Cost Centers'!$B$2:$B$11,"")</f>
        <v>Business Development</v>
      </c>
      <c r="E1036" s="113" t="s">
        <v>107</v>
      </c>
      <c r="F1036" s="113" t="str">
        <f>_xlfn.XLOOKUP(E1036,'Allocated Transactions'!D:D,'Allocated Transactions'!E:E,"")</f>
        <v>Software and Subscriptions</v>
      </c>
      <c r="G1036" s="113" t="s">
        <v>97</v>
      </c>
      <c r="H1036" s="113"/>
      <c r="I1036" s="113" t="str">
        <f>_xlfn.XLOOKUP($C1036,'Cost Centers'!$A$2:$A$11,'Cost Centers'!$C$2:$C$11,"")</f>
        <v>Admin</v>
      </c>
      <c r="J1036" s="23">
        <f>MROUND(SUMIFS('Allocated Transactions'!$J:$J,'Allocated Transactions'!$D:$D,$E1036,'Allocated Transactions'!$C:$C,$C1036,'Allocated Transactions'!$A:$A,"&gt;="&amp;$A1036,'Allocated Transactions'!$A:$A,"&lt;="&amp;EOMONTH($A1036,0))*0.99,100)</f>
        <v>0</v>
      </c>
      <c r="K1036" s="113" t="s">
        <v>637</v>
      </c>
    </row>
    <row r="1037" spans="1:11" ht="15" customHeight="1">
      <c r="A1037" s="112">
        <f t="shared" si="61"/>
        <v>46113</v>
      </c>
      <c r="B1037" s="113">
        <v>5</v>
      </c>
      <c r="C1037" s="18" t="str">
        <f t="shared" si="64"/>
        <v>1050</v>
      </c>
      <c r="D1037" s="113" t="str">
        <f>_xlfn.XLOOKUP($C1037,'Cost Centers'!$A$2:$A$11,'Cost Centers'!$B$2:$B$11,"")</f>
        <v>Business Development</v>
      </c>
      <c r="E1037" s="113" t="s">
        <v>109</v>
      </c>
      <c r="F1037" s="113" t="str">
        <f>_xlfn.XLOOKUP(E1037,'Allocated Transactions'!D:D,'Allocated Transactions'!E:E,"")</f>
        <v>Travel</v>
      </c>
      <c r="G1037" s="113" t="s">
        <v>97</v>
      </c>
      <c r="H1037" s="113"/>
      <c r="I1037" s="113" t="str">
        <f>_xlfn.XLOOKUP($C1037,'Cost Centers'!$A$2:$A$11,'Cost Centers'!$C$2:$C$11,"")</f>
        <v>Admin</v>
      </c>
      <c r="J1037" s="23">
        <f>MROUND(SUMIFS('Allocated Transactions'!$J:$J,'Allocated Transactions'!$D:$D,$E1037,'Allocated Transactions'!$C:$C,$C1037,'Allocated Transactions'!$A:$A,"&gt;="&amp;$A1037,'Allocated Transactions'!$A:$A,"&lt;="&amp;EOMONTH($A1037,0))*0.99,100)</f>
        <v>0</v>
      </c>
      <c r="K1037" s="113" t="s">
        <v>637</v>
      </c>
    </row>
    <row r="1038" spans="1:11" ht="15" customHeight="1">
      <c r="A1038" s="112">
        <f t="shared" si="61"/>
        <v>46113</v>
      </c>
      <c r="B1038" s="113">
        <v>5</v>
      </c>
      <c r="C1038" s="18" t="str">
        <f t="shared" si="64"/>
        <v>1050</v>
      </c>
      <c r="D1038" s="113" t="str">
        <f>_xlfn.XLOOKUP($C1038,'Cost Centers'!$A$2:$A$11,'Cost Centers'!$B$2:$B$11,"")</f>
        <v>Business Development</v>
      </c>
      <c r="E1038" s="113" t="s">
        <v>111</v>
      </c>
      <c r="F1038" s="113" t="str">
        <f>_xlfn.XLOOKUP(E1038,'Allocated Transactions'!D:D,'Allocated Transactions'!E:E,"")</f>
        <v>Meals and Entertainment</v>
      </c>
      <c r="G1038" s="113" t="s">
        <v>97</v>
      </c>
      <c r="H1038" s="113"/>
      <c r="I1038" s="113" t="str">
        <f>_xlfn.XLOOKUP($C1038,'Cost Centers'!$A$2:$A$11,'Cost Centers'!$C$2:$C$11,"")</f>
        <v>Admin</v>
      </c>
      <c r="J1038" s="23">
        <f>MROUND(SUMIFS('Allocated Transactions'!$J:$J,'Allocated Transactions'!$D:$D,$E1038,'Allocated Transactions'!$C:$C,$C1038,'Allocated Transactions'!$A:$A,"&gt;="&amp;$A1038,'Allocated Transactions'!$A:$A,"&lt;="&amp;EOMONTH($A1038,0))*0.99,100)</f>
        <v>0</v>
      </c>
      <c r="K1038" s="113" t="s">
        <v>637</v>
      </c>
    </row>
    <row r="1039" spans="1:11" ht="15" customHeight="1">
      <c r="A1039" s="112">
        <f t="shared" si="61"/>
        <v>46113</v>
      </c>
      <c r="B1039" s="113">
        <v>5</v>
      </c>
      <c r="C1039" s="18" t="str">
        <f t="shared" si="64"/>
        <v>1050</v>
      </c>
      <c r="D1039" s="113" t="str">
        <f>_xlfn.XLOOKUP($C1039,'Cost Centers'!$A$2:$A$11,'Cost Centers'!$B$2:$B$11,"")</f>
        <v>Business Development</v>
      </c>
      <c r="E1039" s="113" t="s">
        <v>113</v>
      </c>
      <c r="F1039" s="113" t="str">
        <f>_xlfn.XLOOKUP(E1039,'Allocated Transactions'!D:D,'Allocated Transactions'!E:E,"")</f>
        <v>Professional Fees - Legal</v>
      </c>
      <c r="G1039" s="113" t="s">
        <v>97</v>
      </c>
      <c r="H1039" s="113"/>
      <c r="I1039" s="113" t="str">
        <f>_xlfn.XLOOKUP($C1039,'Cost Centers'!$A$2:$A$11,'Cost Centers'!$C$2:$C$11,"")</f>
        <v>Admin</v>
      </c>
      <c r="J1039" s="23">
        <f>MROUND(SUMIFS('Allocated Transactions'!$J:$J,'Allocated Transactions'!$D:$D,$E1039,'Allocated Transactions'!$C:$C,$C1039,'Allocated Transactions'!$A:$A,"&gt;="&amp;$A1039,'Allocated Transactions'!$A:$A,"&lt;="&amp;EOMONTH($A1039,0))*0.99,100)</f>
        <v>0</v>
      </c>
      <c r="K1039" s="113" t="s">
        <v>637</v>
      </c>
    </row>
    <row r="1040" spans="1:11" ht="15" customHeight="1">
      <c r="A1040" s="112">
        <f t="shared" si="61"/>
        <v>46113</v>
      </c>
      <c r="B1040" s="113">
        <v>5</v>
      </c>
      <c r="C1040" s="18" t="str">
        <f t="shared" si="64"/>
        <v>1050</v>
      </c>
      <c r="D1040" s="113" t="str">
        <f>_xlfn.XLOOKUP($C1040,'Cost Centers'!$A$2:$A$11,'Cost Centers'!$B$2:$B$11,"")</f>
        <v>Business Development</v>
      </c>
      <c r="E1040" s="113" t="s">
        <v>115</v>
      </c>
      <c r="F1040" s="113" t="str">
        <f>_xlfn.XLOOKUP(E1040,'Allocated Transactions'!D:D,'Allocated Transactions'!E:E,"")</f>
        <v>Professional Fees - Accounting/Audit</v>
      </c>
      <c r="G1040" s="113" t="s">
        <v>97</v>
      </c>
      <c r="H1040" s="113"/>
      <c r="I1040" s="113" t="str">
        <f>_xlfn.XLOOKUP($C1040,'Cost Centers'!$A$2:$A$11,'Cost Centers'!$C$2:$C$11,"")</f>
        <v>Admin</v>
      </c>
      <c r="J1040" s="23">
        <f>MROUND(SUMIFS('Allocated Transactions'!$J:$J,'Allocated Transactions'!$D:$D,$E1040,'Allocated Transactions'!$C:$C,$C1040,'Allocated Transactions'!$A:$A,"&gt;="&amp;$A1040,'Allocated Transactions'!$A:$A,"&lt;="&amp;EOMONTH($A1040,0))*0.99,100)</f>
        <v>0</v>
      </c>
      <c r="K1040" s="113" t="s">
        <v>637</v>
      </c>
    </row>
    <row r="1041" spans="1:11" ht="15" customHeight="1">
      <c r="A1041" s="112">
        <f t="shared" si="61"/>
        <v>46113</v>
      </c>
      <c r="B1041" s="113">
        <v>5</v>
      </c>
      <c r="C1041" s="18" t="str">
        <f t="shared" si="64"/>
        <v>1050</v>
      </c>
      <c r="D1041" s="113" t="str">
        <f>_xlfn.XLOOKUP($C1041,'Cost Centers'!$A$2:$A$11,'Cost Centers'!$B$2:$B$11,"")</f>
        <v>Business Development</v>
      </c>
      <c r="E1041" s="113" t="s">
        <v>117</v>
      </c>
      <c r="F1041" s="113" t="str">
        <f>_xlfn.XLOOKUP(E1041,'Allocated Transactions'!D:D,'Allocated Transactions'!E:E,"")</f>
        <v>Insurance</v>
      </c>
      <c r="G1041" s="113" t="s">
        <v>97</v>
      </c>
      <c r="H1041" s="113"/>
      <c r="I1041" s="113" t="str">
        <f>_xlfn.XLOOKUP($C1041,'Cost Centers'!$A$2:$A$11,'Cost Centers'!$C$2:$C$11,"")</f>
        <v>Admin</v>
      </c>
      <c r="J1041" s="23">
        <f>MROUND(SUMIFS('Allocated Transactions'!$J:$J,'Allocated Transactions'!$D:$D,$E1041,'Allocated Transactions'!$C:$C,$C1041,'Allocated Transactions'!$A:$A,"&gt;="&amp;$A1041,'Allocated Transactions'!$A:$A,"&lt;="&amp;EOMONTH($A1041,0))*0.99,100)</f>
        <v>300</v>
      </c>
      <c r="K1041" s="113" t="s">
        <v>637</v>
      </c>
    </row>
    <row r="1042" spans="1:11" ht="15" customHeight="1">
      <c r="A1042" s="112">
        <f t="shared" si="61"/>
        <v>46113</v>
      </c>
      <c r="B1042" s="113">
        <v>5</v>
      </c>
      <c r="C1042" s="18" t="str">
        <f t="shared" si="64"/>
        <v>1050</v>
      </c>
      <c r="D1042" s="113" t="str">
        <f>_xlfn.XLOOKUP($C1042,'Cost Centers'!$A$2:$A$11,'Cost Centers'!$B$2:$B$11,"")</f>
        <v>Business Development</v>
      </c>
      <c r="E1042" s="113" t="s">
        <v>119</v>
      </c>
      <c r="F1042" s="113" t="str">
        <f>_xlfn.XLOOKUP(E1042,'Allocated Transactions'!D:D,'Allocated Transactions'!E:E,"")</f>
        <v>Depreciation Expense</v>
      </c>
      <c r="G1042" s="113" t="s">
        <v>97</v>
      </c>
      <c r="H1042" s="113"/>
      <c r="I1042" s="113" t="str">
        <f>_xlfn.XLOOKUP($C1042,'Cost Centers'!$A$2:$A$11,'Cost Centers'!$C$2:$C$11,"")</f>
        <v>Admin</v>
      </c>
      <c r="J1042" s="23">
        <f>MROUND(SUMIFS('Allocated Transactions'!$J:$J,'Allocated Transactions'!$D:$D,$E1042,'Allocated Transactions'!$C:$C,$C1042,'Allocated Transactions'!$A:$A,"&gt;="&amp;$A1042,'Allocated Transactions'!$A:$A,"&lt;="&amp;EOMONTH($A1042,0))*0.99,100)</f>
        <v>0</v>
      </c>
      <c r="K1042" s="113" t="s">
        <v>637</v>
      </c>
    </row>
    <row r="1043" spans="1:11" ht="15" customHeight="1">
      <c r="A1043" s="112">
        <f t="shared" si="61"/>
        <v>46113</v>
      </c>
      <c r="B1043" s="113">
        <v>5</v>
      </c>
      <c r="C1043" s="18" t="str">
        <f t="shared" si="64"/>
        <v>1050</v>
      </c>
      <c r="D1043" s="113" t="str">
        <f>_xlfn.XLOOKUP($C1043,'Cost Centers'!$A$2:$A$11,'Cost Centers'!$B$2:$B$11,"")</f>
        <v>Business Development</v>
      </c>
      <c r="E1043" s="113" t="s">
        <v>121</v>
      </c>
      <c r="F1043" s="113" t="str">
        <f>_xlfn.XLOOKUP(E1043,'Allocated Transactions'!D:D,'Allocated Transactions'!E:E,"")</f>
        <v>Bank Fees</v>
      </c>
      <c r="G1043" s="113" t="s">
        <v>97</v>
      </c>
      <c r="H1043" s="113"/>
      <c r="I1043" s="113" t="str">
        <f>_xlfn.XLOOKUP($C1043,'Cost Centers'!$A$2:$A$11,'Cost Centers'!$C$2:$C$11,"")</f>
        <v>Admin</v>
      </c>
      <c r="J1043" s="23">
        <f>MROUND(SUMIFS('Allocated Transactions'!$J:$J,'Allocated Transactions'!$D:$D,$E1043,'Allocated Transactions'!$C:$C,$C1043,'Allocated Transactions'!$A:$A,"&gt;="&amp;$A1043,'Allocated Transactions'!$A:$A,"&lt;="&amp;EOMONTH($A1043,0))*0.99,100)</f>
        <v>0</v>
      </c>
      <c r="K1043" s="113" t="s">
        <v>637</v>
      </c>
    </row>
    <row r="1044" spans="1:11" ht="15" customHeight="1">
      <c r="A1044" s="112">
        <f t="shared" si="61"/>
        <v>46113</v>
      </c>
      <c r="B1044" s="113">
        <v>5</v>
      </c>
      <c r="C1044" s="18" t="str">
        <f t="shared" si="64"/>
        <v>1050</v>
      </c>
      <c r="D1044" s="113" t="str">
        <f>_xlfn.XLOOKUP($C1044,'Cost Centers'!$A$2:$A$11,'Cost Centers'!$B$2:$B$11,"")</f>
        <v>Business Development</v>
      </c>
      <c r="E1044" s="113" t="s">
        <v>123</v>
      </c>
      <c r="F1044" s="113" t="str">
        <f>_xlfn.XLOOKUP(E1044,'Allocated Transactions'!D:D,'Allocated Transactions'!E:E,"")</f>
        <v>Interest Expense</v>
      </c>
      <c r="G1044" s="113" t="s">
        <v>97</v>
      </c>
      <c r="H1044" s="113"/>
      <c r="I1044" s="113" t="str">
        <f>_xlfn.XLOOKUP($C1044,'Cost Centers'!$A$2:$A$11,'Cost Centers'!$C$2:$C$11,"")</f>
        <v>Admin</v>
      </c>
      <c r="J1044" s="23">
        <f>MROUND(SUMIFS('Allocated Transactions'!$J:$J,'Allocated Transactions'!$D:$D,$E1044,'Allocated Transactions'!$C:$C,$C1044,'Allocated Transactions'!$A:$A,"&gt;="&amp;$A1044,'Allocated Transactions'!$A:$A,"&lt;="&amp;EOMONTH($A1044,0))*0.99,100)</f>
        <v>0</v>
      </c>
      <c r="K1044" s="113" t="s">
        <v>637</v>
      </c>
    </row>
    <row r="1045" spans="1:11" ht="15" customHeight="1">
      <c r="A1045" s="112">
        <f t="shared" si="61"/>
        <v>46113</v>
      </c>
      <c r="B1045" s="113">
        <v>5</v>
      </c>
      <c r="C1045" s="18" t="str">
        <f t="shared" si="64"/>
        <v>1050</v>
      </c>
      <c r="D1045" s="113" t="str">
        <f>_xlfn.XLOOKUP($C1045,'Cost Centers'!$A$2:$A$11,'Cost Centers'!$B$2:$B$11,"")</f>
        <v>Business Development</v>
      </c>
      <c r="E1045" s="113" t="s">
        <v>125</v>
      </c>
      <c r="F1045" s="113" t="str">
        <f>_xlfn.XLOOKUP(E1045,'Allocated Transactions'!D:D,'Allocated Transactions'!E:E,"")</f>
        <v>Miscellaneous Expense</v>
      </c>
      <c r="G1045" s="113" t="s">
        <v>97</v>
      </c>
      <c r="H1045" s="113"/>
      <c r="I1045" s="113" t="str">
        <f>_xlfn.XLOOKUP($C1045,'Cost Centers'!$A$2:$A$11,'Cost Centers'!$C$2:$C$11,"")</f>
        <v>Admin</v>
      </c>
      <c r="J1045" s="23">
        <f>MROUND(SUMIFS('Allocated Transactions'!$J:$J,'Allocated Transactions'!$D:$D,$E1045,'Allocated Transactions'!$C:$C,$C1045,'Allocated Transactions'!$A:$A,"&gt;="&amp;$A1045,'Allocated Transactions'!$A:$A,"&lt;="&amp;EOMONTH($A1045,0))*0.99,100)</f>
        <v>0</v>
      </c>
      <c r="K1045" s="113" t="s">
        <v>637</v>
      </c>
    </row>
    <row r="1046" spans="1:11" ht="15" customHeight="1">
      <c r="A1046" s="112">
        <f t="shared" si="61"/>
        <v>46143</v>
      </c>
      <c r="B1046" s="113">
        <v>5</v>
      </c>
      <c r="C1046" s="18" t="s">
        <v>10</v>
      </c>
      <c r="D1046" s="113" t="str">
        <f>_xlfn.XLOOKUP($C1046,'Cost Centers'!$A$2:$A$11,'Cost Centers'!$B$2:$B$11,"")</f>
        <v>Business Development</v>
      </c>
      <c r="E1046" s="113" t="s">
        <v>28</v>
      </c>
      <c r="F1046" s="113" t="str">
        <f>_xlfn.XLOOKUP(E1046,'Allocated Transactions'!D:D,'Allocated Transactions'!E:E,"")</f>
        <v>Salaries and Wages</v>
      </c>
      <c r="G1046" s="113" t="s">
        <v>97</v>
      </c>
      <c r="H1046" s="113"/>
      <c r="I1046" s="113" t="str">
        <f>_xlfn.XLOOKUP($C1046,'Cost Centers'!$A$2:$A$11,'Cost Centers'!$C$2:$C$11,"")</f>
        <v>Admin</v>
      </c>
      <c r="J1046" s="23">
        <f>MROUND(SUMIFS('Allocated Transactions'!$J:$J,'Allocated Transactions'!$D:$D,$E1046,'Allocated Transactions'!$C:$C,$C1046,'Allocated Transactions'!$A:$A,"&gt;="&amp;$A1046,'Allocated Transactions'!$A:$A,"&lt;="&amp;EOMONTH($A1046,0))*0.99,100)</f>
        <v>4500</v>
      </c>
      <c r="K1046" s="113" t="s">
        <v>637</v>
      </c>
    </row>
    <row r="1047" spans="1:11" ht="15" customHeight="1">
      <c r="A1047" s="112">
        <f t="shared" si="61"/>
        <v>46143</v>
      </c>
      <c r="B1047" s="113">
        <v>5</v>
      </c>
      <c r="C1047" s="18" t="str">
        <f t="shared" ref="C1047:C1063" si="65">C1046</f>
        <v>1050</v>
      </c>
      <c r="D1047" s="113" t="str">
        <f>_xlfn.XLOOKUP($C1047,'Cost Centers'!$A$2:$A$11,'Cost Centers'!$B$2:$B$11,"")</f>
        <v>Business Development</v>
      </c>
      <c r="E1047" s="113" t="s">
        <v>29</v>
      </c>
      <c r="F1047" s="113" t="str">
        <f>_xlfn.XLOOKUP(E1047,'Allocated Transactions'!D:D,'Allocated Transactions'!E:E,"")</f>
        <v>Payroll Taxes</v>
      </c>
      <c r="G1047" s="113" t="s">
        <v>97</v>
      </c>
      <c r="H1047" s="113"/>
      <c r="I1047" s="113" t="str">
        <f>_xlfn.XLOOKUP($C1047,'Cost Centers'!$A$2:$A$11,'Cost Centers'!$C$2:$C$11,"")</f>
        <v>Admin</v>
      </c>
      <c r="J1047" s="23">
        <f>MROUND(SUMIFS('Allocated Transactions'!$J:$J,'Allocated Transactions'!$D:$D,$E1047,'Allocated Transactions'!$C:$C,$C1047,'Allocated Transactions'!$A:$A,"&gt;="&amp;$A1047,'Allocated Transactions'!$A:$A,"&lt;="&amp;EOMONTH($A1047,0))*0.99,100)</f>
        <v>300</v>
      </c>
      <c r="K1047" s="113" t="s">
        <v>637</v>
      </c>
    </row>
    <row r="1048" spans="1:11" ht="15" customHeight="1">
      <c r="A1048" s="112">
        <f t="shared" si="61"/>
        <v>46143</v>
      </c>
      <c r="B1048" s="113">
        <v>5</v>
      </c>
      <c r="C1048" s="18" t="str">
        <f t="shared" si="65"/>
        <v>1050</v>
      </c>
      <c r="D1048" s="113" t="str">
        <f>_xlfn.XLOOKUP($C1048,'Cost Centers'!$A$2:$A$11,'Cost Centers'!$B$2:$B$11,"")</f>
        <v>Business Development</v>
      </c>
      <c r="E1048" s="113" t="s">
        <v>30</v>
      </c>
      <c r="F1048" s="113" t="str">
        <f>_xlfn.XLOOKUP(E1048,'Allocated Transactions'!D:D,'Allocated Transactions'!E:E,"")</f>
        <v>Employee Benefits</v>
      </c>
      <c r="G1048" s="113" t="s">
        <v>97</v>
      </c>
      <c r="H1048" s="113"/>
      <c r="I1048" s="113" t="str">
        <f>_xlfn.XLOOKUP($C1048,'Cost Centers'!$A$2:$A$11,'Cost Centers'!$C$2:$C$11,"")</f>
        <v>Admin</v>
      </c>
      <c r="J1048" s="23">
        <f>MROUND(SUMIFS('Allocated Transactions'!$J:$J,'Allocated Transactions'!$D:$D,$E1048,'Allocated Transactions'!$C:$C,$C1048,'Allocated Transactions'!$A:$A,"&gt;="&amp;$A1048,'Allocated Transactions'!$A:$A,"&lt;="&amp;EOMONTH($A1048,0))*0.99,100)</f>
        <v>2900</v>
      </c>
      <c r="K1048" s="113" t="s">
        <v>637</v>
      </c>
    </row>
    <row r="1049" spans="1:11" ht="15" customHeight="1">
      <c r="A1049" s="112">
        <f t="shared" ref="A1049:A1112" si="66">IF(C1049&lt;&gt;C1048,DATE(2025,7,1),IF(E1049="5000",EOMONTH(A1048,0)+1,A1048))</f>
        <v>46143</v>
      </c>
      <c r="B1049" s="113">
        <v>5</v>
      </c>
      <c r="C1049" s="18" t="str">
        <f t="shared" si="65"/>
        <v>1050</v>
      </c>
      <c r="D1049" s="113" t="str">
        <f>_xlfn.XLOOKUP($C1049,'Cost Centers'!$A$2:$A$11,'Cost Centers'!$B$2:$B$11,"")</f>
        <v>Business Development</v>
      </c>
      <c r="E1049" s="113" t="s">
        <v>31</v>
      </c>
      <c r="F1049" s="113" t="str">
        <f>_xlfn.XLOOKUP(E1049,'Allocated Transactions'!D:D,'Allocated Transactions'!E:E,"")</f>
        <v>Retirement Contributions</v>
      </c>
      <c r="G1049" s="113" t="s">
        <v>97</v>
      </c>
      <c r="H1049" s="113"/>
      <c r="I1049" s="113" t="str">
        <f>_xlfn.XLOOKUP($C1049,'Cost Centers'!$A$2:$A$11,'Cost Centers'!$C$2:$C$11,"")</f>
        <v>Admin</v>
      </c>
      <c r="J1049" s="23">
        <f>MROUND(SUMIFS('Allocated Transactions'!$J:$J,'Allocated Transactions'!$D:$D,$E1049,'Allocated Transactions'!$C:$C,$C1049,'Allocated Transactions'!$A:$A,"&gt;="&amp;$A1049,'Allocated Transactions'!$A:$A,"&lt;="&amp;EOMONTH($A1049,0))*0.99,100)</f>
        <v>100</v>
      </c>
      <c r="K1049" s="113" t="s">
        <v>637</v>
      </c>
    </row>
    <row r="1050" spans="1:11" ht="15" customHeight="1">
      <c r="A1050" s="112">
        <f t="shared" si="66"/>
        <v>46143</v>
      </c>
      <c r="B1050" s="113">
        <v>5</v>
      </c>
      <c r="C1050" s="18" t="str">
        <f t="shared" si="65"/>
        <v>1050</v>
      </c>
      <c r="D1050" s="113" t="str">
        <f>_xlfn.XLOOKUP($C1050,'Cost Centers'!$A$2:$A$11,'Cost Centers'!$B$2:$B$11,"")</f>
        <v>Business Development</v>
      </c>
      <c r="E1050" s="113" t="s">
        <v>101</v>
      </c>
      <c r="F1050" s="113" t="str">
        <f>_xlfn.XLOOKUP(E1050,'Allocated Transactions'!D:D,'Allocated Transactions'!E:E,"")</f>
        <v>Contract Labor / Consultants</v>
      </c>
      <c r="G1050" s="113" t="s">
        <v>97</v>
      </c>
      <c r="H1050" s="113"/>
      <c r="I1050" s="113" t="str">
        <f>_xlfn.XLOOKUP($C1050,'Cost Centers'!$A$2:$A$11,'Cost Centers'!$C$2:$C$11,"")</f>
        <v>Admin</v>
      </c>
      <c r="J1050" s="23">
        <f>MROUND(SUMIFS('Allocated Transactions'!$J:$J,'Allocated Transactions'!$D:$D,$E1050,'Allocated Transactions'!$C:$C,$C1050,'Allocated Transactions'!$A:$A,"&gt;="&amp;$A1050,'Allocated Transactions'!$A:$A,"&lt;="&amp;EOMONTH($A1050,0))*0.99,100)</f>
        <v>0</v>
      </c>
      <c r="K1050" s="113" t="s">
        <v>637</v>
      </c>
    </row>
    <row r="1051" spans="1:11" ht="15" customHeight="1">
      <c r="A1051" s="112">
        <f t="shared" si="66"/>
        <v>46143</v>
      </c>
      <c r="B1051" s="113">
        <v>5</v>
      </c>
      <c r="C1051" s="18" t="str">
        <f t="shared" si="65"/>
        <v>1050</v>
      </c>
      <c r="D1051" s="113" t="str">
        <f>_xlfn.XLOOKUP($C1051,'Cost Centers'!$A$2:$A$11,'Cost Centers'!$B$2:$B$11,"")</f>
        <v>Business Development</v>
      </c>
      <c r="E1051" s="113" t="s">
        <v>32</v>
      </c>
      <c r="F1051" s="113" t="str">
        <f>_xlfn.XLOOKUP(E1051,'Allocated Transactions'!D:D,'Allocated Transactions'!E:E,"")</f>
        <v>Rent</v>
      </c>
      <c r="G1051" s="113" t="s">
        <v>97</v>
      </c>
      <c r="H1051" s="113"/>
      <c r="I1051" s="113" t="str">
        <f>_xlfn.XLOOKUP($C1051,'Cost Centers'!$A$2:$A$11,'Cost Centers'!$C$2:$C$11,"")</f>
        <v>Admin</v>
      </c>
      <c r="J1051" s="23">
        <f>MROUND(SUMIFS('Allocated Transactions'!$J:$J,'Allocated Transactions'!$D:$D,$E1051,'Allocated Transactions'!$C:$C,$C1051,'Allocated Transactions'!$A:$A,"&gt;="&amp;$A1051,'Allocated Transactions'!$A:$A,"&lt;="&amp;EOMONTH($A1051,0))*0.99,100)</f>
        <v>400</v>
      </c>
      <c r="K1051" s="113" t="s">
        <v>637</v>
      </c>
    </row>
    <row r="1052" spans="1:11" ht="15" customHeight="1">
      <c r="A1052" s="112">
        <f t="shared" si="66"/>
        <v>46143</v>
      </c>
      <c r="B1052" s="113">
        <v>5</v>
      </c>
      <c r="C1052" s="18" t="str">
        <f t="shared" si="65"/>
        <v>1050</v>
      </c>
      <c r="D1052" s="113" t="str">
        <f>_xlfn.XLOOKUP($C1052,'Cost Centers'!$A$2:$A$11,'Cost Centers'!$B$2:$B$11,"")</f>
        <v>Business Development</v>
      </c>
      <c r="E1052" s="113" t="s">
        <v>33</v>
      </c>
      <c r="F1052" s="113" t="str">
        <f>_xlfn.XLOOKUP(E1052,'Allocated Transactions'!D:D,'Allocated Transactions'!E:E,"")</f>
        <v>Utilities</v>
      </c>
      <c r="G1052" s="113" t="s">
        <v>97</v>
      </c>
      <c r="H1052" s="113"/>
      <c r="I1052" s="113" t="str">
        <f>_xlfn.XLOOKUP($C1052,'Cost Centers'!$A$2:$A$11,'Cost Centers'!$C$2:$C$11,"")</f>
        <v>Admin</v>
      </c>
      <c r="J1052" s="23">
        <f>MROUND(SUMIFS('Allocated Transactions'!$J:$J,'Allocated Transactions'!$D:$D,$E1052,'Allocated Transactions'!$C:$C,$C1052,'Allocated Transactions'!$A:$A,"&gt;="&amp;$A1052,'Allocated Transactions'!$A:$A,"&lt;="&amp;EOMONTH($A1052,0))*0.99,100)</f>
        <v>0</v>
      </c>
      <c r="K1052" s="113" t="s">
        <v>637</v>
      </c>
    </row>
    <row r="1053" spans="1:11" ht="15" customHeight="1">
      <c r="A1053" s="112">
        <f t="shared" si="66"/>
        <v>46143</v>
      </c>
      <c r="B1053" s="113">
        <v>5</v>
      </c>
      <c r="C1053" s="18" t="str">
        <f t="shared" si="65"/>
        <v>1050</v>
      </c>
      <c r="D1053" s="113" t="str">
        <f>_xlfn.XLOOKUP($C1053,'Cost Centers'!$A$2:$A$11,'Cost Centers'!$B$2:$B$11,"")</f>
        <v>Business Development</v>
      </c>
      <c r="E1053" s="113" t="s">
        <v>105</v>
      </c>
      <c r="F1053" s="113" t="str">
        <f>_xlfn.XLOOKUP(E1053,'Allocated Transactions'!D:D,'Allocated Transactions'!E:E,"")</f>
        <v>Office Supplies</v>
      </c>
      <c r="G1053" s="113" t="s">
        <v>97</v>
      </c>
      <c r="H1053" s="113"/>
      <c r="I1053" s="113" t="str">
        <f>_xlfn.XLOOKUP($C1053,'Cost Centers'!$A$2:$A$11,'Cost Centers'!$C$2:$C$11,"")</f>
        <v>Admin</v>
      </c>
      <c r="J1053" s="23">
        <f>MROUND(SUMIFS('Allocated Transactions'!$J:$J,'Allocated Transactions'!$D:$D,$E1053,'Allocated Transactions'!$C:$C,$C1053,'Allocated Transactions'!$A:$A,"&gt;="&amp;$A1053,'Allocated Transactions'!$A:$A,"&lt;="&amp;EOMONTH($A1053,0))*0.99,100)</f>
        <v>0</v>
      </c>
      <c r="K1053" s="113" t="s">
        <v>637</v>
      </c>
    </row>
    <row r="1054" spans="1:11" ht="15" customHeight="1">
      <c r="A1054" s="112">
        <f t="shared" si="66"/>
        <v>46143</v>
      </c>
      <c r="B1054" s="113">
        <v>5</v>
      </c>
      <c r="C1054" s="18" t="str">
        <f t="shared" si="65"/>
        <v>1050</v>
      </c>
      <c r="D1054" s="113" t="str">
        <f>_xlfn.XLOOKUP($C1054,'Cost Centers'!$A$2:$A$11,'Cost Centers'!$B$2:$B$11,"")</f>
        <v>Business Development</v>
      </c>
      <c r="E1054" s="113" t="s">
        <v>107</v>
      </c>
      <c r="F1054" s="113" t="str">
        <f>_xlfn.XLOOKUP(E1054,'Allocated Transactions'!D:D,'Allocated Transactions'!E:E,"")</f>
        <v>Software and Subscriptions</v>
      </c>
      <c r="G1054" s="113" t="s">
        <v>97</v>
      </c>
      <c r="H1054" s="113"/>
      <c r="I1054" s="113" t="str">
        <f>_xlfn.XLOOKUP($C1054,'Cost Centers'!$A$2:$A$11,'Cost Centers'!$C$2:$C$11,"")</f>
        <v>Admin</v>
      </c>
      <c r="J1054" s="23">
        <f>MROUND(SUMIFS('Allocated Transactions'!$J:$J,'Allocated Transactions'!$D:$D,$E1054,'Allocated Transactions'!$C:$C,$C1054,'Allocated Transactions'!$A:$A,"&gt;="&amp;$A1054,'Allocated Transactions'!$A:$A,"&lt;="&amp;EOMONTH($A1054,0))*0.99,100)</f>
        <v>0</v>
      </c>
      <c r="K1054" s="113" t="s">
        <v>637</v>
      </c>
    </row>
    <row r="1055" spans="1:11" ht="15" customHeight="1">
      <c r="A1055" s="112">
        <f t="shared" si="66"/>
        <v>46143</v>
      </c>
      <c r="B1055" s="113">
        <v>5</v>
      </c>
      <c r="C1055" s="18" t="str">
        <f t="shared" si="65"/>
        <v>1050</v>
      </c>
      <c r="D1055" s="113" t="str">
        <f>_xlfn.XLOOKUP($C1055,'Cost Centers'!$A$2:$A$11,'Cost Centers'!$B$2:$B$11,"")</f>
        <v>Business Development</v>
      </c>
      <c r="E1055" s="113" t="s">
        <v>109</v>
      </c>
      <c r="F1055" s="113" t="str">
        <f>_xlfn.XLOOKUP(E1055,'Allocated Transactions'!D:D,'Allocated Transactions'!E:E,"")</f>
        <v>Travel</v>
      </c>
      <c r="G1055" s="113" t="s">
        <v>97</v>
      </c>
      <c r="H1055" s="113"/>
      <c r="I1055" s="113" t="str">
        <f>_xlfn.XLOOKUP($C1055,'Cost Centers'!$A$2:$A$11,'Cost Centers'!$C$2:$C$11,"")</f>
        <v>Admin</v>
      </c>
      <c r="J1055" s="23">
        <f>MROUND(SUMIFS('Allocated Transactions'!$J:$J,'Allocated Transactions'!$D:$D,$E1055,'Allocated Transactions'!$C:$C,$C1055,'Allocated Transactions'!$A:$A,"&gt;="&amp;$A1055,'Allocated Transactions'!$A:$A,"&lt;="&amp;EOMONTH($A1055,0))*0.99,100)</f>
        <v>0</v>
      </c>
      <c r="K1055" s="113" t="s">
        <v>637</v>
      </c>
    </row>
    <row r="1056" spans="1:11" ht="15" customHeight="1">
      <c r="A1056" s="112">
        <f t="shared" si="66"/>
        <v>46143</v>
      </c>
      <c r="B1056" s="113">
        <v>5</v>
      </c>
      <c r="C1056" s="18" t="str">
        <f t="shared" si="65"/>
        <v>1050</v>
      </c>
      <c r="D1056" s="113" t="str">
        <f>_xlfn.XLOOKUP($C1056,'Cost Centers'!$A$2:$A$11,'Cost Centers'!$B$2:$B$11,"")</f>
        <v>Business Development</v>
      </c>
      <c r="E1056" s="113" t="s">
        <v>111</v>
      </c>
      <c r="F1056" s="113" t="str">
        <f>_xlfn.XLOOKUP(E1056,'Allocated Transactions'!D:D,'Allocated Transactions'!E:E,"")</f>
        <v>Meals and Entertainment</v>
      </c>
      <c r="G1056" s="113" t="s">
        <v>97</v>
      </c>
      <c r="H1056" s="113"/>
      <c r="I1056" s="113" t="str">
        <f>_xlfn.XLOOKUP($C1056,'Cost Centers'!$A$2:$A$11,'Cost Centers'!$C$2:$C$11,"")</f>
        <v>Admin</v>
      </c>
      <c r="J1056" s="23">
        <f>MROUND(SUMIFS('Allocated Transactions'!$J:$J,'Allocated Transactions'!$D:$D,$E1056,'Allocated Transactions'!$C:$C,$C1056,'Allocated Transactions'!$A:$A,"&gt;="&amp;$A1056,'Allocated Transactions'!$A:$A,"&lt;="&amp;EOMONTH($A1056,0))*0.99,100)</f>
        <v>0</v>
      </c>
      <c r="K1056" s="113" t="s">
        <v>637</v>
      </c>
    </row>
    <row r="1057" spans="1:11" ht="15" customHeight="1">
      <c r="A1057" s="112">
        <f t="shared" si="66"/>
        <v>46143</v>
      </c>
      <c r="B1057" s="113">
        <v>5</v>
      </c>
      <c r="C1057" s="18" t="str">
        <f t="shared" si="65"/>
        <v>1050</v>
      </c>
      <c r="D1057" s="113" t="str">
        <f>_xlfn.XLOOKUP($C1057,'Cost Centers'!$A$2:$A$11,'Cost Centers'!$B$2:$B$11,"")</f>
        <v>Business Development</v>
      </c>
      <c r="E1057" s="113" t="s">
        <v>113</v>
      </c>
      <c r="F1057" s="113" t="str">
        <f>_xlfn.XLOOKUP(E1057,'Allocated Transactions'!D:D,'Allocated Transactions'!E:E,"")</f>
        <v>Professional Fees - Legal</v>
      </c>
      <c r="G1057" s="113" t="s">
        <v>97</v>
      </c>
      <c r="H1057" s="113"/>
      <c r="I1057" s="113" t="str">
        <f>_xlfn.XLOOKUP($C1057,'Cost Centers'!$A$2:$A$11,'Cost Centers'!$C$2:$C$11,"")</f>
        <v>Admin</v>
      </c>
      <c r="J1057" s="23">
        <f>MROUND(SUMIFS('Allocated Transactions'!$J:$J,'Allocated Transactions'!$D:$D,$E1057,'Allocated Transactions'!$C:$C,$C1057,'Allocated Transactions'!$A:$A,"&gt;="&amp;$A1057,'Allocated Transactions'!$A:$A,"&lt;="&amp;EOMONTH($A1057,0))*0.99,100)</f>
        <v>0</v>
      </c>
      <c r="K1057" s="113" t="s">
        <v>637</v>
      </c>
    </row>
    <row r="1058" spans="1:11" ht="15" customHeight="1">
      <c r="A1058" s="112">
        <f t="shared" si="66"/>
        <v>46143</v>
      </c>
      <c r="B1058" s="113">
        <v>5</v>
      </c>
      <c r="C1058" s="18" t="str">
        <f t="shared" si="65"/>
        <v>1050</v>
      </c>
      <c r="D1058" s="113" t="str">
        <f>_xlfn.XLOOKUP($C1058,'Cost Centers'!$A$2:$A$11,'Cost Centers'!$B$2:$B$11,"")</f>
        <v>Business Development</v>
      </c>
      <c r="E1058" s="113" t="s">
        <v>115</v>
      </c>
      <c r="F1058" s="113" t="str">
        <f>_xlfn.XLOOKUP(E1058,'Allocated Transactions'!D:D,'Allocated Transactions'!E:E,"")</f>
        <v>Professional Fees - Accounting/Audit</v>
      </c>
      <c r="G1058" s="113" t="s">
        <v>97</v>
      </c>
      <c r="H1058" s="113"/>
      <c r="I1058" s="113" t="str">
        <f>_xlfn.XLOOKUP($C1058,'Cost Centers'!$A$2:$A$11,'Cost Centers'!$C$2:$C$11,"")</f>
        <v>Admin</v>
      </c>
      <c r="J1058" s="23">
        <f>MROUND(SUMIFS('Allocated Transactions'!$J:$J,'Allocated Transactions'!$D:$D,$E1058,'Allocated Transactions'!$C:$C,$C1058,'Allocated Transactions'!$A:$A,"&gt;="&amp;$A1058,'Allocated Transactions'!$A:$A,"&lt;="&amp;EOMONTH($A1058,0))*0.99,100)</f>
        <v>0</v>
      </c>
      <c r="K1058" s="113" t="s">
        <v>637</v>
      </c>
    </row>
    <row r="1059" spans="1:11" ht="15" customHeight="1">
      <c r="A1059" s="112">
        <f t="shared" si="66"/>
        <v>46143</v>
      </c>
      <c r="B1059" s="113">
        <v>5</v>
      </c>
      <c r="C1059" s="18" t="str">
        <f t="shared" si="65"/>
        <v>1050</v>
      </c>
      <c r="D1059" s="113" t="str">
        <f>_xlfn.XLOOKUP($C1059,'Cost Centers'!$A$2:$A$11,'Cost Centers'!$B$2:$B$11,"")</f>
        <v>Business Development</v>
      </c>
      <c r="E1059" s="113" t="s">
        <v>117</v>
      </c>
      <c r="F1059" s="113" t="str">
        <f>_xlfn.XLOOKUP(E1059,'Allocated Transactions'!D:D,'Allocated Transactions'!E:E,"")</f>
        <v>Insurance</v>
      </c>
      <c r="G1059" s="113" t="s">
        <v>97</v>
      </c>
      <c r="H1059" s="113"/>
      <c r="I1059" s="113" t="str">
        <f>_xlfn.XLOOKUP($C1059,'Cost Centers'!$A$2:$A$11,'Cost Centers'!$C$2:$C$11,"")</f>
        <v>Admin</v>
      </c>
      <c r="J1059" s="23">
        <f>MROUND(SUMIFS('Allocated Transactions'!$J:$J,'Allocated Transactions'!$D:$D,$E1059,'Allocated Transactions'!$C:$C,$C1059,'Allocated Transactions'!$A:$A,"&gt;="&amp;$A1059,'Allocated Transactions'!$A:$A,"&lt;="&amp;EOMONTH($A1059,0))*0.99,100)</f>
        <v>300</v>
      </c>
      <c r="K1059" s="113" t="s">
        <v>637</v>
      </c>
    </row>
    <row r="1060" spans="1:11" ht="15" customHeight="1">
      <c r="A1060" s="112">
        <f t="shared" si="66"/>
        <v>46143</v>
      </c>
      <c r="B1060" s="113">
        <v>5</v>
      </c>
      <c r="C1060" s="18" t="str">
        <f t="shared" si="65"/>
        <v>1050</v>
      </c>
      <c r="D1060" s="113" t="str">
        <f>_xlfn.XLOOKUP($C1060,'Cost Centers'!$A$2:$A$11,'Cost Centers'!$B$2:$B$11,"")</f>
        <v>Business Development</v>
      </c>
      <c r="E1060" s="113" t="s">
        <v>119</v>
      </c>
      <c r="F1060" s="113" t="str">
        <f>_xlfn.XLOOKUP(E1060,'Allocated Transactions'!D:D,'Allocated Transactions'!E:E,"")</f>
        <v>Depreciation Expense</v>
      </c>
      <c r="G1060" s="113" t="s">
        <v>97</v>
      </c>
      <c r="H1060" s="113"/>
      <c r="I1060" s="113" t="str">
        <f>_xlfn.XLOOKUP($C1060,'Cost Centers'!$A$2:$A$11,'Cost Centers'!$C$2:$C$11,"")</f>
        <v>Admin</v>
      </c>
      <c r="J1060" s="23">
        <f>MROUND(SUMIFS('Allocated Transactions'!$J:$J,'Allocated Transactions'!$D:$D,$E1060,'Allocated Transactions'!$C:$C,$C1060,'Allocated Transactions'!$A:$A,"&gt;="&amp;$A1060,'Allocated Transactions'!$A:$A,"&lt;="&amp;EOMONTH($A1060,0))*0.99,100)</f>
        <v>0</v>
      </c>
      <c r="K1060" s="113" t="s">
        <v>637</v>
      </c>
    </row>
    <row r="1061" spans="1:11" ht="15" customHeight="1">
      <c r="A1061" s="112">
        <f t="shared" si="66"/>
        <v>46143</v>
      </c>
      <c r="B1061" s="113">
        <v>5</v>
      </c>
      <c r="C1061" s="18" t="str">
        <f t="shared" si="65"/>
        <v>1050</v>
      </c>
      <c r="D1061" s="113" t="str">
        <f>_xlfn.XLOOKUP($C1061,'Cost Centers'!$A$2:$A$11,'Cost Centers'!$B$2:$B$11,"")</f>
        <v>Business Development</v>
      </c>
      <c r="E1061" s="113" t="s">
        <v>121</v>
      </c>
      <c r="F1061" s="113" t="str">
        <f>_xlfn.XLOOKUP(E1061,'Allocated Transactions'!D:D,'Allocated Transactions'!E:E,"")</f>
        <v>Bank Fees</v>
      </c>
      <c r="G1061" s="113" t="s">
        <v>97</v>
      </c>
      <c r="H1061" s="113"/>
      <c r="I1061" s="113" t="str">
        <f>_xlfn.XLOOKUP($C1061,'Cost Centers'!$A$2:$A$11,'Cost Centers'!$C$2:$C$11,"")</f>
        <v>Admin</v>
      </c>
      <c r="J1061" s="23">
        <f>MROUND(SUMIFS('Allocated Transactions'!$J:$J,'Allocated Transactions'!$D:$D,$E1061,'Allocated Transactions'!$C:$C,$C1061,'Allocated Transactions'!$A:$A,"&gt;="&amp;$A1061,'Allocated Transactions'!$A:$A,"&lt;="&amp;EOMONTH($A1061,0))*0.99,100)</f>
        <v>0</v>
      </c>
      <c r="K1061" s="113" t="s">
        <v>637</v>
      </c>
    </row>
    <row r="1062" spans="1:11" ht="15" customHeight="1">
      <c r="A1062" s="112">
        <f t="shared" si="66"/>
        <v>46143</v>
      </c>
      <c r="B1062" s="113">
        <v>5</v>
      </c>
      <c r="C1062" s="18" t="str">
        <f t="shared" si="65"/>
        <v>1050</v>
      </c>
      <c r="D1062" s="113" t="str">
        <f>_xlfn.XLOOKUP($C1062,'Cost Centers'!$A$2:$A$11,'Cost Centers'!$B$2:$B$11,"")</f>
        <v>Business Development</v>
      </c>
      <c r="E1062" s="113" t="s">
        <v>123</v>
      </c>
      <c r="F1062" s="113" t="str">
        <f>_xlfn.XLOOKUP(E1062,'Allocated Transactions'!D:D,'Allocated Transactions'!E:E,"")</f>
        <v>Interest Expense</v>
      </c>
      <c r="G1062" s="113" t="s">
        <v>97</v>
      </c>
      <c r="H1062" s="113"/>
      <c r="I1062" s="113" t="str">
        <f>_xlfn.XLOOKUP($C1062,'Cost Centers'!$A$2:$A$11,'Cost Centers'!$C$2:$C$11,"")</f>
        <v>Admin</v>
      </c>
      <c r="J1062" s="23">
        <f>MROUND(SUMIFS('Allocated Transactions'!$J:$J,'Allocated Transactions'!$D:$D,$E1062,'Allocated Transactions'!$C:$C,$C1062,'Allocated Transactions'!$A:$A,"&gt;="&amp;$A1062,'Allocated Transactions'!$A:$A,"&lt;="&amp;EOMONTH($A1062,0))*0.99,100)</f>
        <v>0</v>
      </c>
      <c r="K1062" s="113" t="s">
        <v>637</v>
      </c>
    </row>
    <row r="1063" spans="1:11" ht="15" customHeight="1">
      <c r="A1063" s="112">
        <f t="shared" si="66"/>
        <v>46143</v>
      </c>
      <c r="B1063" s="113">
        <v>5</v>
      </c>
      <c r="C1063" s="18" t="str">
        <f t="shared" si="65"/>
        <v>1050</v>
      </c>
      <c r="D1063" s="113" t="str">
        <f>_xlfn.XLOOKUP($C1063,'Cost Centers'!$A$2:$A$11,'Cost Centers'!$B$2:$B$11,"")</f>
        <v>Business Development</v>
      </c>
      <c r="E1063" s="113" t="s">
        <v>125</v>
      </c>
      <c r="F1063" s="113" t="str">
        <f>_xlfn.XLOOKUP(E1063,'Allocated Transactions'!D:D,'Allocated Transactions'!E:E,"")</f>
        <v>Miscellaneous Expense</v>
      </c>
      <c r="G1063" s="113" t="s">
        <v>97</v>
      </c>
      <c r="H1063" s="113"/>
      <c r="I1063" s="113" t="str">
        <f>_xlfn.XLOOKUP($C1063,'Cost Centers'!$A$2:$A$11,'Cost Centers'!$C$2:$C$11,"")</f>
        <v>Admin</v>
      </c>
      <c r="J1063" s="23">
        <f>MROUND(SUMIFS('Allocated Transactions'!$J:$J,'Allocated Transactions'!$D:$D,$E1063,'Allocated Transactions'!$C:$C,$C1063,'Allocated Transactions'!$A:$A,"&gt;="&amp;$A1063,'Allocated Transactions'!$A:$A,"&lt;="&amp;EOMONTH($A1063,0))*0.99,100)</f>
        <v>0</v>
      </c>
      <c r="K1063" s="113" t="s">
        <v>637</v>
      </c>
    </row>
    <row r="1064" spans="1:11" ht="15" customHeight="1">
      <c r="A1064" s="112">
        <f t="shared" si="66"/>
        <v>46174</v>
      </c>
      <c r="B1064" s="113">
        <v>5</v>
      </c>
      <c r="C1064" s="18" t="s">
        <v>10</v>
      </c>
      <c r="D1064" s="113" t="str">
        <f>_xlfn.XLOOKUP($C1064,'Cost Centers'!$A$2:$A$11,'Cost Centers'!$B$2:$B$11,"")</f>
        <v>Business Development</v>
      </c>
      <c r="E1064" s="113" t="s">
        <v>28</v>
      </c>
      <c r="F1064" s="113" t="str">
        <f>_xlfn.XLOOKUP(E1064,'Allocated Transactions'!D:D,'Allocated Transactions'!E:E,"")</f>
        <v>Salaries and Wages</v>
      </c>
      <c r="G1064" s="113" t="s">
        <v>97</v>
      </c>
      <c r="H1064" s="113"/>
      <c r="I1064" s="113" t="str">
        <f>_xlfn.XLOOKUP($C1064,'Cost Centers'!$A$2:$A$11,'Cost Centers'!$C$2:$C$11,"")</f>
        <v>Admin</v>
      </c>
      <c r="J1064" s="23">
        <f>MROUND(SUMIFS('Allocated Transactions'!$J:$J,'Allocated Transactions'!$D:$D,$E1064,'Allocated Transactions'!$C:$C,$C1064,'Allocated Transactions'!$A:$A,"&gt;="&amp;$A1064,'Allocated Transactions'!$A:$A,"&lt;="&amp;EOMONTH($A1064,0))*0.99,100)</f>
        <v>4700</v>
      </c>
      <c r="K1064" s="113" t="s">
        <v>637</v>
      </c>
    </row>
    <row r="1065" spans="1:11" ht="15" customHeight="1">
      <c r="A1065" s="112">
        <f t="shared" si="66"/>
        <v>46174</v>
      </c>
      <c r="B1065" s="113">
        <v>5</v>
      </c>
      <c r="C1065" s="18" t="str">
        <f t="shared" ref="C1065:C1081" si="67">C1064</f>
        <v>1050</v>
      </c>
      <c r="D1065" s="113" t="str">
        <f>_xlfn.XLOOKUP($C1065,'Cost Centers'!$A$2:$A$11,'Cost Centers'!$B$2:$B$11,"")</f>
        <v>Business Development</v>
      </c>
      <c r="E1065" s="113" t="s">
        <v>29</v>
      </c>
      <c r="F1065" s="113" t="str">
        <f>_xlfn.XLOOKUP(E1065,'Allocated Transactions'!D:D,'Allocated Transactions'!E:E,"")</f>
        <v>Payroll Taxes</v>
      </c>
      <c r="G1065" s="113" t="s">
        <v>97</v>
      </c>
      <c r="H1065" s="113"/>
      <c r="I1065" s="113" t="str">
        <f>_xlfn.XLOOKUP($C1065,'Cost Centers'!$A$2:$A$11,'Cost Centers'!$C$2:$C$11,"")</f>
        <v>Admin</v>
      </c>
      <c r="J1065" s="23">
        <f>MROUND(SUMIFS('Allocated Transactions'!$J:$J,'Allocated Transactions'!$D:$D,$E1065,'Allocated Transactions'!$C:$C,$C1065,'Allocated Transactions'!$A:$A,"&gt;="&amp;$A1065,'Allocated Transactions'!$A:$A,"&lt;="&amp;EOMONTH($A1065,0))*0.99,100)</f>
        <v>400</v>
      </c>
      <c r="K1065" s="113" t="s">
        <v>637</v>
      </c>
    </row>
    <row r="1066" spans="1:11" ht="15" customHeight="1">
      <c r="A1066" s="112">
        <f t="shared" si="66"/>
        <v>46174</v>
      </c>
      <c r="B1066" s="113">
        <v>5</v>
      </c>
      <c r="C1066" s="18" t="str">
        <f t="shared" si="67"/>
        <v>1050</v>
      </c>
      <c r="D1066" s="113" t="str">
        <f>_xlfn.XLOOKUP($C1066,'Cost Centers'!$A$2:$A$11,'Cost Centers'!$B$2:$B$11,"")</f>
        <v>Business Development</v>
      </c>
      <c r="E1066" s="113" t="s">
        <v>30</v>
      </c>
      <c r="F1066" s="113" t="str">
        <f>_xlfn.XLOOKUP(E1066,'Allocated Transactions'!D:D,'Allocated Transactions'!E:E,"")</f>
        <v>Employee Benefits</v>
      </c>
      <c r="G1066" s="113" t="s">
        <v>97</v>
      </c>
      <c r="H1066" s="113"/>
      <c r="I1066" s="113" t="str">
        <f>_xlfn.XLOOKUP($C1066,'Cost Centers'!$A$2:$A$11,'Cost Centers'!$C$2:$C$11,"")</f>
        <v>Admin</v>
      </c>
      <c r="J1066" s="23">
        <f>MROUND(SUMIFS('Allocated Transactions'!$J:$J,'Allocated Transactions'!$D:$D,$E1066,'Allocated Transactions'!$C:$C,$C1066,'Allocated Transactions'!$A:$A,"&gt;="&amp;$A1066,'Allocated Transactions'!$A:$A,"&lt;="&amp;EOMONTH($A1066,0))*0.99,100)</f>
        <v>3200</v>
      </c>
      <c r="K1066" s="113" t="s">
        <v>637</v>
      </c>
    </row>
    <row r="1067" spans="1:11" ht="15" customHeight="1">
      <c r="A1067" s="112">
        <f t="shared" si="66"/>
        <v>46174</v>
      </c>
      <c r="B1067" s="113">
        <v>5</v>
      </c>
      <c r="C1067" s="18" t="str">
        <f t="shared" si="67"/>
        <v>1050</v>
      </c>
      <c r="D1067" s="113" t="str">
        <f>_xlfn.XLOOKUP($C1067,'Cost Centers'!$A$2:$A$11,'Cost Centers'!$B$2:$B$11,"")</f>
        <v>Business Development</v>
      </c>
      <c r="E1067" s="113" t="s">
        <v>31</v>
      </c>
      <c r="F1067" s="113" t="str">
        <f>_xlfn.XLOOKUP(E1067,'Allocated Transactions'!D:D,'Allocated Transactions'!E:E,"")</f>
        <v>Retirement Contributions</v>
      </c>
      <c r="G1067" s="113" t="s">
        <v>97</v>
      </c>
      <c r="H1067" s="113"/>
      <c r="I1067" s="113" t="str">
        <f>_xlfn.XLOOKUP($C1067,'Cost Centers'!$A$2:$A$11,'Cost Centers'!$C$2:$C$11,"")</f>
        <v>Admin</v>
      </c>
      <c r="J1067" s="23">
        <f>MROUND(SUMIFS('Allocated Transactions'!$J:$J,'Allocated Transactions'!$D:$D,$E1067,'Allocated Transactions'!$C:$C,$C1067,'Allocated Transactions'!$A:$A,"&gt;="&amp;$A1067,'Allocated Transactions'!$A:$A,"&lt;="&amp;EOMONTH($A1067,0))*0.99,100)</f>
        <v>100</v>
      </c>
      <c r="K1067" s="113" t="s">
        <v>637</v>
      </c>
    </row>
    <row r="1068" spans="1:11" ht="15" customHeight="1">
      <c r="A1068" s="112">
        <f t="shared" si="66"/>
        <v>46174</v>
      </c>
      <c r="B1068" s="113">
        <v>5</v>
      </c>
      <c r="C1068" s="18" t="str">
        <f t="shared" si="67"/>
        <v>1050</v>
      </c>
      <c r="D1068" s="113" t="str">
        <f>_xlfn.XLOOKUP($C1068,'Cost Centers'!$A$2:$A$11,'Cost Centers'!$B$2:$B$11,"")</f>
        <v>Business Development</v>
      </c>
      <c r="E1068" s="113" t="s">
        <v>101</v>
      </c>
      <c r="F1068" s="113" t="str">
        <f>_xlfn.XLOOKUP(E1068,'Allocated Transactions'!D:D,'Allocated Transactions'!E:E,"")</f>
        <v>Contract Labor / Consultants</v>
      </c>
      <c r="G1068" s="113" t="s">
        <v>97</v>
      </c>
      <c r="H1068" s="113"/>
      <c r="I1068" s="113" t="str">
        <f>_xlfn.XLOOKUP($C1068,'Cost Centers'!$A$2:$A$11,'Cost Centers'!$C$2:$C$11,"")</f>
        <v>Admin</v>
      </c>
      <c r="J1068" s="23">
        <f>MROUND(SUMIFS('Allocated Transactions'!$J:$J,'Allocated Transactions'!$D:$D,$E1068,'Allocated Transactions'!$C:$C,$C1068,'Allocated Transactions'!$A:$A,"&gt;="&amp;$A1068,'Allocated Transactions'!$A:$A,"&lt;="&amp;EOMONTH($A1068,0))*0.99,100)</f>
        <v>0</v>
      </c>
      <c r="K1068" s="113" t="s">
        <v>637</v>
      </c>
    </row>
    <row r="1069" spans="1:11" ht="15" customHeight="1">
      <c r="A1069" s="112">
        <f t="shared" si="66"/>
        <v>46174</v>
      </c>
      <c r="B1069" s="113">
        <v>5</v>
      </c>
      <c r="C1069" s="18" t="str">
        <f t="shared" si="67"/>
        <v>1050</v>
      </c>
      <c r="D1069" s="113" t="str">
        <f>_xlfn.XLOOKUP($C1069,'Cost Centers'!$A$2:$A$11,'Cost Centers'!$B$2:$B$11,"")</f>
        <v>Business Development</v>
      </c>
      <c r="E1069" s="113" t="s">
        <v>32</v>
      </c>
      <c r="F1069" s="113" t="str">
        <f>_xlfn.XLOOKUP(E1069,'Allocated Transactions'!D:D,'Allocated Transactions'!E:E,"")</f>
        <v>Rent</v>
      </c>
      <c r="G1069" s="113" t="s">
        <v>97</v>
      </c>
      <c r="H1069" s="113"/>
      <c r="I1069" s="113" t="str">
        <f>_xlfn.XLOOKUP($C1069,'Cost Centers'!$A$2:$A$11,'Cost Centers'!$C$2:$C$11,"")</f>
        <v>Admin</v>
      </c>
      <c r="J1069" s="23">
        <f>MROUND(SUMIFS('Allocated Transactions'!$J:$J,'Allocated Transactions'!$D:$D,$E1069,'Allocated Transactions'!$C:$C,$C1069,'Allocated Transactions'!$A:$A,"&gt;="&amp;$A1069,'Allocated Transactions'!$A:$A,"&lt;="&amp;EOMONTH($A1069,0))*0.99,100)</f>
        <v>400</v>
      </c>
      <c r="K1069" s="113" t="s">
        <v>637</v>
      </c>
    </row>
    <row r="1070" spans="1:11" ht="15" customHeight="1">
      <c r="A1070" s="112">
        <f t="shared" si="66"/>
        <v>46174</v>
      </c>
      <c r="B1070" s="113">
        <v>5</v>
      </c>
      <c r="C1070" s="18" t="str">
        <f t="shared" si="67"/>
        <v>1050</v>
      </c>
      <c r="D1070" s="113" t="str">
        <f>_xlfn.XLOOKUP($C1070,'Cost Centers'!$A$2:$A$11,'Cost Centers'!$B$2:$B$11,"")</f>
        <v>Business Development</v>
      </c>
      <c r="E1070" s="113" t="s">
        <v>33</v>
      </c>
      <c r="F1070" s="113" t="str">
        <f>_xlfn.XLOOKUP(E1070,'Allocated Transactions'!D:D,'Allocated Transactions'!E:E,"")</f>
        <v>Utilities</v>
      </c>
      <c r="G1070" s="113" t="s">
        <v>97</v>
      </c>
      <c r="H1070" s="113"/>
      <c r="I1070" s="113" t="str">
        <f>_xlfn.XLOOKUP($C1070,'Cost Centers'!$A$2:$A$11,'Cost Centers'!$C$2:$C$11,"")</f>
        <v>Admin</v>
      </c>
      <c r="J1070" s="23">
        <f>MROUND(SUMIFS('Allocated Transactions'!$J:$J,'Allocated Transactions'!$D:$D,$E1070,'Allocated Transactions'!$C:$C,$C1070,'Allocated Transactions'!$A:$A,"&gt;="&amp;$A1070,'Allocated Transactions'!$A:$A,"&lt;="&amp;EOMONTH($A1070,0))*0.99,100)</f>
        <v>0</v>
      </c>
      <c r="K1070" s="113" t="s">
        <v>637</v>
      </c>
    </row>
    <row r="1071" spans="1:11" ht="15" customHeight="1">
      <c r="A1071" s="112">
        <f t="shared" si="66"/>
        <v>46174</v>
      </c>
      <c r="B1071" s="113">
        <v>5</v>
      </c>
      <c r="C1071" s="18" t="str">
        <f t="shared" si="67"/>
        <v>1050</v>
      </c>
      <c r="D1071" s="113" t="str">
        <f>_xlfn.XLOOKUP($C1071,'Cost Centers'!$A$2:$A$11,'Cost Centers'!$B$2:$B$11,"")</f>
        <v>Business Development</v>
      </c>
      <c r="E1071" s="113" t="s">
        <v>105</v>
      </c>
      <c r="F1071" s="113" t="str">
        <f>_xlfn.XLOOKUP(E1071,'Allocated Transactions'!D:D,'Allocated Transactions'!E:E,"")</f>
        <v>Office Supplies</v>
      </c>
      <c r="G1071" s="113" t="s">
        <v>97</v>
      </c>
      <c r="H1071" s="113"/>
      <c r="I1071" s="113" t="str">
        <f>_xlfn.XLOOKUP($C1071,'Cost Centers'!$A$2:$A$11,'Cost Centers'!$C$2:$C$11,"")</f>
        <v>Admin</v>
      </c>
      <c r="J1071" s="23">
        <f>MROUND(SUMIFS('Allocated Transactions'!$J:$J,'Allocated Transactions'!$D:$D,$E1071,'Allocated Transactions'!$C:$C,$C1071,'Allocated Transactions'!$A:$A,"&gt;="&amp;$A1071,'Allocated Transactions'!$A:$A,"&lt;="&amp;EOMONTH($A1071,0))*0.99,100)</f>
        <v>0</v>
      </c>
      <c r="K1071" s="113" t="s">
        <v>637</v>
      </c>
    </row>
    <row r="1072" spans="1:11" ht="15" customHeight="1">
      <c r="A1072" s="112">
        <f t="shared" si="66"/>
        <v>46174</v>
      </c>
      <c r="B1072" s="113">
        <v>5</v>
      </c>
      <c r="C1072" s="18" t="str">
        <f t="shared" si="67"/>
        <v>1050</v>
      </c>
      <c r="D1072" s="113" t="str">
        <f>_xlfn.XLOOKUP($C1072,'Cost Centers'!$A$2:$A$11,'Cost Centers'!$B$2:$B$11,"")</f>
        <v>Business Development</v>
      </c>
      <c r="E1072" s="113" t="s">
        <v>107</v>
      </c>
      <c r="F1072" s="113" t="str">
        <f>_xlfn.XLOOKUP(E1072,'Allocated Transactions'!D:D,'Allocated Transactions'!E:E,"")</f>
        <v>Software and Subscriptions</v>
      </c>
      <c r="G1072" s="113" t="s">
        <v>97</v>
      </c>
      <c r="H1072" s="113"/>
      <c r="I1072" s="113" t="str">
        <f>_xlfn.XLOOKUP($C1072,'Cost Centers'!$A$2:$A$11,'Cost Centers'!$C$2:$C$11,"")</f>
        <v>Admin</v>
      </c>
      <c r="J1072" s="23">
        <f>MROUND(SUMIFS('Allocated Transactions'!$J:$J,'Allocated Transactions'!$D:$D,$E1072,'Allocated Transactions'!$C:$C,$C1072,'Allocated Transactions'!$A:$A,"&gt;="&amp;$A1072,'Allocated Transactions'!$A:$A,"&lt;="&amp;EOMONTH($A1072,0))*0.99,100)</f>
        <v>0</v>
      </c>
      <c r="K1072" s="113" t="s">
        <v>637</v>
      </c>
    </row>
    <row r="1073" spans="1:11" ht="15" customHeight="1">
      <c r="A1073" s="112">
        <f t="shared" si="66"/>
        <v>46174</v>
      </c>
      <c r="B1073" s="113">
        <v>5</v>
      </c>
      <c r="C1073" s="18" t="str">
        <f t="shared" si="67"/>
        <v>1050</v>
      </c>
      <c r="D1073" s="113" t="str">
        <f>_xlfn.XLOOKUP($C1073,'Cost Centers'!$A$2:$A$11,'Cost Centers'!$B$2:$B$11,"")</f>
        <v>Business Development</v>
      </c>
      <c r="E1073" s="113" t="s">
        <v>109</v>
      </c>
      <c r="F1073" s="113" t="str">
        <f>_xlfn.XLOOKUP(E1073,'Allocated Transactions'!D:D,'Allocated Transactions'!E:E,"")</f>
        <v>Travel</v>
      </c>
      <c r="G1073" s="113" t="s">
        <v>97</v>
      </c>
      <c r="H1073" s="113"/>
      <c r="I1073" s="113" t="str">
        <f>_xlfn.XLOOKUP($C1073,'Cost Centers'!$A$2:$A$11,'Cost Centers'!$C$2:$C$11,"")</f>
        <v>Admin</v>
      </c>
      <c r="J1073" s="23">
        <f>MROUND(SUMIFS('Allocated Transactions'!$J:$J,'Allocated Transactions'!$D:$D,$E1073,'Allocated Transactions'!$C:$C,$C1073,'Allocated Transactions'!$A:$A,"&gt;="&amp;$A1073,'Allocated Transactions'!$A:$A,"&lt;="&amp;EOMONTH($A1073,0))*0.99,100)</f>
        <v>0</v>
      </c>
      <c r="K1073" s="113" t="s">
        <v>637</v>
      </c>
    </row>
    <row r="1074" spans="1:11" ht="15" customHeight="1">
      <c r="A1074" s="112">
        <f t="shared" si="66"/>
        <v>46174</v>
      </c>
      <c r="B1074" s="113">
        <v>5</v>
      </c>
      <c r="C1074" s="18" t="str">
        <f t="shared" si="67"/>
        <v>1050</v>
      </c>
      <c r="D1074" s="113" t="str">
        <f>_xlfn.XLOOKUP($C1074,'Cost Centers'!$A$2:$A$11,'Cost Centers'!$B$2:$B$11,"")</f>
        <v>Business Development</v>
      </c>
      <c r="E1074" s="113" t="s">
        <v>111</v>
      </c>
      <c r="F1074" s="113" t="str">
        <f>_xlfn.XLOOKUP(E1074,'Allocated Transactions'!D:D,'Allocated Transactions'!E:E,"")</f>
        <v>Meals and Entertainment</v>
      </c>
      <c r="G1074" s="113" t="s">
        <v>97</v>
      </c>
      <c r="H1074" s="113"/>
      <c r="I1074" s="113" t="str">
        <f>_xlfn.XLOOKUP($C1074,'Cost Centers'!$A$2:$A$11,'Cost Centers'!$C$2:$C$11,"")</f>
        <v>Admin</v>
      </c>
      <c r="J1074" s="23">
        <f>MROUND(SUMIFS('Allocated Transactions'!$J:$J,'Allocated Transactions'!$D:$D,$E1074,'Allocated Transactions'!$C:$C,$C1074,'Allocated Transactions'!$A:$A,"&gt;="&amp;$A1074,'Allocated Transactions'!$A:$A,"&lt;="&amp;EOMONTH($A1074,0))*0.99,100)</f>
        <v>0</v>
      </c>
      <c r="K1074" s="113" t="s">
        <v>637</v>
      </c>
    </row>
    <row r="1075" spans="1:11" ht="15" customHeight="1">
      <c r="A1075" s="112">
        <f t="shared" si="66"/>
        <v>46174</v>
      </c>
      <c r="B1075" s="113">
        <v>5</v>
      </c>
      <c r="C1075" s="18" t="str">
        <f t="shared" si="67"/>
        <v>1050</v>
      </c>
      <c r="D1075" s="113" t="str">
        <f>_xlfn.XLOOKUP($C1075,'Cost Centers'!$A$2:$A$11,'Cost Centers'!$B$2:$B$11,"")</f>
        <v>Business Development</v>
      </c>
      <c r="E1075" s="113" t="s">
        <v>113</v>
      </c>
      <c r="F1075" s="113" t="str">
        <f>_xlfn.XLOOKUP(E1075,'Allocated Transactions'!D:D,'Allocated Transactions'!E:E,"")</f>
        <v>Professional Fees - Legal</v>
      </c>
      <c r="G1075" s="113" t="s">
        <v>97</v>
      </c>
      <c r="H1075" s="113"/>
      <c r="I1075" s="113" t="str">
        <f>_xlfn.XLOOKUP($C1075,'Cost Centers'!$A$2:$A$11,'Cost Centers'!$C$2:$C$11,"")</f>
        <v>Admin</v>
      </c>
      <c r="J1075" s="23">
        <f>MROUND(SUMIFS('Allocated Transactions'!$J:$J,'Allocated Transactions'!$D:$D,$E1075,'Allocated Transactions'!$C:$C,$C1075,'Allocated Transactions'!$A:$A,"&gt;="&amp;$A1075,'Allocated Transactions'!$A:$A,"&lt;="&amp;EOMONTH($A1075,0))*0.99,100)</f>
        <v>0</v>
      </c>
      <c r="K1075" s="113" t="s">
        <v>637</v>
      </c>
    </row>
    <row r="1076" spans="1:11" ht="15" customHeight="1">
      <c r="A1076" s="112">
        <f t="shared" si="66"/>
        <v>46174</v>
      </c>
      <c r="B1076" s="113">
        <v>5</v>
      </c>
      <c r="C1076" s="18" t="str">
        <f t="shared" si="67"/>
        <v>1050</v>
      </c>
      <c r="D1076" s="113" t="str">
        <f>_xlfn.XLOOKUP($C1076,'Cost Centers'!$A$2:$A$11,'Cost Centers'!$B$2:$B$11,"")</f>
        <v>Business Development</v>
      </c>
      <c r="E1076" s="113" t="s">
        <v>115</v>
      </c>
      <c r="F1076" s="113" t="str">
        <f>_xlfn.XLOOKUP(E1076,'Allocated Transactions'!D:D,'Allocated Transactions'!E:E,"")</f>
        <v>Professional Fees - Accounting/Audit</v>
      </c>
      <c r="G1076" s="113" t="s">
        <v>97</v>
      </c>
      <c r="H1076" s="113"/>
      <c r="I1076" s="113" t="str">
        <f>_xlfn.XLOOKUP($C1076,'Cost Centers'!$A$2:$A$11,'Cost Centers'!$C$2:$C$11,"")</f>
        <v>Admin</v>
      </c>
      <c r="J1076" s="23">
        <f>MROUND(SUMIFS('Allocated Transactions'!$J:$J,'Allocated Transactions'!$D:$D,$E1076,'Allocated Transactions'!$C:$C,$C1076,'Allocated Transactions'!$A:$A,"&gt;="&amp;$A1076,'Allocated Transactions'!$A:$A,"&lt;="&amp;EOMONTH($A1076,0))*0.99,100)</f>
        <v>0</v>
      </c>
      <c r="K1076" s="113" t="s">
        <v>637</v>
      </c>
    </row>
    <row r="1077" spans="1:11" ht="15" customHeight="1">
      <c r="A1077" s="112">
        <f t="shared" si="66"/>
        <v>46174</v>
      </c>
      <c r="B1077" s="113">
        <v>5</v>
      </c>
      <c r="C1077" s="18" t="str">
        <f t="shared" si="67"/>
        <v>1050</v>
      </c>
      <c r="D1077" s="113" t="str">
        <f>_xlfn.XLOOKUP($C1077,'Cost Centers'!$A$2:$A$11,'Cost Centers'!$B$2:$B$11,"")</f>
        <v>Business Development</v>
      </c>
      <c r="E1077" s="113" t="s">
        <v>117</v>
      </c>
      <c r="F1077" s="113" t="str">
        <f>_xlfn.XLOOKUP(E1077,'Allocated Transactions'!D:D,'Allocated Transactions'!E:E,"")</f>
        <v>Insurance</v>
      </c>
      <c r="G1077" s="113" t="s">
        <v>97</v>
      </c>
      <c r="H1077" s="113"/>
      <c r="I1077" s="113" t="str">
        <f>_xlfn.XLOOKUP($C1077,'Cost Centers'!$A$2:$A$11,'Cost Centers'!$C$2:$C$11,"")</f>
        <v>Admin</v>
      </c>
      <c r="J1077" s="23">
        <f>MROUND(SUMIFS('Allocated Transactions'!$J:$J,'Allocated Transactions'!$D:$D,$E1077,'Allocated Transactions'!$C:$C,$C1077,'Allocated Transactions'!$A:$A,"&gt;="&amp;$A1077,'Allocated Transactions'!$A:$A,"&lt;="&amp;EOMONTH($A1077,0))*0.99,100)</f>
        <v>300</v>
      </c>
      <c r="K1077" s="113" t="s">
        <v>637</v>
      </c>
    </row>
    <row r="1078" spans="1:11" ht="15" customHeight="1">
      <c r="A1078" s="112">
        <f t="shared" si="66"/>
        <v>46174</v>
      </c>
      <c r="B1078" s="113">
        <v>5</v>
      </c>
      <c r="C1078" s="18" t="str">
        <f t="shared" si="67"/>
        <v>1050</v>
      </c>
      <c r="D1078" s="113" t="str">
        <f>_xlfn.XLOOKUP($C1078,'Cost Centers'!$A$2:$A$11,'Cost Centers'!$B$2:$B$11,"")</f>
        <v>Business Development</v>
      </c>
      <c r="E1078" s="113" t="s">
        <v>119</v>
      </c>
      <c r="F1078" s="113" t="str">
        <f>_xlfn.XLOOKUP(E1078,'Allocated Transactions'!D:D,'Allocated Transactions'!E:E,"")</f>
        <v>Depreciation Expense</v>
      </c>
      <c r="G1078" s="113" t="s">
        <v>97</v>
      </c>
      <c r="H1078" s="113"/>
      <c r="I1078" s="113" t="str">
        <f>_xlfn.XLOOKUP($C1078,'Cost Centers'!$A$2:$A$11,'Cost Centers'!$C$2:$C$11,"")</f>
        <v>Admin</v>
      </c>
      <c r="J1078" s="23">
        <f>MROUND(SUMIFS('Allocated Transactions'!$J:$J,'Allocated Transactions'!$D:$D,$E1078,'Allocated Transactions'!$C:$C,$C1078,'Allocated Transactions'!$A:$A,"&gt;="&amp;$A1078,'Allocated Transactions'!$A:$A,"&lt;="&amp;EOMONTH($A1078,0))*0.99,100)</f>
        <v>0</v>
      </c>
      <c r="K1078" s="113" t="s">
        <v>637</v>
      </c>
    </row>
    <row r="1079" spans="1:11" ht="15" customHeight="1">
      <c r="A1079" s="112">
        <f t="shared" si="66"/>
        <v>46174</v>
      </c>
      <c r="B1079" s="113">
        <v>5</v>
      </c>
      <c r="C1079" s="18" t="str">
        <f t="shared" si="67"/>
        <v>1050</v>
      </c>
      <c r="D1079" s="113" t="str">
        <f>_xlfn.XLOOKUP($C1079,'Cost Centers'!$A$2:$A$11,'Cost Centers'!$B$2:$B$11,"")</f>
        <v>Business Development</v>
      </c>
      <c r="E1079" s="113" t="s">
        <v>121</v>
      </c>
      <c r="F1079" s="113" t="str">
        <f>_xlfn.XLOOKUP(E1079,'Allocated Transactions'!D:D,'Allocated Transactions'!E:E,"")</f>
        <v>Bank Fees</v>
      </c>
      <c r="G1079" s="113" t="s">
        <v>97</v>
      </c>
      <c r="H1079" s="113"/>
      <c r="I1079" s="113" t="str">
        <f>_xlfn.XLOOKUP($C1079,'Cost Centers'!$A$2:$A$11,'Cost Centers'!$C$2:$C$11,"")</f>
        <v>Admin</v>
      </c>
      <c r="J1079" s="23">
        <f>MROUND(SUMIFS('Allocated Transactions'!$J:$J,'Allocated Transactions'!$D:$D,$E1079,'Allocated Transactions'!$C:$C,$C1079,'Allocated Transactions'!$A:$A,"&gt;="&amp;$A1079,'Allocated Transactions'!$A:$A,"&lt;="&amp;EOMONTH($A1079,0))*0.99,100)</f>
        <v>0</v>
      </c>
      <c r="K1079" s="113" t="s">
        <v>637</v>
      </c>
    </row>
    <row r="1080" spans="1:11" ht="15" customHeight="1">
      <c r="A1080" s="112">
        <f t="shared" si="66"/>
        <v>46174</v>
      </c>
      <c r="B1080" s="113">
        <v>5</v>
      </c>
      <c r="C1080" s="18" t="str">
        <f t="shared" si="67"/>
        <v>1050</v>
      </c>
      <c r="D1080" s="113" t="str">
        <f>_xlfn.XLOOKUP($C1080,'Cost Centers'!$A$2:$A$11,'Cost Centers'!$B$2:$B$11,"")</f>
        <v>Business Development</v>
      </c>
      <c r="E1080" s="113" t="s">
        <v>123</v>
      </c>
      <c r="F1080" s="113" t="str">
        <f>_xlfn.XLOOKUP(E1080,'Allocated Transactions'!D:D,'Allocated Transactions'!E:E,"")</f>
        <v>Interest Expense</v>
      </c>
      <c r="G1080" s="113" t="s">
        <v>97</v>
      </c>
      <c r="H1080" s="113"/>
      <c r="I1080" s="113" t="str">
        <f>_xlfn.XLOOKUP($C1080,'Cost Centers'!$A$2:$A$11,'Cost Centers'!$C$2:$C$11,"")</f>
        <v>Admin</v>
      </c>
      <c r="J1080" s="23">
        <f>MROUND(SUMIFS('Allocated Transactions'!$J:$J,'Allocated Transactions'!$D:$D,$E1080,'Allocated Transactions'!$C:$C,$C1080,'Allocated Transactions'!$A:$A,"&gt;="&amp;$A1080,'Allocated Transactions'!$A:$A,"&lt;="&amp;EOMONTH($A1080,0))*0.99,100)</f>
        <v>0</v>
      </c>
      <c r="K1080" s="113" t="s">
        <v>637</v>
      </c>
    </row>
    <row r="1081" spans="1:11" ht="15" customHeight="1">
      <c r="A1081" s="112">
        <f t="shared" si="66"/>
        <v>46174</v>
      </c>
      <c r="B1081" s="113">
        <v>5</v>
      </c>
      <c r="C1081" s="18" t="str">
        <f t="shared" si="67"/>
        <v>1050</v>
      </c>
      <c r="D1081" s="113" t="str">
        <f>_xlfn.XLOOKUP($C1081,'Cost Centers'!$A$2:$A$11,'Cost Centers'!$B$2:$B$11,"")</f>
        <v>Business Development</v>
      </c>
      <c r="E1081" s="113" t="s">
        <v>125</v>
      </c>
      <c r="F1081" s="113" t="str">
        <f>_xlfn.XLOOKUP(E1081,'Allocated Transactions'!D:D,'Allocated Transactions'!E:E,"")</f>
        <v>Miscellaneous Expense</v>
      </c>
      <c r="G1081" s="113" t="s">
        <v>97</v>
      </c>
      <c r="H1081" s="113"/>
      <c r="I1081" s="113" t="str">
        <f>_xlfn.XLOOKUP($C1081,'Cost Centers'!$A$2:$A$11,'Cost Centers'!$C$2:$C$11,"")</f>
        <v>Admin</v>
      </c>
      <c r="J1081" s="23">
        <f>MROUND(SUMIFS('Allocated Transactions'!$J:$J,'Allocated Transactions'!$D:$D,$E1081,'Allocated Transactions'!$C:$C,$C1081,'Allocated Transactions'!$A:$A,"&gt;="&amp;$A1081,'Allocated Transactions'!$A:$A,"&lt;="&amp;EOMONTH($A1081,0))*0.99,100)</f>
        <v>0</v>
      </c>
      <c r="K1081" s="113" t="s">
        <v>637</v>
      </c>
    </row>
    <row r="1082" spans="1:11" ht="15" customHeight="1">
      <c r="A1082" s="112">
        <f t="shared" si="66"/>
        <v>45839</v>
      </c>
      <c r="B1082" s="113">
        <v>6</v>
      </c>
      <c r="C1082" s="18" t="s">
        <v>12</v>
      </c>
      <c r="D1082" s="113" t="str">
        <f>_xlfn.XLOOKUP($C1082,'Cost Centers'!$A$2:$A$11,'Cost Centers'!$B$2:$B$11,"")</f>
        <v>Latin America</v>
      </c>
      <c r="E1082" s="113" t="s">
        <v>28</v>
      </c>
      <c r="F1082" s="113" t="str">
        <f>_xlfn.XLOOKUP(E1082,'Allocated Transactions'!D:D,'Allocated Transactions'!E:E,"")</f>
        <v>Salaries and Wages</v>
      </c>
      <c r="G1082" s="113" t="s">
        <v>97</v>
      </c>
      <c r="H1082" s="113"/>
      <c r="I1082" s="113" t="str">
        <f>_xlfn.XLOOKUP($C1082,'Cost Centers'!$A$2:$A$11,'Cost Centers'!$C$2:$C$11,"")</f>
        <v>Programs</v>
      </c>
      <c r="J1082" s="23">
        <f>MROUND(SUMIFS('Allocated Transactions'!$J:$J,'Allocated Transactions'!$D:$D,$E1082,'Allocated Transactions'!$C:$C,$C1082,'Allocated Transactions'!$A:$A,"&gt;="&amp;$A1082,'Allocated Transactions'!$A:$A,"&lt;="&amp;EOMONTH($A1082,0))*0.99,100)</f>
        <v>17000</v>
      </c>
      <c r="K1082" s="113" t="s">
        <v>637</v>
      </c>
    </row>
    <row r="1083" spans="1:11" ht="15" customHeight="1">
      <c r="A1083" s="112">
        <f t="shared" si="66"/>
        <v>45839</v>
      </c>
      <c r="B1083" s="113">
        <v>6</v>
      </c>
      <c r="C1083" s="18" t="str">
        <f t="shared" ref="C1083:C1099" si="68">C1082</f>
        <v>2010</v>
      </c>
      <c r="D1083" s="113" t="str">
        <f>_xlfn.XLOOKUP($C1083,'Cost Centers'!$A$2:$A$11,'Cost Centers'!$B$2:$B$11,"")</f>
        <v>Latin America</v>
      </c>
      <c r="E1083" s="113" t="s">
        <v>29</v>
      </c>
      <c r="F1083" s="113" t="str">
        <f>_xlfn.XLOOKUP(E1083,'Allocated Transactions'!D:D,'Allocated Transactions'!E:E,"")</f>
        <v>Payroll Taxes</v>
      </c>
      <c r="G1083" s="113" t="s">
        <v>97</v>
      </c>
      <c r="H1083" s="113"/>
      <c r="I1083" s="113" t="str">
        <f>_xlfn.XLOOKUP($C1083,'Cost Centers'!$A$2:$A$11,'Cost Centers'!$C$2:$C$11,"")</f>
        <v>Programs</v>
      </c>
      <c r="J1083" s="23">
        <f>MROUND(SUMIFS('Allocated Transactions'!$J:$J,'Allocated Transactions'!$D:$D,$E1083,'Allocated Transactions'!$C:$C,$C1083,'Allocated Transactions'!$A:$A,"&gt;="&amp;$A1083,'Allocated Transactions'!$A:$A,"&lt;="&amp;EOMONTH($A1083,0))*0.99,100)</f>
        <v>1300</v>
      </c>
      <c r="K1083" s="113" t="s">
        <v>637</v>
      </c>
    </row>
    <row r="1084" spans="1:11" ht="15" customHeight="1">
      <c r="A1084" s="112">
        <f t="shared" si="66"/>
        <v>45839</v>
      </c>
      <c r="B1084" s="113">
        <v>6</v>
      </c>
      <c r="C1084" s="18" t="str">
        <f t="shared" si="68"/>
        <v>2010</v>
      </c>
      <c r="D1084" s="113" t="str">
        <f>_xlfn.XLOOKUP($C1084,'Cost Centers'!$A$2:$A$11,'Cost Centers'!$B$2:$B$11,"")</f>
        <v>Latin America</v>
      </c>
      <c r="E1084" s="113" t="s">
        <v>30</v>
      </c>
      <c r="F1084" s="113" t="str">
        <f>_xlfn.XLOOKUP(E1084,'Allocated Transactions'!D:D,'Allocated Transactions'!E:E,"")</f>
        <v>Employee Benefits</v>
      </c>
      <c r="G1084" s="113" t="s">
        <v>97</v>
      </c>
      <c r="H1084" s="113"/>
      <c r="I1084" s="113" t="str">
        <f>_xlfn.XLOOKUP($C1084,'Cost Centers'!$A$2:$A$11,'Cost Centers'!$C$2:$C$11,"")</f>
        <v>Programs</v>
      </c>
      <c r="J1084" s="23">
        <f>MROUND(SUMIFS('Allocated Transactions'!$J:$J,'Allocated Transactions'!$D:$D,$E1084,'Allocated Transactions'!$C:$C,$C1084,'Allocated Transactions'!$A:$A,"&gt;="&amp;$A1084,'Allocated Transactions'!$A:$A,"&lt;="&amp;EOMONTH($A1084,0))*0.99,100)</f>
        <v>3900</v>
      </c>
      <c r="K1084" s="113" t="s">
        <v>637</v>
      </c>
    </row>
    <row r="1085" spans="1:11" ht="15" customHeight="1">
      <c r="A1085" s="112">
        <f t="shared" si="66"/>
        <v>45839</v>
      </c>
      <c r="B1085" s="113">
        <v>6</v>
      </c>
      <c r="C1085" s="18" t="str">
        <f t="shared" si="68"/>
        <v>2010</v>
      </c>
      <c r="D1085" s="113" t="str">
        <f>_xlfn.XLOOKUP($C1085,'Cost Centers'!$A$2:$A$11,'Cost Centers'!$B$2:$B$11,"")</f>
        <v>Latin America</v>
      </c>
      <c r="E1085" s="113" t="s">
        <v>31</v>
      </c>
      <c r="F1085" s="113" t="str">
        <f>_xlfn.XLOOKUP(E1085,'Allocated Transactions'!D:D,'Allocated Transactions'!E:E,"")</f>
        <v>Retirement Contributions</v>
      </c>
      <c r="G1085" s="113" t="s">
        <v>97</v>
      </c>
      <c r="H1085" s="113"/>
      <c r="I1085" s="113" t="str">
        <f>_xlfn.XLOOKUP($C1085,'Cost Centers'!$A$2:$A$11,'Cost Centers'!$C$2:$C$11,"")</f>
        <v>Programs</v>
      </c>
      <c r="J1085" s="23">
        <f>MROUND(SUMIFS('Allocated Transactions'!$J:$J,'Allocated Transactions'!$D:$D,$E1085,'Allocated Transactions'!$C:$C,$C1085,'Allocated Transactions'!$A:$A,"&gt;="&amp;$A1085,'Allocated Transactions'!$A:$A,"&lt;="&amp;EOMONTH($A1085,0))*0.99,100)</f>
        <v>500</v>
      </c>
      <c r="K1085" s="113" t="s">
        <v>637</v>
      </c>
    </row>
    <row r="1086" spans="1:11" ht="15" customHeight="1">
      <c r="A1086" s="112">
        <f t="shared" si="66"/>
        <v>45839</v>
      </c>
      <c r="B1086" s="113">
        <v>6</v>
      </c>
      <c r="C1086" s="18" t="str">
        <f t="shared" si="68"/>
        <v>2010</v>
      </c>
      <c r="D1086" s="113" t="str">
        <f>_xlfn.XLOOKUP($C1086,'Cost Centers'!$A$2:$A$11,'Cost Centers'!$B$2:$B$11,"")</f>
        <v>Latin America</v>
      </c>
      <c r="E1086" s="113" t="s">
        <v>101</v>
      </c>
      <c r="F1086" s="113" t="str">
        <f>_xlfn.XLOOKUP(E1086,'Allocated Transactions'!D:D,'Allocated Transactions'!E:E,"")</f>
        <v>Contract Labor / Consultants</v>
      </c>
      <c r="G1086" s="113" t="s">
        <v>97</v>
      </c>
      <c r="H1086" s="113"/>
      <c r="I1086" s="113" t="str">
        <f>_xlfn.XLOOKUP($C1086,'Cost Centers'!$A$2:$A$11,'Cost Centers'!$C$2:$C$11,"")</f>
        <v>Programs</v>
      </c>
      <c r="J1086" s="23">
        <f>MROUND(SUMIFS('Allocated Transactions'!$J:$J,'Allocated Transactions'!$D:$D,$E1086,'Allocated Transactions'!$C:$C,$C1086,'Allocated Transactions'!$A:$A,"&gt;="&amp;$A1086,'Allocated Transactions'!$A:$A,"&lt;="&amp;EOMONTH($A1086,0))*0.99,100)</f>
        <v>0</v>
      </c>
      <c r="K1086" s="113" t="s">
        <v>637</v>
      </c>
    </row>
    <row r="1087" spans="1:11" ht="15" customHeight="1">
      <c r="A1087" s="112">
        <f t="shared" si="66"/>
        <v>45839</v>
      </c>
      <c r="B1087" s="113">
        <v>6</v>
      </c>
      <c r="C1087" s="18" t="str">
        <f t="shared" si="68"/>
        <v>2010</v>
      </c>
      <c r="D1087" s="113" t="str">
        <f>_xlfn.XLOOKUP($C1087,'Cost Centers'!$A$2:$A$11,'Cost Centers'!$B$2:$B$11,"")</f>
        <v>Latin America</v>
      </c>
      <c r="E1087" s="113" t="s">
        <v>32</v>
      </c>
      <c r="F1087" s="113" t="str">
        <f>_xlfn.XLOOKUP(E1087,'Allocated Transactions'!D:D,'Allocated Transactions'!E:E,"")</f>
        <v>Rent</v>
      </c>
      <c r="G1087" s="113" t="s">
        <v>97</v>
      </c>
      <c r="H1087" s="113"/>
      <c r="I1087" s="113" t="str">
        <f>_xlfn.XLOOKUP($C1087,'Cost Centers'!$A$2:$A$11,'Cost Centers'!$C$2:$C$11,"")</f>
        <v>Programs</v>
      </c>
      <c r="J1087" s="23">
        <f>MROUND(SUMIFS('Allocated Transactions'!$J:$J,'Allocated Transactions'!$D:$D,$E1087,'Allocated Transactions'!$C:$C,$C1087,'Allocated Transactions'!$A:$A,"&gt;="&amp;$A1087,'Allocated Transactions'!$A:$A,"&lt;="&amp;EOMONTH($A1087,0))*0.99,100)</f>
        <v>1400</v>
      </c>
      <c r="K1087" s="113" t="s">
        <v>637</v>
      </c>
    </row>
    <row r="1088" spans="1:11" ht="15" customHeight="1">
      <c r="A1088" s="112">
        <f t="shared" si="66"/>
        <v>45839</v>
      </c>
      <c r="B1088" s="113">
        <v>6</v>
      </c>
      <c r="C1088" s="18" t="str">
        <f t="shared" si="68"/>
        <v>2010</v>
      </c>
      <c r="D1088" s="113" t="str">
        <f>_xlfn.XLOOKUP($C1088,'Cost Centers'!$A$2:$A$11,'Cost Centers'!$B$2:$B$11,"")</f>
        <v>Latin America</v>
      </c>
      <c r="E1088" s="113" t="s">
        <v>33</v>
      </c>
      <c r="F1088" s="113" t="str">
        <f>_xlfn.XLOOKUP(E1088,'Allocated Transactions'!D:D,'Allocated Transactions'!E:E,"")</f>
        <v>Utilities</v>
      </c>
      <c r="G1088" s="113" t="s">
        <v>97</v>
      </c>
      <c r="H1088" s="113"/>
      <c r="I1088" s="113" t="str">
        <f>_xlfn.XLOOKUP($C1088,'Cost Centers'!$A$2:$A$11,'Cost Centers'!$C$2:$C$11,"")</f>
        <v>Programs</v>
      </c>
      <c r="J1088" s="23">
        <f>MROUND(SUMIFS('Allocated Transactions'!$J:$J,'Allocated Transactions'!$D:$D,$E1088,'Allocated Transactions'!$C:$C,$C1088,'Allocated Transactions'!$A:$A,"&gt;="&amp;$A1088,'Allocated Transactions'!$A:$A,"&lt;="&amp;EOMONTH($A1088,0))*0.99,100)</f>
        <v>200</v>
      </c>
      <c r="K1088" s="113" t="s">
        <v>637</v>
      </c>
    </row>
    <row r="1089" spans="1:11" ht="15" customHeight="1">
      <c r="A1089" s="112">
        <f t="shared" si="66"/>
        <v>45839</v>
      </c>
      <c r="B1089" s="113">
        <v>6</v>
      </c>
      <c r="C1089" s="18" t="str">
        <f t="shared" si="68"/>
        <v>2010</v>
      </c>
      <c r="D1089" s="113" t="str">
        <f>_xlfn.XLOOKUP($C1089,'Cost Centers'!$A$2:$A$11,'Cost Centers'!$B$2:$B$11,"")</f>
        <v>Latin America</v>
      </c>
      <c r="E1089" s="113" t="s">
        <v>105</v>
      </c>
      <c r="F1089" s="113" t="str">
        <f>_xlfn.XLOOKUP(E1089,'Allocated Transactions'!D:D,'Allocated Transactions'!E:E,"")</f>
        <v>Office Supplies</v>
      </c>
      <c r="G1089" s="113" t="s">
        <v>97</v>
      </c>
      <c r="H1089" s="113"/>
      <c r="I1089" s="113" t="str">
        <f>_xlfn.XLOOKUP($C1089,'Cost Centers'!$A$2:$A$11,'Cost Centers'!$C$2:$C$11,"")</f>
        <v>Programs</v>
      </c>
      <c r="J1089" s="23">
        <f>MROUND(SUMIFS('Allocated Transactions'!$J:$J,'Allocated Transactions'!$D:$D,$E1089,'Allocated Transactions'!$C:$C,$C1089,'Allocated Transactions'!$A:$A,"&gt;="&amp;$A1089,'Allocated Transactions'!$A:$A,"&lt;="&amp;EOMONTH($A1089,0))*0.99,100)</f>
        <v>0</v>
      </c>
      <c r="K1089" s="113" t="s">
        <v>637</v>
      </c>
    </row>
    <row r="1090" spans="1:11" ht="15" customHeight="1">
      <c r="A1090" s="112">
        <f t="shared" si="66"/>
        <v>45839</v>
      </c>
      <c r="B1090" s="113">
        <v>6</v>
      </c>
      <c r="C1090" s="18" t="str">
        <f t="shared" si="68"/>
        <v>2010</v>
      </c>
      <c r="D1090" s="113" t="str">
        <f>_xlfn.XLOOKUP($C1090,'Cost Centers'!$A$2:$A$11,'Cost Centers'!$B$2:$B$11,"")</f>
        <v>Latin America</v>
      </c>
      <c r="E1090" s="113" t="s">
        <v>107</v>
      </c>
      <c r="F1090" s="113" t="str">
        <f>_xlfn.XLOOKUP(E1090,'Allocated Transactions'!D:D,'Allocated Transactions'!E:E,"")</f>
        <v>Software and Subscriptions</v>
      </c>
      <c r="G1090" s="113" t="s">
        <v>97</v>
      </c>
      <c r="H1090" s="113"/>
      <c r="I1090" s="113" t="str">
        <f>_xlfn.XLOOKUP($C1090,'Cost Centers'!$A$2:$A$11,'Cost Centers'!$C$2:$C$11,"")</f>
        <v>Programs</v>
      </c>
      <c r="J1090" s="23">
        <f>MROUND(SUMIFS('Allocated Transactions'!$J:$J,'Allocated Transactions'!$D:$D,$E1090,'Allocated Transactions'!$C:$C,$C1090,'Allocated Transactions'!$A:$A,"&gt;="&amp;$A1090,'Allocated Transactions'!$A:$A,"&lt;="&amp;EOMONTH($A1090,0))*0.99,100)</f>
        <v>0</v>
      </c>
      <c r="K1090" s="113" t="s">
        <v>637</v>
      </c>
    </row>
    <row r="1091" spans="1:11" ht="15" customHeight="1">
      <c r="A1091" s="112">
        <f t="shared" si="66"/>
        <v>45839</v>
      </c>
      <c r="B1091" s="113">
        <v>6</v>
      </c>
      <c r="C1091" s="18" t="str">
        <f t="shared" si="68"/>
        <v>2010</v>
      </c>
      <c r="D1091" s="113" t="str">
        <f>_xlfn.XLOOKUP($C1091,'Cost Centers'!$A$2:$A$11,'Cost Centers'!$B$2:$B$11,"")</f>
        <v>Latin America</v>
      </c>
      <c r="E1091" s="113" t="s">
        <v>109</v>
      </c>
      <c r="F1091" s="113" t="str">
        <f>_xlfn.XLOOKUP(E1091,'Allocated Transactions'!D:D,'Allocated Transactions'!E:E,"")</f>
        <v>Travel</v>
      </c>
      <c r="G1091" s="113" t="s">
        <v>97</v>
      </c>
      <c r="H1091" s="113"/>
      <c r="I1091" s="113" t="str">
        <f>_xlfn.XLOOKUP($C1091,'Cost Centers'!$A$2:$A$11,'Cost Centers'!$C$2:$C$11,"")</f>
        <v>Programs</v>
      </c>
      <c r="J1091" s="23">
        <f>MROUND(SUMIFS('Allocated Transactions'!$J:$J,'Allocated Transactions'!$D:$D,$E1091,'Allocated Transactions'!$C:$C,$C1091,'Allocated Transactions'!$A:$A,"&gt;="&amp;$A1091,'Allocated Transactions'!$A:$A,"&lt;="&amp;EOMONTH($A1091,0))*0.99,100)</f>
        <v>0</v>
      </c>
      <c r="K1091" s="113" t="s">
        <v>637</v>
      </c>
    </row>
    <row r="1092" spans="1:11" ht="15" customHeight="1">
      <c r="A1092" s="112">
        <f t="shared" si="66"/>
        <v>45839</v>
      </c>
      <c r="B1092" s="113">
        <v>6</v>
      </c>
      <c r="C1092" s="18" t="str">
        <f t="shared" si="68"/>
        <v>2010</v>
      </c>
      <c r="D1092" s="113" t="str">
        <f>_xlfn.XLOOKUP($C1092,'Cost Centers'!$A$2:$A$11,'Cost Centers'!$B$2:$B$11,"")</f>
        <v>Latin America</v>
      </c>
      <c r="E1092" s="113" t="s">
        <v>111</v>
      </c>
      <c r="F1092" s="113" t="str">
        <f>_xlfn.XLOOKUP(E1092,'Allocated Transactions'!D:D,'Allocated Transactions'!E:E,"")</f>
        <v>Meals and Entertainment</v>
      </c>
      <c r="G1092" s="113" t="s">
        <v>97</v>
      </c>
      <c r="H1092" s="113"/>
      <c r="I1092" s="113" t="str">
        <f>_xlfn.XLOOKUP($C1092,'Cost Centers'!$A$2:$A$11,'Cost Centers'!$C$2:$C$11,"")</f>
        <v>Programs</v>
      </c>
      <c r="J1092" s="23">
        <f>MROUND(SUMIFS('Allocated Transactions'!$J:$J,'Allocated Transactions'!$D:$D,$E1092,'Allocated Transactions'!$C:$C,$C1092,'Allocated Transactions'!$A:$A,"&gt;="&amp;$A1092,'Allocated Transactions'!$A:$A,"&lt;="&amp;EOMONTH($A1092,0))*0.99,100)</f>
        <v>0</v>
      </c>
      <c r="K1092" s="113" t="s">
        <v>637</v>
      </c>
    </row>
    <row r="1093" spans="1:11" ht="15" customHeight="1">
      <c r="A1093" s="112">
        <f t="shared" si="66"/>
        <v>45839</v>
      </c>
      <c r="B1093" s="113">
        <v>6</v>
      </c>
      <c r="C1093" s="18" t="str">
        <f t="shared" si="68"/>
        <v>2010</v>
      </c>
      <c r="D1093" s="113" t="str">
        <f>_xlfn.XLOOKUP($C1093,'Cost Centers'!$A$2:$A$11,'Cost Centers'!$B$2:$B$11,"")</f>
        <v>Latin America</v>
      </c>
      <c r="E1093" s="113" t="s">
        <v>113</v>
      </c>
      <c r="F1093" s="113" t="str">
        <f>_xlfn.XLOOKUP(E1093,'Allocated Transactions'!D:D,'Allocated Transactions'!E:E,"")</f>
        <v>Professional Fees - Legal</v>
      </c>
      <c r="G1093" s="113" t="s">
        <v>97</v>
      </c>
      <c r="H1093" s="113"/>
      <c r="I1093" s="113" t="str">
        <f>_xlfn.XLOOKUP($C1093,'Cost Centers'!$A$2:$A$11,'Cost Centers'!$C$2:$C$11,"")</f>
        <v>Programs</v>
      </c>
      <c r="J1093" s="23">
        <f>MROUND(SUMIFS('Allocated Transactions'!$J:$J,'Allocated Transactions'!$D:$D,$E1093,'Allocated Transactions'!$C:$C,$C1093,'Allocated Transactions'!$A:$A,"&gt;="&amp;$A1093,'Allocated Transactions'!$A:$A,"&lt;="&amp;EOMONTH($A1093,0))*0.99,100)</f>
        <v>0</v>
      </c>
      <c r="K1093" s="113" t="s">
        <v>637</v>
      </c>
    </row>
    <row r="1094" spans="1:11" ht="15" customHeight="1">
      <c r="A1094" s="112">
        <f t="shared" si="66"/>
        <v>45839</v>
      </c>
      <c r="B1094" s="113">
        <v>6</v>
      </c>
      <c r="C1094" s="18" t="str">
        <f t="shared" si="68"/>
        <v>2010</v>
      </c>
      <c r="D1094" s="113" t="str">
        <f>_xlfn.XLOOKUP($C1094,'Cost Centers'!$A$2:$A$11,'Cost Centers'!$B$2:$B$11,"")</f>
        <v>Latin America</v>
      </c>
      <c r="E1094" s="113" t="s">
        <v>115</v>
      </c>
      <c r="F1094" s="113" t="str">
        <f>_xlfn.XLOOKUP(E1094,'Allocated Transactions'!D:D,'Allocated Transactions'!E:E,"")</f>
        <v>Professional Fees - Accounting/Audit</v>
      </c>
      <c r="G1094" s="113" t="s">
        <v>97</v>
      </c>
      <c r="H1094" s="113"/>
      <c r="I1094" s="113" t="str">
        <f>_xlfn.XLOOKUP($C1094,'Cost Centers'!$A$2:$A$11,'Cost Centers'!$C$2:$C$11,"")</f>
        <v>Programs</v>
      </c>
      <c r="J1094" s="23">
        <f>MROUND(SUMIFS('Allocated Transactions'!$J:$J,'Allocated Transactions'!$D:$D,$E1094,'Allocated Transactions'!$C:$C,$C1094,'Allocated Transactions'!$A:$A,"&gt;="&amp;$A1094,'Allocated Transactions'!$A:$A,"&lt;="&amp;EOMONTH($A1094,0))*0.99,100)</f>
        <v>0</v>
      </c>
      <c r="K1094" s="113" t="s">
        <v>637</v>
      </c>
    </row>
    <row r="1095" spans="1:11" ht="15" customHeight="1">
      <c r="A1095" s="112">
        <f t="shared" si="66"/>
        <v>45839</v>
      </c>
      <c r="B1095" s="113">
        <v>6</v>
      </c>
      <c r="C1095" s="18" t="str">
        <f t="shared" si="68"/>
        <v>2010</v>
      </c>
      <c r="D1095" s="113" t="str">
        <f>_xlfn.XLOOKUP($C1095,'Cost Centers'!$A$2:$A$11,'Cost Centers'!$B$2:$B$11,"")</f>
        <v>Latin America</v>
      </c>
      <c r="E1095" s="113" t="s">
        <v>117</v>
      </c>
      <c r="F1095" s="113" t="str">
        <f>_xlfn.XLOOKUP(E1095,'Allocated Transactions'!D:D,'Allocated Transactions'!E:E,"")</f>
        <v>Insurance</v>
      </c>
      <c r="G1095" s="113" t="s">
        <v>97</v>
      </c>
      <c r="H1095" s="113"/>
      <c r="I1095" s="113" t="str">
        <f>_xlfn.XLOOKUP($C1095,'Cost Centers'!$A$2:$A$11,'Cost Centers'!$C$2:$C$11,"")</f>
        <v>Programs</v>
      </c>
      <c r="J1095" s="23">
        <f>MROUND(SUMIFS('Allocated Transactions'!$J:$J,'Allocated Transactions'!$D:$D,$E1095,'Allocated Transactions'!$C:$C,$C1095,'Allocated Transactions'!$A:$A,"&gt;="&amp;$A1095,'Allocated Transactions'!$A:$A,"&lt;="&amp;EOMONTH($A1095,0))*0.99,100)</f>
        <v>100</v>
      </c>
      <c r="K1095" s="113" t="s">
        <v>637</v>
      </c>
    </row>
    <row r="1096" spans="1:11" ht="15" customHeight="1">
      <c r="A1096" s="112">
        <f t="shared" si="66"/>
        <v>45839</v>
      </c>
      <c r="B1096" s="113">
        <v>6</v>
      </c>
      <c r="C1096" s="18" t="str">
        <f t="shared" si="68"/>
        <v>2010</v>
      </c>
      <c r="D1096" s="113" t="str">
        <f>_xlfn.XLOOKUP($C1096,'Cost Centers'!$A$2:$A$11,'Cost Centers'!$B$2:$B$11,"")</f>
        <v>Latin America</v>
      </c>
      <c r="E1096" s="113" t="s">
        <v>119</v>
      </c>
      <c r="F1096" s="113" t="str">
        <f>_xlfn.XLOOKUP(E1096,'Allocated Transactions'!D:D,'Allocated Transactions'!E:E,"")</f>
        <v>Depreciation Expense</v>
      </c>
      <c r="G1096" s="113" t="s">
        <v>97</v>
      </c>
      <c r="H1096" s="113"/>
      <c r="I1096" s="113" t="str">
        <f>_xlfn.XLOOKUP($C1096,'Cost Centers'!$A$2:$A$11,'Cost Centers'!$C$2:$C$11,"")</f>
        <v>Programs</v>
      </c>
      <c r="J1096" s="23">
        <f>MROUND(SUMIFS('Allocated Transactions'!$J:$J,'Allocated Transactions'!$D:$D,$E1096,'Allocated Transactions'!$C:$C,$C1096,'Allocated Transactions'!$A:$A,"&gt;="&amp;$A1096,'Allocated Transactions'!$A:$A,"&lt;="&amp;EOMONTH($A1096,0))*0.99,100)</f>
        <v>0</v>
      </c>
      <c r="K1096" s="113" t="s">
        <v>637</v>
      </c>
    </row>
    <row r="1097" spans="1:11" ht="15" customHeight="1">
      <c r="A1097" s="112">
        <f t="shared" si="66"/>
        <v>45839</v>
      </c>
      <c r="B1097" s="113">
        <v>6</v>
      </c>
      <c r="C1097" s="18" t="str">
        <f t="shared" si="68"/>
        <v>2010</v>
      </c>
      <c r="D1097" s="113" t="str">
        <f>_xlfn.XLOOKUP($C1097,'Cost Centers'!$A$2:$A$11,'Cost Centers'!$B$2:$B$11,"")</f>
        <v>Latin America</v>
      </c>
      <c r="E1097" s="113" t="s">
        <v>121</v>
      </c>
      <c r="F1097" s="113" t="str">
        <f>_xlfn.XLOOKUP(E1097,'Allocated Transactions'!D:D,'Allocated Transactions'!E:E,"")</f>
        <v>Bank Fees</v>
      </c>
      <c r="G1097" s="113" t="s">
        <v>97</v>
      </c>
      <c r="H1097" s="113"/>
      <c r="I1097" s="113" t="str">
        <f>_xlfn.XLOOKUP($C1097,'Cost Centers'!$A$2:$A$11,'Cost Centers'!$C$2:$C$11,"")</f>
        <v>Programs</v>
      </c>
      <c r="J1097" s="23">
        <f>MROUND(SUMIFS('Allocated Transactions'!$J:$J,'Allocated Transactions'!$D:$D,$E1097,'Allocated Transactions'!$C:$C,$C1097,'Allocated Transactions'!$A:$A,"&gt;="&amp;$A1097,'Allocated Transactions'!$A:$A,"&lt;="&amp;EOMONTH($A1097,0))*0.99,100)</f>
        <v>0</v>
      </c>
      <c r="K1097" s="113" t="s">
        <v>637</v>
      </c>
    </row>
    <row r="1098" spans="1:11" ht="15" customHeight="1">
      <c r="A1098" s="112">
        <f t="shared" si="66"/>
        <v>45839</v>
      </c>
      <c r="B1098" s="113">
        <v>6</v>
      </c>
      <c r="C1098" s="18" t="str">
        <f t="shared" si="68"/>
        <v>2010</v>
      </c>
      <c r="D1098" s="113" t="str">
        <f>_xlfn.XLOOKUP($C1098,'Cost Centers'!$A$2:$A$11,'Cost Centers'!$B$2:$B$11,"")</f>
        <v>Latin America</v>
      </c>
      <c r="E1098" s="113" t="s">
        <v>123</v>
      </c>
      <c r="F1098" s="113" t="str">
        <f>_xlfn.XLOOKUP(E1098,'Allocated Transactions'!D:D,'Allocated Transactions'!E:E,"")</f>
        <v>Interest Expense</v>
      </c>
      <c r="G1098" s="113" t="s">
        <v>97</v>
      </c>
      <c r="H1098" s="113"/>
      <c r="I1098" s="113" t="str">
        <f>_xlfn.XLOOKUP($C1098,'Cost Centers'!$A$2:$A$11,'Cost Centers'!$C$2:$C$11,"")</f>
        <v>Programs</v>
      </c>
      <c r="J1098" s="23">
        <f>MROUND(SUMIFS('Allocated Transactions'!$J:$J,'Allocated Transactions'!$D:$D,$E1098,'Allocated Transactions'!$C:$C,$C1098,'Allocated Transactions'!$A:$A,"&gt;="&amp;$A1098,'Allocated Transactions'!$A:$A,"&lt;="&amp;EOMONTH($A1098,0))*0.99,100)</f>
        <v>0</v>
      </c>
      <c r="K1098" s="113" t="s">
        <v>637</v>
      </c>
    </row>
    <row r="1099" spans="1:11" ht="15" customHeight="1">
      <c r="A1099" s="112">
        <f t="shared" si="66"/>
        <v>45839</v>
      </c>
      <c r="B1099" s="113">
        <v>6</v>
      </c>
      <c r="C1099" s="18" t="str">
        <f t="shared" si="68"/>
        <v>2010</v>
      </c>
      <c r="D1099" s="113" t="str">
        <f>_xlfn.XLOOKUP($C1099,'Cost Centers'!$A$2:$A$11,'Cost Centers'!$B$2:$B$11,"")</f>
        <v>Latin America</v>
      </c>
      <c r="E1099" s="113" t="s">
        <v>125</v>
      </c>
      <c r="F1099" s="113" t="str">
        <f>_xlfn.XLOOKUP(E1099,'Allocated Transactions'!D:D,'Allocated Transactions'!E:E,"")</f>
        <v>Miscellaneous Expense</v>
      </c>
      <c r="G1099" s="113" t="s">
        <v>97</v>
      </c>
      <c r="H1099" s="113"/>
      <c r="I1099" s="113" t="str">
        <f>_xlfn.XLOOKUP($C1099,'Cost Centers'!$A$2:$A$11,'Cost Centers'!$C$2:$C$11,"")</f>
        <v>Programs</v>
      </c>
      <c r="J1099" s="23">
        <f>MROUND(SUMIFS('Allocated Transactions'!$J:$J,'Allocated Transactions'!$D:$D,$E1099,'Allocated Transactions'!$C:$C,$C1099,'Allocated Transactions'!$A:$A,"&gt;="&amp;$A1099,'Allocated Transactions'!$A:$A,"&lt;="&amp;EOMONTH($A1099,0))*0.99,100)</f>
        <v>0</v>
      </c>
      <c r="K1099" s="113" t="s">
        <v>637</v>
      </c>
    </row>
    <row r="1100" spans="1:11" ht="15" customHeight="1">
      <c r="A1100" s="112">
        <f t="shared" si="66"/>
        <v>45870</v>
      </c>
      <c r="B1100" s="113">
        <v>6</v>
      </c>
      <c r="C1100" s="18" t="s">
        <v>12</v>
      </c>
      <c r="D1100" s="113" t="str">
        <f>_xlfn.XLOOKUP($C1100,'Cost Centers'!$A$2:$A$11,'Cost Centers'!$B$2:$B$11,"")</f>
        <v>Latin America</v>
      </c>
      <c r="E1100" s="113" t="s">
        <v>28</v>
      </c>
      <c r="F1100" s="113" t="str">
        <f>_xlfn.XLOOKUP(E1100,'Allocated Transactions'!D:D,'Allocated Transactions'!E:E,"")</f>
        <v>Salaries and Wages</v>
      </c>
      <c r="G1100" s="113" t="s">
        <v>97</v>
      </c>
      <c r="H1100" s="113"/>
      <c r="I1100" s="113" t="str">
        <f>_xlfn.XLOOKUP($C1100,'Cost Centers'!$A$2:$A$11,'Cost Centers'!$C$2:$C$11,"")</f>
        <v>Programs</v>
      </c>
      <c r="J1100" s="23">
        <f>MROUND(SUMIFS('Allocated Transactions'!$J:$J,'Allocated Transactions'!$D:$D,$E1100,'Allocated Transactions'!$C:$C,$C1100,'Allocated Transactions'!$A:$A,"&gt;="&amp;$A1100,'Allocated Transactions'!$A:$A,"&lt;="&amp;EOMONTH($A1100,0))*0.99,100)</f>
        <v>17300</v>
      </c>
      <c r="K1100" s="113" t="s">
        <v>637</v>
      </c>
    </row>
    <row r="1101" spans="1:11" ht="15" customHeight="1">
      <c r="A1101" s="112">
        <f t="shared" si="66"/>
        <v>45870</v>
      </c>
      <c r="B1101" s="113">
        <v>6</v>
      </c>
      <c r="C1101" s="18" t="str">
        <f t="shared" ref="C1101:C1117" si="69">C1100</f>
        <v>2010</v>
      </c>
      <c r="D1101" s="113" t="str">
        <f>_xlfn.XLOOKUP($C1101,'Cost Centers'!$A$2:$A$11,'Cost Centers'!$B$2:$B$11,"")</f>
        <v>Latin America</v>
      </c>
      <c r="E1101" s="113" t="s">
        <v>29</v>
      </c>
      <c r="F1101" s="113" t="str">
        <f>_xlfn.XLOOKUP(E1101,'Allocated Transactions'!D:D,'Allocated Transactions'!E:E,"")</f>
        <v>Payroll Taxes</v>
      </c>
      <c r="G1101" s="113" t="s">
        <v>97</v>
      </c>
      <c r="H1101" s="113"/>
      <c r="I1101" s="113" t="str">
        <f>_xlfn.XLOOKUP($C1101,'Cost Centers'!$A$2:$A$11,'Cost Centers'!$C$2:$C$11,"")</f>
        <v>Programs</v>
      </c>
      <c r="J1101" s="23">
        <f>MROUND(SUMIFS('Allocated Transactions'!$J:$J,'Allocated Transactions'!$D:$D,$E1101,'Allocated Transactions'!$C:$C,$C1101,'Allocated Transactions'!$A:$A,"&gt;="&amp;$A1101,'Allocated Transactions'!$A:$A,"&lt;="&amp;EOMONTH($A1101,0))*0.99,100)</f>
        <v>1300</v>
      </c>
      <c r="K1101" s="113" t="s">
        <v>637</v>
      </c>
    </row>
    <row r="1102" spans="1:11" ht="15" customHeight="1">
      <c r="A1102" s="112">
        <f t="shared" si="66"/>
        <v>45870</v>
      </c>
      <c r="B1102" s="113">
        <v>6</v>
      </c>
      <c r="C1102" s="18" t="str">
        <f t="shared" si="69"/>
        <v>2010</v>
      </c>
      <c r="D1102" s="113" t="str">
        <f>_xlfn.XLOOKUP($C1102,'Cost Centers'!$A$2:$A$11,'Cost Centers'!$B$2:$B$11,"")</f>
        <v>Latin America</v>
      </c>
      <c r="E1102" s="113" t="s">
        <v>30</v>
      </c>
      <c r="F1102" s="113" t="str">
        <f>_xlfn.XLOOKUP(E1102,'Allocated Transactions'!D:D,'Allocated Transactions'!E:E,"")</f>
        <v>Employee Benefits</v>
      </c>
      <c r="G1102" s="113" t="s">
        <v>97</v>
      </c>
      <c r="H1102" s="113"/>
      <c r="I1102" s="113" t="str">
        <f>_xlfn.XLOOKUP($C1102,'Cost Centers'!$A$2:$A$11,'Cost Centers'!$C$2:$C$11,"")</f>
        <v>Programs</v>
      </c>
      <c r="J1102" s="23">
        <f>MROUND(SUMIFS('Allocated Transactions'!$J:$J,'Allocated Transactions'!$D:$D,$E1102,'Allocated Transactions'!$C:$C,$C1102,'Allocated Transactions'!$A:$A,"&gt;="&amp;$A1102,'Allocated Transactions'!$A:$A,"&lt;="&amp;EOMONTH($A1102,0))*0.99,100)</f>
        <v>4900</v>
      </c>
      <c r="K1102" s="113" t="s">
        <v>637</v>
      </c>
    </row>
    <row r="1103" spans="1:11" ht="15" customHeight="1">
      <c r="A1103" s="112">
        <f t="shared" si="66"/>
        <v>45870</v>
      </c>
      <c r="B1103" s="113">
        <v>6</v>
      </c>
      <c r="C1103" s="18" t="str">
        <f t="shared" si="69"/>
        <v>2010</v>
      </c>
      <c r="D1103" s="113" t="str">
        <f>_xlfn.XLOOKUP($C1103,'Cost Centers'!$A$2:$A$11,'Cost Centers'!$B$2:$B$11,"")</f>
        <v>Latin America</v>
      </c>
      <c r="E1103" s="113" t="s">
        <v>31</v>
      </c>
      <c r="F1103" s="113" t="str">
        <f>_xlfn.XLOOKUP(E1103,'Allocated Transactions'!D:D,'Allocated Transactions'!E:E,"")</f>
        <v>Retirement Contributions</v>
      </c>
      <c r="G1103" s="113" t="s">
        <v>97</v>
      </c>
      <c r="H1103" s="113"/>
      <c r="I1103" s="113" t="str">
        <f>_xlfn.XLOOKUP($C1103,'Cost Centers'!$A$2:$A$11,'Cost Centers'!$C$2:$C$11,"")</f>
        <v>Programs</v>
      </c>
      <c r="J1103" s="23">
        <f>MROUND(SUMIFS('Allocated Transactions'!$J:$J,'Allocated Transactions'!$D:$D,$E1103,'Allocated Transactions'!$C:$C,$C1103,'Allocated Transactions'!$A:$A,"&gt;="&amp;$A1103,'Allocated Transactions'!$A:$A,"&lt;="&amp;EOMONTH($A1103,0))*0.99,100)</f>
        <v>500</v>
      </c>
      <c r="K1103" s="113" t="s">
        <v>637</v>
      </c>
    </row>
    <row r="1104" spans="1:11" ht="15" customHeight="1">
      <c r="A1104" s="112">
        <f t="shared" si="66"/>
        <v>45870</v>
      </c>
      <c r="B1104" s="113">
        <v>6</v>
      </c>
      <c r="C1104" s="18" t="str">
        <f t="shared" si="69"/>
        <v>2010</v>
      </c>
      <c r="D1104" s="113" t="str">
        <f>_xlfn.XLOOKUP($C1104,'Cost Centers'!$A$2:$A$11,'Cost Centers'!$B$2:$B$11,"")</f>
        <v>Latin America</v>
      </c>
      <c r="E1104" s="113" t="s">
        <v>101</v>
      </c>
      <c r="F1104" s="113" t="str">
        <f>_xlfn.XLOOKUP(E1104,'Allocated Transactions'!D:D,'Allocated Transactions'!E:E,"")</f>
        <v>Contract Labor / Consultants</v>
      </c>
      <c r="G1104" s="113" t="s">
        <v>97</v>
      </c>
      <c r="H1104" s="113"/>
      <c r="I1104" s="113" t="str">
        <f>_xlfn.XLOOKUP($C1104,'Cost Centers'!$A$2:$A$11,'Cost Centers'!$C$2:$C$11,"")</f>
        <v>Programs</v>
      </c>
      <c r="J1104" s="23">
        <f>MROUND(SUMIFS('Allocated Transactions'!$J:$J,'Allocated Transactions'!$D:$D,$E1104,'Allocated Transactions'!$C:$C,$C1104,'Allocated Transactions'!$A:$A,"&gt;="&amp;$A1104,'Allocated Transactions'!$A:$A,"&lt;="&amp;EOMONTH($A1104,0))*0.99,100)</f>
        <v>0</v>
      </c>
      <c r="K1104" s="113" t="s">
        <v>637</v>
      </c>
    </row>
    <row r="1105" spans="1:11" ht="15" customHeight="1">
      <c r="A1105" s="112">
        <f t="shared" si="66"/>
        <v>45870</v>
      </c>
      <c r="B1105" s="113">
        <v>6</v>
      </c>
      <c r="C1105" s="18" t="str">
        <f t="shared" si="69"/>
        <v>2010</v>
      </c>
      <c r="D1105" s="113" t="str">
        <f>_xlfn.XLOOKUP($C1105,'Cost Centers'!$A$2:$A$11,'Cost Centers'!$B$2:$B$11,"")</f>
        <v>Latin America</v>
      </c>
      <c r="E1105" s="113" t="s">
        <v>32</v>
      </c>
      <c r="F1105" s="113" t="str">
        <f>_xlfn.XLOOKUP(E1105,'Allocated Transactions'!D:D,'Allocated Transactions'!E:E,"")</f>
        <v>Rent</v>
      </c>
      <c r="G1105" s="113" t="s">
        <v>97</v>
      </c>
      <c r="H1105" s="113"/>
      <c r="I1105" s="113" t="str">
        <f>_xlfn.XLOOKUP($C1105,'Cost Centers'!$A$2:$A$11,'Cost Centers'!$C$2:$C$11,"")</f>
        <v>Programs</v>
      </c>
      <c r="J1105" s="23">
        <f>MROUND(SUMIFS('Allocated Transactions'!$J:$J,'Allocated Transactions'!$D:$D,$E1105,'Allocated Transactions'!$C:$C,$C1105,'Allocated Transactions'!$A:$A,"&gt;="&amp;$A1105,'Allocated Transactions'!$A:$A,"&lt;="&amp;EOMONTH($A1105,0))*0.99,100)</f>
        <v>1400</v>
      </c>
      <c r="K1105" s="113" t="s">
        <v>637</v>
      </c>
    </row>
    <row r="1106" spans="1:11" ht="15" customHeight="1">
      <c r="A1106" s="112">
        <f t="shared" si="66"/>
        <v>45870</v>
      </c>
      <c r="B1106" s="113">
        <v>6</v>
      </c>
      <c r="C1106" s="18" t="str">
        <f t="shared" si="69"/>
        <v>2010</v>
      </c>
      <c r="D1106" s="113" t="str">
        <f>_xlfn.XLOOKUP($C1106,'Cost Centers'!$A$2:$A$11,'Cost Centers'!$B$2:$B$11,"")</f>
        <v>Latin America</v>
      </c>
      <c r="E1106" s="113" t="s">
        <v>33</v>
      </c>
      <c r="F1106" s="113" t="str">
        <f>_xlfn.XLOOKUP(E1106,'Allocated Transactions'!D:D,'Allocated Transactions'!E:E,"")</f>
        <v>Utilities</v>
      </c>
      <c r="G1106" s="113" t="s">
        <v>97</v>
      </c>
      <c r="H1106" s="113"/>
      <c r="I1106" s="113" t="str">
        <f>_xlfn.XLOOKUP($C1106,'Cost Centers'!$A$2:$A$11,'Cost Centers'!$C$2:$C$11,"")</f>
        <v>Programs</v>
      </c>
      <c r="J1106" s="23">
        <f>MROUND(SUMIFS('Allocated Transactions'!$J:$J,'Allocated Transactions'!$D:$D,$E1106,'Allocated Transactions'!$C:$C,$C1106,'Allocated Transactions'!$A:$A,"&gt;="&amp;$A1106,'Allocated Transactions'!$A:$A,"&lt;="&amp;EOMONTH($A1106,0))*0.99,100)</f>
        <v>200</v>
      </c>
      <c r="K1106" s="113" t="s">
        <v>637</v>
      </c>
    </row>
    <row r="1107" spans="1:11" ht="15" customHeight="1">
      <c r="A1107" s="112">
        <f t="shared" si="66"/>
        <v>45870</v>
      </c>
      <c r="B1107" s="113">
        <v>6</v>
      </c>
      <c r="C1107" s="18" t="str">
        <f t="shared" si="69"/>
        <v>2010</v>
      </c>
      <c r="D1107" s="113" t="str">
        <f>_xlfn.XLOOKUP($C1107,'Cost Centers'!$A$2:$A$11,'Cost Centers'!$B$2:$B$11,"")</f>
        <v>Latin America</v>
      </c>
      <c r="E1107" s="113" t="s">
        <v>105</v>
      </c>
      <c r="F1107" s="113" t="str">
        <f>_xlfn.XLOOKUP(E1107,'Allocated Transactions'!D:D,'Allocated Transactions'!E:E,"")</f>
        <v>Office Supplies</v>
      </c>
      <c r="G1107" s="113" t="s">
        <v>97</v>
      </c>
      <c r="H1107" s="113"/>
      <c r="I1107" s="113" t="str">
        <f>_xlfn.XLOOKUP($C1107,'Cost Centers'!$A$2:$A$11,'Cost Centers'!$C$2:$C$11,"")</f>
        <v>Programs</v>
      </c>
      <c r="J1107" s="23">
        <f>MROUND(SUMIFS('Allocated Transactions'!$J:$J,'Allocated Transactions'!$D:$D,$E1107,'Allocated Transactions'!$C:$C,$C1107,'Allocated Transactions'!$A:$A,"&gt;="&amp;$A1107,'Allocated Transactions'!$A:$A,"&lt;="&amp;EOMONTH($A1107,0))*0.99,100)</f>
        <v>0</v>
      </c>
      <c r="K1107" s="113" t="s">
        <v>637</v>
      </c>
    </row>
    <row r="1108" spans="1:11" ht="15" customHeight="1">
      <c r="A1108" s="112">
        <f t="shared" si="66"/>
        <v>45870</v>
      </c>
      <c r="B1108" s="113">
        <v>6</v>
      </c>
      <c r="C1108" s="18" t="str">
        <f t="shared" si="69"/>
        <v>2010</v>
      </c>
      <c r="D1108" s="113" t="str">
        <f>_xlfn.XLOOKUP($C1108,'Cost Centers'!$A$2:$A$11,'Cost Centers'!$B$2:$B$11,"")</f>
        <v>Latin America</v>
      </c>
      <c r="E1108" s="113" t="s">
        <v>107</v>
      </c>
      <c r="F1108" s="113" t="str">
        <f>_xlfn.XLOOKUP(E1108,'Allocated Transactions'!D:D,'Allocated Transactions'!E:E,"")</f>
        <v>Software and Subscriptions</v>
      </c>
      <c r="G1108" s="113" t="s">
        <v>97</v>
      </c>
      <c r="H1108" s="113"/>
      <c r="I1108" s="113" t="str">
        <f>_xlfn.XLOOKUP($C1108,'Cost Centers'!$A$2:$A$11,'Cost Centers'!$C$2:$C$11,"")</f>
        <v>Programs</v>
      </c>
      <c r="J1108" s="23">
        <f>MROUND(SUMIFS('Allocated Transactions'!$J:$J,'Allocated Transactions'!$D:$D,$E1108,'Allocated Transactions'!$C:$C,$C1108,'Allocated Transactions'!$A:$A,"&gt;="&amp;$A1108,'Allocated Transactions'!$A:$A,"&lt;="&amp;EOMONTH($A1108,0))*0.99,100)</f>
        <v>0</v>
      </c>
      <c r="K1108" s="113" t="s">
        <v>637</v>
      </c>
    </row>
    <row r="1109" spans="1:11" ht="15" customHeight="1">
      <c r="A1109" s="112">
        <f t="shared" si="66"/>
        <v>45870</v>
      </c>
      <c r="B1109" s="113">
        <v>6</v>
      </c>
      <c r="C1109" s="18" t="str">
        <f t="shared" si="69"/>
        <v>2010</v>
      </c>
      <c r="D1109" s="113" t="str">
        <f>_xlfn.XLOOKUP($C1109,'Cost Centers'!$A$2:$A$11,'Cost Centers'!$B$2:$B$11,"")</f>
        <v>Latin America</v>
      </c>
      <c r="E1109" s="113" t="s">
        <v>109</v>
      </c>
      <c r="F1109" s="113" t="str">
        <f>_xlfn.XLOOKUP(E1109,'Allocated Transactions'!D:D,'Allocated Transactions'!E:E,"")</f>
        <v>Travel</v>
      </c>
      <c r="G1109" s="113" t="s">
        <v>97</v>
      </c>
      <c r="H1109" s="113"/>
      <c r="I1109" s="113" t="str">
        <f>_xlfn.XLOOKUP($C1109,'Cost Centers'!$A$2:$A$11,'Cost Centers'!$C$2:$C$11,"")</f>
        <v>Programs</v>
      </c>
      <c r="J1109" s="23">
        <f>MROUND(SUMIFS('Allocated Transactions'!$J:$J,'Allocated Transactions'!$D:$D,$E1109,'Allocated Transactions'!$C:$C,$C1109,'Allocated Transactions'!$A:$A,"&gt;="&amp;$A1109,'Allocated Transactions'!$A:$A,"&lt;="&amp;EOMONTH($A1109,0))*0.99,100)</f>
        <v>0</v>
      </c>
      <c r="K1109" s="113" t="s">
        <v>637</v>
      </c>
    </row>
    <row r="1110" spans="1:11" ht="15" customHeight="1">
      <c r="A1110" s="112">
        <f t="shared" si="66"/>
        <v>45870</v>
      </c>
      <c r="B1110" s="113">
        <v>6</v>
      </c>
      <c r="C1110" s="18" t="str">
        <f t="shared" si="69"/>
        <v>2010</v>
      </c>
      <c r="D1110" s="113" t="str">
        <f>_xlfn.XLOOKUP($C1110,'Cost Centers'!$A$2:$A$11,'Cost Centers'!$B$2:$B$11,"")</f>
        <v>Latin America</v>
      </c>
      <c r="E1110" s="113" t="s">
        <v>111</v>
      </c>
      <c r="F1110" s="113" t="str">
        <f>_xlfn.XLOOKUP(E1110,'Allocated Transactions'!D:D,'Allocated Transactions'!E:E,"")</f>
        <v>Meals and Entertainment</v>
      </c>
      <c r="G1110" s="113" t="s">
        <v>97</v>
      </c>
      <c r="H1110" s="113"/>
      <c r="I1110" s="113" t="str">
        <f>_xlfn.XLOOKUP($C1110,'Cost Centers'!$A$2:$A$11,'Cost Centers'!$C$2:$C$11,"")</f>
        <v>Programs</v>
      </c>
      <c r="J1110" s="23">
        <f>MROUND(SUMIFS('Allocated Transactions'!$J:$J,'Allocated Transactions'!$D:$D,$E1110,'Allocated Transactions'!$C:$C,$C1110,'Allocated Transactions'!$A:$A,"&gt;="&amp;$A1110,'Allocated Transactions'!$A:$A,"&lt;="&amp;EOMONTH($A1110,0))*0.99,100)</f>
        <v>0</v>
      </c>
      <c r="K1110" s="113" t="s">
        <v>637</v>
      </c>
    </row>
    <row r="1111" spans="1:11" ht="15" customHeight="1">
      <c r="A1111" s="112">
        <f t="shared" si="66"/>
        <v>45870</v>
      </c>
      <c r="B1111" s="113">
        <v>6</v>
      </c>
      <c r="C1111" s="18" t="str">
        <f t="shared" si="69"/>
        <v>2010</v>
      </c>
      <c r="D1111" s="113" t="str">
        <f>_xlfn.XLOOKUP($C1111,'Cost Centers'!$A$2:$A$11,'Cost Centers'!$B$2:$B$11,"")</f>
        <v>Latin America</v>
      </c>
      <c r="E1111" s="113" t="s">
        <v>113</v>
      </c>
      <c r="F1111" s="113" t="str">
        <f>_xlfn.XLOOKUP(E1111,'Allocated Transactions'!D:D,'Allocated Transactions'!E:E,"")</f>
        <v>Professional Fees - Legal</v>
      </c>
      <c r="G1111" s="113" t="s">
        <v>97</v>
      </c>
      <c r="H1111" s="113"/>
      <c r="I1111" s="113" t="str">
        <f>_xlfn.XLOOKUP($C1111,'Cost Centers'!$A$2:$A$11,'Cost Centers'!$C$2:$C$11,"")</f>
        <v>Programs</v>
      </c>
      <c r="J1111" s="23">
        <f>MROUND(SUMIFS('Allocated Transactions'!$J:$J,'Allocated Transactions'!$D:$D,$E1111,'Allocated Transactions'!$C:$C,$C1111,'Allocated Transactions'!$A:$A,"&gt;="&amp;$A1111,'Allocated Transactions'!$A:$A,"&lt;="&amp;EOMONTH($A1111,0))*0.99,100)</f>
        <v>0</v>
      </c>
      <c r="K1111" s="113" t="s">
        <v>637</v>
      </c>
    </row>
    <row r="1112" spans="1:11" ht="15" customHeight="1">
      <c r="A1112" s="112">
        <f t="shared" si="66"/>
        <v>45870</v>
      </c>
      <c r="B1112" s="113">
        <v>6</v>
      </c>
      <c r="C1112" s="18" t="str">
        <f t="shared" si="69"/>
        <v>2010</v>
      </c>
      <c r="D1112" s="113" t="str">
        <f>_xlfn.XLOOKUP($C1112,'Cost Centers'!$A$2:$A$11,'Cost Centers'!$B$2:$B$11,"")</f>
        <v>Latin America</v>
      </c>
      <c r="E1112" s="113" t="s">
        <v>115</v>
      </c>
      <c r="F1112" s="113" t="str">
        <f>_xlfn.XLOOKUP(E1112,'Allocated Transactions'!D:D,'Allocated Transactions'!E:E,"")</f>
        <v>Professional Fees - Accounting/Audit</v>
      </c>
      <c r="G1112" s="113" t="s">
        <v>97</v>
      </c>
      <c r="H1112" s="113"/>
      <c r="I1112" s="113" t="str">
        <f>_xlfn.XLOOKUP($C1112,'Cost Centers'!$A$2:$A$11,'Cost Centers'!$C$2:$C$11,"")</f>
        <v>Programs</v>
      </c>
      <c r="J1112" s="23">
        <f>MROUND(SUMIFS('Allocated Transactions'!$J:$J,'Allocated Transactions'!$D:$D,$E1112,'Allocated Transactions'!$C:$C,$C1112,'Allocated Transactions'!$A:$A,"&gt;="&amp;$A1112,'Allocated Transactions'!$A:$A,"&lt;="&amp;EOMONTH($A1112,0))*0.99,100)</f>
        <v>0</v>
      </c>
      <c r="K1112" s="113" t="s">
        <v>637</v>
      </c>
    </row>
    <row r="1113" spans="1:11" ht="15" customHeight="1">
      <c r="A1113" s="112">
        <f t="shared" ref="A1113:A1176" si="70">IF(C1113&lt;&gt;C1112,DATE(2025,7,1),IF(E1113="5000",EOMONTH(A1112,0)+1,A1112))</f>
        <v>45870</v>
      </c>
      <c r="B1113" s="113">
        <v>6</v>
      </c>
      <c r="C1113" s="18" t="str">
        <f t="shared" si="69"/>
        <v>2010</v>
      </c>
      <c r="D1113" s="113" t="str">
        <f>_xlfn.XLOOKUP($C1113,'Cost Centers'!$A$2:$A$11,'Cost Centers'!$B$2:$B$11,"")</f>
        <v>Latin America</v>
      </c>
      <c r="E1113" s="113" t="s">
        <v>117</v>
      </c>
      <c r="F1113" s="113" t="str">
        <f>_xlfn.XLOOKUP(E1113,'Allocated Transactions'!D:D,'Allocated Transactions'!E:E,"")</f>
        <v>Insurance</v>
      </c>
      <c r="G1113" s="113" t="s">
        <v>97</v>
      </c>
      <c r="H1113" s="113"/>
      <c r="I1113" s="113" t="str">
        <f>_xlfn.XLOOKUP($C1113,'Cost Centers'!$A$2:$A$11,'Cost Centers'!$C$2:$C$11,"")</f>
        <v>Programs</v>
      </c>
      <c r="J1113" s="23">
        <f>MROUND(SUMIFS('Allocated Transactions'!$J:$J,'Allocated Transactions'!$D:$D,$E1113,'Allocated Transactions'!$C:$C,$C1113,'Allocated Transactions'!$A:$A,"&gt;="&amp;$A1113,'Allocated Transactions'!$A:$A,"&lt;="&amp;EOMONTH($A1113,0))*0.99,100)</f>
        <v>100</v>
      </c>
      <c r="K1113" s="113" t="s">
        <v>637</v>
      </c>
    </row>
    <row r="1114" spans="1:11" ht="15" customHeight="1">
      <c r="A1114" s="112">
        <f t="shared" si="70"/>
        <v>45870</v>
      </c>
      <c r="B1114" s="113">
        <v>6</v>
      </c>
      <c r="C1114" s="18" t="str">
        <f t="shared" si="69"/>
        <v>2010</v>
      </c>
      <c r="D1114" s="113" t="str">
        <f>_xlfn.XLOOKUP($C1114,'Cost Centers'!$A$2:$A$11,'Cost Centers'!$B$2:$B$11,"")</f>
        <v>Latin America</v>
      </c>
      <c r="E1114" s="113" t="s">
        <v>119</v>
      </c>
      <c r="F1114" s="113" t="str">
        <f>_xlfn.XLOOKUP(E1114,'Allocated Transactions'!D:D,'Allocated Transactions'!E:E,"")</f>
        <v>Depreciation Expense</v>
      </c>
      <c r="G1114" s="113" t="s">
        <v>97</v>
      </c>
      <c r="H1114" s="113"/>
      <c r="I1114" s="113" t="str">
        <f>_xlfn.XLOOKUP($C1114,'Cost Centers'!$A$2:$A$11,'Cost Centers'!$C$2:$C$11,"")</f>
        <v>Programs</v>
      </c>
      <c r="J1114" s="23">
        <f>MROUND(SUMIFS('Allocated Transactions'!$J:$J,'Allocated Transactions'!$D:$D,$E1114,'Allocated Transactions'!$C:$C,$C1114,'Allocated Transactions'!$A:$A,"&gt;="&amp;$A1114,'Allocated Transactions'!$A:$A,"&lt;="&amp;EOMONTH($A1114,0))*0.99,100)</f>
        <v>0</v>
      </c>
      <c r="K1114" s="113" t="s">
        <v>637</v>
      </c>
    </row>
    <row r="1115" spans="1:11" ht="15" customHeight="1">
      <c r="A1115" s="112">
        <f t="shared" si="70"/>
        <v>45870</v>
      </c>
      <c r="B1115" s="113">
        <v>6</v>
      </c>
      <c r="C1115" s="18" t="str">
        <f t="shared" si="69"/>
        <v>2010</v>
      </c>
      <c r="D1115" s="113" t="str">
        <f>_xlfn.XLOOKUP($C1115,'Cost Centers'!$A$2:$A$11,'Cost Centers'!$B$2:$B$11,"")</f>
        <v>Latin America</v>
      </c>
      <c r="E1115" s="113" t="s">
        <v>121</v>
      </c>
      <c r="F1115" s="113" t="str">
        <f>_xlfn.XLOOKUP(E1115,'Allocated Transactions'!D:D,'Allocated Transactions'!E:E,"")</f>
        <v>Bank Fees</v>
      </c>
      <c r="G1115" s="113" t="s">
        <v>97</v>
      </c>
      <c r="H1115" s="113"/>
      <c r="I1115" s="113" t="str">
        <f>_xlfn.XLOOKUP($C1115,'Cost Centers'!$A$2:$A$11,'Cost Centers'!$C$2:$C$11,"")</f>
        <v>Programs</v>
      </c>
      <c r="J1115" s="23">
        <f>MROUND(SUMIFS('Allocated Transactions'!$J:$J,'Allocated Transactions'!$D:$D,$E1115,'Allocated Transactions'!$C:$C,$C1115,'Allocated Transactions'!$A:$A,"&gt;="&amp;$A1115,'Allocated Transactions'!$A:$A,"&lt;="&amp;EOMONTH($A1115,0))*0.99,100)</f>
        <v>0</v>
      </c>
      <c r="K1115" s="113" t="s">
        <v>637</v>
      </c>
    </row>
    <row r="1116" spans="1:11" ht="15" customHeight="1">
      <c r="A1116" s="112">
        <f t="shared" si="70"/>
        <v>45870</v>
      </c>
      <c r="B1116" s="113">
        <v>6</v>
      </c>
      <c r="C1116" s="18" t="str">
        <f t="shared" si="69"/>
        <v>2010</v>
      </c>
      <c r="D1116" s="113" t="str">
        <f>_xlfn.XLOOKUP($C1116,'Cost Centers'!$A$2:$A$11,'Cost Centers'!$B$2:$B$11,"")</f>
        <v>Latin America</v>
      </c>
      <c r="E1116" s="113" t="s">
        <v>123</v>
      </c>
      <c r="F1116" s="113" t="str">
        <f>_xlfn.XLOOKUP(E1116,'Allocated Transactions'!D:D,'Allocated Transactions'!E:E,"")</f>
        <v>Interest Expense</v>
      </c>
      <c r="G1116" s="113" t="s">
        <v>97</v>
      </c>
      <c r="H1116" s="113"/>
      <c r="I1116" s="113" t="str">
        <f>_xlfn.XLOOKUP($C1116,'Cost Centers'!$A$2:$A$11,'Cost Centers'!$C$2:$C$11,"")</f>
        <v>Programs</v>
      </c>
      <c r="J1116" s="23">
        <f>MROUND(SUMIFS('Allocated Transactions'!$J:$J,'Allocated Transactions'!$D:$D,$E1116,'Allocated Transactions'!$C:$C,$C1116,'Allocated Transactions'!$A:$A,"&gt;="&amp;$A1116,'Allocated Transactions'!$A:$A,"&lt;="&amp;EOMONTH($A1116,0))*0.99,100)</f>
        <v>0</v>
      </c>
      <c r="K1116" s="113" t="s">
        <v>637</v>
      </c>
    </row>
    <row r="1117" spans="1:11" ht="15" customHeight="1">
      <c r="A1117" s="112">
        <f t="shared" si="70"/>
        <v>45870</v>
      </c>
      <c r="B1117" s="113">
        <v>6</v>
      </c>
      <c r="C1117" s="18" t="str">
        <f t="shared" si="69"/>
        <v>2010</v>
      </c>
      <c r="D1117" s="113" t="str">
        <f>_xlfn.XLOOKUP($C1117,'Cost Centers'!$A$2:$A$11,'Cost Centers'!$B$2:$B$11,"")</f>
        <v>Latin America</v>
      </c>
      <c r="E1117" s="113" t="s">
        <v>125</v>
      </c>
      <c r="F1117" s="113" t="str">
        <f>_xlfn.XLOOKUP(E1117,'Allocated Transactions'!D:D,'Allocated Transactions'!E:E,"")</f>
        <v>Miscellaneous Expense</v>
      </c>
      <c r="G1117" s="113" t="s">
        <v>97</v>
      </c>
      <c r="H1117" s="113"/>
      <c r="I1117" s="113" t="str">
        <f>_xlfn.XLOOKUP($C1117,'Cost Centers'!$A$2:$A$11,'Cost Centers'!$C$2:$C$11,"")</f>
        <v>Programs</v>
      </c>
      <c r="J1117" s="23">
        <f>MROUND(SUMIFS('Allocated Transactions'!$J:$J,'Allocated Transactions'!$D:$D,$E1117,'Allocated Transactions'!$C:$C,$C1117,'Allocated Transactions'!$A:$A,"&gt;="&amp;$A1117,'Allocated Transactions'!$A:$A,"&lt;="&amp;EOMONTH($A1117,0))*0.99,100)</f>
        <v>0</v>
      </c>
      <c r="K1117" s="113" t="s">
        <v>637</v>
      </c>
    </row>
    <row r="1118" spans="1:11" ht="15" customHeight="1">
      <c r="A1118" s="112">
        <f t="shared" si="70"/>
        <v>45901</v>
      </c>
      <c r="B1118" s="113">
        <v>6</v>
      </c>
      <c r="C1118" s="18" t="s">
        <v>12</v>
      </c>
      <c r="D1118" s="113" t="str">
        <f>_xlfn.XLOOKUP($C1118,'Cost Centers'!$A$2:$A$11,'Cost Centers'!$B$2:$B$11,"")</f>
        <v>Latin America</v>
      </c>
      <c r="E1118" s="113" t="s">
        <v>28</v>
      </c>
      <c r="F1118" s="113" t="str">
        <f>_xlfn.XLOOKUP(E1118,'Allocated Transactions'!D:D,'Allocated Transactions'!E:E,"")</f>
        <v>Salaries and Wages</v>
      </c>
      <c r="G1118" s="113" t="s">
        <v>97</v>
      </c>
      <c r="H1118" s="113"/>
      <c r="I1118" s="113" t="str">
        <f>_xlfn.XLOOKUP($C1118,'Cost Centers'!$A$2:$A$11,'Cost Centers'!$C$2:$C$11,"")</f>
        <v>Programs</v>
      </c>
      <c r="J1118" s="23">
        <f>MROUND(SUMIFS('Allocated Transactions'!$J:$J,'Allocated Transactions'!$D:$D,$E1118,'Allocated Transactions'!$C:$C,$C1118,'Allocated Transactions'!$A:$A,"&gt;="&amp;$A1118,'Allocated Transactions'!$A:$A,"&lt;="&amp;EOMONTH($A1118,0))*0.99,100)</f>
        <v>17700</v>
      </c>
      <c r="K1118" s="113" t="s">
        <v>637</v>
      </c>
    </row>
    <row r="1119" spans="1:11" ht="15" customHeight="1">
      <c r="A1119" s="112">
        <f t="shared" si="70"/>
        <v>45901</v>
      </c>
      <c r="B1119" s="113">
        <v>6</v>
      </c>
      <c r="C1119" s="18" t="str">
        <f t="shared" ref="C1119:C1135" si="71">C1118</f>
        <v>2010</v>
      </c>
      <c r="D1119" s="113" t="str">
        <f>_xlfn.XLOOKUP($C1119,'Cost Centers'!$A$2:$A$11,'Cost Centers'!$B$2:$B$11,"")</f>
        <v>Latin America</v>
      </c>
      <c r="E1119" s="113" t="s">
        <v>29</v>
      </c>
      <c r="F1119" s="113" t="str">
        <f>_xlfn.XLOOKUP(E1119,'Allocated Transactions'!D:D,'Allocated Transactions'!E:E,"")</f>
        <v>Payroll Taxes</v>
      </c>
      <c r="G1119" s="113" t="s">
        <v>97</v>
      </c>
      <c r="H1119" s="113"/>
      <c r="I1119" s="113" t="str">
        <f>_xlfn.XLOOKUP($C1119,'Cost Centers'!$A$2:$A$11,'Cost Centers'!$C$2:$C$11,"")</f>
        <v>Programs</v>
      </c>
      <c r="J1119" s="23">
        <f>MROUND(SUMIFS('Allocated Transactions'!$J:$J,'Allocated Transactions'!$D:$D,$E1119,'Allocated Transactions'!$C:$C,$C1119,'Allocated Transactions'!$A:$A,"&gt;="&amp;$A1119,'Allocated Transactions'!$A:$A,"&lt;="&amp;EOMONTH($A1119,0))*0.99,100)</f>
        <v>1400</v>
      </c>
      <c r="K1119" s="113" t="s">
        <v>637</v>
      </c>
    </row>
    <row r="1120" spans="1:11" ht="15" customHeight="1">
      <c r="A1120" s="112">
        <f t="shared" si="70"/>
        <v>45901</v>
      </c>
      <c r="B1120" s="113">
        <v>6</v>
      </c>
      <c r="C1120" s="18" t="str">
        <f t="shared" si="71"/>
        <v>2010</v>
      </c>
      <c r="D1120" s="113" t="str">
        <f>_xlfn.XLOOKUP($C1120,'Cost Centers'!$A$2:$A$11,'Cost Centers'!$B$2:$B$11,"")</f>
        <v>Latin America</v>
      </c>
      <c r="E1120" s="113" t="s">
        <v>30</v>
      </c>
      <c r="F1120" s="113" t="str">
        <f>_xlfn.XLOOKUP(E1120,'Allocated Transactions'!D:D,'Allocated Transactions'!E:E,"")</f>
        <v>Employee Benefits</v>
      </c>
      <c r="G1120" s="113" t="s">
        <v>97</v>
      </c>
      <c r="H1120" s="113"/>
      <c r="I1120" s="113" t="str">
        <f>_xlfn.XLOOKUP($C1120,'Cost Centers'!$A$2:$A$11,'Cost Centers'!$C$2:$C$11,"")</f>
        <v>Programs</v>
      </c>
      <c r="J1120" s="23">
        <f>MROUND(SUMIFS('Allocated Transactions'!$J:$J,'Allocated Transactions'!$D:$D,$E1120,'Allocated Transactions'!$C:$C,$C1120,'Allocated Transactions'!$A:$A,"&gt;="&amp;$A1120,'Allocated Transactions'!$A:$A,"&lt;="&amp;EOMONTH($A1120,0))*0.99,100)</f>
        <v>5000</v>
      </c>
      <c r="K1120" s="113" t="s">
        <v>637</v>
      </c>
    </row>
    <row r="1121" spans="1:11" ht="15" customHeight="1">
      <c r="A1121" s="112">
        <f t="shared" si="70"/>
        <v>45901</v>
      </c>
      <c r="B1121" s="113">
        <v>6</v>
      </c>
      <c r="C1121" s="18" t="str">
        <f t="shared" si="71"/>
        <v>2010</v>
      </c>
      <c r="D1121" s="113" t="str">
        <f>_xlfn.XLOOKUP($C1121,'Cost Centers'!$A$2:$A$11,'Cost Centers'!$B$2:$B$11,"")</f>
        <v>Latin America</v>
      </c>
      <c r="E1121" s="113" t="s">
        <v>31</v>
      </c>
      <c r="F1121" s="113" t="str">
        <f>_xlfn.XLOOKUP(E1121,'Allocated Transactions'!D:D,'Allocated Transactions'!E:E,"")</f>
        <v>Retirement Contributions</v>
      </c>
      <c r="G1121" s="113" t="s">
        <v>97</v>
      </c>
      <c r="H1121" s="113"/>
      <c r="I1121" s="113" t="str">
        <f>_xlfn.XLOOKUP($C1121,'Cost Centers'!$A$2:$A$11,'Cost Centers'!$C$2:$C$11,"")</f>
        <v>Programs</v>
      </c>
      <c r="J1121" s="23">
        <f>MROUND(SUMIFS('Allocated Transactions'!$J:$J,'Allocated Transactions'!$D:$D,$E1121,'Allocated Transactions'!$C:$C,$C1121,'Allocated Transactions'!$A:$A,"&gt;="&amp;$A1121,'Allocated Transactions'!$A:$A,"&lt;="&amp;EOMONTH($A1121,0))*0.99,100)</f>
        <v>500</v>
      </c>
      <c r="K1121" s="113" t="s">
        <v>637</v>
      </c>
    </row>
    <row r="1122" spans="1:11" ht="15" customHeight="1">
      <c r="A1122" s="112">
        <f t="shared" si="70"/>
        <v>45901</v>
      </c>
      <c r="B1122" s="113">
        <v>6</v>
      </c>
      <c r="C1122" s="18" t="str">
        <f t="shared" si="71"/>
        <v>2010</v>
      </c>
      <c r="D1122" s="113" t="str">
        <f>_xlfn.XLOOKUP($C1122,'Cost Centers'!$A$2:$A$11,'Cost Centers'!$B$2:$B$11,"")</f>
        <v>Latin America</v>
      </c>
      <c r="E1122" s="113" t="s">
        <v>101</v>
      </c>
      <c r="F1122" s="113" t="str">
        <f>_xlfn.XLOOKUP(E1122,'Allocated Transactions'!D:D,'Allocated Transactions'!E:E,"")</f>
        <v>Contract Labor / Consultants</v>
      </c>
      <c r="G1122" s="113" t="s">
        <v>97</v>
      </c>
      <c r="H1122" s="113"/>
      <c r="I1122" s="113" t="str">
        <f>_xlfn.XLOOKUP($C1122,'Cost Centers'!$A$2:$A$11,'Cost Centers'!$C$2:$C$11,"")</f>
        <v>Programs</v>
      </c>
      <c r="J1122" s="23">
        <f>MROUND(SUMIFS('Allocated Transactions'!$J:$J,'Allocated Transactions'!$D:$D,$E1122,'Allocated Transactions'!$C:$C,$C1122,'Allocated Transactions'!$A:$A,"&gt;="&amp;$A1122,'Allocated Transactions'!$A:$A,"&lt;="&amp;EOMONTH($A1122,0))*0.99,100)</f>
        <v>0</v>
      </c>
      <c r="K1122" s="113" t="s">
        <v>637</v>
      </c>
    </row>
    <row r="1123" spans="1:11" ht="15" customHeight="1">
      <c r="A1123" s="112">
        <f t="shared" si="70"/>
        <v>45901</v>
      </c>
      <c r="B1123" s="113">
        <v>6</v>
      </c>
      <c r="C1123" s="18" t="str">
        <f t="shared" si="71"/>
        <v>2010</v>
      </c>
      <c r="D1123" s="113" t="str">
        <f>_xlfn.XLOOKUP($C1123,'Cost Centers'!$A$2:$A$11,'Cost Centers'!$B$2:$B$11,"")</f>
        <v>Latin America</v>
      </c>
      <c r="E1123" s="113" t="s">
        <v>32</v>
      </c>
      <c r="F1123" s="113" t="str">
        <f>_xlfn.XLOOKUP(E1123,'Allocated Transactions'!D:D,'Allocated Transactions'!E:E,"")</f>
        <v>Rent</v>
      </c>
      <c r="G1123" s="113" t="s">
        <v>97</v>
      </c>
      <c r="H1123" s="113"/>
      <c r="I1123" s="113" t="str">
        <f>_xlfn.XLOOKUP($C1123,'Cost Centers'!$A$2:$A$11,'Cost Centers'!$C$2:$C$11,"")</f>
        <v>Programs</v>
      </c>
      <c r="J1123" s="23">
        <f>MROUND(SUMIFS('Allocated Transactions'!$J:$J,'Allocated Transactions'!$D:$D,$E1123,'Allocated Transactions'!$C:$C,$C1123,'Allocated Transactions'!$A:$A,"&gt;="&amp;$A1123,'Allocated Transactions'!$A:$A,"&lt;="&amp;EOMONTH($A1123,0))*0.99,100)</f>
        <v>1400</v>
      </c>
      <c r="K1123" s="113" t="s">
        <v>637</v>
      </c>
    </row>
    <row r="1124" spans="1:11" ht="15" customHeight="1">
      <c r="A1124" s="112">
        <f t="shared" si="70"/>
        <v>45901</v>
      </c>
      <c r="B1124" s="113">
        <v>6</v>
      </c>
      <c r="C1124" s="18" t="str">
        <f t="shared" si="71"/>
        <v>2010</v>
      </c>
      <c r="D1124" s="113" t="str">
        <f>_xlfn.XLOOKUP($C1124,'Cost Centers'!$A$2:$A$11,'Cost Centers'!$B$2:$B$11,"")</f>
        <v>Latin America</v>
      </c>
      <c r="E1124" s="113" t="s">
        <v>33</v>
      </c>
      <c r="F1124" s="113" t="str">
        <f>_xlfn.XLOOKUP(E1124,'Allocated Transactions'!D:D,'Allocated Transactions'!E:E,"")</f>
        <v>Utilities</v>
      </c>
      <c r="G1124" s="113" t="s">
        <v>97</v>
      </c>
      <c r="H1124" s="113"/>
      <c r="I1124" s="113" t="str">
        <f>_xlfn.XLOOKUP($C1124,'Cost Centers'!$A$2:$A$11,'Cost Centers'!$C$2:$C$11,"")</f>
        <v>Programs</v>
      </c>
      <c r="J1124" s="23">
        <f>MROUND(SUMIFS('Allocated Transactions'!$J:$J,'Allocated Transactions'!$D:$D,$E1124,'Allocated Transactions'!$C:$C,$C1124,'Allocated Transactions'!$A:$A,"&gt;="&amp;$A1124,'Allocated Transactions'!$A:$A,"&lt;="&amp;EOMONTH($A1124,0))*0.99,100)</f>
        <v>200</v>
      </c>
      <c r="K1124" s="113" t="s">
        <v>637</v>
      </c>
    </row>
    <row r="1125" spans="1:11" ht="15" customHeight="1">
      <c r="A1125" s="112">
        <f t="shared" si="70"/>
        <v>45901</v>
      </c>
      <c r="B1125" s="113">
        <v>6</v>
      </c>
      <c r="C1125" s="18" t="str">
        <f t="shared" si="71"/>
        <v>2010</v>
      </c>
      <c r="D1125" s="113" t="str">
        <f>_xlfn.XLOOKUP($C1125,'Cost Centers'!$A$2:$A$11,'Cost Centers'!$B$2:$B$11,"")</f>
        <v>Latin America</v>
      </c>
      <c r="E1125" s="113" t="s">
        <v>105</v>
      </c>
      <c r="F1125" s="113" t="str">
        <f>_xlfn.XLOOKUP(E1125,'Allocated Transactions'!D:D,'Allocated Transactions'!E:E,"")</f>
        <v>Office Supplies</v>
      </c>
      <c r="G1125" s="113" t="s">
        <v>97</v>
      </c>
      <c r="H1125" s="113"/>
      <c r="I1125" s="113" t="str">
        <f>_xlfn.XLOOKUP($C1125,'Cost Centers'!$A$2:$A$11,'Cost Centers'!$C$2:$C$11,"")</f>
        <v>Programs</v>
      </c>
      <c r="J1125" s="23">
        <f>MROUND(SUMIFS('Allocated Transactions'!$J:$J,'Allocated Transactions'!$D:$D,$E1125,'Allocated Transactions'!$C:$C,$C1125,'Allocated Transactions'!$A:$A,"&gt;="&amp;$A1125,'Allocated Transactions'!$A:$A,"&lt;="&amp;EOMONTH($A1125,0))*0.99,100)</f>
        <v>600</v>
      </c>
      <c r="K1125" s="113" t="s">
        <v>637</v>
      </c>
    </row>
    <row r="1126" spans="1:11" ht="15" customHeight="1">
      <c r="A1126" s="112">
        <f t="shared" si="70"/>
        <v>45901</v>
      </c>
      <c r="B1126" s="113">
        <v>6</v>
      </c>
      <c r="C1126" s="18" t="str">
        <f t="shared" si="71"/>
        <v>2010</v>
      </c>
      <c r="D1126" s="113" t="str">
        <f>_xlfn.XLOOKUP($C1126,'Cost Centers'!$A$2:$A$11,'Cost Centers'!$B$2:$B$11,"")</f>
        <v>Latin America</v>
      </c>
      <c r="E1126" s="113" t="s">
        <v>107</v>
      </c>
      <c r="F1126" s="113" t="str">
        <f>_xlfn.XLOOKUP(E1126,'Allocated Transactions'!D:D,'Allocated Transactions'!E:E,"")</f>
        <v>Software and Subscriptions</v>
      </c>
      <c r="G1126" s="113" t="s">
        <v>97</v>
      </c>
      <c r="H1126" s="113"/>
      <c r="I1126" s="113" t="str">
        <f>_xlfn.XLOOKUP($C1126,'Cost Centers'!$A$2:$A$11,'Cost Centers'!$C$2:$C$11,"")</f>
        <v>Programs</v>
      </c>
      <c r="J1126" s="23">
        <f>MROUND(SUMIFS('Allocated Transactions'!$J:$J,'Allocated Transactions'!$D:$D,$E1126,'Allocated Transactions'!$C:$C,$C1126,'Allocated Transactions'!$A:$A,"&gt;="&amp;$A1126,'Allocated Transactions'!$A:$A,"&lt;="&amp;EOMONTH($A1126,0))*0.99,100)</f>
        <v>0</v>
      </c>
      <c r="K1126" s="113" t="s">
        <v>637</v>
      </c>
    </row>
    <row r="1127" spans="1:11" ht="15" customHeight="1">
      <c r="A1127" s="112">
        <f t="shared" si="70"/>
        <v>45901</v>
      </c>
      <c r="B1127" s="113">
        <v>6</v>
      </c>
      <c r="C1127" s="18" t="str">
        <f t="shared" si="71"/>
        <v>2010</v>
      </c>
      <c r="D1127" s="113" t="str">
        <f>_xlfn.XLOOKUP($C1127,'Cost Centers'!$A$2:$A$11,'Cost Centers'!$B$2:$B$11,"")</f>
        <v>Latin America</v>
      </c>
      <c r="E1127" s="113" t="s">
        <v>109</v>
      </c>
      <c r="F1127" s="113" t="str">
        <f>_xlfn.XLOOKUP(E1127,'Allocated Transactions'!D:D,'Allocated Transactions'!E:E,"")</f>
        <v>Travel</v>
      </c>
      <c r="G1127" s="113" t="s">
        <v>97</v>
      </c>
      <c r="H1127" s="113"/>
      <c r="I1127" s="113" t="str">
        <f>_xlfn.XLOOKUP($C1127,'Cost Centers'!$A$2:$A$11,'Cost Centers'!$C$2:$C$11,"")</f>
        <v>Programs</v>
      </c>
      <c r="J1127" s="23">
        <f>MROUND(SUMIFS('Allocated Transactions'!$J:$J,'Allocated Transactions'!$D:$D,$E1127,'Allocated Transactions'!$C:$C,$C1127,'Allocated Transactions'!$A:$A,"&gt;="&amp;$A1127,'Allocated Transactions'!$A:$A,"&lt;="&amp;EOMONTH($A1127,0))*0.99,100)</f>
        <v>0</v>
      </c>
      <c r="K1127" s="113" t="s">
        <v>637</v>
      </c>
    </row>
    <row r="1128" spans="1:11" ht="15" customHeight="1">
      <c r="A1128" s="112">
        <f t="shared" si="70"/>
        <v>45901</v>
      </c>
      <c r="B1128" s="113">
        <v>6</v>
      </c>
      <c r="C1128" s="18" t="str">
        <f t="shared" si="71"/>
        <v>2010</v>
      </c>
      <c r="D1128" s="113" t="str">
        <f>_xlfn.XLOOKUP($C1128,'Cost Centers'!$A$2:$A$11,'Cost Centers'!$B$2:$B$11,"")</f>
        <v>Latin America</v>
      </c>
      <c r="E1128" s="113" t="s">
        <v>111</v>
      </c>
      <c r="F1128" s="113" t="str">
        <f>_xlfn.XLOOKUP(E1128,'Allocated Transactions'!D:D,'Allocated Transactions'!E:E,"")</f>
        <v>Meals and Entertainment</v>
      </c>
      <c r="G1128" s="113" t="s">
        <v>97</v>
      </c>
      <c r="H1128" s="113"/>
      <c r="I1128" s="113" t="str">
        <f>_xlfn.XLOOKUP($C1128,'Cost Centers'!$A$2:$A$11,'Cost Centers'!$C$2:$C$11,"")</f>
        <v>Programs</v>
      </c>
      <c r="J1128" s="23">
        <f>MROUND(SUMIFS('Allocated Transactions'!$J:$J,'Allocated Transactions'!$D:$D,$E1128,'Allocated Transactions'!$C:$C,$C1128,'Allocated Transactions'!$A:$A,"&gt;="&amp;$A1128,'Allocated Transactions'!$A:$A,"&lt;="&amp;EOMONTH($A1128,0))*0.99,100)</f>
        <v>0</v>
      </c>
      <c r="K1128" s="113" t="s">
        <v>637</v>
      </c>
    </row>
    <row r="1129" spans="1:11" ht="15" customHeight="1">
      <c r="A1129" s="112">
        <f t="shared" si="70"/>
        <v>45901</v>
      </c>
      <c r="B1129" s="113">
        <v>6</v>
      </c>
      <c r="C1129" s="18" t="str">
        <f t="shared" si="71"/>
        <v>2010</v>
      </c>
      <c r="D1129" s="113" t="str">
        <f>_xlfn.XLOOKUP($C1129,'Cost Centers'!$A$2:$A$11,'Cost Centers'!$B$2:$B$11,"")</f>
        <v>Latin America</v>
      </c>
      <c r="E1129" s="113" t="s">
        <v>113</v>
      </c>
      <c r="F1129" s="113" t="str">
        <f>_xlfn.XLOOKUP(E1129,'Allocated Transactions'!D:D,'Allocated Transactions'!E:E,"")</f>
        <v>Professional Fees - Legal</v>
      </c>
      <c r="G1129" s="113" t="s">
        <v>97</v>
      </c>
      <c r="H1129" s="113"/>
      <c r="I1129" s="113" t="str">
        <f>_xlfn.XLOOKUP($C1129,'Cost Centers'!$A$2:$A$11,'Cost Centers'!$C$2:$C$11,"")</f>
        <v>Programs</v>
      </c>
      <c r="J1129" s="23">
        <f>MROUND(SUMIFS('Allocated Transactions'!$J:$J,'Allocated Transactions'!$D:$D,$E1129,'Allocated Transactions'!$C:$C,$C1129,'Allocated Transactions'!$A:$A,"&gt;="&amp;$A1129,'Allocated Transactions'!$A:$A,"&lt;="&amp;EOMONTH($A1129,0))*0.99,100)</f>
        <v>0</v>
      </c>
      <c r="K1129" s="113" t="s">
        <v>637</v>
      </c>
    </row>
    <row r="1130" spans="1:11" ht="15" customHeight="1">
      <c r="A1130" s="112">
        <f t="shared" si="70"/>
        <v>45901</v>
      </c>
      <c r="B1130" s="113">
        <v>6</v>
      </c>
      <c r="C1130" s="18" t="str">
        <f t="shared" si="71"/>
        <v>2010</v>
      </c>
      <c r="D1130" s="113" t="str">
        <f>_xlfn.XLOOKUP($C1130,'Cost Centers'!$A$2:$A$11,'Cost Centers'!$B$2:$B$11,"")</f>
        <v>Latin America</v>
      </c>
      <c r="E1130" s="113" t="s">
        <v>115</v>
      </c>
      <c r="F1130" s="113" t="str">
        <f>_xlfn.XLOOKUP(E1130,'Allocated Transactions'!D:D,'Allocated Transactions'!E:E,"")</f>
        <v>Professional Fees - Accounting/Audit</v>
      </c>
      <c r="G1130" s="113" t="s">
        <v>97</v>
      </c>
      <c r="H1130" s="113"/>
      <c r="I1130" s="113" t="str">
        <f>_xlfn.XLOOKUP($C1130,'Cost Centers'!$A$2:$A$11,'Cost Centers'!$C$2:$C$11,"")</f>
        <v>Programs</v>
      </c>
      <c r="J1130" s="23">
        <f>MROUND(SUMIFS('Allocated Transactions'!$J:$J,'Allocated Transactions'!$D:$D,$E1130,'Allocated Transactions'!$C:$C,$C1130,'Allocated Transactions'!$A:$A,"&gt;="&amp;$A1130,'Allocated Transactions'!$A:$A,"&lt;="&amp;EOMONTH($A1130,0))*0.99,100)</f>
        <v>0</v>
      </c>
      <c r="K1130" s="113" t="s">
        <v>637</v>
      </c>
    </row>
    <row r="1131" spans="1:11" ht="15" customHeight="1">
      <c r="A1131" s="112">
        <f t="shared" si="70"/>
        <v>45901</v>
      </c>
      <c r="B1131" s="113">
        <v>6</v>
      </c>
      <c r="C1131" s="18" t="str">
        <f t="shared" si="71"/>
        <v>2010</v>
      </c>
      <c r="D1131" s="113" t="str">
        <f>_xlfn.XLOOKUP($C1131,'Cost Centers'!$A$2:$A$11,'Cost Centers'!$B$2:$B$11,"")</f>
        <v>Latin America</v>
      </c>
      <c r="E1131" s="113" t="s">
        <v>117</v>
      </c>
      <c r="F1131" s="113" t="str">
        <f>_xlfn.XLOOKUP(E1131,'Allocated Transactions'!D:D,'Allocated Transactions'!E:E,"")</f>
        <v>Insurance</v>
      </c>
      <c r="G1131" s="113" t="s">
        <v>97</v>
      </c>
      <c r="H1131" s="113"/>
      <c r="I1131" s="113" t="str">
        <f>_xlfn.XLOOKUP($C1131,'Cost Centers'!$A$2:$A$11,'Cost Centers'!$C$2:$C$11,"")</f>
        <v>Programs</v>
      </c>
      <c r="J1131" s="23">
        <f>MROUND(SUMIFS('Allocated Transactions'!$J:$J,'Allocated Transactions'!$D:$D,$E1131,'Allocated Transactions'!$C:$C,$C1131,'Allocated Transactions'!$A:$A,"&gt;="&amp;$A1131,'Allocated Transactions'!$A:$A,"&lt;="&amp;EOMONTH($A1131,0))*0.99,100)</f>
        <v>100</v>
      </c>
      <c r="K1131" s="113" t="s">
        <v>637</v>
      </c>
    </row>
    <row r="1132" spans="1:11" ht="15" customHeight="1">
      <c r="A1132" s="112">
        <f t="shared" si="70"/>
        <v>45901</v>
      </c>
      <c r="B1132" s="113">
        <v>6</v>
      </c>
      <c r="C1132" s="18" t="str">
        <f t="shared" si="71"/>
        <v>2010</v>
      </c>
      <c r="D1132" s="113" t="str">
        <f>_xlfn.XLOOKUP($C1132,'Cost Centers'!$A$2:$A$11,'Cost Centers'!$B$2:$B$11,"")</f>
        <v>Latin America</v>
      </c>
      <c r="E1132" s="113" t="s">
        <v>119</v>
      </c>
      <c r="F1132" s="113" t="str">
        <f>_xlfn.XLOOKUP(E1132,'Allocated Transactions'!D:D,'Allocated Transactions'!E:E,"")</f>
        <v>Depreciation Expense</v>
      </c>
      <c r="G1132" s="113" t="s">
        <v>97</v>
      </c>
      <c r="H1132" s="113"/>
      <c r="I1132" s="113" t="str">
        <f>_xlfn.XLOOKUP($C1132,'Cost Centers'!$A$2:$A$11,'Cost Centers'!$C$2:$C$11,"")</f>
        <v>Programs</v>
      </c>
      <c r="J1132" s="23">
        <f>MROUND(SUMIFS('Allocated Transactions'!$J:$J,'Allocated Transactions'!$D:$D,$E1132,'Allocated Transactions'!$C:$C,$C1132,'Allocated Transactions'!$A:$A,"&gt;="&amp;$A1132,'Allocated Transactions'!$A:$A,"&lt;="&amp;EOMONTH($A1132,0))*0.99,100)</f>
        <v>0</v>
      </c>
      <c r="K1132" s="113" t="s">
        <v>637</v>
      </c>
    </row>
    <row r="1133" spans="1:11" ht="15" customHeight="1">
      <c r="A1133" s="112">
        <f t="shared" si="70"/>
        <v>45901</v>
      </c>
      <c r="B1133" s="113">
        <v>6</v>
      </c>
      <c r="C1133" s="18" t="str">
        <f t="shared" si="71"/>
        <v>2010</v>
      </c>
      <c r="D1133" s="113" t="str">
        <f>_xlfn.XLOOKUP($C1133,'Cost Centers'!$A$2:$A$11,'Cost Centers'!$B$2:$B$11,"")</f>
        <v>Latin America</v>
      </c>
      <c r="E1133" s="113" t="s">
        <v>121</v>
      </c>
      <c r="F1133" s="113" t="str">
        <f>_xlfn.XLOOKUP(E1133,'Allocated Transactions'!D:D,'Allocated Transactions'!E:E,"")</f>
        <v>Bank Fees</v>
      </c>
      <c r="G1133" s="113" t="s">
        <v>97</v>
      </c>
      <c r="H1133" s="113"/>
      <c r="I1133" s="113" t="str">
        <f>_xlfn.XLOOKUP($C1133,'Cost Centers'!$A$2:$A$11,'Cost Centers'!$C$2:$C$11,"")</f>
        <v>Programs</v>
      </c>
      <c r="J1133" s="23">
        <f>MROUND(SUMIFS('Allocated Transactions'!$J:$J,'Allocated Transactions'!$D:$D,$E1133,'Allocated Transactions'!$C:$C,$C1133,'Allocated Transactions'!$A:$A,"&gt;="&amp;$A1133,'Allocated Transactions'!$A:$A,"&lt;="&amp;EOMONTH($A1133,0))*0.99,100)</f>
        <v>0</v>
      </c>
      <c r="K1133" s="113" t="s">
        <v>637</v>
      </c>
    </row>
    <row r="1134" spans="1:11" ht="15" customHeight="1">
      <c r="A1134" s="112">
        <f t="shared" si="70"/>
        <v>45901</v>
      </c>
      <c r="B1134" s="113">
        <v>6</v>
      </c>
      <c r="C1134" s="18" t="str">
        <f t="shared" si="71"/>
        <v>2010</v>
      </c>
      <c r="D1134" s="113" t="str">
        <f>_xlfn.XLOOKUP($C1134,'Cost Centers'!$A$2:$A$11,'Cost Centers'!$B$2:$B$11,"")</f>
        <v>Latin America</v>
      </c>
      <c r="E1134" s="113" t="s">
        <v>123</v>
      </c>
      <c r="F1134" s="113" t="str">
        <f>_xlfn.XLOOKUP(E1134,'Allocated Transactions'!D:D,'Allocated Transactions'!E:E,"")</f>
        <v>Interest Expense</v>
      </c>
      <c r="G1134" s="113" t="s">
        <v>97</v>
      </c>
      <c r="H1134" s="113"/>
      <c r="I1134" s="113" t="str">
        <f>_xlfn.XLOOKUP($C1134,'Cost Centers'!$A$2:$A$11,'Cost Centers'!$C$2:$C$11,"")</f>
        <v>Programs</v>
      </c>
      <c r="J1134" s="23">
        <f>MROUND(SUMIFS('Allocated Transactions'!$J:$J,'Allocated Transactions'!$D:$D,$E1134,'Allocated Transactions'!$C:$C,$C1134,'Allocated Transactions'!$A:$A,"&gt;="&amp;$A1134,'Allocated Transactions'!$A:$A,"&lt;="&amp;EOMONTH($A1134,0))*0.99,100)</f>
        <v>0</v>
      </c>
      <c r="K1134" s="113" t="s">
        <v>637</v>
      </c>
    </row>
    <row r="1135" spans="1:11" ht="15" customHeight="1">
      <c r="A1135" s="112">
        <f t="shared" si="70"/>
        <v>45901</v>
      </c>
      <c r="B1135" s="113">
        <v>6</v>
      </c>
      <c r="C1135" s="18" t="str">
        <f t="shared" si="71"/>
        <v>2010</v>
      </c>
      <c r="D1135" s="113" t="str">
        <f>_xlfn.XLOOKUP($C1135,'Cost Centers'!$A$2:$A$11,'Cost Centers'!$B$2:$B$11,"")</f>
        <v>Latin America</v>
      </c>
      <c r="E1135" s="113" t="s">
        <v>125</v>
      </c>
      <c r="F1135" s="113" t="str">
        <f>_xlfn.XLOOKUP(E1135,'Allocated Transactions'!D:D,'Allocated Transactions'!E:E,"")</f>
        <v>Miscellaneous Expense</v>
      </c>
      <c r="G1135" s="113" t="s">
        <v>97</v>
      </c>
      <c r="H1135" s="113"/>
      <c r="I1135" s="113" t="str">
        <f>_xlfn.XLOOKUP($C1135,'Cost Centers'!$A$2:$A$11,'Cost Centers'!$C$2:$C$11,"")</f>
        <v>Programs</v>
      </c>
      <c r="J1135" s="23">
        <f>MROUND(SUMIFS('Allocated Transactions'!$J:$J,'Allocated Transactions'!$D:$D,$E1135,'Allocated Transactions'!$C:$C,$C1135,'Allocated Transactions'!$A:$A,"&gt;="&amp;$A1135,'Allocated Transactions'!$A:$A,"&lt;="&amp;EOMONTH($A1135,0))*0.99,100)</f>
        <v>0</v>
      </c>
      <c r="K1135" s="113" t="s">
        <v>637</v>
      </c>
    </row>
    <row r="1136" spans="1:11" ht="15" customHeight="1">
      <c r="A1136" s="112">
        <f t="shared" si="70"/>
        <v>45931</v>
      </c>
      <c r="B1136" s="113">
        <v>6</v>
      </c>
      <c r="C1136" s="18" t="s">
        <v>12</v>
      </c>
      <c r="D1136" s="113" t="str">
        <f>_xlfn.XLOOKUP($C1136,'Cost Centers'!$A$2:$A$11,'Cost Centers'!$B$2:$B$11,"")</f>
        <v>Latin America</v>
      </c>
      <c r="E1136" s="113" t="s">
        <v>28</v>
      </c>
      <c r="F1136" s="113" t="str">
        <f>_xlfn.XLOOKUP(E1136,'Allocated Transactions'!D:D,'Allocated Transactions'!E:E,"")</f>
        <v>Salaries and Wages</v>
      </c>
      <c r="G1136" s="113" t="s">
        <v>97</v>
      </c>
      <c r="H1136" s="113"/>
      <c r="I1136" s="113" t="str">
        <f>_xlfn.XLOOKUP($C1136,'Cost Centers'!$A$2:$A$11,'Cost Centers'!$C$2:$C$11,"")</f>
        <v>Programs</v>
      </c>
      <c r="J1136" s="23">
        <f>MROUND(SUMIFS('Allocated Transactions'!$J:$J,'Allocated Transactions'!$D:$D,$E1136,'Allocated Transactions'!$C:$C,$C1136,'Allocated Transactions'!$A:$A,"&gt;="&amp;$A1136,'Allocated Transactions'!$A:$A,"&lt;="&amp;EOMONTH($A1136,0))*0.99,100)</f>
        <v>12800</v>
      </c>
      <c r="K1136" s="113" t="s">
        <v>637</v>
      </c>
    </row>
    <row r="1137" spans="1:11" ht="15" customHeight="1">
      <c r="A1137" s="112">
        <f t="shared" si="70"/>
        <v>45931</v>
      </c>
      <c r="B1137" s="113">
        <v>6</v>
      </c>
      <c r="C1137" s="18" t="str">
        <f t="shared" ref="C1137:C1153" si="72">C1136</f>
        <v>2010</v>
      </c>
      <c r="D1137" s="113" t="str">
        <f>_xlfn.XLOOKUP($C1137,'Cost Centers'!$A$2:$A$11,'Cost Centers'!$B$2:$B$11,"")</f>
        <v>Latin America</v>
      </c>
      <c r="E1137" s="113" t="s">
        <v>29</v>
      </c>
      <c r="F1137" s="113" t="str">
        <f>_xlfn.XLOOKUP(E1137,'Allocated Transactions'!D:D,'Allocated Transactions'!E:E,"")</f>
        <v>Payroll Taxes</v>
      </c>
      <c r="G1137" s="113" t="s">
        <v>97</v>
      </c>
      <c r="H1137" s="113"/>
      <c r="I1137" s="113" t="str">
        <f>_xlfn.XLOOKUP($C1137,'Cost Centers'!$A$2:$A$11,'Cost Centers'!$C$2:$C$11,"")</f>
        <v>Programs</v>
      </c>
      <c r="J1137" s="23">
        <f>MROUND(SUMIFS('Allocated Transactions'!$J:$J,'Allocated Transactions'!$D:$D,$E1137,'Allocated Transactions'!$C:$C,$C1137,'Allocated Transactions'!$A:$A,"&gt;="&amp;$A1137,'Allocated Transactions'!$A:$A,"&lt;="&amp;EOMONTH($A1137,0))*0.99,100)</f>
        <v>1000</v>
      </c>
      <c r="K1137" s="113" t="s">
        <v>637</v>
      </c>
    </row>
    <row r="1138" spans="1:11" ht="15" customHeight="1">
      <c r="A1138" s="112">
        <f t="shared" si="70"/>
        <v>45931</v>
      </c>
      <c r="B1138" s="113">
        <v>6</v>
      </c>
      <c r="C1138" s="18" t="str">
        <f t="shared" si="72"/>
        <v>2010</v>
      </c>
      <c r="D1138" s="113" t="str">
        <f>_xlfn.XLOOKUP($C1138,'Cost Centers'!$A$2:$A$11,'Cost Centers'!$B$2:$B$11,"")</f>
        <v>Latin America</v>
      </c>
      <c r="E1138" s="113" t="s">
        <v>30</v>
      </c>
      <c r="F1138" s="113" t="str">
        <f>_xlfn.XLOOKUP(E1138,'Allocated Transactions'!D:D,'Allocated Transactions'!E:E,"")</f>
        <v>Employee Benefits</v>
      </c>
      <c r="G1138" s="113" t="s">
        <v>97</v>
      </c>
      <c r="H1138" s="113"/>
      <c r="I1138" s="113" t="str">
        <f>_xlfn.XLOOKUP($C1138,'Cost Centers'!$A$2:$A$11,'Cost Centers'!$C$2:$C$11,"")</f>
        <v>Programs</v>
      </c>
      <c r="J1138" s="23">
        <f>MROUND(SUMIFS('Allocated Transactions'!$J:$J,'Allocated Transactions'!$D:$D,$E1138,'Allocated Transactions'!$C:$C,$C1138,'Allocated Transactions'!$A:$A,"&gt;="&amp;$A1138,'Allocated Transactions'!$A:$A,"&lt;="&amp;EOMONTH($A1138,0))*0.99,100)</f>
        <v>4600</v>
      </c>
      <c r="K1138" s="113" t="s">
        <v>637</v>
      </c>
    </row>
    <row r="1139" spans="1:11" ht="15" customHeight="1">
      <c r="A1139" s="112">
        <f t="shared" si="70"/>
        <v>45931</v>
      </c>
      <c r="B1139" s="113">
        <v>6</v>
      </c>
      <c r="C1139" s="18" t="str">
        <f t="shared" si="72"/>
        <v>2010</v>
      </c>
      <c r="D1139" s="113" t="str">
        <f>_xlfn.XLOOKUP($C1139,'Cost Centers'!$A$2:$A$11,'Cost Centers'!$B$2:$B$11,"")</f>
        <v>Latin America</v>
      </c>
      <c r="E1139" s="113" t="s">
        <v>31</v>
      </c>
      <c r="F1139" s="113" t="str">
        <f>_xlfn.XLOOKUP(E1139,'Allocated Transactions'!D:D,'Allocated Transactions'!E:E,"")</f>
        <v>Retirement Contributions</v>
      </c>
      <c r="G1139" s="113" t="s">
        <v>97</v>
      </c>
      <c r="H1139" s="113"/>
      <c r="I1139" s="113" t="str">
        <f>_xlfn.XLOOKUP($C1139,'Cost Centers'!$A$2:$A$11,'Cost Centers'!$C$2:$C$11,"")</f>
        <v>Programs</v>
      </c>
      <c r="J1139" s="23">
        <f>MROUND(SUMIFS('Allocated Transactions'!$J:$J,'Allocated Transactions'!$D:$D,$E1139,'Allocated Transactions'!$C:$C,$C1139,'Allocated Transactions'!$A:$A,"&gt;="&amp;$A1139,'Allocated Transactions'!$A:$A,"&lt;="&amp;EOMONTH($A1139,0))*0.99,100)</f>
        <v>400</v>
      </c>
      <c r="K1139" s="113" t="s">
        <v>637</v>
      </c>
    </row>
    <row r="1140" spans="1:11" ht="15" customHeight="1">
      <c r="A1140" s="112">
        <f t="shared" si="70"/>
        <v>45931</v>
      </c>
      <c r="B1140" s="113">
        <v>6</v>
      </c>
      <c r="C1140" s="18" t="str">
        <f t="shared" si="72"/>
        <v>2010</v>
      </c>
      <c r="D1140" s="113" t="str">
        <f>_xlfn.XLOOKUP($C1140,'Cost Centers'!$A$2:$A$11,'Cost Centers'!$B$2:$B$11,"")</f>
        <v>Latin America</v>
      </c>
      <c r="E1140" s="113" t="s">
        <v>101</v>
      </c>
      <c r="F1140" s="113" t="str">
        <f>_xlfn.XLOOKUP(E1140,'Allocated Transactions'!D:D,'Allocated Transactions'!E:E,"")</f>
        <v>Contract Labor / Consultants</v>
      </c>
      <c r="G1140" s="113" t="s">
        <v>97</v>
      </c>
      <c r="H1140" s="113"/>
      <c r="I1140" s="113" t="str">
        <f>_xlfn.XLOOKUP($C1140,'Cost Centers'!$A$2:$A$11,'Cost Centers'!$C$2:$C$11,"")</f>
        <v>Programs</v>
      </c>
      <c r="J1140" s="23">
        <f>MROUND(SUMIFS('Allocated Transactions'!$J:$J,'Allocated Transactions'!$D:$D,$E1140,'Allocated Transactions'!$C:$C,$C1140,'Allocated Transactions'!$A:$A,"&gt;="&amp;$A1140,'Allocated Transactions'!$A:$A,"&lt;="&amp;EOMONTH($A1140,0))*0.99,100)</f>
        <v>0</v>
      </c>
      <c r="K1140" s="113" t="s">
        <v>637</v>
      </c>
    </row>
    <row r="1141" spans="1:11" ht="15" customHeight="1">
      <c r="A1141" s="112">
        <f t="shared" si="70"/>
        <v>45931</v>
      </c>
      <c r="B1141" s="113">
        <v>6</v>
      </c>
      <c r="C1141" s="18" t="str">
        <f t="shared" si="72"/>
        <v>2010</v>
      </c>
      <c r="D1141" s="113" t="str">
        <f>_xlfn.XLOOKUP($C1141,'Cost Centers'!$A$2:$A$11,'Cost Centers'!$B$2:$B$11,"")</f>
        <v>Latin America</v>
      </c>
      <c r="E1141" s="113" t="s">
        <v>32</v>
      </c>
      <c r="F1141" s="113" t="str">
        <f>_xlfn.XLOOKUP(E1141,'Allocated Transactions'!D:D,'Allocated Transactions'!E:E,"")</f>
        <v>Rent</v>
      </c>
      <c r="G1141" s="113" t="s">
        <v>97</v>
      </c>
      <c r="H1141" s="113"/>
      <c r="I1141" s="113" t="str">
        <f>_xlfn.XLOOKUP($C1141,'Cost Centers'!$A$2:$A$11,'Cost Centers'!$C$2:$C$11,"")</f>
        <v>Programs</v>
      </c>
      <c r="J1141" s="23">
        <f>MROUND(SUMIFS('Allocated Transactions'!$J:$J,'Allocated Transactions'!$D:$D,$E1141,'Allocated Transactions'!$C:$C,$C1141,'Allocated Transactions'!$A:$A,"&gt;="&amp;$A1141,'Allocated Transactions'!$A:$A,"&lt;="&amp;EOMONTH($A1141,0))*0.99,100)</f>
        <v>1000</v>
      </c>
      <c r="K1141" s="113" t="s">
        <v>637</v>
      </c>
    </row>
    <row r="1142" spans="1:11" ht="15" customHeight="1">
      <c r="A1142" s="112">
        <f t="shared" si="70"/>
        <v>45931</v>
      </c>
      <c r="B1142" s="113">
        <v>6</v>
      </c>
      <c r="C1142" s="18" t="str">
        <f t="shared" si="72"/>
        <v>2010</v>
      </c>
      <c r="D1142" s="113" t="str">
        <f>_xlfn.XLOOKUP($C1142,'Cost Centers'!$A$2:$A$11,'Cost Centers'!$B$2:$B$11,"")</f>
        <v>Latin America</v>
      </c>
      <c r="E1142" s="113" t="s">
        <v>33</v>
      </c>
      <c r="F1142" s="113" t="str">
        <f>_xlfn.XLOOKUP(E1142,'Allocated Transactions'!D:D,'Allocated Transactions'!E:E,"")</f>
        <v>Utilities</v>
      </c>
      <c r="G1142" s="113" t="s">
        <v>97</v>
      </c>
      <c r="H1142" s="113"/>
      <c r="I1142" s="113" t="str">
        <f>_xlfn.XLOOKUP($C1142,'Cost Centers'!$A$2:$A$11,'Cost Centers'!$C$2:$C$11,"")</f>
        <v>Programs</v>
      </c>
      <c r="J1142" s="23">
        <f>MROUND(SUMIFS('Allocated Transactions'!$J:$J,'Allocated Transactions'!$D:$D,$E1142,'Allocated Transactions'!$C:$C,$C1142,'Allocated Transactions'!$A:$A,"&gt;="&amp;$A1142,'Allocated Transactions'!$A:$A,"&lt;="&amp;EOMONTH($A1142,0))*0.99,100)</f>
        <v>100</v>
      </c>
      <c r="K1142" s="113" t="s">
        <v>637</v>
      </c>
    </row>
    <row r="1143" spans="1:11" ht="15" customHeight="1">
      <c r="A1143" s="112">
        <f t="shared" si="70"/>
        <v>45931</v>
      </c>
      <c r="B1143" s="113">
        <v>6</v>
      </c>
      <c r="C1143" s="18" t="str">
        <f t="shared" si="72"/>
        <v>2010</v>
      </c>
      <c r="D1143" s="113" t="str">
        <f>_xlfn.XLOOKUP($C1143,'Cost Centers'!$A$2:$A$11,'Cost Centers'!$B$2:$B$11,"")</f>
        <v>Latin America</v>
      </c>
      <c r="E1143" s="113" t="s">
        <v>105</v>
      </c>
      <c r="F1143" s="113" t="str">
        <f>_xlfn.XLOOKUP(E1143,'Allocated Transactions'!D:D,'Allocated Transactions'!E:E,"")</f>
        <v>Office Supplies</v>
      </c>
      <c r="G1143" s="113" t="s">
        <v>97</v>
      </c>
      <c r="H1143" s="113"/>
      <c r="I1143" s="113" t="str">
        <f>_xlfn.XLOOKUP($C1143,'Cost Centers'!$A$2:$A$11,'Cost Centers'!$C$2:$C$11,"")</f>
        <v>Programs</v>
      </c>
      <c r="J1143" s="23">
        <f>MROUND(SUMIFS('Allocated Transactions'!$J:$J,'Allocated Transactions'!$D:$D,$E1143,'Allocated Transactions'!$C:$C,$C1143,'Allocated Transactions'!$A:$A,"&gt;="&amp;$A1143,'Allocated Transactions'!$A:$A,"&lt;="&amp;EOMONTH($A1143,0))*0.99,100)</f>
        <v>0</v>
      </c>
      <c r="K1143" s="113" t="s">
        <v>637</v>
      </c>
    </row>
    <row r="1144" spans="1:11" ht="15" customHeight="1">
      <c r="A1144" s="112">
        <f t="shared" si="70"/>
        <v>45931</v>
      </c>
      <c r="B1144" s="113">
        <v>6</v>
      </c>
      <c r="C1144" s="18" t="str">
        <f t="shared" si="72"/>
        <v>2010</v>
      </c>
      <c r="D1144" s="113" t="str">
        <f>_xlfn.XLOOKUP($C1144,'Cost Centers'!$A$2:$A$11,'Cost Centers'!$B$2:$B$11,"")</f>
        <v>Latin America</v>
      </c>
      <c r="E1144" s="113" t="s">
        <v>107</v>
      </c>
      <c r="F1144" s="113" t="str">
        <f>_xlfn.XLOOKUP(E1144,'Allocated Transactions'!D:D,'Allocated Transactions'!E:E,"")</f>
        <v>Software and Subscriptions</v>
      </c>
      <c r="G1144" s="113" t="s">
        <v>97</v>
      </c>
      <c r="H1144" s="113"/>
      <c r="I1144" s="113" t="str">
        <f>_xlfn.XLOOKUP($C1144,'Cost Centers'!$A$2:$A$11,'Cost Centers'!$C$2:$C$11,"")</f>
        <v>Programs</v>
      </c>
      <c r="J1144" s="23">
        <f>MROUND(SUMIFS('Allocated Transactions'!$J:$J,'Allocated Transactions'!$D:$D,$E1144,'Allocated Transactions'!$C:$C,$C1144,'Allocated Transactions'!$A:$A,"&gt;="&amp;$A1144,'Allocated Transactions'!$A:$A,"&lt;="&amp;EOMONTH($A1144,0))*0.99,100)</f>
        <v>0</v>
      </c>
      <c r="K1144" s="113" t="s">
        <v>637</v>
      </c>
    </row>
    <row r="1145" spans="1:11" ht="15" customHeight="1">
      <c r="A1145" s="112">
        <f t="shared" si="70"/>
        <v>45931</v>
      </c>
      <c r="B1145" s="113">
        <v>6</v>
      </c>
      <c r="C1145" s="18" t="str">
        <f t="shared" si="72"/>
        <v>2010</v>
      </c>
      <c r="D1145" s="113" t="str">
        <f>_xlfn.XLOOKUP($C1145,'Cost Centers'!$A$2:$A$11,'Cost Centers'!$B$2:$B$11,"")</f>
        <v>Latin America</v>
      </c>
      <c r="E1145" s="113" t="s">
        <v>109</v>
      </c>
      <c r="F1145" s="113" t="str">
        <f>_xlfn.XLOOKUP(E1145,'Allocated Transactions'!D:D,'Allocated Transactions'!E:E,"")</f>
        <v>Travel</v>
      </c>
      <c r="G1145" s="113" t="s">
        <v>97</v>
      </c>
      <c r="H1145" s="113"/>
      <c r="I1145" s="113" t="str">
        <f>_xlfn.XLOOKUP($C1145,'Cost Centers'!$A$2:$A$11,'Cost Centers'!$C$2:$C$11,"")</f>
        <v>Programs</v>
      </c>
      <c r="J1145" s="23">
        <f>MROUND(SUMIFS('Allocated Transactions'!$J:$J,'Allocated Transactions'!$D:$D,$E1145,'Allocated Transactions'!$C:$C,$C1145,'Allocated Transactions'!$A:$A,"&gt;="&amp;$A1145,'Allocated Transactions'!$A:$A,"&lt;="&amp;EOMONTH($A1145,0))*0.99,100)</f>
        <v>0</v>
      </c>
      <c r="K1145" s="113" t="s">
        <v>637</v>
      </c>
    </row>
    <row r="1146" spans="1:11" ht="15" customHeight="1">
      <c r="A1146" s="112">
        <f t="shared" si="70"/>
        <v>45931</v>
      </c>
      <c r="B1146" s="113">
        <v>6</v>
      </c>
      <c r="C1146" s="18" t="str">
        <f t="shared" si="72"/>
        <v>2010</v>
      </c>
      <c r="D1146" s="113" t="str">
        <f>_xlfn.XLOOKUP($C1146,'Cost Centers'!$A$2:$A$11,'Cost Centers'!$B$2:$B$11,"")</f>
        <v>Latin America</v>
      </c>
      <c r="E1146" s="113" t="s">
        <v>111</v>
      </c>
      <c r="F1146" s="113" t="str">
        <f>_xlfn.XLOOKUP(E1146,'Allocated Transactions'!D:D,'Allocated Transactions'!E:E,"")</f>
        <v>Meals and Entertainment</v>
      </c>
      <c r="G1146" s="113" t="s">
        <v>97</v>
      </c>
      <c r="H1146" s="113"/>
      <c r="I1146" s="113" t="str">
        <f>_xlfn.XLOOKUP($C1146,'Cost Centers'!$A$2:$A$11,'Cost Centers'!$C$2:$C$11,"")</f>
        <v>Programs</v>
      </c>
      <c r="J1146" s="23">
        <f>MROUND(SUMIFS('Allocated Transactions'!$J:$J,'Allocated Transactions'!$D:$D,$E1146,'Allocated Transactions'!$C:$C,$C1146,'Allocated Transactions'!$A:$A,"&gt;="&amp;$A1146,'Allocated Transactions'!$A:$A,"&lt;="&amp;EOMONTH($A1146,0))*0.99,100)</f>
        <v>0</v>
      </c>
      <c r="K1146" s="113" t="s">
        <v>637</v>
      </c>
    </row>
    <row r="1147" spans="1:11" ht="15" customHeight="1">
      <c r="A1147" s="112">
        <f t="shared" si="70"/>
        <v>45931</v>
      </c>
      <c r="B1147" s="113">
        <v>6</v>
      </c>
      <c r="C1147" s="18" t="str">
        <f t="shared" si="72"/>
        <v>2010</v>
      </c>
      <c r="D1147" s="113" t="str">
        <f>_xlfn.XLOOKUP($C1147,'Cost Centers'!$A$2:$A$11,'Cost Centers'!$B$2:$B$11,"")</f>
        <v>Latin America</v>
      </c>
      <c r="E1147" s="113" t="s">
        <v>113</v>
      </c>
      <c r="F1147" s="113" t="str">
        <f>_xlfn.XLOOKUP(E1147,'Allocated Transactions'!D:D,'Allocated Transactions'!E:E,"")</f>
        <v>Professional Fees - Legal</v>
      </c>
      <c r="G1147" s="113" t="s">
        <v>97</v>
      </c>
      <c r="H1147" s="113"/>
      <c r="I1147" s="113" t="str">
        <f>_xlfn.XLOOKUP($C1147,'Cost Centers'!$A$2:$A$11,'Cost Centers'!$C$2:$C$11,"")</f>
        <v>Programs</v>
      </c>
      <c r="J1147" s="23">
        <f>MROUND(SUMIFS('Allocated Transactions'!$J:$J,'Allocated Transactions'!$D:$D,$E1147,'Allocated Transactions'!$C:$C,$C1147,'Allocated Transactions'!$A:$A,"&gt;="&amp;$A1147,'Allocated Transactions'!$A:$A,"&lt;="&amp;EOMONTH($A1147,0))*0.99,100)</f>
        <v>0</v>
      </c>
      <c r="K1147" s="113" t="s">
        <v>637</v>
      </c>
    </row>
    <row r="1148" spans="1:11" ht="15" customHeight="1">
      <c r="A1148" s="112">
        <f t="shared" si="70"/>
        <v>45931</v>
      </c>
      <c r="B1148" s="113">
        <v>6</v>
      </c>
      <c r="C1148" s="18" t="str">
        <f t="shared" si="72"/>
        <v>2010</v>
      </c>
      <c r="D1148" s="113" t="str">
        <f>_xlfn.XLOOKUP($C1148,'Cost Centers'!$A$2:$A$11,'Cost Centers'!$B$2:$B$11,"")</f>
        <v>Latin America</v>
      </c>
      <c r="E1148" s="113" t="s">
        <v>115</v>
      </c>
      <c r="F1148" s="113" t="str">
        <f>_xlfn.XLOOKUP(E1148,'Allocated Transactions'!D:D,'Allocated Transactions'!E:E,"")</f>
        <v>Professional Fees - Accounting/Audit</v>
      </c>
      <c r="G1148" s="113" t="s">
        <v>97</v>
      </c>
      <c r="H1148" s="113"/>
      <c r="I1148" s="113" t="str">
        <f>_xlfn.XLOOKUP($C1148,'Cost Centers'!$A$2:$A$11,'Cost Centers'!$C$2:$C$11,"")</f>
        <v>Programs</v>
      </c>
      <c r="J1148" s="23">
        <f>MROUND(SUMIFS('Allocated Transactions'!$J:$J,'Allocated Transactions'!$D:$D,$E1148,'Allocated Transactions'!$C:$C,$C1148,'Allocated Transactions'!$A:$A,"&gt;="&amp;$A1148,'Allocated Transactions'!$A:$A,"&lt;="&amp;EOMONTH($A1148,0))*0.99,100)</f>
        <v>0</v>
      </c>
      <c r="K1148" s="113" t="s">
        <v>637</v>
      </c>
    </row>
    <row r="1149" spans="1:11" ht="15" customHeight="1">
      <c r="A1149" s="112">
        <f t="shared" si="70"/>
        <v>45931</v>
      </c>
      <c r="B1149" s="113">
        <v>6</v>
      </c>
      <c r="C1149" s="18" t="str">
        <f t="shared" si="72"/>
        <v>2010</v>
      </c>
      <c r="D1149" s="113" t="str">
        <f>_xlfn.XLOOKUP($C1149,'Cost Centers'!$A$2:$A$11,'Cost Centers'!$B$2:$B$11,"")</f>
        <v>Latin America</v>
      </c>
      <c r="E1149" s="113" t="s">
        <v>117</v>
      </c>
      <c r="F1149" s="113" t="str">
        <f>_xlfn.XLOOKUP(E1149,'Allocated Transactions'!D:D,'Allocated Transactions'!E:E,"")</f>
        <v>Insurance</v>
      </c>
      <c r="G1149" s="113" t="s">
        <v>97</v>
      </c>
      <c r="H1149" s="113"/>
      <c r="I1149" s="113" t="str">
        <f>_xlfn.XLOOKUP($C1149,'Cost Centers'!$A$2:$A$11,'Cost Centers'!$C$2:$C$11,"")</f>
        <v>Programs</v>
      </c>
      <c r="J1149" s="23">
        <f>MROUND(SUMIFS('Allocated Transactions'!$J:$J,'Allocated Transactions'!$D:$D,$E1149,'Allocated Transactions'!$C:$C,$C1149,'Allocated Transactions'!$A:$A,"&gt;="&amp;$A1149,'Allocated Transactions'!$A:$A,"&lt;="&amp;EOMONTH($A1149,0))*0.99,100)</f>
        <v>100</v>
      </c>
      <c r="K1149" s="113" t="s">
        <v>637</v>
      </c>
    </row>
    <row r="1150" spans="1:11" ht="15" customHeight="1">
      <c r="A1150" s="112">
        <f t="shared" si="70"/>
        <v>45931</v>
      </c>
      <c r="B1150" s="113">
        <v>6</v>
      </c>
      <c r="C1150" s="18" t="str">
        <f t="shared" si="72"/>
        <v>2010</v>
      </c>
      <c r="D1150" s="113" t="str">
        <f>_xlfn.XLOOKUP($C1150,'Cost Centers'!$A$2:$A$11,'Cost Centers'!$B$2:$B$11,"")</f>
        <v>Latin America</v>
      </c>
      <c r="E1150" s="113" t="s">
        <v>119</v>
      </c>
      <c r="F1150" s="113" t="str">
        <f>_xlfn.XLOOKUP(E1150,'Allocated Transactions'!D:D,'Allocated Transactions'!E:E,"")</f>
        <v>Depreciation Expense</v>
      </c>
      <c r="G1150" s="113" t="s">
        <v>97</v>
      </c>
      <c r="H1150" s="113"/>
      <c r="I1150" s="113" t="str">
        <f>_xlfn.XLOOKUP($C1150,'Cost Centers'!$A$2:$A$11,'Cost Centers'!$C$2:$C$11,"")</f>
        <v>Programs</v>
      </c>
      <c r="J1150" s="23">
        <f>MROUND(SUMIFS('Allocated Transactions'!$J:$J,'Allocated Transactions'!$D:$D,$E1150,'Allocated Transactions'!$C:$C,$C1150,'Allocated Transactions'!$A:$A,"&gt;="&amp;$A1150,'Allocated Transactions'!$A:$A,"&lt;="&amp;EOMONTH($A1150,0))*0.99,100)</f>
        <v>0</v>
      </c>
      <c r="K1150" s="113" t="s">
        <v>637</v>
      </c>
    </row>
    <row r="1151" spans="1:11" ht="15" customHeight="1">
      <c r="A1151" s="112">
        <f t="shared" si="70"/>
        <v>45931</v>
      </c>
      <c r="B1151" s="113">
        <v>6</v>
      </c>
      <c r="C1151" s="18" t="str">
        <f t="shared" si="72"/>
        <v>2010</v>
      </c>
      <c r="D1151" s="113" t="str">
        <f>_xlfn.XLOOKUP($C1151,'Cost Centers'!$A$2:$A$11,'Cost Centers'!$B$2:$B$11,"")</f>
        <v>Latin America</v>
      </c>
      <c r="E1151" s="113" t="s">
        <v>121</v>
      </c>
      <c r="F1151" s="113" t="str">
        <f>_xlfn.XLOOKUP(E1151,'Allocated Transactions'!D:D,'Allocated Transactions'!E:E,"")</f>
        <v>Bank Fees</v>
      </c>
      <c r="G1151" s="113" t="s">
        <v>97</v>
      </c>
      <c r="H1151" s="113"/>
      <c r="I1151" s="113" t="str">
        <f>_xlfn.XLOOKUP($C1151,'Cost Centers'!$A$2:$A$11,'Cost Centers'!$C$2:$C$11,"")</f>
        <v>Programs</v>
      </c>
      <c r="J1151" s="23">
        <f>MROUND(SUMIFS('Allocated Transactions'!$J:$J,'Allocated Transactions'!$D:$D,$E1151,'Allocated Transactions'!$C:$C,$C1151,'Allocated Transactions'!$A:$A,"&gt;="&amp;$A1151,'Allocated Transactions'!$A:$A,"&lt;="&amp;EOMONTH($A1151,0))*0.99,100)</f>
        <v>0</v>
      </c>
      <c r="K1151" s="113" t="s">
        <v>637</v>
      </c>
    </row>
    <row r="1152" spans="1:11" ht="15" customHeight="1">
      <c r="A1152" s="112">
        <f t="shared" si="70"/>
        <v>45931</v>
      </c>
      <c r="B1152" s="113">
        <v>6</v>
      </c>
      <c r="C1152" s="18" t="str">
        <f t="shared" si="72"/>
        <v>2010</v>
      </c>
      <c r="D1152" s="113" t="str">
        <f>_xlfn.XLOOKUP($C1152,'Cost Centers'!$A$2:$A$11,'Cost Centers'!$B$2:$B$11,"")</f>
        <v>Latin America</v>
      </c>
      <c r="E1152" s="113" t="s">
        <v>123</v>
      </c>
      <c r="F1152" s="113" t="str">
        <f>_xlfn.XLOOKUP(E1152,'Allocated Transactions'!D:D,'Allocated Transactions'!E:E,"")</f>
        <v>Interest Expense</v>
      </c>
      <c r="G1152" s="113" t="s">
        <v>97</v>
      </c>
      <c r="H1152" s="113"/>
      <c r="I1152" s="113" t="str">
        <f>_xlfn.XLOOKUP($C1152,'Cost Centers'!$A$2:$A$11,'Cost Centers'!$C$2:$C$11,"")</f>
        <v>Programs</v>
      </c>
      <c r="J1152" s="23">
        <f>MROUND(SUMIFS('Allocated Transactions'!$J:$J,'Allocated Transactions'!$D:$D,$E1152,'Allocated Transactions'!$C:$C,$C1152,'Allocated Transactions'!$A:$A,"&gt;="&amp;$A1152,'Allocated Transactions'!$A:$A,"&lt;="&amp;EOMONTH($A1152,0))*0.99,100)</f>
        <v>0</v>
      </c>
      <c r="K1152" s="113" t="s">
        <v>637</v>
      </c>
    </row>
    <row r="1153" spans="1:11" ht="15" customHeight="1">
      <c r="A1153" s="112">
        <f t="shared" si="70"/>
        <v>45931</v>
      </c>
      <c r="B1153" s="113">
        <v>6</v>
      </c>
      <c r="C1153" s="18" t="str">
        <f t="shared" si="72"/>
        <v>2010</v>
      </c>
      <c r="D1153" s="113" t="str">
        <f>_xlfn.XLOOKUP($C1153,'Cost Centers'!$A$2:$A$11,'Cost Centers'!$B$2:$B$11,"")</f>
        <v>Latin America</v>
      </c>
      <c r="E1153" s="113" t="s">
        <v>125</v>
      </c>
      <c r="F1153" s="113" t="str">
        <f>_xlfn.XLOOKUP(E1153,'Allocated Transactions'!D:D,'Allocated Transactions'!E:E,"")</f>
        <v>Miscellaneous Expense</v>
      </c>
      <c r="G1153" s="113" t="s">
        <v>97</v>
      </c>
      <c r="H1153" s="113"/>
      <c r="I1153" s="113" t="str">
        <f>_xlfn.XLOOKUP($C1153,'Cost Centers'!$A$2:$A$11,'Cost Centers'!$C$2:$C$11,"")</f>
        <v>Programs</v>
      </c>
      <c r="J1153" s="23">
        <f>MROUND(SUMIFS('Allocated Transactions'!$J:$J,'Allocated Transactions'!$D:$D,$E1153,'Allocated Transactions'!$C:$C,$C1153,'Allocated Transactions'!$A:$A,"&gt;="&amp;$A1153,'Allocated Transactions'!$A:$A,"&lt;="&amp;EOMONTH($A1153,0))*0.99,100)</f>
        <v>0</v>
      </c>
      <c r="K1153" s="113" t="s">
        <v>637</v>
      </c>
    </row>
    <row r="1154" spans="1:11" ht="15" customHeight="1">
      <c r="A1154" s="112">
        <f t="shared" si="70"/>
        <v>45962</v>
      </c>
      <c r="B1154" s="113">
        <v>6</v>
      </c>
      <c r="C1154" s="18" t="s">
        <v>12</v>
      </c>
      <c r="D1154" s="113" t="str">
        <f>_xlfn.XLOOKUP($C1154,'Cost Centers'!$A$2:$A$11,'Cost Centers'!$B$2:$B$11,"")</f>
        <v>Latin America</v>
      </c>
      <c r="E1154" s="113" t="s">
        <v>28</v>
      </c>
      <c r="F1154" s="113" t="str">
        <f>_xlfn.XLOOKUP(E1154,'Allocated Transactions'!D:D,'Allocated Transactions'!E:E,"")</f>
        <v>Salaries and Wages</v>
      </c>
      <c r="G1154" s="113" t="s">
        <v>97</v>
      </c>
      <c r="H1154" s="113"/>
      <c r="I1154" s="113" t="str">
        <f>_xlfn.XLOOKUP($C1154,'Cost Centers'!$A$2:$A$11,'Cost Centers'!$C$2:$C$11,"")</f>
        <v>Programs</v>
      </c>
      <c r="J1154" s="23">
        <f>MROUND(SUMIFS('Allocated Transactions'!$J:$J,'Allocated Transactions'!$D:$D,$E1154,'Allocated Transactions'!$C:$C,$C1154,'Allocated Transactions'!$A:$A,"&gt;="&amp;$A1154,'Allocated Transactions'!$A:$A,"&lt;="&amp;EOMONTH($A1154,0))*0.99,100)</f>
        <v>16600</v>
      </c>
      <c r="K1154" s="113" t="s">
        <v>637</v>
      </c>
    </row>
    <row r="1155" spans="1:11" ht="15" customHeight="1">
      <c r="A1155" s="112">
        <f t="shared" si="70"/>
        <v>45962</v>
      </c>
      <c r="B1155" s="113">
        <v>6</v>
      </c>
      <c r="C1155" s="18" t="str">
        <f t="shared" ref="C1155:C1171" si="73">C1154</f>
        <v>2010</v>
      </c>
      <c r="D1155" s="113" t="str">
        <f>_xlfn.XLOOKUP($C1155,'Cost Centers'!$A$2:$A$11,'Cost Centers'!$B$2:$B$11,"")</f>
        <v>Latin America</v>
      </c>
      <c r="E1155" s="113" t="s">
        <v>29</v>
      </c>
      <c r="F1155" s="113" t="str">
        <f>_xlfn.XLOOKUP(E1155,'Allocated Transactions'!D:D,'Allocated Transactions'!E:E,"")</f>
        <v>Payroll Taxes</v>
      </c>
      <c r="G1155" s="113" t="s">
        <v>97</v>
      </c>
      <c r="H1155" s="113"/>
      <c r="I1155" s="113" t="str">
        <f>_xlfn.XLOOKUP($C1155,'Cost Centers'!$A$2:$A$11,'Cost Centers'!$C$2:$C$11,"")</f>
        <v>Programs</v>
      </c>
      <c r="J1155" s="23">
        <f>MROUND(SUMIFS('Allocated Transactions'!$J:$J,'Allocated Transactions'!$D:$D,$E1155,'Allocated Transactions'!$C:$C,$C1155,'Allocated Transactions'!$A:$A,"&gt;="&amp;$A1155,'Allocated Transactions'!$A:$A,"&lt;="&amp;EOMONTH($A1155,0))*0.99,100)</f>
        <v>1300</v>
      </c>
      <c r="K1155" s="113" t="s">
        <v>637</v>
      </c>
    </row>
    <row r="1156" spans="1:11" ht="15" customHeight="1">
      <c r="A1156" s="112">
        <f t="shared" si="70"/>
        <v>45962</v>
      </c>
      <c r="B1156" s="113">
        <v>6</v>
      </c>
      <c r="C1156" s="18" t="str">
        <f t="shared" si="73"/>
        <v>2010</v>
      </c>
      <c r="D1156" s="113" t="str">
        <f>_xlfn.XLOOKUP($C1156,'Cost Centers'!$A$2:$A$11,'Cost Centers'!$B$2:$B$11,"")</f>
        <v>Latin America</v>
      </c>
      <c r="E1156" s="113" t="s">
        <v>30</v>
      </c>
      <c r="F1156" s="113" t="str">
        <f>_xlfn.XLOOKUP(E1156,'Allocated Transactions'!D:D,'Allocated Transactions'!E:E,"")</f>
        <v>Employee Benefits</v>
      </c>
      <c r="G1156" s="113" t="s">
        <v>97</v>
      </c>
      <c r="H1156" s="113"/>
      <c r="I1156" s="113" t="str">
        <f>_xlfn.XLOOKUP($C1156,'Cost Centers'!$A$2:$A$11,'Cost Centers'!$C$2:$C$11,"")</f>
        <v>Programs</v>
      </c>
      <c r="J1156" s="23">
        <f>MROUND(SUMIFS('Allocated Transactions'!$J:$J,'Allocated Transactions'!$D:$D,$E1156,'Allocated Transactions'!$C:$C,$C1156,'Allocated Transactions'!$A:$A,"&gt;="&amp;$A1156,'Allocated Transactions'!$A:$A,"&lt;="&amp;EOMONTH($A1156,0))*0.99,100)</f>
        <v>6300</v>
      </c>
      <c r="K1156" s="113" t="s">
        <v>637</v>
      </c>
    </row>
    <row r="1157" spans="1:11" ht="15" customHeight="1">
      <c r="A1157" s="112">
        <f t="shared" si="70"/>
        <v>45962</v>
      </c>
      <c r="B1157" s="113">
        <v>6</v>
      </c>
      <c r="C1157" s="18" t="str">
        <f t="shared" si="73"/>
        <v>2010</v>
      </c>
      <c r="D1157" s="113" t="str">
        <f>_xlfn.XLOOKUP($C1157,'Cost Centers'!$A$2:$A$11,'Cost Centers'!$B$2:$B$11,"")</f>
        <v>Latin America</v>
      </c>
      <c r="E1157" s="113" t="s">
        <v>31</v>
      </c>
      <c r="F1157" s="113" t="str">
        <f>_xlfn.XLOOKUP(E1157,'Allocated Transactions'!D:D,'Allocated Transactions'!E:E,"")</f>
        <v>Retirement Contributions</v>
      </c>
      <c r="G1157" s="113" t="s">
        <v>97</v>
      </c>
      <c r="H1157" s="113"/>
      <c r="I1157" s="113" t="str">
        <f>_xlfn.XLOOKUP($C1157,'Cost Centers'!$A$2:$A$11,'Cost Centers'!$C$2:$C$11,"")</f>
        <v>Programs</v>
      </c>
      <c r="J1157" s="23">
        <f>MROUND(SUMIFS('Allocated Transactions'!$J:$J,'Allocated Transactions'!$D:$D,$E1157,'Allocated Transactions'!$C:$C,$C1157,'Allocated Transactions'!$A:$A,"&gt;="&amp;$A1157,'Allocated Transactions'!$A:$A,"&lt;="&amp;EOMONTH($A1157,0))*0.99,100)</f>
        <v>500</v>
      </c>
      <c r="K1157" s="113" t="s">
        <v>637</v>
      </c>
    </row>
    <row r="1158" spans="1:11" ht="15" customHeight="1">
      <c r="A1158" s="112">
        <f t="shared" si="70"/>
        <v>45962</v>
      </c>
      <c r="B1158" s="113">
        <v>6</v>
      </c>
      <c r="C1158" s="18" t="str">
        <f t="shared" si="73"/>
        <v>2010</v>
      </c>
      <c r="D1158" s="113" t="str">
        <f>_xlfn.XLOOKUP($C1158,'Cost Centers'!$A$2:$A$11,'Cost Centers'!$B$2:$B$11,"")</f>
        <v>Latin America</v>
      </c>
      <c r="E1158" s="113" t="s">
        <v>101</v>
      </c>
      <c r="F1158" s="113" t="str">
        <f>_xlfn.XLOOKUP(E1158,'Allocated Transactions'!D:D,'Allocated Transactions'!E:E,"")</f>
        <v>Contract Labor / Consultants</v>
      </c>
      <c r="G1158" s="113" t="s">
        <v>97</v>
      </c>
      <c r="H1158" s="113"/>
      <c r="I1158" s="113" t="str">
        <f>_xlfn.XLOOKUP($C1158,'Cost Centers'!$A$2:$A$11,'Cost Centers'!$C$2:$C$11,"")</f>
        <v>Programs</v>
      </c>
      <c r="J1158" s="23">
        <f>MROUND(SUMIFS('Allocated Transactions'!$J:$J,'Allocated Transactions'!$D:$D,$E1158,'Allocated Transactions'!$C:$C,$C1158,'Allocated Transactions'!$A:$A,"&gt;="&amp;$A1158,'Allocated Transactions'!$A:$A,"&lt;="&amp;EOMONTH($A1158,0))*0.99,100)</f>
        <v>0</v>
      </c>
      <c r="K1158" s="113" t="s">
        <v>637</v>
      </c>
    </row>
    <row r="1159" spans="1:11" ht="15" customHeight="1">
      <c r="A1159" s="112">
        <f t="shared" si="70"/>
        <v>45962</v>
      </c>
      <c r="B1159" s="113">
        <v>6</v>
      </c>
      <c r="C1159" s="18" t="str">
        <f t="shared" si="73"/>
        <v>2010</v>
      </c>
      <c r="D1159" s="113" t="str">
        <f>_xlfn.XLOOKUP($C1159,'Cost Centers'!$A$2:$A$11,'Cost Centers'!$B$2:$B$11,"")</f>
        <v>Latin America</v>
      </c>
      <c r="E1159" s="113" t="s">
        <v>32</v>
      </c>
      <c r="F1159" s="113" t="str">
        <f>_xlfn.XLOOKUP(E1159,'Allocated Transactions'!D:D,'Allocated Transactions'!E:E,"")</f>
        <v>Rent</v>
      </c>
      <c r="G1159" s="113" t="s">
        <v>97</v>
      </c>
      <c r="H1159" s="113"/>
      <c r="I1159" s="113" t="str">
        <f>_xlfn.XLOOKUP($C1159,'Cost Centers'!$A$2:$A$11,'Cost Centers'!$C$2:$C$11,"")</f>
        <v>Programs</v>
      </c>
      <c r="J1159" s="23">
        <f>MROUND(SUMIFS('Allocated Transactions'!$J:$J,'Allocated Transactions'!$D:$D,$E1159,'Allocated Transactions'!$C:$C,$C1159,'Allocated Transactions'!$A:$A,"&gt;="&amp;$A1159,'Allocated Transactions'!$A:$A,"&lt;="&amp;EOMONTH($A1159,0))*0.99,100)</f>
        <v>1300</v>
      </c>
      <c r="K1159" s="113" t="s">
        <v>637</v>
      </c>
    </row>
    <row r="1160" spans="1:11" ht="15" customHeight="1">
      <c r="A1160" s="112">
        <f t="shared" si="70"/>
        <v>45962</v>
      </c>
      <c r="B1160" s="113">
        <v>6</v>
      </c>
      <c r="C1160" s="18" t="str">
        <f t="shared" si="73"/>
        <v>2010</v>
      </c>
      <c r="D1160" s="113" t="str">
        <f>_xlfn.XLOOKUP($C1160,'Cost Centers'!$A$2:$A$11,'Cost Centers'!$B$2:$B$11,"")</f>
        <v>Latin America</v>
      </c>
      <c r="E1160" s="113" t="s">
        <v>33</v>
      </c>
      <c r="F1160" s="113" t="str">
        <f>_xlfn.XLOOKUP(E1160,'Allocated Transactions'!D:D,'Allocated Transactions'!E:E,"")</f>
        <v>Utilities</v>
      </c>
      <c r="G1160" s="113" t="s">
        <v>97</v>
      </c>
      <c r="H1160" s="113"/>
      <c r="I1160" s="113" t="str">
        <f>_xlfn.XLOOKUP($C1160,'Cost Centers'!$A$2:$A$11,'Cost Centers'!$C$2:$C$11,"")</f>
        <v>Programs</v>
      </c>
      <c r="J1160" s="23">
        <f>MROUND(SUMIFS('Allocated Transactions'!$J:$J,'Allocated Transactions'!$D:$D,$E1160,'Allocated Transactions'!$C:$C,$C1160,'Allocated Transactions'!$A:$A,"&gt;="&amp;$A1160,'Allocated Transactions'!$A:$A,"&lt;="&amp;EOMONTH($A1160,0))*0.99,100)</f>
        <v>100</v>
      </c>
      <c r="K1160" s="113" t="s">
        <v>637</v>
      </c>
    </row>
    <row r="1161" spans="1:11" ht="15" customHeight="1">
      <c r="A1161" s="112">
        <f t="shared" si="70"/>
        <v>45962</v>
      </c>
      <c r="B1161" s="113">
        <v>6</v>
      </c>
      <c r="C1161" s="18" t="str">
        <f t="shared" si="73"/>
        <v>2010</v>
      </c>
      <c r="D1161" s="113" t="str">
        <f>_xlfn.XLOOKUP($C1161,'Cost Centers'!$A$2:$A$11,'Cost Centers'!$B$2:$B$11,"")</f>
        <v>Latin America</v>
      </c>
      <c r="E1161" s="113" t="s">
        <v>105</v>
      </c>
      <c r="F1161" s="113" t="str">
        <f>_xlfn.XLOOKUP(E1161,'Allocated Transactions'!D:D,'Allocated Transactions'!E:E,"")</f>
        <v>Office Supplies</v>
      </c>
      <c r="G1161" s="113" t="s">
        <v>97</v>
      </c>
      <c r="H1161" s="113"/>
      <c r="I1161" s="113" t="str">
        <f>_xlfn.XLOOKUP($C1161,'Cost Centers'!$A$2:$A$11,'Cost Centers'!$C$2:$C$11,"")</f>
        <v>Programs</v>
      </c>
      <c r="J1161" s="23">
        <f>MROUND(SUMIFS('Allocated Transactions'!$J:$J,'Allocated Transactions'!$D:$D,$E1161,'Allocated Transactions'!$C:$C,$C1161,'Allocated Transactions'!$A:$A,"&gt;="&amp;$A1161,'Allocated Transactions'!$A:$A,"&lt;="&amp;EOMONTH($A1161,0))*0.99,100)</f>
        <v>0</v>
      </c>
      <c r="K1161" s="113" t="s">
        <v>637</v>
      </c>
    </row>
    <row r="1162" spans="1:11" ht="15" customHeight="1">
      <c r="A1162" s="112">
        <f t="shared" si="70"/>
        <v>45962</v>
      </c>
      <c r="B1162" s="113">
        <v>6</v>
      </c>
      <c r="C1162" s="18" t="str">
        <f t="shared" si="73"/>
        <v>2010</v>
      </c>
      <c r="D1162" s="113" t="str">
        <f>_xlfn.XLOOKUP($C1162,'Cost Centers'!$A$2:$A$11,'Cost Centers'!$B$2:$B$11,"")</f>
        <v>Latin America</v>
      </c>
      <c r="E1162" s="113" t="s">
        <v>107</v>
      </c>
      <c r="F1162" s="113" t="str">
        <f>_xlfn.XLOOKUP(E1162,'Allocated Transactions'!D:D,'Allocated Transactions'!E:E,"")</f>
        <v>Software and Subscriptions</v>
      </c>
      <c r="G1162" s="113" t="s">
        <v>97</v>
      </c>
      <c r="H1162" s="113"/>
      <c r="I1162" s="113" t="str">
        <f>_xlfn.XLOOKUP($C1162,'Cost Centers'!$A$2:$A$11,'Cost Centers'!$C$2:$C$11,"")</f>
        <v>Programs</v>
      </c>
      <c r="J1162" s="23">
        <f>MROUND(SUMIFS('Allocated Transactions'!$J:$J,'Allocated Transactions'!$D:$D,$E1162,'Allocated Transactions'!$C:$C,$C1162,'Allocated Transactions'!$A:$A,"&gt;="&amp;$A1162,'Allocated Transactions'!$A:$A,"&lt;="&amp;EOMONTH($A1162,0))*0.99,100)</f>
        <v>0</v>
      </c>
      <c r="K1162" s="113" t="s">
        <v>637</v>
      </c>
    </row>
    <row r="1163" spans="1:11" ht="15" customHeight="1">
      <c r="A1163" s="112">
        <f t="shared" si="70"/>
        <v>45962</v>
      </c>
      <c r="B1163" s="113">
        <v>6</v>
      </c>
      <c r="C1163" s="18" t="str">
        <f t="shared" si="73"/>
        <v>2010</v>
      </c>
      <c r="D1163" s="113" t="str">
        <f>_xlfn.XLOOKUP($C1163,'Cost Centers'!$A$2:$A$11,'Cost Centers'!$B$2:$B$11,"")</f>
        <v>Latin America</v>
      </c>
      <c r="E1163" s="113" t="s">
        <v>109</v>
      </c>
      <c r="F1163" s="113" t="str">
        <f>_xlfn.XLOOKUP(E1163,'Allocated Transactions'!D:D,'Allocated Transactions'!E:E,"")</f>
        <v>Travel</v>
      </c>
      <c r="G1163" s="113" t="s">
        <v>97</v>
      </c>
      <c r="H1163" s="113"/>
      <c r="I1163" s="113" t="str">
        <f>_xlfn.XLOOKUP($C1163,'Cost Centers'!$A$2:$A$11,'Cost Centers'!$C$2:$C$11,"")</f>
        <v>Programs</v>
      </c>
      <c r="J1163" s="23">
        <f>MROUND(SUMIFS('Allocated Transactions'!$J:$J,'Allocated Transactions'!$D:$D,$E1163,'Allocated Transactions'!$C:$C,$C1163,'Allocated Transactions'!$A:$A,"&gt;="&amp;$A1163,'Allocated Transactions'!$A:$A,"&lt;="&amp;EOMONTH($A1163,0))*0.99,100)</f>
        <v>0</v>
      </c>
      <c r="K1163" s="113" t="s">
        <v>637</v>
      </c>
    </row>
    <row r="1164" spans="1:11" ht="15" customHeight="1">
      <c r="A1164" s="112">
        <f t="shared" si="70"/>
        <v>45962</v>
      </c>
      <c r="B1164" s="113">
        <v>6</v>
      </c>
      <c r="C1164" s="18" t="str">
        <f t="shared" si="73"/>
        <v>2010</v>
      </c>
      <c r="D1164" s="113" t="str">
        <f>_xlfn.XLOOKUP($C1164,'Cost Centers'!$A$2:$A$11,'Cost Centers'!$B$2:$B$11,"")</f>
        <v>Latin America</v>
      </c>
      <c r="E1164" s="113" t="s">
        <v>111</v>
      </c>
      <c r="F1164" s="113" t="str">
        <f>_xlfn.XLOOKUP(E1164,'Allocated Transactions'!D:D,'Allocated Transactions'!E:E,"")</f>
        <v>Meals and Entertainment</v>
      </c>
      <c r="G1164" s="113" t="s">
        <v>97</v>
      </c>
      <c r="H1164" s="113"/>
      <c r="I1164" s="113" t="str">
        <f>_xlfn.XLOOKUP($C1164,'Cost Centers'!$A$2:$A$11,'Cost Centers'!$C$2:$C$11,"")</f>
        <v>Programs</v>
      </c>
      <c r="J1164" s="23">
        <f>MROUND(SUMIFS('Allocated Transactions'!$J:$J,'Allocated Transactions'!$D:$D,$E1164,'Allocated Transactions'!$C:$C,$C1164,'Allocated Transactions'!$A:$A,"&gt;="&amp;$A1164,'Allocated Transactions'!$A:$A,"&lt;="&amp;EOMONTH($A1164,0))*0.99,100)</f>
        <v>0</v>
      </c>
      <c r="K1164" s="113" t="s">
        <v>637</v>
      </c>
    </row>
    <row r="1165" spans="1:11" ht="15" customHeight="1">
      <c r="A1165" s="112">
        <f t="shared" si="70"/>
        <v>45962</v>
      </c>
      <c r="B1165" s="113">
        <v>6</v>
      </c>
      <c r="C1165" s="18" t="str">
        <f t="shared" si="73"/>
        <v>2010</v>
      </c>
      <c r="D1165" s="113" t="str">
        <f>_xlfn.XLOOKUP($C1165,'Cost Centers'!$A$2:$A$11,'Cost Centers'!$B$2:$B$11,"")</f>
        <v>Latin America</v>
      </c>
      <c r="E1165" s="113" t="s">
        <v>113</v>
      </c>
      <c r="F1165" s="113" t="str">
        <f>_xlfn.XLOOKUP(E1165,'Allocated Transactions'!D:D,'Allocated Transactions'!E:E,"")</f>
        <v>Professional Fees - Legal</v>
      </c>
      <c r="G1165" s="113" t="s">
        <v>97</v>
      </c>
      <c r="H1165" s="113"/>
      <c r="I1165" s="113" t="str">
        <f>_xlfn.XLOOKUP($C1165,'Cost Centers'!$A$2:$A$11,'Cost Centers'!$C$2:$C$11,"")</f>
        <v>Programs</v>
      </c>
      <c r="J1165" s="23">
        <f>MROUND(SUMIFS('Allocated Transactions'!$J:$J,'Allocated Transactions'!$D:$D,$E1165,'Allocated Transactions'!$C:$C,$C1165,'Allocated Transactions'!$A:$A,"&gt;="&amp;$A1165,'Allocated Transactions'!$A:$A,"&lt;="&amp;EOMONTH($A1165,0))*0.99,100)</f>
        <v>0</v>
      </c>
      <c r="K1165" s="113" t="s">
        <v>637</v>
      </c>
    </row>
    <row r="1166" spans="1:11" ht="15" customHeight="1">
      <c r="A1166" s="112">
        <f t="shared" si="70"/>
        <v>45962</v>
      </c>
      <c r="B1166" s="113">
        <v>6</v>
      </c>
      <c r="C1166" s="18" t="str">
        <f t="shared" si="73"/>
        <v>2010</v>
      </c>
      <c r="D1166" s="113" t="str">
        <f>_xlfn.XLOOKUP($C1166,'Cost Centers'!$A$2:$A$11,'Cost Centers'!$B$2:$B$11,"")</f>
        <v>Latin America</v>
      </c>
      <c r="E1166" s="113" t="s">
        <v>115</v>
      </c>
      <c r="F1166" s="113" t="str">
        <f>_xlfn.XLOOKUP(E1166,'Allocated Transactions'!D:D,'Allocated Transactions'!E:E,"")</f>
        <v>Professional Fees - Accounting/Audit</v>
      </c>
      <c r="G1166" s="113" t="s">
        <v>97</v>
      </c>
      <c r="H1166" s="113"/>
      <c r="I1166" s="113" t="str">
        <f>_xlfn.XLOOKUP($C1166,'Cost Centers'!$A$2:$A$11,'Cost Centers'!$C$2:$C$11,"")</f>
        <v>Programs</v>
      </c>
      <c r="J1166" s="23">
        <f>MROUND(SUMIFS('Allocated Transactions'!$J:$J,'Allocated Transactions'!$D:$D,$E1166,'Allocated Transactions'!$C:$C,$C1166,'Allocated Transactions'!$A:$A,"&gt;="&amp;$A1166,'Allocated Transactions'!$A:$A,"&lt;="&amp;EOMONTH($A1166,0))*0.99,100)</f>
        <v>0</v>
      </c>
      <c r="K1166" s="113" t="s">
        <v>637</v>
      </c>
    </row>
    <row r="1167" spans="1:11" ht="15" customHeight="1">
      <c r="A1167" s="112">
        <f t="shared" si="70"/>
        <v>45962</v>
      </c>
      <c r="B1167" s="113">
        <v>6</v>
      </c>
      <c r="C1167" s="18" t="str">
        <f t="shared" si="73"/>
        <v>2010</v>
      </c>
      <c r="D1167" s="113" t="str">
        <f>_xlfn.XLOOKUP($C1167,'Cost Centers'!$A$2:$A$11,'Cost Centers'!$B$2:$B$11,"")</f>
        <v>Latin America</v>
      </c>
      <c r="E1167" s="113" t="s">
        <v>117</v>
      </c>
      <c r="F1167" s="113" t="str">
        <f>_xlfn.XLOOKUP(E1167,'Allocated Transactions'!D:D,'Allocated Transactions'!E:E,"")</f>
        <v>Insurance</v>
      </c>
      <c r="G1167" s="113" t="s">
        <v>97</v>
      </c>
      <c r="H1167" s="113"/>
      <c r="I1167" s="113" t="str">
        <f>_xlfn.XLOOKUP($C1167,'Cost Centers'!$A$2:$A$11,'Cost Centers'!$C$2:$C$11,"")</f>
        <v>Programs</v>
      </c>
      <c r="J1167" s="23">
        <f>MROUND(SUMIFS('Allocated Transactions'!$J:$J,'Allocated Transactions'!$D:$D,$E1167,'Allocated Transactions'!$C:$C,$C1167,'Allocated Transactions'!$A:$A,"&gt;="&amp;$A1167,'Allocated Transactions'!$A:$A,"&lt;="&amp;EOMONTH($A1167,0))*0.99,100)</f>
        <v>100</v>
      </c>
      <c r="K1167" s="113" t="s">
        <v>637</v>
      </c>
    </row>
    <row r="1168" spans="1:11" ht="15" customHeight="1">
      <c r="A1168" s="112">
        <f t="shared" si="70"/>
        <v>45962</v>
      </c>
      <c r="B1168" s="113">
        <v>6</v>
      </c>
      <c r="C1168" s="18" t="str">
        <f t="shared" si="73"/>
        <v>2010</v>
      </c>
      <c r="D1168" s="113" t="str">
        <f>_xlfn.XLOOKUP($C1168,'Cost Centers'!$A$2:$A$11,'Cost Centers'!$B$2:$B$11,"")</f>
        <v>Latin America</v>
      </c>
      <c r="E1168" s="113" t="s">
        <v>119</v>
      </c>
      <c r="F1168" s="113" t="str">
        <f>_xlfn.XLOOKUP(E1168,'Allocated Transactions'!D:D,'Allocated Transactions'!E:E,"")</f>
        <v>Depreciation Expense</v>
      </c>
      <c r="G1168" s="113" t="s">
        <v>97</v>
      </c>
      <c r="H1168" s="113"/>
      <c r="I1168" s="113" t="str">
        <f>_xlfn.XLOOKUP($C1168,'Cost Centers'!$A$2:$A$11,'Cost Centers'!$C$2:$C$11,"")</f>
        <v>Programs</v>
      </c>
      <c r="J1168" s="23">
        <f>MROUND(SUMIFS('Allocated Transactions'!$J:$J,'Allocated Transactions'!$D:$D,$E1168,'Allocated Transactions'!$C:$C,$C1168,'Allocated Transactions'!$A:$A,"&gt;="&amp;$A1168,'Allocated Transactions'!$A:$A,"&lt;="&amp;EOMONTH($A1168,0))*0.99,100)</f>
        <v>0</v>
      </c>
      <c r="K1168" s="113" t="s">
        <v>637</v>
      </c>
    </row>
    <row r="1169" spans="1:11" ht="15" customHeight="1">
      <c r="A1169" s="112">
        <f t="shared" si="70"/>
        <v>45962</v>
      </c>
      <c r="B1169" s="113">
        <v>6</v>
      </c>
      <c r="C1169" s="18" t="str">
        <f t="shared" si="73"/>
        <v>2010</v>
      </c>
      <c r="D1169" s="113" t="str">
        <f>_xlfn.XLOOKUP($C1169,'Cost Centers'!$A$2:$A$11,'Cost Centers'!$B$2:$B$11,"")</f>
        <v>Latin America</v>
      </c>
      <c r="E1169" s="113" t="s">
        <v>121</v>
      </c>
      <c r="F1169" s="113" t="str">
        <f>_xlfn.XLOOKUP(E1169,'Allocated Transactions'!D:D,'Allocated Transactions'!E:E,"")</f>
        <v>Bank Fees</v>
      </c>
      <c r="G1169" s="113" t="s">
        <v>97</v>
      </c>
      <c r="H1169" s="113"/>
      <c r="I1169" s="113" t="str">
        <f>_xlfn.XLOOKUP($C1169,'Cost Centers'!$A$2:$A$11,'Cost Centers'!$C$2:$C$11,"")</f>
        <v>Programs</v>
      </c>
      <c r="J1169" s="23">
        <f>MROUND(SUMIFS('Allocated Transactions'!$J:$J,'Allocated Transactions'!$D:$D,$E1169,'Allocated Transactions'!$C:$C,$C1169,'Allocated Transactions'!$A:$A,"&gt;="&amp;$A1169,'Allocated Transactions'!$A:$A,"&lt;="&amp;EOMONTH($A1169,0))*0.99,100)</f>
        <v>0</v>
      </c>
      <c r="K1169" s="113" t="s">
        <v>637</v>
      </c>
    </row>
    <row r="1170" spans="1:11" ht="15" customHeight="1">
      <c r="A1170" s="112">
        <f t="shared" si="70"/>
        <v>45962</v>
      </c>
      <c r="B1170" s="113">
        <v>6</v>
      </c>
      <c r="C1170" s="18" t="str">
        <f t="shared" si="73"/>
        <v>2010</v>
      </c>
      <c r="D1170" s="113" t="str">
        <f>_xlfn.XLOOKUP($C1170,'Cost Centers'!$A$2:$A$11,'Cost Centers'!$B$2:$B$11,"")</f>
        <v>Latin America</v>
      </c>
      <c r="E1170" s="113" t="s">
        <v>123</v>
      </c>
      <c r="F1170" s="113" t="str">
        <f>_xlfn.XLOOKUP(E1170,'Allocated Transactions'!D:D,'Allocated Transactions'!E:E,"")</f>
        <v>Interest Expense</v>
      </c>
      <c r="G1170" s="113" t="s">
        <v>97</v>
      </c>
      <c r="H1170" s="113"/>
      <c r="I1170" s="113" t="str">
        <f>_xlfn.XLOOKUP($C1170,'Cost Centers'!$A$2:$A$11,'Cost Centers'!$C$2:$C$11,"")</f>
        <v>Programs</v>
      </c>
      <c r="J1170" s="23">
        <f>MROUND(SUMIFS('Allocated Transactions'!$J:$J,'Allocated Transactions'!$D:$D,$E1170,'Allocated Transactions'!$C:$C,$C1170,'Allocated Transactions'!$A:$A,"&gt;="&amp;$A1170,'Allocated Transactions'!$A:$A,"&lt;="&amp;EOMONTH($A1170,0))*0.99,100)</f>
        <v>0</v>
      </c>
      <c r="K1170" s="113" t="s">
        <v>637</v>
      </c>
    </row>
    <row r="1171" spans="1:11" ht="15" customHeight="1">
      <c r="A1171" s="112">
        <f t="shared" si="70"/>
        <v>45962</v>
      </c>
      <c r="B1171" s="113">
        <v>6</v>
      </c>
      <c r="C1171" s="18" t="str">
        <f t="shared" si="73"/>
        <v>2010</v>
      </c>
      <c r="D1171" s="113" t="str">
        <f>_xlfn.XLOOKUP($C1171,'Cost Centers'!$A$2:$A$11,'Cost Centers'!$B$2:$B$11,"")</f>
        <v>Latin America</v>
      </c>
      <c r="E1171" s="113" t="s">
        <v>125</v>
      </c>
      <c r="F1171" s="113" t="str">
        <f>_xlfn.XLOOKUP(E1171,'Allocated Transactions'!D:D,'Allocated Transactions'!E:E,"")</f>
        <v>Miscellaneous Expense</v>
      </c>
      <c r="G1171" s="113" t="s">
        <v>97</v>
      </c>
      <c r="H1171" s="113"/>
      <c r="I1171" s="113" t="str">
        <f>_xlfn.XLOOKUP($C1171,'Cost Centers'!$A$2:$A$11,'Cost Centers'!$C$2:$C$11,"")</f>
        <v>Programs</v>
      </c>
      <c r="J1171" s="23">
        <f>MROUND(SUMIFS('Allocated Transactions'!$J:$J,'Allocated Transactions'!$D:$D,$E1171,'Allocated Transactions'!$C:$C,$C1171,'Allocated Transactions'!$A:$A,"&gt;="&amp;$A1171,'Allocated Transactions'!$A:$A,"&lt;="&amp;EOMONTH($A1171,0))*0.99,100)</f>
        <v>0</v>
      </c>
      <c r="K1171" s="113" t="s">
        <v>637</v>
      </c>
    </row>
    <row r="1172" spans="1:11" ht="15" customHeight="1">
      <c r="A1172" s="112">
        <f t="shared" si="70"/>
        <v>45992</v>
      </c>
      <c r="B1172" s="113">
        <v>6</v>
      </c>
      <c r="C1172" s="18" t="s">
        <v>12</v>
      </c>
      <c r="D1172" s="113" t="str">
        <f>_xlfn.XLOOKUP($C1172,'Cost Centers'!$A$2:$A$11,'Cost Centers'!$B$2:$B$11,"")</f>
        <v>Latin America</v>
      </c>
      <c r="E1172" s="113" t="s">
        <v>28</v>
      </c>
      <c r="F1172" s="113" t="str">
        <f>_xlfn.XLOOKUP(E1172,'Allocated Transactions'!D:D,'Allocated Transactions'!E:E,"")</f>
        <v>Salaries and Wages</v>
      </c>
      <c r="G1172" s="113" t="s">
        <v>97</v>
      </c>
      <c r="H1172" s="113"/>
      <c r="I1172" s="113" t="str">
        <f>_xlfn.XLOOKUP($C1172,'Cost Centers'!$A$2:$A$11,'Cost Centers'!$C$2:$C$11,"")</f>
        <v>Programs</v>
      </c>
      <c r="J1172" s="23">
        <f>MROUND(SUMIFS('Allocated Transactions'!$J:$J,'Allocated Transactions'!$D:$D,$E1172,'Allocated Transactions'!$C:$C,$C1172,'Allocated Transactions'!$A:$A,"&gt;="&amp;$A1172,'Allocated Transactions'!$A:$A,"&lt;="&amp;EOMONTH($A1172,0))*0.99,100)</f>
        <v>16900</v>
      </c>
      <c r="K1172" s="113" t="s">
        <v>637</v>
      </c>
    </row>
    <row r="1173" spans="1:11" ht="15" customHeight="1">
      <c r="A1173" s="112">
        <f t="shared" si="70"/>
        <v>45992</v>
      </c>
      <c r="B1173" s="113">
        <v>6</v>
      </c>
      <c r="C1173" s="18" t="str">
        <f t="shared" ref="C1173:C1189" si="74">C1172</f>
        <v>2010</v>
      </c>
      <c r="D1173" s="113" t="str">
        <f>_xlfn.XLOOKUP($C1173,'Cost Centers'!$A$2:$A$11,'Cost Centers'!$B$2:$B$11,"")</f>
        <v>Latin America</v>
      </c>
      <c r="E1173" s="113" t="s">
        <v>29</v>
      </c>
      <c r="F1173" s="113" t="str">
        <f>_xlfn.XLOOKUP(E1173,'Allocated Transactions'!D:D,'Allocated Transactions'!E:E,"")</f>
        <v>Payroll Taxes</v>
      </c>
      <c r="G1173" s="113" t="s">
        <v>97</v>
      </c>
      <c r="H1173" s="113"/>
      <c r="I1173" s="113" t="str">
        <f>_xlfn.XLOOKUP($C1173,'Cost Centers'!$A$2:$A$11,'Cost Centers'!$C$2:$C$11,"")</f>
        <v>Programs</v>
      </c>
      <c r="J1173" s="23">
        <f>MROUND(SUMIFS('Allocated Transactions'!$J:$J,'Allocated Transactions'!$D:$D,$E1173,'Allocated Transactions'!$C:$C,$C1173,'Allocated Transactions'!$A:$A,"&gt;="&amp;$A1173,'Allocated Transactions'!$A:$A,"&lt;="&amp;EOMONTH($A1173,0))*0.99,100)</f>
        <v>1300</v>
      </c>
      <c r="K1173" s="113" t="s">
        <v>637</v>
      </c>
    </row>
    <row r="1174" spans="1:11" ht="15" customHeight="1">
      <c r="A1174" s="112">
        <f t="shared" si="70"/>
        <v>45992</v>
      </c>
      <c r="B1174" s="113">
        <v>6</v>
      </c>
      <c r="C1174" s="18" t="str">
        <f t="shared" si="74"/>
        <v>2010</v>
      </c>
      <c r="D1174" s="113" t="str">
        <f>_xlfn.XLOOKUP($C1174,'Cost Centers'!$A$2:$A$11,'Cost Centers'!$B$2:$B$11,"")</f>
        <v>Latin America</v>
      </c>
      <c r="E1174" s="113" t="s">
        <v>30</v>
      </c>
      <c r="F1174" s="113" t="str">
        <f>_xlfn.XLOOKUP(E1174,'Allocated Transactions'!D:D,'Allocated Transactions'!E:E,"")</f>
        <v>Employee Benefits</v>
      </c>
      <c r="G1174" s="113" t="s">
        <v>97</v>
      </c>
      <c r="H1174" s="113"/>
      <c r="I1174" s="113" t="str">
        <f>_xlfn.XLOOKUP($C1174,'Cost Centers'!$A$2:$A$11,'Cost Centers'!$C$2:$C$11,"")</f>
        <v>Programs</v>
      </c>
      <c r="J1174" s="23">
        <f>MROUND(SUMIFS('Allocated Transactions'!$J:$J,'Allocated Transactions'!$D:$D,$E1174,'Allocated Transactions'!$C:$C,$C1174,'Allocated Transactions'!$A:$A,"&gt;="&amp;$A1174,'Allocated Transactions'!$A:$A,"&lt;="&amp;EOMONTH($A1174,0))*0.99,100)</f>
        <v>6500</v>
      </c>
      <c r="K1174" s="113" t="s">
        <v>637</v>
      </c>
    </row>
    <row r="1175" spans="1:11" ht="15" customHeight="1">
      <c r="A1175" s="112">
        <f t="shared" si="70"/>
        <v>45992</v>
      </c>
      <c r="B1175" s="113">
        <v>6</v>
      </c>
      <c r="C1175" s="18" t="str">
        <f t="shared" si="74"/>
        <v>2010</v>
      </c>
      <c r="D1175" s="113" t="str">
        <f>_xlfn.XLOOKUP($C1175,'Cost Centers'!$A$2:$A$11,'Cost Centers'!$B$2:$B$11,"")</f>
        <v>Latin America</v>
      </c>
      <c r="E1175" s="113" t="s">
        <v>31</v>
      </c>
      <c r="F1175" s="113" t="str">
        <f>_xlfn.XLOOKUP(E1175,'Allocated Transactions'!D:D,'Allocated Transactions'!E:E,"")</f>
        <v>Retirement Contributions</v>
      </c>
      <c r="G1175" s="113" t="s">
        <v>97</v>
      </c>
      <c r="H1175" s="113"/>
      <c r="I1175" s="113" t="str">
        <f>_xlfn.XLOOKUP($C1175,'Cost Centers'!$A$2:$A$11,'Cost Centers'!$C$2:$C$11,"")</f>
        <v>Programs</v>
      </c>
      <c r="J1175" s="23">
        <f>MROUND(SUMIFS('Allocated Transactions'!$J:$J,'Allocated Transactions'!$D:$D,$E1175,'Allocated Transactions'!$C:$C,$C1175,'Allocated Transactions'!$A:$A,"&gt;="&amp;$A1175,'Allocated Transactions'!$A:$A,"&lt;="&amp;EOMONTH($A1175,0))*0.99,100)</f>
        <v>500</v>
      </c>
      <c r="K1175" s="113" t="s">
        <v>637</v>
      </c>
    </row>
    <row r="1176" spans="1:11" ht="15" customHeight="1">
      <c r="A1176" s="112">
        <f t="shared" si="70"/>
        <v>45992</v>
      </c>
      <c r="B1176" s="113">
        <v>6</v>
      </c>
      <c r="C1176" s="18" t="str">
        <f t="shared" si="74"/>
        <v>2010</v>
      </c>
      <c r="D1176" s="113" t="str">
        <f>_xlfn.XLOOKUP($C1176,'Cost Centers'!$A$2:$A$11,'Cost Centers'!$B$2:$B$11,"")</f>
        <v>Latin America</v>
      </c>
      <c r="E1176" s="113" t="s">
        <v>101</v>
      </c>
      <c r="F1176" s="113" t="str">
        <f>_xlfn.XLOOKUP(E1176,'Allocated Transactions'!D:D,'Allocated Transactions'!E:E,"")</f>
        <v>Contract Labor / Consultants</v>
      </c>
      <c r="G1176" s="113" t="s">
        <v>97</v>
      </c>
      <c r="H1176" s="113"/>
      <c r="I1176" s="113" t="str">
        <f>_xlfn.XLOOKUP($C1176,'Cost Centers'!$A$2:$A$11,'Cost Centers'!$C$2:$C$11,"")</f>
        <v>Programs</v>
      </c>
      <c r="J1176" s="23">
        <f>MROUND(SUMIFS('Allocated Transactions'!$J:$J,'Allocated Transactions'!$D:$D,$E1176,'Allocated Transactions'!$C:$C,$C1176,'Allocated Transactions'!$A:$A,"&gt;="&amp;$A1176,'Allocated Transactions'!$A:$A,"&lt;="&amp;EOMONTH($A1176,0))*0.99,100)</f>
        <v>0</v>
      </c>
      <c r="K1176" s="113" t="s">
        <v>637</v>
      </c>
    </row>
    <row r="1177" spans="1:11" ht="15" customHeight="1">
      <c r="A1177" s="112">
        <f t="shared" ref="A1177:A1240" si="75">IF(C1177&lt;&gt;C1176,DATE(2025,7,1),IF(E1177="5000",EOMONTH(A1176,0)+1,A1176))</f>
        <v>45992</v>
      </c>
      <c r="B1177" s="113">
        <v>6</v>
      </c>
      <c r="C1177" s="18" t="str">
        <f t="shared" si="74"/>
        <v>2010</v>
      </c>
      <c r="D1177" s="113" t="str">
        <f>_xlfn.XLOOKUP($C1177,'Cost Centers'!$A$2:$A$11,'Cost Centers'!$B$2:$B$11,"")</f>
        <v>Latin America</v>
      </c>
      <c r="E1177" s="113" t="s">
        <v>32</v>
      </c>
      <c r="F1177" s="113" t="str">
        <f>_xlfn.XLOOKUP(E1177,'Allocated Transactions'!D:D,'Allocated Transactions'!E:E,"")</f>
        <v>Rent</v>
      </c>
      <c r="G1177" s="113" t="s">
        <v>97</v>
      </c>
      <c r="H1177" s="113"/>
      <c r="I1177" s="113" t="str">
        <f>_xlfn.XLOOKUP($C1177,'Cost Centers'!$A$2:$A$11,'Cost Centers'!$C$2:$C$11,"")</f>
        <v>Programs</v>
      </c>
      <c r="J1177" s="23">
        <f>MROUND(SUMIFS('Allocated Transactions'!$J:$J,'Allocated Transactions'!$D:$D,$E1177,'Allocated Transactions'!$C:$C,$C1177,'Allocated Transactions'!$A:$A,"&gt;="&amp;$A1177,'Allocated Transactions'!$A:$A,"&lt;="&amp;EOMONTH($A1177,0))*0.99,100)</f>
        <v>1300</v>
      </c>
      <c r="K1177" s="113" t="s">
        <v>637</v>
      </c>
    </row>
    <row r="1178" spans="1:11" ht="15" customHeight="1">
      <c r="A1178" s="112">
        <f t="shared" si="75"/>
        <v>45992</v>
      </c>
      <c r="B1178" s="113">
        <v>6</v>
      </c>
      <c r="C1178" s="18" t="str">
        <f t="shared" si="74"/>
        <v>2010</v>
      </c>
      <c r="D1178" s="113" t="str">
        <f>_xlfn.XLOOKUP($C1178,'Cost Centers'!$A$2:$A$11,'Cost Centers'!$B$2:$B$11,"")</f>
        <v>Latin America</v>
      </c>
      <c r="E1178" s="113" t="s">
        <v>33</v>
      </c>
      <c r="F1178" s="113" t="str">
        <f>_xlfn.XLOOKUP(E1178,'Allocated Transactions'!D:D,'Allocated Transactions'!E:E,"")</f>
        <v>Utilities</v>
      </c>
      <c r="G1178" s="113" t="s">
        <v>97</v>
      </c>
      <c r="H1178" s="113"/>
      <c r="I1178" s="113" t="str">
        <f>_xlfn.XLOOKUP($C1178,'Cost Centers'!$A$2:$A$11,'Cost Centers'!$C$2:$C$11,"")</f>
        <v>Programs</v>
      </c>
      <c r="J1178" s="23">
        <f>MROUND(SUMIFS('Allocated Transactions'!$J:$J,'Allocated Transactions'!$D:$D,$E1178,'Allocated Transactions'!$C:$C,$C1178,'Allocated Transactions'!$A:$A,"&gt;="&amp;$A1178,'Allocated Transactions'!$A:$A,"&lt;="&amp;EOMONTH($A1178,0))*0.99,100)</f>
        <v>200</v>
      </c>
      <c r="K1178" s="113" t="s">
        <v>637</v>
      </c>
    </row>
    <row r="1179" spans="1:11" ht="15" customHeight="1">
      <c r="A1179" s="112">
        <f t="shared" si="75"/>
        <v>45992</v>
      </c>
      <c r="B1179" s="113">
        <v>6</v>
      </c>
      <c r="C1179" s="18" t="str">
        <f t="shared" si="74"/>
        <v>2010</v>
      </c>
      <c r="D1179" s="113" t="str">
        <f>_xlfn.XLOOKUP($C1179,'Cost Centers'!$A$2:$A$11,'Cost Centers'!$B$2:$B$11,"")</f>
        <v>Latin America</v>
      </c>
      <c r="E1179" s="113" t="s">
        <v>105</v>
      </c>
      <c r="F1179" s="113" t="str">
        <f>_xlfn.XLOOKUP(E1179,'Allocated Transactions'!D:D,'Allocated Transactions'!E:E,"")</f>
        <v>Office Supplies</v>
      </c>
      <c r="G1179" s="113" t="s">
        <v>97</v>
      </c>
      <c r="H1179" s="113"/>
      <c r="I1179" s="113" t="str">
        <f>_xlfn.XLOOKUP($C1179,'Cost Centers'!$A$2:$A$11,'Cost Centers'!$C$2:$C$11,"")</f>
        <v>Programs</v>
      </c>
      <c r="J1179" s="23">
        <f>MROUND(SUMIFS('Allocated Transactions'!$J:$J,'Allocated Transactions'!$D:$D,$E1179,'Allocated Transactions'!$C:$C,$C1179,'Allocated Transactions'!$A:$A,"&gt;="&amp;$A1179,'Allocated Transactions'!$A:$A,"&lt;="&amp;EOMONTH($A1179,0))*0.99,100)</f>
        <v>0</v>
      </c>
      <c r="K1179" s="113" t="s">
        <v>637</v>
      </c>
    </row>
    <row r="1180" spans="1:11" ht="15" customHeight="1">
      <c r="A1180" s="112">
        <f t="shared" si="75"/>
        <v>45992</v>
      </c>
      <c r="B1180" s="113">
        <v>6</v>
      </c>
      <c r="C1180" s="18" t="str">
        <f t="shared" si="74"/>
        <v>2010</v>
      </c>
      <c r="D1180" s="113" t="str">
        <f>_xlfn.XLOOKUP($C1180,'Cost Centers'!$A$2:$A$11,'Cost Centers'!$B$2:$B$11,"")</f>
        <v>Latin America</v>
      </c>
      <c r="E1180" s="113" t="s">
        <v>107</v>
      </c>
      <c r="F1180" s="113" t="str">
        <f>_xlfn.XLOOKUP(E1180,'Allocated Transactions'!D:D,'Allocated Transactions'!E:E,"")</f>
        <v>Software and Subscriptions</v>
      </c>
      <c r="G1180" s="113" t="s">
        <v>97</v>
      </c>
      <c r="H1180" s="113"/>
      <c r="I1180" s="113" t="str">
        <f>_xlfn.XLOOKUP($C1180,'Cost Centers'!$A$2:$A$11,'Cost Centers'!$C$2:$C$11,"")</f>
        <v>Programs</v>
      </c>
      <c r="J1180" s="23">
        <f>MROUND(SUMIFS('Allocated Transactions'!$J:$J,'Allocated Transactions'!$D:$D,$E1180,'Allocated Transactions'!$C:$C,$C1180,'Allocated Transactions'!$A:$A,"&gt;="&amp;$A1180,'Allocated Transactions'!$A:$A,"&lt;="&amp;EOMONTH($A1180,0))*0.99,100)</f>
        <v>0</v>
      </c>
      <c r="K1180" s="113" t="s">
        <v>637</v>
      </c>
    </row>
    <row r="1181" spans="1:11" ht="15" customHeight="1">
      <c r="A1181" s="112">
        <f t="shared" si="75"/>
        <v>45992</v>
      </c>
      <c r="B1181" s="113">
        <v>6</v>
      </c>
      <c r="C1181" s="18" t="str">
        <f t="shared" si="74"/>
        <v>2010</v>
      </c>
      <c r="D1181" s="113" t="str">
        <f>_xlfn.XLOOKUP($C1181,'Cost Centers'!$A$2:$A$11,'Cost Centers'!$B$2:$B$11,"")</f>
        <v>Latin America</v>
      </c>
      <c r="E1181" s="113" t="s">
        <v>109</v>
      </c>
      <c r="F1181" s="113" t="str">
        <f>_xlfn.XLOOKUP(E1181,'Allocated Transactions'!D:D,'Allocated Transactions'!E:E,"")</f>
        <v>Travel</v>
      </c>
      <c r="G1181" s="113" t="s">
        <v>97</v>
      </c>
      <c r="H1181" s="113"/>
      <c r="I1181" s="113" t="str">
        <f>_xlfn.XLOOKUP($C1181,'Cost Centers'!$A$2:$A$11,'Cost Centers'!$C$2:$C$11,"")</f>
        <v>Programs</v>
      </c>
      <c r="J1181" s="23">
        <f>MROUND(SUMIFS('Allocated Transactions'!$J:$J,'Allocated Transactions'!$D:$D,$E1181,'Allocated Transactions'!$C:$C,$C1181,'Allocated Transactions'!$A:$A,"&gt;="&amp;$A1181,'Allocated Transactions'!$A:$A,"&lt;="&amp;EOMONTH($A1181,0))*0.99,100)</f>
        <v>0</v>
      </c>
      <c r="K1181" s="113" t="s">
        <v>637</v>
      </c>
    </row>
    <row r="1182" spans="1:11" ht="15" customHeight="1">
      <c r="A1182" s="112">
        <f t="shared" si="75"/>
        <v>45992</v>
      </c>
      <c r="B1182" s="113">
        <v>6</v>
      </c>
      <c r="C1182" s="18" t="str">
        <f t="shared" si="74"/>
        <v>2010</v>
      </c>
      <c r="D1182" s="113" t="str">
        <f>_xlfn.XLOOKUP($C1182,'Cost Centers'!$A$2:$A$11,'Cost Centers'!$B$2:$B$11,"")</f>
        <v>Latin America</v>
      </c>
      <c r="E1182" s="113" t="s">
        <v>111</v>
      </c>
      <c r="F1182" s="113" t="str">
        <f>_xlfn.XLOOKUP(E1182,'Allocated Transactions'!D:D,'Allocated Transactions'!E:E,"")</f>
        <v>Meals and Entertainment</v>
      </c>
      <c r="G1182" s="113" t="s">
        <v>97</v>
      </c>
      <c r="H1182" s="113"/>
      <c r="I1182" s="113" t="str">
        <f>_xlfn.XLOOKUP($C1182,'Cost Centers'!$A$2:$A$11,'Cost Centers'!$C$2:$C$11,"")</f>
        <v>Programs</v>
      </c>
      <c r="J1182" s="23">
        <f>MROUND(SUMIFS('Allocated Transactions'!$J:$J,'Allocated Transactions'!$D:$D,$E1182,'Allocated Transactions'!$C:$C,$C1182,'Allocated Transactions'!$A:$A,"&gt;="&amp;$A1182,'Allocated Transactions'!$A:$A,"&lt;="&amp;EOMONTH($A1182,0))*0.99,100)</f>
        <v>0</v>
      </c>
      <c r="K1182" s="113" t="s">
        <v>637</v>
      </c>
    </row>
    <row r="1183" spans="1:11" ht="15" customHeight="1">
      <c r="A1183" s="112">
        <f t="shared" si="75"/>
        <v>45992</v>
      </c>
      <c r="B1183" s="113">
        <v>6</v>
      </c>
      <c r="C1183" s="18" t="str">
        <f t="shared" si="74"/>
        <v>2010</v>
      </c>
      <c r="D1183" s="113" t="str">
        <f>_xlfn.XLOOKUP($C1183,'Cost Centers'!$A$2:$A$11,'Cost Centers'!$B$2:$B$11,"")</f>
        <v>Latin America</v>
      </c>
      <c r="E1183" s="113" t="s">
        <v>113</v>
      </c>
      <c r="F1183" s="113" t="str">
        <f>_xlfn.XLOOKUP(E1183,'Allocated Transactions'!D:D,'Allocated Transactions'!E:E,"")</f>
        <v>Professional Fees - Legal</v>
      </c>
      <c r="G1183" s="113" t="s">
        <v>97</v>
      </c>
      <c r="H1183" s="113"/>
      <c r="I1183" s="113" t="str">
        <f>_xlfn.XLOOKUP($C1183,'Cost Centers'!$A$2:$A$11,'Cost Centers'!$C$2:$C$11,"")</f>
        <v>Programs</v>
      </c>
      <c r="J1183" s="23">
        <f>MROUND(SUMIFS('Allocated Transactions'!$J:$J,'Allocated Transactions'!$D:$D,$E1183,'Allocated Transactions'!$C:$C,$C1183,'Allocated Transactions'!$A:$A,"&gt;="&amp;$A1183,'Allocated Transactions'!$A:$A,"&lt;="&amp;EOMONTH($A1183,0))*0.99,100)</f>
        <v>0</v>
      </c>
      <c r="K1183" s="113" t="s">
        <v>637</v>
      </c>
    </row>
    <row r="1184" spans="1:11" ht="15" customHeight="1">
      <c r="A1184" s="112">
        <f t="shared" si="75"/>
        <v>45992</v>
      </c>
      <c r="B1184" s="113">
        <v>6</v>
      </c>
      <c r="C1184" s="18" t="str">
        <f t="shared" si="74"/>
        <v>2010</v>
      </c>
      <c r="D1184" s="113" t="str">
        <f>_xlfn.XLOOKUP($C1184,'Cost Centers'!$A$2:$A$11,'Cost Centers'!$B$2:$B$11,"")</f>
        <v>Latin America</v>
      </c>
      <c r="E1184" s="113" t="s">
        <v>115</v>
      </c>
      <c r="F1184" s="113" t="str">
        <f>_xlfn.XLOOKUP(E1184,'Allocated Transactions'!D:D,'Allocated Transactions'!E:E,"")</f>
        <v>Professional Fees - Accounting/Audit</v>
      </c>
      <c r="G1184" s="113" t="s">
        <v>97</v>
      </c>
      <c r="H1184" s="113"/>
      <c r="I1184" s="113" t="str">
        <f>_xlfn.XLOOKUP($C1184,'Cost Centers'!$A$2:$A$11,'Cost Centers'!$C$2:$C$11,"")</f>
        <v>Programs</v>
      </c>
      <c r="J1184" s="23">
        <f>MROUND(SUMIFS('Allocated Transactions'!$J:$J,'Allocated Transactions'!$D:$D,$E1184,'Allocated Transactions'!$C:$C,$C1184,'Allocated Transactions'!$A:$A,"&gt;="&amp;$A1184,'Allocated Transactions'!$A:$A,"&lt;="&amp;EOMONTH($A1184,0))*0.99,100)</f>
        <v>0</v>
      </c>
      <c r="K1184" s="113" t="s">
        <v>637</v>
      </c>
    </row>
    <row r="1185" spans="1:11" ht="15" customHeight="1">
      <c r="A1185" s="112">
        <f t="shared" si="75"/>
        <v>45992</v>
      </c>
      <c r="B1185" s="113">
        <v>6</v>
      </c>
      <c r="C1185" s="18" t="str">
        <f t="shared" si="74"/>
        <v>2010</v>
      </c>
      <c r="D1185" s="113" t="str">
        <f>_xlfn.XLOOKUP($C1185,'Cost Centers'!$A$2:$A$11,'Cost Centers'!$B$2:$B$11,"")</f>
        <v>Latin America</v>
      </c>
      <c r="E1185" s="113" t="s">
        <v>117</v>
      </c>
      <c r="F1185" s="113" t="str">
        <f>_xlfn.XLOOKUP(E1185,'Allocated Transactions'!D:D,'Allocated Transactions'!E:E,"")</f>
        <v>Insurance</v>
      </c>
      <c r="G1185" s="113" t="s">
        <v>97</v>
      </c>
      <c r="H1185" s="113"/>
      <c r="I1185" s="113" t="str">
        <f>_xlfn.XLOOKUP($C1185,'Cost Centers'!$A$2:$A$11,'Cost Centers'!$C$2:$C$11,"")</f>
        <v>Programs</v>
      </c>
      <c r="J1185" s="23">
        <f>MROUND(SUMIFS('Allocated Transactions'!$J:$J,'Allocated Transactions'!$D:$D,$E1185,'Allocated Transactions'!$C:$C,$C1185,'Allocated Transactions'!$A:$A,"&gt;="&amp;$A1185,'Allocated Transactions'!$A:$A,"&lt;="&amp;EOMONTH($A1185,0))*0.99,100)</f>
        <v>100</v>
      </c>
      <c r="K1185" s="113" t="s">
        <v>637</v>
      </c>
    </row>
    <row r="1186" spans="1:11" ht="15" customHeight="1">
      <c r="A1186" s="112">
        <f t="shared" si="75"/>
        <v>45992</v>
      </c>
      <c r="B1186" s="113">
        <v>6</v>
      </c>
      <c r="C1186" s="18" t="str">
        <f t="shared" si="74"/>
        <v>2010</v>
      </c>
      <c r="D1186" s="113" t="str">
        <f>_xlfn.XLOOKUP($C1186,'Cost Centers'!$A$2:$A$11,'Cost Centers'!$B$2:$B$11,"")</f>
        <v>Latin America</v>
      </c>
      <c r="E1186" s="113" t="s">
        <v>119</v>
      </c>
      <c r="F1186" s="113" t="str">
        <f>_xlfn.XLOOKUP(E1186,'Allocated Transactions'!D:D,'Allocated Transactions'!E:E,"")</f>
        <v>Depreciation Expense</v>
      </c>
      <c r="G1186" s="113" t="s">
        <v>97</v>
      </c>
      <c r="H1186" s="113"/>
      <c r="I1186" s="113" t="str">
        <f>_xlfn.XLOOKUP($C1186,'Cost Centers'!$A$2:$A$11,'Cost Centers'!$C$2:$C$11,"")</f>
        <v>Programs</v>
      </c>
      <c r="J1186" s="23">
        <f>MROUND(SUMIFS('Allocated Transactions'!$J:$J,'Allocated Transactions'!$D:$D,$E1186,'Allocated Transactions'!$C:$C,$C1186,'Allocated Transactions'!$A:$A,"&gt;="&amp;$A1186,'Allocated Transactions'!$A:$A,"&lt;="&amp;EOMONTH($A1186,0))*0.99,100)</f>
        <v>0</v>
      </c>
      <c r="K1186" s="113" t="s">
        <v>637</v>
      </c>
    </row>
    <row r="1187" spans="1:11" ht="15" customHeight="1">
      <c r="A1187" s="112">
        <f t="shared" si="75"/>
        <v>45992</v>
      </c>
      <c r="B1187" s="113">
        <v>6</v>
      </c>
      <c r="C1187" s="18" t="str">
        <f t="shared" si="74"/>
        <v>2010</v>
      </c>
      <c r="D1187" s="113" t="str">
        <f>_xlfn.XLOOKUP($C1187,'Cost Centers'!$A$2:$A$11,'Cost Centers'!$B$2:$B$11,"")</f>
        <v>Latin America</v>
      </c>
      <c r="E1187" s="113" t="s">
        <v>121</v>
      </c>
      <c r="F1187" s="113" t="str">
        <f>_xlfn.XLOOKUP(E1187,'Allocated Transactions'!D:D,'Allocated Transactions'!E:E,"")</f>
        <v>Bank Fees</v>
      </c>
      <c r="G1187" s="113" t="s">
        <v>97</v>
      </c>
      <c r="H1187" s="113"/>
      <c r="I1187" s="113" t="str">
        <f>_xlfn.XLOOKUP($C1187,'Cost Centers'!$A$2:$A$11,'Cost Centers'!$C$2:$C$11,"")</f>
        <v>Programs</v>
      </c>
      <c r="J1187" s="23">
        <f>MROUND(SUMIFS('Allocated Transactions'!$J:$J,'Allocated Transactions'!$D:$D,$E1187,'Allocated Transactions'!$C:$C,$C1187,'Allocated Transactions'!$A:$A,"&gt;="&amp;$A1187,'Allocated Transactions'!$A:$A,"&lt;="&amp;EOMONTH($A1187,0))*0.99,100)</f>
        <v>0</v>
      </c>
      <c r="K1187" s="113" t="s">
        <v>637</v>
      </c>
    </row>
    <row r="1188" spans="1:11" ht="15" customHeight="1">
      <c r="A1188" s="112">
        <f t="shared" si="75"/>
        <v>45992</v>
      </c>
      <c r="B1188" s="113">
        <v>6</v>
      </c>
      <c r="C1188" s="18" t="str">
        <f t="shared" si="74"/>
        <v>2010</v>
      </c>
      <c r="D1188" s="113" t="str">
        <f>_xlfn.XLOOKUP($C1188,'Cost Centers'!$A$2:$A$11,'Cost Centers'!$B$2:$B$11,"")</f>
        <v>Latin America</v>
      </c>
      <c r="E1188" s="113" t="s">
        <v>123</v>
      </c>
      <c r="F1188" s="113" t="str">
        <f>_xlfn.XLOOKUP(E1188,'Allocated Transactions'!D:D,'Allocated Transactions'!E:E,"")</f>
        <v>Interest Expense</v>
      </c>
      <c r="G1188" s="113" t="s">
        <v>97</v>
      </c>
      <c r="H1188" s="113"/>
      <c r="I1188" s="113" t="str">
        <f>_xlfn.XLOOKUP($C1188,'Cost Centers'!$A$2:$A$11,'Cost Centers'!$C$2:$C$11,"")</f>
        <v>Programs</v>
      </c>
      <c r="J1188" s="23">
        <f>MROUND(SUMIFS('Allocated Transactions'!$J:$J,'Allocated Transactions'!$D:$D,$E1188,'Allocated Transactions'!$C:$C,$C1188,'Allocated Transactions'!$A:$A,"&gt;="&amp;$A1188,'Allocated Transactions'!$A:$A,"&lt;="&amp;EOMONTH($A1188,0))*0.99,100)</f>
        <v>0</v>
      </c>
      <c r="K1188" s="113" t="s">
        <v>637</v>
      </c>
    </row>
    <row r="1189" spans="1:11" ht="15" customHeight="1">
      <c r="A1189" s="112">
        <f t="shared" si="75"/>
        <v>45992</v>
      </c>
      <c r="B1189" s="113">
        <v>6</v>
      </c>
      <c r="C1189" s="18" t="str">
        <f t="shared" si="74"/>
        <v>2010</v>
      </c>
      <c r="D1189" s="113" t="str">
        <f>_xlfn.XLOOKUP($C1189,'Cost Centers'!$A$2:$A$11,'Cost Centers'!$B$2:$B$11,"")</f>
        <v>Latin America</v>
      </c>
      <c r="E1189" s="113" t="s">
        <v>125</v>
      </c>
      <c r="F1189" s="113" t="str">
        <f>_xlfn.XLOOKUP(E1189,'Allocated Transactions'!D:D,'Allocated Transactions'!E:E,"")</f>
        <v>Miscellaneous Expense</v>
      </c>
      <c r="G1189" s="113" t="s">
        <v>97</v>
      </c>
      <c r="H1189" s="113"/>
      <c r="I1189" s="113" t="str">
        <f>_xlfn.XLOOKUP($C1189,'Cost Centers'!$A$2:$A$11,'Cost Centers'!$C$2:$C$11,"")</f>
        <v>Programs</v>
      </c>
      <c r="J1189" s="23">
        <f>MROUND(SUMIFS('Allocated Transactions'!$J:$J,'Allocated Transactions'!$D:$D,$E1189,'Allocated Transactions'!$C:$C,$C1189,'Allocated Transactions'!$A:$A,"&gt;="&amp;$A1189,'Allocated Transactions'!$A:$A,"&lt;="&amp;EOMONTH($A1189,0))*0.99,100)</f>
        <v>0</v>
      </c>
      <c r="K1189" s="113" t="s">
        <v>637</v>
      </c>
    </row>
    <row r="1190" spans="1:11" ht="15" customHeight="1">
      <c r="A1190" s="112">
        <f t="shared" si="75"/>
        <v>46023</v>
      </c>
      <c r="B1190" s="113">
        <v>6</v>
      </c>
      <c r="C1190" s="18" t="s">
        <v>12</v>
      </c>
      <c r="D1190" s="113" t="str">
        <f>_xlfn.XLOOKUP($C1190,'Cost Centers'!$A$2:$A$11,'Cost Centers'!$B$2:$B$11,"")</f>
        <v>Latin America</v>
      </c>
      <c r="E1190" s="113" t="s">
        <v>28</v>
      </c>
      <c r="F1190" s="113" t="str">
        <f>_xlfn.XLOOKUP(E1190,'Allocated Transactions'!D:D,'Allocated Transactions'!E:E,"")</f>
        <v>Salaries and Wages</v>
      </c>
      <c r="G1190" s="113" t="s">
        <v>97</v>
      </c>
      <c r="H1190" s="113"/>
      <c r="I1190" s="113" t="str">
        <f>_xlfn.XLOOKUP($C1190,'Cost Centers'!$A$2:$A$11,'Cost Centers'!$C$2:$C$11,"")</f>
        <v>Programs</v>
      </c>
      <c r="J1190" s="23">
        <f>MROUND(SUMIFS('Allocated Transactions'!$J:$J,'Allocated Transactions'!$D:$D,$E1190,'Allocated Transactions'!$C:$C,$C1190,'Allocated Transactions'!$A:$A,"&gt;="&amp;$A1190,'Allocated Transactions'!$A:$A,"&lt;="&amp;EOMONTH($A1190,0))*0.99,100)</f>
        <v>17400</v>
      </c>
      <c r="K1190" s="113" t="s">
        <v>637</v>
      </c>
    </row>
    <row r="1191" spans="1:11" ht="15" customHeight="1">
      <c r="A1191" s="112">
        <f t="shared" si="75"/>
        <v>46023</v>
      </c>
      <c r="B1191" s="113">
        <v>6</v>
      </c>
      <c r="C1191" s="18" t="str">
        <f t="shared" ref="C1191:C1207" si="76">C1190</f>
        <v>2010</v>
      </c>
      <c r="D1191" s="113" t="str">
        <f>_xlfn.XLOOKUP($C1191,'Cost Centers'!$A$2:$A$11,'Cost Centers'!$B$2:$B$11,"")</f>
        <v>Latin America</v>
      </c>
      <c r="E1191" s="113" t="s">
        <v>29</v>
      </c>
      <c r="F1191" s="113" t="str">
        <f>_xlfn.XLOOKUP(E1191,'Allocated Transactions'!D:D,'Allocated Transactions'!E:E,"")</f>
        <v>Payroll Taxes</v>
      </c>
      <c r="G1191" s="113" t="s">
        <v>97</v>
      </c>
      <c r="H1191" s="113"/>
      <c r="I1191" s="113" t="str">
        <f>_xlfn.XLOOKUP($C1191,'Cost Centers'!$A$2:$A$11,'Cost Centers'!$C$2:$C$11,"")</f>
        <v>Programs</v>
      </c>
      <c r="J1191" s="23">
        <f>MROUND(SUMIFS('Allocated Transactions'!$J:$J,'Allocated Transactions'!$D:$D,$E1191,'Allocated Transactions'!$C:$C,$C1191,'Allocated Transactions'!$A:$A,"&gt;="&amp;$A1191,'Allocated Transactions'!$A:$A,"&lt;="&amp;EOMONTH($A1191,0))*0.99,100)</f>
        <v>1300</v>
      </c>
      <c r="K1191" s="113" t="s">
        <v>637</v>
      </c>
    </row>
    <row r="1192" spans="1:11" ht="15" customHeight="1">
      <c r="A1192" s="112">
        <f t="shared" si="75"/>
        <v>46023</v>
      </c>
      <c r="B1192" s="113">
        <v>6</v>
      </c>
      <c r="C1192" s="18" t="str">
        <f t="shared" si="76"/>
        <v>2010</v>
      </c>
      <c r="D1192" s="113" t="str">
        <f>_xlfn.XLOOKUP($C1192,'Cost Centers'!$A$2:$A$11,'Cost Centers'!$B$2:$B$11,"")</f>
        <v>Latin America</v>
      </c>
      <c r="E1192" s="113" t="s">
        <v>30</v>
      </c>
      <c r="F1192" s="113" t="str">
        <f>_xlfn.XLOOKUP(E1192,'Allocated Transactions'!D:D,'Allocated Transactions'!E:E,"")</f>
        <v>Employee Benefits</v>
      </c>
      <c r="G1192" s="113" t="s">
        <v>97</v>
      </c>
      <c r="H1192" s="113"/>
      <c r="I1192" s="113" t="str">
        <f>_xlfn.XLOOKUP($C1192,'Cost Centers'!$A$2:$A$11,'Cost Centers'!$C$2:$C$11,"")</f>
        <v>Programs</v>
      </c>
      <c r="J1192" s="23">
        <f>MROUND(SUMIFS('Allocated Transactions'!$J:$J,'Allocated Transactions'!$D:$D,$E1192,'Allocated Transactions'!$C:$C,$C1192,'Allocated Transactions'!$A:$A,"&gt;="&amp;$A1192,'Allocated Transactions'!$A:$A,"&lt;="&amp;EOMONTH($A1192,0))*0.99,100)</f>
        <v>7000</v>
      </c>
      <c r="K1192" s="113" t="s">
        <v>637</v>
      </c>
    </row>
    <row r="1193" spans="1:11" ht="15" customHeight="1">
      <c r="A1193" s="112">
        <f t="shared" si="75"/>
        <v>46023</v>
      </c>
      <c r="B1193" s="113">
        <v>6</v>
      </c>
      <c r="C1193" s="18" t="str">
        <f t="shared" si="76"/>
        <v>2010</v>
      </c>
      <c r="D1193" s="113" t="str">
        <f>_xlfn.XLOOKUP($C1193,'Cost Centers'!$A$2:$A$11,'Cost Centers'!$B$2:$B$11,"")</f>
        <v>Latin America</v>
      </c>
      <c r="E1193" s="113" t="s">
        <v>31</v>
      </c>
      <c r="F1193" s="113" t="str">
        <f>_xlfn.XLOOKUP(E1193,'Allocated Transactions'!D:D,'Allocated Transactions'!E:E,"")</f>
        <v>Retirement Contributions</v>
      </c>
      <c r="G1193" s="113" t="s">
        <v>97</v>
      </c>
      <c r="H1193" s="113"/>
      <c r="I1193" s="113" t="str">
        <f>_xlfn.XLOOKUP($C1193,'Cost Centers'!$A$2:$A$11,'Cost Centers'!$C$2:$C$11,"")</f>
        <v>Programs</v>
      </c>
      <c r="J1193" s="23">
        <f>MROUND(SUMIFS('Allocated Transactions'!$J:$J,'Allocated Transactions'!$D:$D,$E1193,'Allocated Transactions'!$C:$C,$C1193,'Allocated Transactions'!$A:$A,"&gt;="&amp;$A1193,'Allocated Transactions'!$A:$A,"&lt;="&amp;EOMONTH($A1193,0))*0.99,100)</f>
        <v>500</v>
      </c>
      <c r="K1193" s="113" t="s">
        <v>637</v>
      </c>
    </row>
    <row r="1194" spans="1:11" ht="15" customHeight="1">
      <c r="A1194" s="112">
        <f t="shared" si="75"/>
        <v>46023</v>
      </c>
      <c r="B1194" s="113">
        <v>6</v>
      </c>
      <c r="C1194" s="18" t="str">
        <f t="shared" si="76"/>
        <v>2010</v>
      </c>
      <c r="D1194" s="113" t="str">
        <f>_xlfn.XLOOKUP($C1194,'Cost Centers'!$A$2:$A$11,'Cost Centers'!$B$2:$B$11,"")</f>
        <v>Latin America</v>
      </c>
      <c r="E1194" s="113" t="s">
        <v>101</v>
      </c>
      <c r="F1194" s="113" t="str">
        <f>_xlfn.XLOOKUP(E1194,'Allocated Transactions'!D:D,'Allocated Transactions'!E:E,"")</f>
        <v>Contract Labor / Consultants</v>
      </c>
      <c r="G1194" s="113" t="s">
        <v>97</v>
      </c>
      <c r="H1194" s="113"/>
      <c r="I1194" s="113" t="str">
        <f>_xlfn.XLOOKUP($C1194,'Cost Centers'!$A$2:$A$11,'Cost Centers'!$C$2:$C$11,"")</f>
        <v>Programs</v>
      </c>
      <c r="J1194" s="23">
        <f>MROUND(SUMIFS('Allocated Transactions'!$J:$J,'Allocated Transactions'!$D:$D,$E1194,'Allocated Transactions'!$C:$C,$C1194,'Allocated Transactions'!$A:$A,"&gt;="&amp;$A1194,'Allocated Transactions'!$A:$A,"&lt;="&amp;EOMONTH($A1194,0))*0.99,100)</f>
        <v>0</v>
      </c>
      <c r="K1194" s="113" t="s">
        <v>637</v>
      </c>
    </row>
    <row r="1195" spans="1:11" ht="15" customHeight="1">
      <c r="A1195" s="112">
        <f t="shared" si="75"/>
        <v>46023</v>
      </c>
      <c r="B1195" s="113">
        <v>6</v>
      </c>
      <c r="C1195" s="18" t="str">
        <f t="shared" si="76"/>
        <v>2010</v>
      </c>
      <c r="D1195" s="113" t="str">
        <f>_xlfn.XLOOKUP($C1195,'Cost Centers'!$A$2:$A$11,'Cost Centers'!$B$2:$B$11,"")</f>
        <v>Latin America</v>
      </c>
      <c r="E1195" s="113" t="s">
        <v>32</v>
      </c>
      <c r="F1195" s="113" t="str">
        <f>_xlfn.XLOOKUP(E1195,'Allocated Transactions'!D:D,'Allocated Transactions'!E:E,"")</f>
        <v>Rent</v>
      </c>
      <c r="G1195" s="113" t="s">
        <v>97</v>
      </c>
      <c r="H1195" s="113"/>
      <c r="I1195" s="113" t="str">
        <f>_xlfn.XLOOKUP($C1195,'Cost Centers'!$A$2:$A$11,'Cost Centers'!$C$2:$C$11,"")</f>
        <v>Programs</v>
      </c>
      <c r="J1195" s="23">
        <f>MROUND(SUMIFS('Allocated Transactions'!$J:$J,'Allocated Transactions'!$D:$D,$E1195,'Allocated Transactions'!$C:$C,$C1195,'Allocated Transactions'!$A:$A,"&gt;="&amp;$A1195,'Allocated Transactions'!$A:$A,"&lt;="&amp;EOMONTH($A1195,0))*0.99,100)</f>
        <v>1400</v>
      </c>
      <c r="K1195" s="113" t="s">
        <v>637</v>
      </c>
    </row>
    <row r="1196" spans="1:11" ht="15" customHeight="1">
      <c r="A1196" s="112">
        <f t="shared" si="75"/>
        <v>46023</v>
      </c>
      <c r="B1196" s="113">
        <v>6</v>
      </c>
      <c r="C1196" s="18" t="str">
        <f t="shared" si="76"/>
        <v>2010</v>
      </c>
      <c r="D1196" s="113" t="str">
        <f>_xlfn.XLOOKUP($C1196,'Cost Centers'!$A$2:$A$11,'Cost Centers'!$B$2:$B$11,"")</f>
        <v>Latin America</v>
      </c>
      <c r="E1196" s="113" t="s">
        <v>33</v>
      </c>
      <c r="F1196" s="113" t="str">
        <f>_xlfn.XLOOKUP(E1196,'Allocated Transactions'!D:D,'Allocated Transactions'!E:E,"")</f>
        <v>Utilities</v>
      </c>
      <c r="G1196" s="113" t="s">
        <v>97</v>
      </c>
      <c r="H1196" s="113"/>
      <c r="I1196" s="113" t="str">
        <f>_xlfn.XLOOKUP($C1196,'Cost Centers'!$A$2:$A$11,'Cost Centers'!$C$2:$C$11,"")</f>
        <v>Programs</v>
      </c>
      <c r="J1196" s="23">
        <f>MROUND(SUMIFS('Allocated Transactions'!$J:$J,'Allocated Transactions'!$D:$D,$E1196,'Allocated Transactions'!$C:$C,$C1196,'Allocated Transactions'!$A:$A,"&gt;="&amp;$A1196,'Allocated Transactions'!$A:$A,"&lt;="&amp;EOMONTH($A1196,0))*0.99,100)</f>
        <v>200</v>
      </c>
      <c r="K1196" s="113" t="s">
        <v>637</v>
      </c>
    </row>
    <row r="1197" spans="1:11" ht="15" customHeight="1">
      <c r="A1197" s="112">
        <f t="shared" si="75"/>
        <v>46023</v>
      </c>
      <c r="B1197" s="113">
        <v>6</v>
      </c>
      <c r="C1197" s="18" t="str">
        <f t="shared" si="76"/>
        <v>2010</v>
      </c>
      <c r="D1197" s="113" t="str">
        <f>_xlfn.XLOOKUP($C1197,'Cost Centers'!$A$2:$A$11,'Cost Centers'!$B$2:$B$11,"")</f>
        <v>Latin America</v>
      </c>
      <c r="E1197" s="113" t="s">
        <v>105</v>
      </c>
      <c r="F1197" s="113" t="str">
        <f>_xlfn.XLOOKUP(E1197,'Allocated Transactions'!D:D,'Allocated Transactions'!E:E,"")</f>
        <v>Office Supplies</v>
      </c>
      <c r="G1197" s="113" t="s">
        <v>97</v>
      </c>
      <c r="H1197" s="113"/>
      <c r="I1197" s="113" t="str">
        <f>_xlfn.XLOOKUP($C1197,'Cost Centers'!$A$2:$A$11,'Cost Centers'!$C$2:$C$11,"")</f>
        <v>Programs</v>
      </c>
      <c r="J1197" s="23">
        <f>MROUND(SUMIFS('Allocated Transactions'!$J:$J,'Allocated Transactions'!$D:$D,$E1197,'Allocated Transactions'!$C:$C,$C1197,'Allocated Transactions'!$A:$A,"&gt;="&amp;$A1197,'Allocated Transactions'!$A:$A,"&lt;="&amp;EOMONTH($A1197,0))*0.99,100)</f>
        <v>400</v>
      </c>
      <c r="K1197" s="113" t="s">
        <v>637</v>
      </c>
    </row>
    <row r="1198" spans="1:11" ht="15" customHeight="1">
      <c r="A1198" s="112">
        <f t="shared" si="75"/>
        <v>46023</v>
      </c>
      <c r="B1198" s="113">
        <v>6</v>
      </c>
      <c r="C1198" s="18" t="str">
        <f t="shared" si="76"/>
        <v>2010</v>
      </c>
      <c r="D1198" s="113" t="str">
        <f>_xlfn.XLOOKUP($C1198,'Cost Centers'!$A$2:$A$11,'Cost Centers'!$B$2:$B$11,"")</f>
        <v>Latin America</v>
      </c>
      <c r="E1198" s="113" t="s">
        <v>107</v>
      </c>
      <c r="F1198" s="113" t="str">
        <f>_xlfn.XLOOKUP(E1198,'Allocated Transactions'!D:D,'Allocated Transactions'!E:E,"")</f>
        <v>Software and Subscriptions</v>
      </c>
      <c r="G1198" s="113" t="s">
        <v>97</v>
      </c>
      <c r="H1198" s="113"/>
      <c r="I1198" s="113" t="str">
        <f>_xlfn.XLOOKUP($C1198,'Cost Centers'!$A$2:$A$11,'Cost Centers'!$C$2:$C$11,"")</f>
        <v>Programs</v>
      </c>
      <c r="J1198" s="23">
        <f>MROUND(SUMIFS('Allocated Transactions'!$J:$J,'Allocated Transactions'!$D:$D,$E1198,'Allocated Transactions'!$C:$C,$C1198,'Allocated Transactions'!$A:$A,"&gt;="&amp;$A1198,'Allocated Transactions'!$A:$A,"&lt;="&amp;EOMONTH($A1198,0))*0.99,100)</f>
        <v>2400</v>
      </c>
      <c r="K1198" s="113" t="s">
        <v>637</v>
      </c>
    </row>
    <row r="1199" spans="1:11" ht="15" customHeight="1">
      <c r="A1199" s="112">
        <f t="shared" si="75"/>
        <v>46023</v>
      </c>
      <c r="B1199" s="113">
        <v>6</v>
      </c>
      <c r="C1199" s="18" t="str">
        <f t="shared" si="76"/>
        <v>2010</v>
      </c>
      <c r="D1199" s="113" t="str">
        <f>_xlfn.XLOOKUP($C1199,'Cost Centers'!$A$2:$A$11,'Cost Centers'!$B$2:$B$11,"")</f>
        <v>Latin America</v>
      </c>
      <c r="E1199" s="113" t="s">
        <v>109</v>
      </c>
      <c r="F1199" s="113" t="str">
        <f>_xlfn.XLOOKUP(E1199,'Allocated Transactions'!D:D,'Allocated Transactions'!E:E,"")</f>
        <v>Travel</v>
      </c>
      <c r="G1199" s="113" t="s">
        <v>97</v>
      </c>
      <c r="H1199" s="113"/>
      <c r="I1199" s="113" t="str">
        <f>_xlfn.XLOOKUP($C1199,'Cost Centers'!$A$2:$A$11,'Cost Centers'!$C$2:$C$11,"")</f>
        <v>Programs</v>
      </c>
      <c r="J1199" s="23">
        <f>MROUND(SUMIFS('Allocated Transactions'!$J:$J,'Allocated Transactions'!$D:$D,$E1199,'Allocated Transactions'!$C:$C,$C1199,'Allocated Transactions'!$A:$A,"&gt;="&amp;$A1199,'Allocated Transactions'!$A:$A,"&lt;="&amp;EOMONTH($A1199,0))*0.99,100)</f>
        <v>0</v>
      </c>
      <c r="K1199" s="113" t="s">
        <v>637</v>
      </c>
    </row>
    <row r="1200" spans="1:11" ht="15" customHeight="1">
      <c r="A1200" s="112">
        <f t="shared" si="75"/>
        <v>46023</v>
      </c>
      <c r="B1200" s="113">
        <v>6</v>
      </c>
      <c r="C1200" s="18" t="str">
        <f t="shared" si="76"/>
        <v>2010</v>
      </c>
      <c r="D1200" s="113" t="str">
        <f>_xlfn.XLOOKUP($C1200,'Cost Centers'!$A$2:$A$11,'Cost Centers'!$B$2:$B$11,"")</f>
        <v>Latin America</v>
      </c>
      <c r="E1200" s="113" t="s">
        <v>111</v>
      </c>
      <c r="F1200" s="113" t="str">
        <f>_xlfn.XLOOKUP(E1200,'Allocated Transactions'!D:D,'Allocated Transactions'!E:E,"")</f>
        <v>Meals and Entertainment</v>
      </c>
      <c r="G1200" s="113" t="s">
        <v>97</v>
      </c>
      <c r="H1200" s="113"/>
      <c r="I1200" s="113" t="str">
        <f>_xlfn.XLOOKUP($C1200,'Cost Centers'!$A$2:$A$11,'Cost Centers'!$C$2:$C$11,"")</f>
        <v>Programs</v>
      </c>
      <c r="J1200" s="23">
        <f>MROUND(SUMIFS('Allocated Transactions'!$J:$J,'Allocated Transactions'!$D:$D,$E1200,'Allocated Transactions'!$C:$C,$C1200,'Allocated Transactions'!$A:$A,"&gt;="&amp;$A1200,'Allocated Transactions'!$A:$A,"&lt;="&amp;EOMONTH($A1200,0))*0.99,100)</f>
        <v>0</v>
      </c>
      <c r="K1200" s="113" t="s">
        <v>637</v>
      </c>
    </row>
    <row r="1201" spans="1:11" ht="15" customHeight="1">
      <c r="A1201" s="112">
        <f t="shared" si="75"/>
        <v>46023</v>
      </c>
      <c r="B1201" s="113">
        <v>6</v>
      </c>
      <c r="C1201" s="18" t="str">
        <f t="shared" si="76"/>
        <v>2010</v>
      </c>
      <c r="D1201" s="113" t="str">
        <f>_xlfn.XLOOKUP($C1201,'Cost Centers'!$A$2:$A$11,'Cost Centers'!$B$2:$B$11,"")</f>
        <v>Latin America</v>
      </c>
      <c r="E1201" s="113" t="s">
        <v>113</v>
      </c>
      <c r="F1201" s="113" t="str">
        <f>_xlfn.XLOOKUP(E1201,'Allocated Transactions'!D:D,'Allocated Transactions'!E:E,"")</f>
        <v>Professional Fees - Legal</v>
      </c>
      <c r="G1201" s="113" t="s">
        <v>97</v>
      </c>
      <c r="H1201" s="113"/>
      <c r="I1201" s="113" t="str">
        <f>_xlfn.XLOOKUP($C1201,'Cost Centers'!$A$2:$A$11,'Cost Centers'!$C$2:$C$11,"")</f>
        <v>Programs</v>
      </c>
      <c r="J1201" s="23">
        <f>MROUND(SUMIFS('Allocated Transactions'!$J:$J,'Allocated Transactions'!$D:$D,$E1201,'Allocated Transactions'!$C:$C,$C1201,'Allocated Transactions'!$A:$A,"&gt;="&amp;$A1201,'Allocated Transactions'!$A:$A,"&lt;="&amp;EOMONTH($A1201,0))*0.99,100)</f>
        <v>0</v>
      </c>
      <c r="K1201" s="113" t="s">
        <v>637</v>
      </c>
    </row>
    <row r="1202" spans="1:11" ht="15" customHeight="1">
      <c r="A1202" s="112">
        <f t="shared" si="75"/>
        <v>46023</v>
      </c>
      <c r="B1202" s="113">
        <v>6</v>
      </c>
      <c r="C1202" s="18" t="str">
        <f t="shared" si="76"/>
        <v>2010</v>
      </c>
      <c r="D1202" s="113" t="str">
        <f>_xlfn.XLOOKUP($C1202,'Cost Centers'!$A$2:$A$11,'Cost Centers'!$B$2:$B$11,"")</f>
        <v>Latin America</v>
      </c>
      <c r="E1202" s="113" t="s">
        <v>115</v>
      </c>
      <c r="F1202" s="113" t="str">
        <f>_xlfn.XLOOKUP(E1202,'Allocated Transactions'!D:D,'Allocated Transactions'!E:E,"")</f>
        <v>Professional Fees - Accounting/Audit</v>
      </c>
      <c r="G1202" s="113" t="s">
        <v>97</v>
      </c>
      <c r="H1202" s="113"/>
      <c r="I1202" s="113" t="str">
        <f>_xlfn.XLOOKUP($C1202,'Cost Centers'!$A$2:$A$11,'Cost Centers'!$C$2:$C$11,"")</f>
        <v>Programs</v>
      </c>
      <c r="J1202" s="23">
        <f>MROUND(SUMIFS('Allocated Transactions'!$J:$J,'Allocated Transactions'!$D:$D,$E1202,'Allocated Transactions'!$C:$C,$C1202,'Allocated Transactions'!$A:$A,"&gt;="&amp;$A1202,'Allocated Transactions'!$A:$A,"&lt;="&amp;EOMONTH($A1202,0))*0.99,100)</f>
        <v>0</v>
      </c>
      <c r="K1202" s="113" t="s">
        <v>637</v>
      </c>
    </row>
    <row r="1203" spans="1:11" ht="15" customHeight="1">
      <c r="A1203" s="112">
        <f t="shared" si="75"/>
        <v>46023</v>
      </c>
      <c r="B1203" s="113">
        <v>6</v>
      </c>
      <c r="C1203" s="18" t="str">
        <f t="shared" si="76"/>
        <v>2010</v>
      </c>
      <c r="D1203" s="113" t="str">
        <f>_xlfn.XLOOKUP($C1203,'Cost Centers'!$A$2:$A$11,'Cost Centers'!$B$2:$B$11,"")</f>
        <v>Latin America</v>
      </c>
      <c r="E1203" s="113" t="s">
        <v>117</v>
      </c>
      <c r="F1203" s="113" t="str">
        <f>_xlfn.XLOOKUP(E1203,'Allocated Transactions'!D:D,'Allocated Transactions'!E:E,"")</f>
        <v>Insurance</v>
      </c>
      <c r="G1203" s="113" t="s">
        <v>97</v>
      </c>
      <c r="H1203" s="113"/>
      <c r="I1203" s="113" t="str">
        <f>_xlfn.XLOOKUP($C1203,'Cost Centers'!$A$2:$A$11,'Cost Centers'!$C$2:$C$11,"")</f>
        <v>Programs</v>
      </c>
      <c r="J1203" s="23">
        <f>MROUND(SUMIFS('Allocated Transactions'!$J:$J,'Allocated Transactions'!$D:$D,$E1203,'Allocated Transactions'!$C:$C,$C1203,'Allocated Transactions'!$A:$A,"&gt;="&amp;$A1203,'Allocated Transactions'!$A:$A,"&lt;="&amp;EOMONTH($A1203,0))*0.99,100)</f>
        <v>100</v>
      </c>
      <c r="K1203" s="113" t="s">
        <v>637</v>
      </c>
    </row>
    <row r="1204" spans="1:11" ht="15" customHeight="1">
      <c r="A1204" s="112">
        <f t="shared" si="75"/>
        <v>46023</v>
      </c>
      <c r="B1204" s="113">
        <v>6</v>
      </c>
      <c r="C1204" s="18" t="str">
        <f t="shared" si="76"/>
        <v>2010</v>
      </c>
      <c r="D1204" s="113" t="str">
        <f>_xlfn.XLOOKUP($C1204,'Cost Centers'!$A$2:$A$11,'Cost Centers'!$B$2:$B$11,"")</f>
        <v>Latin America</v>
      </c>
      <c r="E1204" s="113" t="s">
        <v>119</v>
      </c>
      <c r="F1204" s="113" t="str">
        <f>_xlfn.XLOOKUP(E1204,'Allocated Transactions'!D:D,'Allocated Transactions'!E:E,"")</f>
        <v>Depreciation Expense</v>
      </c>
      <c r="G1204" s="113" t="s">
        <v>97</v>
      </c>
      <c r="H1204" s="113"/>
      <c r="I1204" s="113" t="str">
        <f>_xlfn.XLOOKUP($C1204,'Cost Centers'!$A$2:$A$11,'Cost Centers'!$C$2:$C$11,"")</f>
        <v>Programs</v>
      </c>
      <c r="J1204" s="23">
        <f>MROUND(SUMIFS('Allocated Transactions'!$J:$J,'Allocated Transactions'!$D:$D,$E1204,'Allocated Transactions'!$C:$C,$C1204,'Allocated Transactions'!$A:$A,"&gt;="&amp;$A1204,'Allocated Transactions'!$A:$A,"&lt;="&amp;EOMONTH($A1204,0))*0.99,100)</f>
        <v>0</v>
      </c>
      <c r="K1204" s="113" t="s">
        <v>637</v>
      </c>
    </row>
    <row r="1205" spans="1:11" ht="15" customHeight="1">
      <c r="A1205" s="112">
        <f t="shared" si="75"/>
        <v>46023</v>
      </c>
      <c r="B1205" s="113">
        <v>6</v>
      </c>
      <c r="C1205" s="18" t="str">
        <f t="shared" si="76"/>
        <v>2010</v>
      </c>
      <c r="D1205" s="113" t="str">
        <f>_xlfn.XLOOKUP($C1205,'Cost Centers'!$A$2:$A$11,'Cost Centers'!$B$2:$B$11,"")</f>
        <v>Latin America</v>
      </c>
      <c r="E1205" s="113" t="s">
        <v>121</v>
      </c>
      <c r="F1205" s="113" t="str">
        <f>_xlfn.XLOOKUP(E1205,'Allocated Transactions'!D:D,'Allocated Transactions'!E:E,"")</f>
        <v>Bank Fees</v>
      </c>
      <c r="G1205" s="113" t="s">
        <v>97</v>
      </c>
      <c r="H1205" s="113"/>
      <c r="I1205" s="113" t="str">
        <f>_xlfn.XLOOKUP($C1205,'Cost Centers'!$A$2:$A$11,'Cost Centers'!$C$2:$C$11,"")</f>
        <v>Programs</v>
      </c>
      <c r="J1205" s="23">
        <f>MROUND(SUMIFS('Allocated Transactions'!$J:$J,'Allocated Transactions'!$D:$D,$E1205,'Allocated Transactions'!$C:$C,$C1205,'Allocated Transactions'!$A:$A,"&gt;="&amp;$A1205,'Allocated Transactions'!$A:$A,"&lt;="&amp;EOMONTH($A1205,0))*0.99,100)</f>
        <v>0</v>
      </c>
      <c r="K1205" s="113" t="s">
        <v>637</v>
      </c>
    </row>
    <row r="1206" spans="1:11" ht="15" customHeight="1">
      <c r="A1206" s="112">
        <f t="shared" si="75"/>
        <v>46023</v>
      </c>
      <c r="B1206" s="113">
        <v>6</v>
      </c>
      <c r="C1206" s="18" t="str">
        <f t="shared" si="76"/>
        <v>2010</v>
      </c>
      <c r="D1206" s="113" t="str">
        <f>_xlfn.XLOOKUP($C1206,'Cost Centers'!$A$2:$A$11,'Cost Centers'!$B$2:$B$11,"")</f>
        <v>Latin America</v>
      </c>
      <c r="E1206" s="113" t="s">
        <v>123</v>
      </c>
      <c r="F1206" s="113" t="str">
        <f>_xlfn.XLOOKUP(E1206,'Allocated Transactions'!D:D,'Allocated Transactions'!E:E,"")</f>
        <v>Interest Expense</v>
      </c>
      <c r="G1206" s="113" t="s">
        <v>97</v>
      </c>
      <c r="H1206" s="113"/>
      <c r="I1206" s="113" t="str">
        <f>_xlfn.XLOOKUP($C1206,'Cost Centers'!$A$2:$A$11,'Cost Centers'!$C$2:$C$11,"")</f>
        <v>Programs</v>
      </c>
      <c r="J1206" s="23">
        <f>MROUND(SUMIFS('Allocated Transactions'!$J:$J,'Allocated Transactions'!$D:$D,$E1206,'Allocated Transactions'!$C:$C,$C1206,'Allocated Transactions'!$A:$A,"&gt;="&amp;$A1206,'Allocated Transactions'!$A:$A,"&lt;="&amp;EOMONTH($A1206,0))*0.99,100)</f>
        <v>0</v>
      </c>
      <c r="K1206" s="113" t="s">
        <v>637</v>
      </c>
    </row>
    <row r="1207" spans="1:11" ht="15" customHeight="1">
      <c r="A1207" s="112">
        <f t="shared" si="75"/>
        <v>46023</v>
      </c>
      <c r="B1207" s="113">
        <v>6</v>
      </c>
      <c r="C1207" s="18" t="str">
        <f t="shared" si="76"/>
        <v>2010</v>
      </c>
      <c r="D1207" s="113" t="str">
        <f>_xlfn.XLOOKUP($C1207,'Cost Centers'!$A$2:$A$11,'Cost Centers'!$B$2:$B$11,"")</f>
        <v>Latin America</v>
      </c>
      <c r="E1207" s="113" t="s">
        <v>125</v>
      </c>
      <c r="F1207" s="113" t="str">
        <f>_xlfn.XLOOKUP(E1207,'Allocated Transactions'!D:D,'Allocated Transactions'!E:E,"")</f>
        <v>Miscellaneous Expense</v>
      </c>
      <c r="G1207" s="113" t="s">
        <v>97</v>
      </c>
      <c r="H1207" s="113"/>
      <c r="I1207" s="113" t="str">
        <f>_xlfn.XLOOKUP($C1207,'Cost Centers'!$A$2:$A$11,'Cost Centers'!$C$2:$C$11,"")</f>
        <v>Programs</v>
      </c>
      <c r="J1207" s="23">
        <f>MROUND(SUMIFS('Allocated Transactions'!$J:$J,'Allocated Transactions'!$D:$D,$E1207,'Allocated Transactions'!$C:$C,$C1207,'Allocated Transactions'!$A:$A,"&gt;="&amp;$A1207,'Allocated Transactions'!$A:$A,"&lt;="&amp;EOMONTH($A1207,0))*0.99,100)</f>
        <v>0</v>
      </c>
      <c r="K1207" s="113" t="s">
        <v>637</v>
      </c>
    </row>
    <row r="1208" spans="1:11" ht="15" customHeight="1">
      <c r="A1208" s="112">
        <f t="shared" si="75"/>
        <v>46054</v>
      </c>
      <c r="B1208" s="113">
        <v>6</v>
      </c>
      <c r="C1208" s="18" t="s">
        <v>12</v>
      </c>
      <c r="D1208" s="113" t="str">
        <f>_xlfn.XLOOKUP($C1208,'Cost Centers'!$A$2:$A$11,'Cost Centers'!$B$2:$B$11,"")</f>
        <v>Latin America</v>
      </c>
      <c r="E1208" s="113" t="s">
        <v>28</v>
      </c>
      <c r="F1208" s="113" t="str">
        <f>_xlfn.XLOOKUP(E1208,'Allocated Transactions'!D:D,'Allocated Transactions'!E:E,"")</f>
        <v>Salaries and Wages</v>
      </c>
      <c r="G1208" s="113" t="s">
        <v>97</v>
      </c>
      <c r="H1208" s="113"/>
      <c r="I1208" s="113" t="str">
        <f>_xlfn.XLOOKUP($C1208,'Cost Centers'!$A$2:$A$11,'Cost Centers'!$C$2:$C$11,"")</f>
        <v>Programs</v>
      </c>
      <c r="J1208" s="23">
        <f>MROUND(SUMIFS('Allocated Transactions'!$J:$J,'Allocated Transactions'!$D:$D,$E1208,'Allocated Transactions'!$C:$C,$C1208,'Allocated Transactions'!$A:$A,"&gt;="&amp;$A1208,'Allocated Transactions'!$A:$A,"&lt;="&amp;EOMONTH($A1208,0))*0.99,100)</f>
        <v>17200</v>
      </c>
      <c r="K1208" s="113" t="s">
        <v>637</v>
      </c>
    </row>
    <row r="1209" spans="1:11" ht="15" customHeight="1">
      <c r="A1209" s="112">
        <f t="shared" si="75"/>
        <v>46054</v>
      </c>
      <c r="B1209" s="113">
        <v>6</v>
      </c>
      <c r="C1209" s="18" t="str">
        <f t="shared" ref="C1209:C1225" si="77">C1208</f>
        <v>2010</v>
      </c>
      <c r="D1209" s="113" t="str">
        <f>_xlfn.XLOOKUP($C1209,'Cost Centers'!$A$2:$A$11,'Cost Centers'!$B$2:$B$11,"")</f>
        <v>Latin America</v>
      </c>
      <c r="E1209" s="113" t="s">
        <v>29</v>
      </c>
      <c r="F1209" s="113" t="str">
        <f>_xlfn.XLOOKUP(E1209,'Allocated Transactions'!D:D,'Allocated Transactions'!E:E,"")</f>
        <v>Payroll Taxes</v>
      </c>
      <c r="G1209" s="113" t="s">
        <v>97</v>
      </c>
      <c r="H1209" s="113"/>
      <c r="I1209" s="113" t="str">
        <f>_xlfn.XLOOKUP($C1209,'Cost Centers'!$A$2:$A$11,'Cost Centers'!$C$2:$C$11,"")</f>
        <v>Programs</v>
      </c>
      <c r="J1209" s="23">
        <f>MROUND(SUMIFS('Allocated Transactions'!$J:$J,'Allocated Transactions'!$D:$D,$E1209,'Allocated Transactions'!$C:$C,$C1209,'Allocated Transactions'!$A:$A,"&gt;="&amp;$A1209,'Allocated Transactions'!$A:$A,"&lt;="&amp;EOMONTH($A1209,0))*0.99,100)</f>
        <v>1300</v>
      </c>
      <c r="K1209" s="113" t="s">
        <v>637</v>
      </c>
    </row>
    <row r="1210" spans="1:11" ht="15" customHeight="1">
      <c r="A1210" s="112">
        <f t="shared" si="75"/>
        <v>46054</v>
      </c>
      <c r="B1210" s="113">
        <v>6</v>
      </c>
      <c r="C1210" s="18" t="str">
        <f t="shared" si="77"/>
        <v>2010</v>
      </c>
      <c r="D1210" s="113" t="str">
        <f>_xlfn.XLOOKUP($C1210,'Cost Centers'!$A$2:$A$11,'Cost Centers'!$B$2:$B$11,"")</f>
        <v>Latin America</v>
      </c>
      <c r="E1210" s="113" t="s">
        <v>30</v>
      </c>
      <c r="F1210" s="113" t="str">
        <f>_xlfn.XLOOKUP(E1210,'Allocated Transactions'!D:D,'Allocated Transactions'!E:E,"")</f>
        <v>Employee Benefits</v>
      </c>
      <c r="G1210" s="113" t="s">
        <v>97</v>
      </c>
      <c r="H1210" s="113"/>
      <c r="I1210" s="113" t="str">
        <f>_xlfn.XLOOKUP($C1210,'Cost Centers'!$A$2:$A$11,'Cost Centers'!$C$2:$C$11,"")</f>
        <v>Programs</v>
      </c>
      <c r="J1210" s="23">
        <f>MROUND(SUMIFS('Allocated Transactions'!$J:$J,'Allocated Transactions'!$D:$D,$E1210,'Allocated Transactions'!$C:$C,$C1210,'Allocated Transactions'!$A:$A,"&gt;="&amp;$A1210,'Allocated Transactions'!$A:$A,"&lt;="&amp;EOMONTH($A1210,0))*0.99,100)</f>
        <v>7700</v>
      </c>
      <c r="K1210" s="113" t="s">
        <v>637</v>
      </c>
    </row>
    <row r="1211" spans="1:11" ht="15" customHeight="1">
      <c r="A1211" s="112">
        <f t="shared" si="75"/>
        <v>46054</v>
      </c>
      <c r="B1211" s="113">
        <v>6</v>
      </c>
      <c r="C1211" s="18" t="str">
        <f t="shared" si="77"/>
        <v>2010</v>
      </c>
      <c r="D1211" s="113" t="str">
        <f>_xlfn.XLOOKUP($C1211,'Cost Centers'!$A$2:$A$11,'Cost Centers'!$B$2:$B$11,"")</f>
        <v>Latin America</v>
      </c>
      <c r="E1211" s="113" t="s">
        <v>31</v>
      </c>
      <c r="F1211" s="113" t="str">
        <f>_xlfn.XLOOKUP(E1211,'Allocated Transactions'!D:D,'Allocated Transactions'!E:E,"")</f>
        <v>Retirement Contributions</v>
      </c>
      <c r="G1211" s="113" t="s">
        <v>97</v>
      </c>
      <c r="H1211" s="113"/>
      <c r="I1211" s="113" t="str">
        <f>_xlfn.XLOOKUP($C1211,'Cost Centers'!$A$2:$A$11,'Cost Centers'!$C$2:$C$11,"")</f>
        <v>Programs</v>
      </c>
      <c r="J1211" s="23">
        <f>MROUND(SUMIFS('Allocated Transactions'!$J:$J,'Allocated Transactions'!$D:$D,$E1211,'Allocated Transactions'!$C:$C,$C1211,'Allocated Transactions'!$A:$A,"&gt;="&amp;$A1211,'Allocated Transactions'!$A:$A,"&lt;="&amp;EOMONTH($A1211,0))*0.99,100)</f>
        <v>500</v>
      </c>
      <c r="K1211" s="113" t="s">
        <v>637</v>
      </c>
    </row>
    <row r="1212" spans="1:11" ht="15" customHeight="1">
      <c r="A1212" s="112">
        <f t="shared" si="75"/>
        <v>46054</v>
      </c>
      <c r="B1212" s="113">
        <v>6</v>
      </c>
      <c r="C1212" s="18" t="str">
        <f t="shared" si="77"/>
        <v>2010</v>
      </c>
      <c r="D1212" s="113" t="str">
        <f>_xlfn.XLOOKUP($C1212,'Cost Centers'!$A$2:$A$11,'Cost Centers'!$B$2:$B$11,"")</f>
        <v>Latin America</v>
      </c>
      <c r="E1212" s="113" t="s">
        <v>101</v>
      </c>
      <c r="F1212" s="113" t="str">
        <f>_xlfn.XLOOKUP(E1212,'Allocated Transactions'!D:D,'Allocated Transactions'!E:E,"")</f>
        <v>Contract Labor / Consultants</v>
      </c>
      <c r="G1212" s="113" t="s">
        <v>97</v>
      </c>
      <c r="H1212" s="113"/>
      <c r="I1212" s="113" t="str">
        <f>_xlfn.XLOOKUP($C1212,'Cost Centers'!$A$2:$A$11,'Cost Centers'!$C$2:$C$11,"")</f>
        <v>Programs</v>
      </c>
      <c r="J1212" s="23">
        <f>MROUND(SUMIFS('Allocated Transactions'!$J:$J,'Allocated Transactions'!$D:$D,$E1212,'Allocated Transactions'!$C:$C,$C1212,'Allocated Transactions'!$A:$A,"&gt;="&amp;$A1212,'Allocated Transactions'!$A:$A,"&lt;="&amp;EOMONTH($A1212,0))*0.99,100)</f>
        <v>0</v>
      </c>
      <c r="K1212" s="113" t="s">
        <v>637</v>
      </c>
    </row>
    <row r="1213" spans="1:11" ht="15" customHeight="1">
      <c r="A1213" s="112">
        <f t="shared" si="75"/>
        <v>46054</v>
      </c>
      <c r="B1213" s="113">
        <v>6</v>
      </c>
      <c r="C1213" s="18" t="str">
        <f t="shared" si="77"/>
        <v>2010</v>
      </c>
      <c r="D1213" s="113" t="str">
        <f>_xlfn.XLOOKUP($C1213,'Cost Centers'!$A$2:$A$11,'Cost Centers'!$B$2:$B$11,"")</f>
        <v>Latin America</v>
      </c>
      <c r="E1213" s="113" t="s">
        <v>32</v>
      </c>
      <c r="F1213" s="113" t="str">
        <f>_xlfn.XLOOKUP(E1213,'Allocated Transactions'!D:D,'Allocated Transactions'!E:E,"")</f>
        <v>Rent</v>
      </c>
      <c r="G1213" s="113" t="s">
        <v>97</v>
      </c>
      <c r="H1213" s="113"/>
      <c r="I1213" s="113" t="str">
        <f>_xlfn.XLOOKUP($C1213,'Cost Centers'!$A$2:$A$11,'Cost Centers'!$C$2:$C$11,"")</f>
        <v>Programs</v>
      </c>
      <c r="J1213" s="23">
        <f>MROUND(SUMIFS('Allocated Transactions'!$J:$J,'Allocated Transactions'!$D:$D,$E1213,'Allocated Transactions'!$C:$C,$C1213,'Allocated Transactions'!$A:$A,"&gt;="&amp;$A1213,'Allocated Transactions'!$A:$A,"&lt;="&amp;EOMONTH($A1213,0))*0.99,100)</f>
        <v>1300</v>
      </c>
      <c r="K1213" s="113" t="s">
        <v>637</v>
      </c>
    </row>
    <row r="1214" spans="1:11" ht="15" customHeight="1">
      <c r="A1214" s="112">
        <f t="shared" si="75"/>
        <v>46054</v>
      </c>
      <c r="B1214" s="113">
        <v>6</v>
      </c>
      <c r="C1214" s="18" t="str">
        <f t="shared" si="77"/>
        <v>2010</v>
      </c>
      <c r="D1214" s="113" t="str">
        <f>_xlfn.XLOOKUP($C1214,'Cost Centers'!$A$2:$A$11,'Cost Centers'!$B$2:$B$11,"")</f>
        <v>Latin America</v>
      </c>
      <c r="E1214" s="113" t="s">
        <v>33</v>
      </c>
      <c r="F1214" s="113" t="str">
        <f>_xlfn.XLOOKUP(E1214,'Allocated Transactions'!D:D,'Allocated Transactions'!E:E,"")</f>
        <v>Utilities</v>
      </c>
      <c r="G1214" s="113" t="s">
        <v>97</v>
      </c>
      <c r="H1214" s="113"/>
      <c r="I1214" s="113" t="str">
        <f>_xlfn.XLOOKUP($C1214,'Cost Centers'!$A$2:$A$11,'Cost Centers'!$C$2:$C$11,"")</f>
        <v>Programs</v>
      </c>
      <c r="J1214" s="23">
        <f>MROUND(SUMIFS('Allocated Transactions'!$J:$J,'Allocated Transactions'!$D:$D,$E1214,'Allocated Transactions'!$C:$C,$C1214,'Allocated Transactions'!$A:$A,"&gt;="&amp;$A1214,'Allocated Transactions'!$A:$A,"&lt;="&amp;EOMONTH($A1214,0))*0.99,100)</f>
        <v>200</v>
      </c>
      <c r="K1214" s="113" t="s">
        <v>637</v>
      </c>
    </row>
    <row r="1215" spans="1:11" ht="15" customHeight="1">
      <c r="A1215" s="112">
        <f t="shared" si="75"/>
        <v>46054</v>
      </c>
      <c r="B1215" s="113">
        <v>6</v>
      </c>
      <c r="C1215" s="18" t="str">
        <f t="shared" si="77"/>
        <v>2010</v>
      </c>
      <c r="D1215" s="113" t="str">
        <f>_xlfn.XLOOKUP($C1215,'Cost Centers'!$A$2:$A$11,'Cost Centers'!$B$2:$B$11,"")</f>
        <v>Latin America</v>
      </c>
      <c r="E1215" s="113" t="s">
        <v>105</v>
      </c>
      <c r="F1215" s="113" t="str">
        <f>_xlfn.XLOOKUP(E1215,'Allocated Transactions'!D:D,'Allocated Transactions'!E:E,"")</f>
        <v>Office Supplies</v>
      </c>
      <c r="G1215" s="113" t="s">
        <v>97</v>
      </c>
      <c r="H1215" s="113"/>
      <c r="I1215" s="113" t="str">
        <f>_xlfn.XLOOKUP($C1215,'Cost Centers'!$A$2:$A$11,'Cost Centers'!$C$2:$C$11,"")</f>
        <v>Programs</v>
      </c>
      <c r="J1215" s="23">
        <f>MROUND(SUMIFS('Allocated Transactions'!$J:$J,'Allocated Transactions'!$D:$D,$E1215,'Allocated Transactions'!$C:$C,$C1215,'Allocated Transactions'!$A:$A,"&gt;="&amp;$A1215,'Allocated Transactions'!$A:$A,"&lt;="&amp;EOMONTH($A1215,0))*0.99,100)</f>
        <v>0</v>
      </c>
      <c r="K1215" s="113" t="s">
        <v>637</v>
      </c>
    </row>
    <row r="1216" spans="1:11" ht="15" customHeight="1">
      <c r="A1216" s="112">
        <f t="shared" si="75"/>
        <v>46054</v>
      </c>
      <c r="B1216" s="113">
        <v>6</v>
      </c>
      <c r="C1216" s="18" t="str">
        <f t="shared" si="77"/>
        <v>2010</v>
      </c>
      <c r="D1216" s="113" t="str">
        <f>_xlfn.XLOOKUP($C1216,'Cost Centers'!$A$2:$A$11,'Cost Centers'!$B$2:$B$11,"")</f>
        <v>Latin America</v>
      </c>
      <c r="E1216" s="113" t="s">
        <v>107</v>
      </c>
      <c r="F1216" s="113" t="str">
        <f>_xlfn.XLOOKUP(E1216,'Allocated Transactions'!D:D,'Allocated Transactions'!E:E,"")</f>
        <v>Software and Subscriptions</v>
      </c>
      <c r="G1216" s="113" t="s">
        <v>97</v>
      </c>
      <c r="H1216" s="113"/>
      <c r="I1216" s="113" t="str">
        <f>_xlfn.XLOOKUP($C1216,'Cost Centers'!$A$2:$A$11,'Cost Centers'!$C$2:$C$11,"")</f>
        <v>Programs</v>
      </c>
      <c r="J1216" s="23">
        <f>MROUND(SUMIFS('Allocated Transactions'!$J:$J,'Allocated Transactions'!$D:$D,$E1216,'Allocated Transactions'!$C:$C,$C1216,'Allocated Transactions'!$A:$A,"&gt;="&amp;$A1216,'Allocated Transactions'!$A:$A,"&lt;="&amp;EOMONTH($A1216,0))*0.99,100)</f>
        <v>0</v>
      </c>
      <c r="K1216" s="113" t="s">
        <v>637</v>
      </c>
    </row>
    <row r="1217" spans="1:11" ht="15" customHeight="1">
      <c r="A1217" s="112">
        <f t="shared" si="75"/>
        <v>46054</v>
      </c>
      <c r="B1217" s="113">
        <v>6</v>
      </c>
      <c r="C1217" s="18" t="str">
        <f t="shared" si="77"/>
        <v>2010</v>
      </c>
      <c r="D1217" s="113" t="str">
        <f>_xlfn.XLOOKUP($C1217,'Cost Centers'!$A$2:$A$11,'Cost Centers'!$B$2:$B$11,"")</f>
        <v>Latin America</v>
      </c>
      <c r="E1217" s="113" t="s">
        <v>109</v>
      </c>
      <c r="F1217" s="113" t="str">
        <f>_xlfn.XLOOKUP(E1217,'Allocated Transactions'!D:D,'Allocated Transactions'!E:E,"")</f>
        <v>Travel</v>
      </c>
      <c r="G1217" s="113" t="s">
        <v>97</v>
      </c>
      <c r="H1217" s="113"/>
      <c r="I1217" s="113" t="str">
        <f>_xlfn.XLOOKUP($C1217,'Cost Centers'!$A$2:$A$11,'Cost Centers'!$C$2:$C$11,"")</f>
        <v>Programs</v>
      </c>
      <c r="J1217" s="23">
        <f>MROUND(SUMIFS('Allocated Transactions'!$J:$J,'Allocated Transactions'!$D:$D,$E1217,'Allocated Transactions'!$C:$C,$C1217,'Allocated Transactions'!$A:$A,"&gt;="&amp;$A1217,'Allocated Transactions'!$A:$A,"&lt;="&amp;EOMONTH($A1217,0))*0.99,100)</f>
        <v>0</v>
      </c>
      <c r="K1217" s="113" t="s">
        <v>637</v>
      </c>
    </row>
    <row r="1218" spans="1:11" ht="15" customHeight="1">
      <c r="A1218" s="112">
        <f t="shared" si="75"/>
        <v>46054</v>
      </c>
      <c r="B1218" s="113">
        <v>6</v>
      </c>
      <c r="C1218" s="18" t="str">
        <f t="shared" si="77"/>
        <v>2010</v>
      </c>
      <c r="D1218" s="113" t="str">
        <f>_xlfn.XLOOKUP($C1218,'Cost Centers'!$A$2:$A$11,'Cost Centers'!$B$2:$B$11,"")</f>
        <v>Latin America</v>
      </c>
      <c r="E1218" s="113" t="s">
        <v>111</v>
      </c>
      <c r="F1218" s="113" t="str">
        <f>_xlfn.XLOOKUP(E1218,'Allocated Transactions'!D:D,'Allocated Transactions'!E:E,"")</f>
        <v>Meals and Entertainment</v>
      </c>
      <c r="G1218" s="113" t="s">
        <v>97</v>
      </c>
      <c r="H1218" s="113"/>
      <c r="I1218" s="113" t="str">
        <f>_xlfn.XLOOKUP($C1218,'Cost Centers'!$A$2:$A$11,'Cost Centers'!$C$2:$C$11,"")</f>
        <v>Programs</v>
      </c>
      <c r="J1218" s="23">
        <f>MROUND(SUMIFS('Allocated Transactions'!$J:$J,'Allocated Transactions'!$D:$D,$E1218,'Allocated Transactions'!$C:$C,$C1218,'Allocated Transactions'!$A:$A,"&gt;="&amp;$A1218,'Allocated Transactions'!$A:$A,"&lt;="&amp;EOMONTH($A1218,0))*0.99,100)</f>
        <v>0</v>
      </c>
      <c r="K1218" s="113" t="s">
        <v>637</v>
      </c>
    </row>
    <row r="1219" spans="1:11" ht="15" customHeight="1">
      <c r="A1219" s="112">
        <f t="shared" si="75"/>
        <v>46054</v>
      </c>
      <c r="B1219" s="113">
        <v>6</v>
      </c>
      <c r="C1219" s="18" t="str">
        <f t="shared" si="77"/>
        <v>2010</v>
      </c>
      <c r="D1219" s="113" t="str">
        <f>_xlfn.XLOOKUP($C1219,'Cost Centers'!$A$2:$A$11,'Cost Centers'!$B$2:$B$11,"")</f>
        <v>Latin America</v>
      </c>
      <c r="E1219" s="113" t="s">
        <v>113</v>
      </c>
      <c r="F1219" s="113" t="str">
        <f>_xlfn.XLOOKUP(E1219,'Allocated Transactions'!D:D,'Allocated Transactions'!E:E,"")</f>
        <v>Professional Fees - Legal</v>
      </c>
      <c r="G1219" s="113" t="s">
        <v>97</v>
      </c>
      <c r="H1219" s="113"/>
      <c r="I1219" s="113" t="str">
        <f>_xlfn.XLOOKUP($C1219,'Cost Centers'!$A$2:$A$11,'Cost Centers'!$C$2:$C$11,"")</f>
        <v>Programs</v>
      </c>
      <c r="J1219" s="23">
        <f>MROUND(SUMIFS('Allocated Transactions'!$J:$J,'Allocated Transactions'!$D:$D,$E1219,'Allocated Transactions'!$C:$C,$C1219,'Allocated Transactions'!$A:$A,"&gt;="&amp;$A1219,'Allocated Transactions'!$A:$A,"&lt;="&amp;EOMONTH($A1219,0))*0.99,100)</f>
        <v>0</v>
      </c>
      <c r="K1219" s="113" t="s">
        <v>637</v>
      </c>
    </row>
    <row r="1220" spans="1:11" ht="15" customHeight="1">
      <c r="A1220" s="112">
        <f t="shared" si="75"/>
        <v>46054</v>
      </c>
      <c r="B1220" s="113">
        <v>6</v>
      </c>
      <c r="C1220" s="18" t="str">
        <f t="shared" si="77"/>
        <v>2010</v>
      </c>
      <c r="D1220" s="113" t="str">
        <f>_xlfn.XLOOKUP($C1220,'Cost Centers'!$A$2:$A$11,'Cost Centers'!$B$2:$B$11,"")</f>
        <v>Latin America</v>
      </c>
      <c r="E1220" s="113" t="s">
        <v>115</v>
      </c>
      <c r="F1220" s="113" t="str">
        <f>_xlfn.XLOOKUP(E1220,'Allocated Transactions'!D:D,'Allocated Transactions'!E:E,"")</f>
        <v>Professional Fees - Accounting/Audit</v>
      </c>
      <c r="G1220" s="113" t="s">
        <v>97</v>
      </c>
      <c r="H1220" s="113"/>
      <c r="I1220" s="113" t="str">
        <f>_xlfn.XLOOKUP($C1220,'Cost Centers'!$A$2:$A$11,'Cost Centers'!$C$2:$C$11,"")</f>
        <v>Programs</v>
      </c>
      <c r="J1220" s="23">
        <f>MROUND(SUMIFS('Allocated Transactions'!$J:$J,'Allocated Transactions'!$D:$D,$E1220,'Allocated Transactions'!$C:$C,$C1220,'Allocated Transactions'!$A:$A,"&gt;="&amp;$A1220,'Allocated Transactions'!$A:$A,"&lt;="&amp;EOMONTH($A1220,0))*0.99,100)</f>
        <v>0</v>
      </c>
      <c r="K1220" s="113" t="s">
        <v>637</v>
      </c>
    </row>
    <row r="1221" spans="1:11" ht="15" customHeight="1">
      <c r="A1221" s="112">
        <f t="shared" si="75"/>
        <v>46054</v>
      </c>
      <c r="B1221" s="113">
        <v>6</v>
      </c>
      <c r="C1221" s="18" t="str">
        <f t="shared" si="77"/>
        <v>2010</v>
      </c>
      <c r="D1221" s="113" t="str">
        <f>_xlfn.XLOOKUP($C1221,'Cost Centers'!$A$2:$A$11,'Cost Centers'!$B$2:$B$11,"")</f>
        <v>Latin America</v>
      </c>
      <c r="E1221" s="113" t="s">
        <v>117</v>
      </c>
      <c r="F1221" s="113" t="str">
        <f>_xlfn.XLOOKUP(E1221,'Allocated Transactions'!D:D,'Allocated Transactions'!E:E,"")</f>
        <v>Insurance</v>
      </c>
      <c r="G1221" s="113" t="s">
        <v>97</v>
      </c>
      <c r="H1221" s="113"/>
      <c r="I1221" s="113" t="str">
        <f>_xlfn.XLOOKUP($C1221,'Cost Centers'!$A$2:$A$11,'Cost Centers'!$C$2:$C$11,"")</f>
        <v>Programs</v>
      </c>
      <c r="J1221" s="23">
        <f>MROUND(SUMIFS('Allocated Transactions'!$J:$J,'Allocated Transactions'!$D:$D,$E1221,'Allocated Transactions'!$C:$C,$C1221,'Allocated Transactions'!$A:$A,"&gt;="&amp;$A1221,'Allocated Transactions'!$A:$A,"&lt;="&amp;EOMONTH($A1221,0))*0.99,100)</f>
        <v>100</v>
      </c>
      <c r="K1221" s="113" t="s">
        <v>637</v>
      </c>
    </row>
    <row r="1222" spans="1:11" ht="15" customHeight="1">
      <c r="A1222" s="112">
        <f t="shared" si="75"/>
        <v>46054</v>
      </c>
      <c r="B1222" s="113">
        <v>6</v>
      </c>
      <c r="C1222" s="18" t="str">
        <f t="shared" si="77"/>
        <v>2010</v>
      </c>
      <c r="D1222" s="113" t="str">
        <f>_xlfn.XLOOKUP($C1222,'Cost Centers'!$A$2:$A$11,'Cost Centers'!$B$2:$B$11,"")</f>
        <v>Latin America</v>
      </c>
      <c r="E1222" s="113" t="s">
        <v>119</v>
      </c>
      <c r="F1222" s="113" t="str">
        <f>_xlfn.XLOOKUP(E1222,'Allocated Transactions'!D:D,'Allocated Transactions'!E:E,"")</f>
        <v>Depreciation Expense</v>
      </c>
      <c r="G1222" s="113" t="s">
        <v>97</v>
      </c>
      <c r="H1222" s="113"/>
      <c r="I1222" s="113" t="str">
        <f>_xlfn.XLOOKUP($C1222,'Cost Centers'!$A$2:$A$11,'Cost Centers'!$C$2:$C$11,"")</f>
        <v>Programs</v>
      </c>
      <c r="J1222" s="23">
        <f>MROUND(SUMIFS('Allocated Transactions'!$J:$J,'Allocated Transactions'!$D:$D,$E1222,'Allocated Transactions'!$C:$C,$C1222,'Allocated Transactions'!$A:$A,"&gt;="&amp;$A1222,'Allocated Transactions'!$A:$A,"&lt;="&amp;EOMONTH($A1222,0))*0.99,100)</f>
        <v>0</v>
      </c>
      <c r="K1222" s="113" t="s">
        <v>637</v>
      </c>
    </row>
    <row r="1223" spans="1:11" ht="15" customHeight="1">
      <c r="A1223" s="112">
        <f t="shared" si="75"/>
        <v>46054</v>
      </c>
      <c r="B1223" s="113">
        <v>6</v>
      </c>
      <c r="C1223" s="18" t="str">
        <f t="shared" si="77"/>
        <v>2010</v>
      </c>
      <c r="D1223" s="113" t="str">
        <f>_xlfn.XLOOKUP($C1223,'Cost Centers'!$A$2:$A$11,'Cost Centers'!$B$2:$B$11,"")</f>
        <v>Latin America</v>
      </c>
      <c r="E1223" s="113" t="s">
        <v>121</v>
      </c>
      <c r="F1223" s="113" t="str">
        <f>_xlfn.XLOOKUP(E1223,'Allocated Transactions'!D:D,'Allocated Transactions'!E:E,"")</f>
        <v>Bank Fees</v>
      </c>
      <c r="G1223" s="113" t="s">
        <v>97</v>
      </c>
      <c r="H1223" s="113"/>
      <c r="I1223" s="113" t="str">
        <f>_xlfn.XLOOKUP($C1223,'Cost Centers'!$A$2:$A$11,'Cost Centers'!$C$2:$C$11,"")</f>
        <v>Programs</v>
      </c>
      <c r="J1223" s="23">
        <f>MROUND(SUMIFS('Allocated Transactions'!$J:$J,'Allocated Transactions'!$D:$D,$E1223,'Allocated Transactions'!$C:$C,$C1223,'Allocated Transactions'!$A:$A,"&gt;="&amp;$A1223,'Allocated Transactions'!$A:$A,"&lt;="&amp;EOMONTH($A1223,0))*0.99,100)</f>
        <v>0</v>
      </c>
      <c r="K1223" s="113" t="s">
        <v>637</v>
      </c>
    </row>
    <row r="1224" spans="1:11" ht="15" customHeight="1">
      <c r="A1224" s="112">
        <f t="shared" si="75"/>
        <v>46054</v>
      </c>
      <c r="B1224" s="113">
        <v>6</v>
      </c>
      <c r="C1224" s="18" t="str">
        <f t="shared" si="77"/>
        <v>2010</v>
      </c>
      <c r="D1224" s="113" t="str">
        <f>_xlfn.XLOOKUP($C1224,'Cost Centers'!$A$2:$A$11,'Cost Centers'!$B$2:$B$11,"")</f>
        <v>Latin America</v>
      </c>
      <c r="E1224" s="113" t="s">
        <v>123</v>
      </c>
      <c r="F1224" s="113" t="str">
        <f>_xlfn.XLOOKUP(E1224,'Allocated Transactions'!D:D,'Allocated Transactions'!E:E,"")</f>
        <v>Interest Expense</v>
      </c>
      <c r="G1224" s="113" t="s">
        <v>97</v>
      </c>
      <c r="H1224" s="113"/>
      <c r="I1224" s="113" t="str">
        <f>_xlfn.XLOOKUP($C1224,'Cost Centers'!$A$2:$A$11,'Cost Centers'!$C$2:$C$11,"")</f>
        <v>Programs</v>
      </c>
      <c r="J1224" s="23">
        <f>MROUND(SUMIFS('Allocated Transactions'!$J:$J,'Allocated Transactions'!$D:$D,$E1224,'Allocated Transactions'!$C:$C,$C1224,'Allocated Transactions'!$A:$A,"&gt;="&amp;$A1224,'Allocated Transactions'!$A:$A,"&lt;="&amp;EOMONTH($A1224,0))*0.99,100)</f>
        <v>0</v>
      </c>
      <c r="K1224" s="113" t="s">
        <v>637</v>
      </c>
    </row>
    <row r="1225" spans="1:11" ht="15" customHeight="1">
      <c r="A1225" s="112">
        <f t="shared" si="75"/>
        <v>46054</v>
      </c>
      <c r="B1225" s="113">
        <v>6</v>
      </c>
      <c r="C1225" s="18" t="str">
        <f t="shared" si="77"/>
        <v>2010</v>
      </c>
      <c r="D1225" s="113" t="str">
        <f>_xlfn.XLOOKUP($C1225,'Cost Centers'!$A$2:$A$11,'Cost Centers'!$B$2:$B$11,"")</f>
        <v>Latin America</v>
      </c>
      <c r="E1225" s="113" t="s">
        <v>125</v>
      </c>
      <c r="F1225" s="113" t="str">
        <f>_xlfn.XLOOKUP(E1225,'Allocated Transactions'!D:D,'Allocated Transactions'!E:E,"")</f>
        <v>Miscellaneous Expense</v>
      </c>
      <c r="G1225" s="113" t="s">
        <v>97</v>
      </c>
      <c r="H1225" s="113"/>
      <c r="I1225" s="113" t="str">
        <f>_xlfn.XLOOKUP($C1225,'Cost Centers'!$A$2:$A$11,'Cost Centers'!$C$2:$C$11,"")</f>
        <v>Programs</v>
      </c>
      <c r="J1225" s="23">
        <f>MROUND(SUMIFS('Allocated Transactions'!$J:$J,'Allocated Transactions'!$D:$D,$E1225,'Allocated Transactions'!$C:$C,$C1225,'Allocated Transactions'!$A:$A,"&gt;="&amp;$A1225,'Allocated Transactions'!$A:$A,"&lt;="&amp;EOMONTH($A1225,0))*0.99,100)</f>
        <v>0</v>
      </c>
      <c r="K1225" s="113" t="s">
        <v>637</v>
      </c>
    </row>
    <row r="1226" spans="1:11" ht="15" customHeight="1">
      <c r="A1226" s="112">
        <f t="shared" si="75"/>
        <v>46082</v>
      </c>
      <c r="B1226" s="113">
        <v>6</v>
      </c>
      <c r="C1226" s="18" t="s">
        <v>12</v>
      </c>
      <c r="D1226" s="113" t="str">
        <f>_xlfn.XLOOKUP($C1226,'Cost Centers'!$A$2:$A$11,'Cost Centers'!$B$2:$B$11,"")</f>
        <v>Latin America</v>
      </c>
      <c r="E1226" s="113" t="s">
        <v>28</v>
      </c>
      <c r="F1226" s="113" t="str">
        <f>_xlfn.XLOOKUP(E1226,'Allocated Transactions'!D:D,'Allocated Transactions'!E:E,"")</f>
        <v>Salaries and Wages</v>
      </c>
      <c r="G1226" s="113" t="s">
        <v>97</v>
      </c>
      <c r="H1226" s="113"/>
      <c r="I1226" s="113" t="str">
        <f>_xlfn.XLOOKUP($C1226,'Cost Centers'!$A$2:$A$11,'Cost Centers'!$C$2:$C$11,"")</f>
        <v>Programs</v>
      </c>
      <c r="J1226" s="23">
        <f>MROUND(SUMIFS('Allocated Transactions'!$J:$J,'Allocated Transactions'!$D:$D,$E1226,'Allocated Transactions'!$C:$C,$C1226,'Allocated Transactions'!$A:$A,"&gt;="&amp;$A1226,'Allocated Transactions'!$A:$A,"&lt;="&amp;EOMONTH($A1226,0))*0.99,100)</f>
        <v>16800</v>
      </c>
      <c r="K1226" s="113" t="s">
        <v>637</v>
      </c>
    </row>
    <row r="1227" spans="1:11" ht="15" customHeight="1">
      <c r="A1227" s="112">
        <f t="shared" si="75"/>
        <v>46082</v>
      </c>
      <c r="B1227" s="113">
        <v>6</v>
      </c>
      <c r="C1227" s="18" t="str">
        <f t="shared" ref="C1227:C1243" si="78">C1226</f>
        <v>2010</v>
      </c>
      <c r="D1227" s="113" t="str">
        <f>_xlfn.XLOOKUP($C1227,'Cost Centers'!$A$2:$A$11,'Cost Centers'!$B$2:$B$11,"")</f>
        <v>Latin America</v>
      </c>
      <c r="E1227" s="113" t="s">
        <v>29</v>
      </c>
      <c r="F1227" s="113" t="str">
        <f>_xlfn.XLOOKUP(E1227,'Allocated Transactions'!D:D,'Allocated Transactions'!E:E,"")</f>
        <v>Payroll Taxes</v>
      </c>
      <c r="G1227" s="113" t="s">
        <v>97</v>
      </c>
      <c r="H1227" s="113"/>
      <c r="I1227" s="113" t="str">
        <f>_xlfn.XLOOKUP($C1227,'Cost Centers'!$A$2:$A$11,'Cost Centers'!$C$2:$C$11,"")</f>
        <v>Programs</v>
      </c>
      <c r="J1227" s="23">
        <f>MROUND(SUMIFS('Allocated Transactions'!$J:$J,'Allocated Transactions'!$D:$D,$E1227,'Allocated Transactions'!$C:$C,$C1227,'Allocated Transactions'!$A:$A,"&gt;="&amp;$A1227,'Allocated Transactions'!$A:$A,"&lt;="&amp;EOMONTH($A1227,0))*0.99,100)</f>
        <v>1300</v>
      </c>
      <c r="K1227" s="113" t="s">
        <v>637</v>
      </c>
    </row>
    <row r="1228" spans="1:11" ht="15" customHeight="1">
      <c r="A1228" s="112">
        <f t="shared" si="75"/>
        <v>46082</v>
      </c>
      <c r="B1228" s="113">
        <v>6</v>
      </c>
      <c r="C1228" s="18" t="str">
        <f t="shared" si="78"/>
        <v>2010</v>
      </c>
      <c r="D1228" s="113" t="str">
        <f>_xlfn.XLOOKUP($C1228,'Cost Centers'!$A$2:$A$11,'Cost Centers'!$B$2:$B$11,"")</f>
        <v>Latin America</v>
      </c>
      <c r="E1228" s="113" t="s">
        <v>30</v>
      </c>
      <c r="F1228" s="113" t="str">
        <f>_xlfn.XLOOKUP(E1228,'Allocated Transactions'!D:D,'Allocated Transactions'!E:E,"")</f>
        <v>Employee Benefits</v>
      </c>
      <c r="G1228" s="113" t="s">
        <v>97</v>
      </c>
      <c r="H1228" s="113"/>
      <c r="I1228" s="113" t="str">
        <f>_xlfn.XLOOKUP($C1228,'Cost Centers'!$A$2:$A$11,'Cost Centers'!$C$2:$C$11,"")</f>
        <v>Programs</v>
      </c>
      <c r="J1228" s="23">
        <f>MROUND(SUMIFS('Allocated Transactions'!$J:$J,'Allocated Transactions'!$D:$D,$E1228,'Allocated Transactions'!$C:$C,$C1228,'Allocated Transactions'!$A:$A,"&gt;="&amp;$A1228,'Allocated Transactions'!$A:$A,"&lt;="&amp;EOMONTH($A1228,0))*0.99,100)</f>
        <v>7600</v>
      </c>
      <c r="K1228" s="113" t="s">
        <v>637</v>
      </c>
    </row>
    <row r="1229" spans="1:11" ht="15" customHeight="1">
      <c r="A1229" s="112">
        <f t="shared" si="75"/>
        <v>46082</v>
      </c>
      <c r="B1229" s="113">
        <v>6</v>
      </c>
      <c r="C1229" s="18" t="str">
        <f t="shared" si="78"/>
        <v>2010</v>
      </c>
      <c r="D1229" s="113" t="str">
        <f>_xlfn.XLOOKUP($C1229,'Cost Centers'!$A$2:$A$11,'Cost Centers'!$B$2:$B$11,"")</f>
        <v>Latin America</v>
      </c>
      <c r="E1229" s="113" t="s">
        <v>31</v>
      </c>
      <c r="F1229" s="113" t="str">
        <f>_xlfn.XLOOKUP(E1229,'Allocated Transactions'!D:D,'Allocated Transactions'!E:E,"")</f>
        <v>Retirement Contributions</v>
      </c>
      <c r="G1229" s="113" t="s">
        <v>97</v>
      </c>
      <c r="H1229" s="113"/>
      <c r="I1229" s="113" t="str">
        <f>_xlfn.XLOOKUP($C1229,'Cost Centers'!$A$2:$A$11,'Cost Centers'!$C$2:$C$11,"")</f>
        <v>Programs</v>
      </c>
      <c r="J1229" s="23">
        <f>MROUND(SUMIFS('Allocated Transactions'!$J:$J,'Allocated Transactions'!$D:$D,$E1229,'Allocated Transactions'!$C:$C,$C1229,'Allocated Transactions'!$A:$A,"&gt;="&amp;$A1229,'Allocated Transactions'!$A:$A,"&lt;="&amp;EOMONTH($A1229,0))*0.99,100)</f>
        <v>500</v>
      </c>
      <c r="K1229" s="113" t="s">
        <v>637</v>
      </c>
    </row>
    <row r="1230" spans="1:11" ht="15" customHeight="1">
      <c r="A1230" s="112">
        <f t="shared" si="75"/>
        <v>46082</v>
      </c>
      <c r="B1230" s="113">
        <v>6</v>
      </c>
      <c r="C1230" s="18" t="str">
        <f t="shared" si="78"/>
        <v>2010</v>
      </c>
      <c r="D1230" s="113" t="str">
        <f>_xlfn.XLOOKUP($C1230,'Cost Centers'!$A$2:$A$11,'Cost Centers'!$B$2:$B$11,"")</f>
        <v>Latin America</v>
      </c>
      <c r="E1230" s="113" t="s">
        <v>101</v>
      </c>
      <c r="F1230" s="113" t="str">
        <f>_xlfn.XLOOKUP(E1230,'Allocated Transactions'!D:D,'Allocated Transactions'!E:E,"")</f>
        <v>Contract Labor / Consultants</v>
      </c>
      <c r="G1230" s="113" t="s">
        <v>97</v>
      </c>
      <c r="H1230" s="113"/>
      <c r="I1230" s="113" t="str">
        <f>_xlfn.XLOOKUP($C1230,'Cost Centers'!$A$2:$A$11,'Cost Centers'!$C$2:$C$11,"")</f>
        <v>Programs</v>
      </c>
      <c r="J1230" s="23">
        <f>MROUND(SUMIFS('Allocated Transactions'!$J:$J,'Allocated Transactions'!$D:$D,$E1230,'Allocated Transactions'!$C:$C,$C1230,'Allocated Transactions'!$A:$A,"&gt;="&amp;$A1230,'Allocated Transactions'!$A:$A,"&lt;="&amp;EOMONTH($A1230,0))*0.99,100)</f>
        <v>0</v>
      </c>
      <c r="K1230" s="113" t="s">
        <v>637</v>
      </c>
    </row>
    <row r="1231" spans="1:11" ht="15" customHeight="1">
      <c r="A1231" s="112">
        <f t="shared" si="75"/>
        <v>46082</v>
      </c>
      <c r="B1231" s="113">
        <v>6</v>
      </c>
      <c r="C1231" s="18" t="str">
        <f t="shared" si="78"/>
        <v>2010</v>
      </c>
      <c r="D1231" s="113" t="str">
        <f>_xlfn.XLOOKUP($C1231,'Cost Centers'!$A$2:$A$11,'Cost Centers'!$B$2:$B$11,"")</f>
        <v>Latin America</v>
      </c>
      <c r="E1231" s="113" t="s">
        <v>32</v>
      </c>
      <c r="F1231" s="113" t="str">
        <f>_xlfn.XLOOKUP(E1231,'Allocated Transactions'!D:D,'Allocated Transactions'!E:E,"")</f>
        <v>Rent</v>
      </c>
      <c r="G1231" s="113" t="s">
        <v>97</v>
      </c>
      <c r="H1231" s="113"/>
      <c r="I1231" s="113" t="str">
        <f>_xlfn.XLOOKUP($C1231,'Cost Centers'!$A$2:$A$11,'Cost Centers'!$C$2:$C$11,"")</f>
        <v>Programs</v>
      </c>
      <c r="J1231" s="23">
        <f>MROUND(SUMIFS('Allocated Transactions'!$J:$J,'Allocated Transactions'!$D:$D,$E1231,'Allocated Transactions'!$C:$C,$C1231,'Allocated Transactions'!$A:$A,"&gt;="&amp;$A1231,'Allocated Transactions'!$A:$A,"&lt;="&amp;EOMONTH($A1231,0))*0.99,100)</f>
        <v>1300</v>
      </c>
      <c r="K1231" s="113" t="s">
        <v>637</v>
      </c>
    </row>
    <row r="1232" spans="1:11" ht="15" customHeight="1">
      <c r="A1232" s="112">
        <f t="shared" si="75"/>
        <v>46082</v>
      </c>
      <c r="B1232" s="113">
        <v>6</v>
      </c>
      <c r="C1232" s="18" t="str">
        <f t="shared" si="78"/>
        <v>2010</v>
      </c>
      <c r="D1232" s="113" t="str">
        <f>_xlfn.XLOOKUP($C1232,'Cost Centers'!$A$2:$A$11,'Cost Centers'!$B$2:$B$11,"")</f>
        <v>Latin America</v>
      </c>
      <c r="E1232" s="113" t="s">
        <v>33</v>
      </c>
      <c r="F1232" s="113" t="str">
        <f>_xlfn.XLOOKUP(E1232,'Allocated Transactions'!D:D,'Allocated Transactions'!E:E,"")</f>
        <v>Utilities</v>
      </c>
      <c r="G1232" s="113" t="s">
        <v>97</v>
      </c>
      <c r="H1232" s="113"/>
      <c r="I1232" s="113" t="str">
        <f>_xlfn.XLOOKUP($C1232,'Cost Centers'!$A$2:$A$11,'Cost Centers'!$C$2:$C$11,"")</f>
        <v>Programs</v>
      </c>
      <c r="J1232" s="23">
        <f>MROUND(SUMIFS('Allocated Transactions'!$J:$J,'Allocated Transactions'!$D:$D,$E1232,'Allocated Transactions'!$C:$C,$C1232,'Allocated Transactions'!$A:$A,"&gt;="&amp;$A1232,'Allocated Transactions'!$A:$A,"&lt;="&amp;EOMONTH($A1232,0))*0.99,100)</f>
        <v>100</v>
      </c>
      <c r="K1232" s="113" t="s">
        <v>637</v>
      </c>
    </row>
    <row r="1233" spans="1:11" ht="15" customHeight="1">
      <c r="A1233" s="112">
        <f t="shared" si="75"/>
        <v>46082</v>
      </c>
      <c r="B1233" s="113">
        <v>6</v>
      </c>
      <c r="C1233" s="18" t="str">
        <f t="shared" si="78"/>
        <v>2010</v>
      </c>
      <c r="D1233" s="113" t="str">
        <f>_xlfn.XLOOKUP($C1233,'Cost Centers'!$A$2:$A$11,'Cost Centers'!$B$2:$B$11,"")</f>
        <v>Latin America</v>
      </c>
      <c r="E1233" s="113" t="s">
        <v>105</v>
      </c>
      <c r="F1233" s="113" t="str">
        <f>_xlfn.XLOOKUP(E1233,'Allocated Transactions'!D:D,'Allocated Transactions'!E:E,"")</f>
        <v>Office Supplies</v>
      </c>
      <c r="G1233" s="113" t="s">
        <v>97</v>
      </c>
      <c r="H1233" s="113"/>
      <c r="I1233" s="113" t="str">
        <f>_xlfn.XLOOKUP($C1233,'Cost Centers'!$A$2:$A$11,'Cost Centers'!$C$2:$C$11,"")</f>
        <v>Programs</v>
      </c>
      <c r="J1233" s="23">
        <f>MROUND(SUMIFS('Allocated Transactions'!$J:$J,'Allocated Transactions'!$D:$D,$E1233,'Allocated Transactions'!$C:$C,$C1233,'Allocated Transactions'!$A:$A,"&gt;="&amp;$A1233,'Allocated Transactions'!$A:$A,"&lt;="&amp;EOMONTH($A1233,0))*0.99,100)</f>
        <v>0</v>
      </c>
      <c r="K1233" s="113" t="s">
        <v>637</v>
      </c>
    </row>
    <row r="1234" spans="1:11" ht="15" customHeight="1">
      <c r="A1234" s="112">
        <f t="shared" si="75"/>
        <v>46082</v>
      </c>
      <c r="B1234" s="113">
        <v>6</v>
      </c>
      <c r="C1234" s="18" t="str">
        <f t="shared" si="78"/>
        <v>2010</v>
      </c>
      <c r="D1234" s="113" t="str">
        <f>_xlfn.XLOOKUP($C1234,'Cost Centers'!$A$2:$A$11,'Cost Centers'!$B$2:$B$11,"")</f>
        <v>Latin America</v>
      </c>
      <c r="E1234" s="113" t="s">
        <v>107</v>
      </c>
      <c r="F1234" s="113" t="str">
        <f>_xlfn.XLOOKUP(E1234,'Allocated Transactions'!D:D,'Allocated Transactions'!E:E,"")</f>
        <v>Software and Subscriptions</v>
      </c>
      <c r="G1234" s="113" t="s">
        <v>97</v>
      </c>
      <c r="H1234" s="113"/>
      <c r="I1234" s="113" t="str">
        <f>_xlfn.XLOOKUP($C1234,'Cost Centers'!$A$2:$A$11,'Cost Centers'!$C$2:$C$11,"")</f>
        <v>Programs</v>
      </c>
      <c r="J1234" s="23">
        <f>MROUND(SUMIFS('Allocated Transactions'!$J:$J,'Allocated Transactions'!$D:$D,$E1234,'Allocated Transactions'!$C:$C,$C1234,'Allocated Transactions'!$A:$A,"&gt;="&amp;$A1234,'Allocated Transactions'!$A:$A,"&lt;="&amp;EOMONTH($A1234,0))*0.99,100)</f>
        <v>0</v>
      </c>
      <c r="K1234" s="113" t="s">
        <v>637</v>
      </c>
    </row>
    <row r="1235" spans="1:11" ht="15" customHeight="1">
      <c r="A1235" s="112">
        <f t="shared" si="75"/>
        <v>46082</v>
      </c>
      <c r="B1235" s="113">
        <v>6</v>
      </c>
      <c r="C1235" s="18" t="str">
        <f t="shared" si="78"/>
        <v>2010</v>
      </c>
      <c r="D1235" s="113" t="str">
        <f>_xlfn.XLOOKUP($C1235,'Cost Centers'!$A$2:$A$11,'Cost Centers'!$B$2:$B$11,"")</f>
        <v>Latin America</v>
      </c>
      <c r="E1235" s="113" t="s">
        <v>109</v>
      </c>
      <c r="F1235" s="113" t="str">
        <f>_xlfn.XLOOKUP(E1235,'Allocated Transactions'!D:D,'Allocated Transactions'!E:E,"")</f>
        <v>Travel</v>
      </c>
      <c r="G1235" s="113" t="s">
        <v>97</v>
      </c>
      <c r="H1235" s="113"/>
      <c r="I1235" s="113" t="str">
        <f>_xlfn.XLOOKUP($C1235,'Cost Centers'!$A$2:$A$11,'Cost Centers'!$C$2:$C$11,"")</f>
        <v>Programs</v>
      </c>
      <c r="J1235" s="23">
        <f>MROUND(SUMIFS('Allocated Transactions'!$J:$J,'Allocated Transactions'!$D:$D,$E1235,'Allocated Transactions'!$C:$C,$C1235,'Allocated Transactions'!$A:$A,"&gt;="&amp;$A1235,'Allocated Transactions'!$A:$A,"&lt;="&amp;EOMONTH($A1235,0))*0.99,100)</f>
        <v>0</v>
      </c>
      <c r="K1235" s="113" t="s">
        <v>637</v>
      </c>
    </row>
    <row r="1236" spans="1:11" ht="15" customHeight="1">
      <c r="A1236" s="112">
        <f t="shared" si="75"/>
        <v>46082</v>
      </c>
      <c r="B1236" s="113">
        <v>6</v>
      </c>
      <c r="C1236" s="18" t="str">
        <f t="shared" si="78"/>
        <v>2010</v>
      </c>
      <c r="D1236" s="113" t="str">
        <f>_xlfn.XLOOKUP($C1236,'Cost Centers'!$A$2:$A$11,'Cost Centers'!$B$2:$B$11,"")</f>
        <v>Latin America</v>
      </c>
      <c r="E1236" s="113" t="s">
        <v>111</v>
      </c>
      <c r="F1236" s="113" t="str">
        <f>_xlfn.XLOOKUP(E1236,'Allocated Transactions'!D:D,'Allocated Transactions'!E:E,"")</f>
        <v>Meals and Entertainment</v>
      </c>
      <c r="G1236" s="113" t="s">
        <v>97</v>
      </c>
      <c r="H1236" s="113"/>
      <c r="I1236" s="113" t="str">
        <f>_xlfn.XLOOKUP($C1236,'Cost Centers'!$A$2:$A$11,'Cost Centers'!$C$2:$C$11,"")</f>
        <v>Programs</v>
      </c>
      <c r="J1236" s="23">
        <f>MROUND(SUMIFS('Allocated Transactions'!$J:$J,'Allocated Transactions'!$D:$D,$E1236,'Allocated Transactions'!$C:$C,$C1236,'Allocated Transactions'!$A:$A,"&gt;="&amp;$A1236,'Allocated Transactions'!$A:$A,"&lt;="&amp;EOMONTH($A1236,0))*0.99,100)</f>
        <v>0</v>
      </c>
      <c r="K1236" s="113" t="s">
        <v>637</v>
      </c>
    </row>
    <row r="1237" spans="1:11" ht="15" customHeight="1">
      <c r="A1237" s="112">
        <f t="shared" si="75"/>
        <v>46082</v>
      </c>
      <c r="B1237" s="113">
        <v>6</v>
      </c>
      <c r="C1237" s="18" t="str">
        <f t="shared" si="78"/>
        <v>2010</v>
      </c>
      <c r="D1237" s="113" t="str">
        <f>_xlfn.XLOOKUP($C1237,'Cost Centers'!$A$2:$A$11,'Cost Centers'!$B$2:$B$11,"")</f>
        <v>Latin America</v>
      </c>
      <c r="E1237" s="113" t="s">
        <v>113</v>
      </c>
      <c r="F1237" s="113" t="str">
        <f>_xlfn.XLOOKUP(E1237,'Allocated Transactions'!D:D,'Allocated Transactions'!E:E,"")</f>
        <v>Professional Fees - Legal</v>
      </c>
      <c r="G1237" s="113" t="s">
        <v>97</v>
      </c>
      <c r="H1237" s="113"/>
      <c r="I1237" s="113" t="str">
        <f>_xlfn.XLOOKUP($C1237,'Cost Centers'!$A$2:$A$11,'Cost Centers'!$C$2:$C$11,"")</f>
        <v>Programs</v>
      </c>
      <c r="J1237" s="23">
        <f>MROUND(SUMIFS('Allocated Transactions'!$J:$J,'Allocated Transactions'!$D:$D,$E1237,'Allocated Transactions'!$C:$C,$C1237,'Allocated Transactions'!$A:$A,"&gt;="&amp;$A1237,'Allocated Transactions'!$A:$A,"&lt;="&amp;EOMONTH($A1237,0))*0.99,100)</f>
        <v>0</v>
      </c>
      <c r="K1237" s="113" t="s">
        <v>637</v>
      </c>
    </row>
    <row r="1238" spans="1:11" ht="15" customHeight="1">
      <c r="A1238" s="112">
        <f t="shared" si="75"/>
        <v>46082</v>
      </c>
      <c r="B1238" s="113">
        <v>6</v>
      </c>
      <c r="C1238" s="18" t="str">
        <f t="shared" si="78"/>
        <v>2010</v>
      </c>
      <c r="D1238" s="113" t="str">
        <f>_xlfn.XLOOKUP($C1238,'Cost Centers'!$A$2:$A$11,'Cost Centers'!$B$2:$B$11,"")</f>
        <v>Latin America</v>
      </c>
      <c r="E1238" s="113" t="s">
        <v>115</v>
      </c>
      <c r="F1238" s="113" t="str">
        <f>_xlfn.XLOOKUP(E1238,'Allocated Transactions'!D:D,'Allocated Transactions'!E:E,"")</f>
        <v>Professional Fees - Accounting/Audit</v>
      </c>
      <c r="G1238" s="113" t="s">
        <v>97</v>
      </c>
      <c r="H1238" s="113"/>
      <c r="I1238" s="113" t="str">
        <f>_xlfn.XLOOKUP($C1238,'Cost Centers'!$A$2:$A$11,'Cost Centers'!$C$2:$C$11,"")</f>
        <v>Programs</v>
      </c>
      <c r="J1238" s="23">
        <f>MROUND(SUMIFS('Allocated Transactions'!$J:$J,'Allocated Transactions'!$D:$D,$E1238,'Allocated Transactions'!$C:$C,$C1238,'Allocated Transactions'!$A:$A,"&gt;="&amp;$A1238,'Allocated Transactions'!$A:$A,"&lt;="&amp;EOMONTH($A1238,0))*0.99,100)</f>
        <v>0</v>
      </c>
      <c r="K1238" s="113" t="s">
        <v>637</v>
      </c>
    </row>
    <row r="1239" spans="1:11" ht="15" customHeight="1">
      <c r="A1239" s="112">
        <f t="shared" si="75"/>
        <v>46082</v>
      </c>
      <c r="B1239" s="113">
        <v>6</v>
      </c>
      <c r="C1239" s="18" t="str">
        <f t="shared" si="78"/>
        <v>2010</v>
      </c>
      <c r="D1239" s="113" t="str">
        <f>_xlfn.XLOOKUP($C1239,'Cost Centers'!$A$2:$A$11,'Cost Centers'!$B$2:$B$11,"")</f>
        <v>Latin America</v>
      </c>
      <c r="E1239" s="113" t="s">
        <v>117</v>
      </c>
      <c r="F1239" s="113" t="str">
        <f>_xlfn.XLOOKUP(E1239,'Allocated Transactions'!D:D,'Allocated Transactions'!E:E,"")</f>
        <v>Insurance</v>
      </c>
      <c r="G1239" s="113" t="s">
        <v>97</v>
      </c>
      <c r="H1239" s="113"/>
      <c r="I1239" s="113" t="str">
        <f>_xlfn.XLOOKUP($C1239,'Cost Centers'!$A$2:$A$11,'Cost Centers'!$C$2:$C$11,"")</f>
        <v>Programs</v>
      </c>
      <c r="J1239" s="23">
        <f>MROUND(SUMIFS('Allocated Transactions'!$J:$J,'Allocated Transactions'!$D:$D,$E1239,'Allocated Transactions'!$C:$C,$C1239,'Allocated Transactions'!$A:$A,"&gt;="&amp;$A1239,'Allocated Transactions'!$A:$A,"&lt;="&amp;EOMONTH($A1239,0))*0.99,100)</f>
        <v>100</v>
      </c>
      <c r="K1239" s="113" t="s">
        <v>637</v>
      </c>
    </row>
    <row r="1240" spans="1:11" ht="15" customHeight="1">
      <c r="A1240" s="112">
        <f t="shared" si="75"/>
        <v>46082</v>
      </c>
      <c r="B1240" s="113">
        <v>6</v>
      </c>
      <c r="C1240" s="18" t="str">
        <f t="shared" si="78"/>
        <v>2010</v>
      </c>
      <c r="D1240" s="113" t="str">
        <f>_xlfn.XLOOKUP($C1240,'Cost Centers'!$A$2:$A$11,'Cost Centers'!$B$2:$B$11,"")</f>
        <v>Latin America</v>
      </c>
      <c r="E1240" s="113" t="s">
        <v>119</v>
      </c>
      <c r="F1240" s="113" t="str">
        <f>_xlfn.XLOOKUP(E1240,'Allocated Transactions'!D:D,'Allocated Transactions'!E:E,"")</f>
        <v>Depreciation Expense</v>
      </c>
      <c r="G1240" s="113" t="s">
        <v>97</v>
      </c>
      <c r="H1240" s="113"/>
      <c r="I1240" s="113" t="str">
        <f>_xlfn.XLOOKUP($C1240,'Cost Centers'!$A$2:$A$11,'Cost Centers'!$C$2:$C$11,"")</f>
        <v>Programs</v>
      </c>
      <c r="J1240" s="23">
        <f>MROUND(SUMIFS('Allocated Transactions'!$J:$J,'Allocated Transactions'!$D:$D,$E1240,'Allocated Transactions'!$C:$C,$C1240,'Allocated Transactions'!$A:$A,"&gt;="&amp;$A1240,'Allocated Transactions'!$A:$A,"&lt;="&amp;EOMONTH($A1240,0))*0.99,100)</f>
        <v>0</v>
      </c>
      <c r="K1240" s="113" t="s">
        <v>637</v>
      </c>
    </row>
    <row r="1241" spans="1:11" ht="15" customHeight="1">
      <c r="A1241" s="112">
        <f t="shared" ref="A1241:A1304" si="79">IF(C1241&lt;&gt;C1240,DATE(2025,7,1),IF(E1241="5000",EOMONTH(A1240,0)+1,A1240))</f>
        <v>46082</v>
      </c>
      <c r="B1241" s="113">
        <v>6</v>
      </c>
      <c r="C1241" s="18" t="str">
        <f t="shared" si="78"/>
        <v>2010</v>
      </c>
      <c r="D1241" s="113" t="str">
        <f>_xlfn.XLOOKUP($C1241,'Cost Centers'!$A$2:$A$11,'Cost Centers'!$B$2:$B$11,"")</f>
        <v>Latin America</v>
      </c>
      <c r="E1241" s="113" t="s">
        <v>121</v>
      </c>
      <c r="F1241" s="113" t="str">
        <f>_xlfn.XLOOKUP(E1241,'Allocated Transactions'!D:D,'Allocated Transactions'!E:E,"")</f>
        <v>Bank Fees</v>
      </c>
      <c r="G1241" s="113" t="s">
        <v>97</v>
      </c>
      <c r="H1241" s="113"/>
      <c r="I1241" s="113" t="str">
        <f>_xlfn.XLOOKUP($C1241,'Cost Centers'!$A$2:$A$11,'Cost Centers'!$C$2:$C$11,"")</f>
        <v>Programs</v>
      </c>
      <c r="J1241" s="23">
        <f>MROUND(SUMIFS('Allocated Transactions'!$J:$J,'Allocated Transactions'!$D:$D,$E1241,'Allocated Transactions'!$C:$C,$C1241,'Allocated Transactions'!$A:$A,"&gt;="&amp;$A1241,'Allocated Transactions'!$A:$A,"&lt;="&amp;EOMONTH($A1241,0))*0.99,100)</f>
        <v>0</v>
      </c>
      <c r="K1241" s="113" t="s">
        <v>637</v>
      </c>
    </row>
    <row r="1242" spans="1:11" ht="15" customHeight="1">
      <c r="A1242" s="112">
        <f t="shared" si="79"/>
        <v>46082</v>
      </c>
      <c r="B1242" s="113">
        <v>6</v>
      </c>
      <c r="C1242" s="18" t="str">
        <f t="shared" si="78"/>
        <v>2010</v>
      </c>
      <c r="D1242" s="113" t="str">
        <f>_xlfn.XLOOKUP($C1242,'Cost Centers'!$A$2:$A$11,'Cost Centers'!$B$2:$B$11,"")</f>
        <v>Latin America</v>
      </c>
      <c r="E1242" s="113" t="s">
        <v>123</v>
      </c>
      <c r="F1242" s="113" t="str">
        <f>_xlfn.XLOOKUP(E1242,'Allocated Transactions'!D:D,'Allocated Transactions'!E:E,"")</f>
        <v>Interest Expense</v>
      </c>
      <c r="G1242" s="113" t="s">
        <v>97</v>
      </c>
      <c r="H1242" s="113"/>
      <c r="I1242" s="113" t="str">
        <f>_xlfn.XLOOKUP($C1242,'Cost Centers'!$A$2:$A$11,'Cost Centers'!$C$2:$C$11,"")</f>
        <v>Programs</v>
      </c>
      <c r="J1242" s="23">
        <f>MROUND(SUMIFS('Allocated Transactions'!$J:$J,'Allocated Transactions'!$D:$D,$E1242,'Allocated Transactions'!$C:$C,$C1242,'Allocated Transactions'!$A:$A,"&gt;="&amp;$A1242,'Allocated Transactions'!$A:$A,"&lt;="&amp;EOMONTH($A1242,0))*0.99,100)</f>
        <v>0</v>
      </c>
      <c r="K1242" s="113" t="s">
        <v>637</v>
      </c>
    </row>
    <row r="1243" spans="1:11" ht="15" customHeight="1">
      <c r="A1243" s="112">
        <f t="shared" si="79"/>
        <v>46082</v>
      </c>
      <c r="B1243" s="113">
        <v>6</v>
      </c>
      <c r="C1243" s="18" t="str">
        <f t="shared" si="78"/>
        <v>2010</v>
      </c>
      <c r="D1243" s="113" t="str">
        <f>_xlfn.XLOOKUP($C1243,'Cost Centers'!$A$2:$A$11,'Cost Centers'!$B$2:$B$11,"")</f>
        <v>Latin America</v>
      </c>
      <c r="E1243" s="113" t="s">
        <v>125</v>
      </c>
      <c r="F1243" s="113" t="str">
        <f>_xlfn.XLOOKUP(E1243,'Allocated Transactions'!D:D,'Allocated Transactions'!E:E,"")</f>
        <v>Miscellaneous Expense</v>
      </c>
      <c r="G1243" s="113" t="s">
        <v>97</v>
      </c>
      <c r="H1243" s="113"/>
      <c r="I1243" s="113" t="str">
        <f>_xlfn.XLOOKUP($C1243,'Cost Centers'!$A$2:$A$11,'Cost Centers'!$C$2:$C$11,"")</f>
        <v>Programs</v>
      </c>
      <c r="J1243" s="23">
        <f>MROUND(SUMIFS('Allocated Transactions'!$J:$J,'Allocated Transactions'!$D:$D,$E1243,'Allocated Transactions'!$C:$C,$C1243,'Allocated Transactions'!$A:$A,"&gt;="&amp;$A1243,'Allocated Transactions'!$A:$A,"&lt;="&amp;EOMONTH($A1243,0))*0.99,100)</f>
        <v>0</v>
      </c>
      <c r="K1243" s="113" t="s">
        <v>637</v>
      </c>
    </row>
    <row r="1244" spans="1:11" ht="15" customHeight="1">
      <c r="A1244" s="112">
        <f t="shared" si="79"/>
        <v>46113</v>
      </c>
      <c r="B1244" s="113">
        <v>6</v>
      </c>
      <c r="C1244" s="18" t="s">
        <v>12</v>
      </c>
      <c r="D1244" s="113" t="str">
        <f>_xlfn.XLOOKUP($C1244,'Cost Centers'!$A$2:$A$11,'Cost Centers'!$B$2:$B$11,"")</f>
        <v>Latin America</v>
      </c>
      <c r="E1244" s="113" t="s">
        <v>28</v>
      </c>
      <c r="F1244" s="113" t="str">
        <f>_xlfn.XLOOKUP(E1244,'Allocated Transactions'!D:D,'Allocated Transactions'!E:E,"")</f>
        <v>Salaries and Wages</v>
      </c>
      <c r="G1244" s="113" t="s">
        <v>97</v>
      </c>
      <c r="H1244" s="113"/>
      <c r="I1244" s="113" t="str">
        <f>_xlfn.XLOOKUP($C1244,'Cost Centers'!$A$2:$A$11,'Cost Centers'!$C$2:$C$11,"")</f>
        <v>Programs</v>
      </c>
      <c r="J1244" s="23">
        <f>MROUND(SUMIFS('Allocated Transactions'!$J:$J,'Allocated Transactions'!$D:$D,$E1244,'Allocated Transactions'!$C:$C,$C1244,'Allocated Transactions'!$A:$A,"&gt;="&amp;$A1244,'Allocated Transactions'!$A:$A,"&lt;="&amp;EOMONTH($A1244,0))*0.99,100)</f>
        <v>16900</v>
      </c>
      <c r="K1244" s="113" t="s">
        <v>637</v>
      </c>
    </row>
    <row r="1245" spans="1:11" ht="15" customHeight="1">
      <c r="A1245" s="112">
        <f t="shared" si="79"/>
        <v>46113</v>
      </c>
      <c r="B1245" s="113">
        <v>6</v>
      </c>
      <c r="C1245" s="18" t="str">
        <f t="shared" ref="C1245:C1261" si="80">C1244</f>
        <v>2010</v>
      </c>
      <c r="D1245" s="113" t="str">
        <f>_xlfn.XLOOKUP($C1245,'Cost Centers'!$A$2:$A$11,'Cost Centers'!$B$2:$B$11,"")</f>
        <v>Latin America</v>
      </c>
      <c r="E1245" s="113" t="s">
        <v>29</v>
      </c>
      <c r="F1245" s="113" t="str">
        <f>_xlfn.XLOOKUP(E1245,'Allocated Transactions'!D:D,'Allocated Transactions'!E:E,"")</f>
        <v>Payroll Taxes</v>
      </c>
      <c r="G1245" s="113" t="s">
        <v>97</v>
      </c>
      <c r="H1245" s="113"/>
      <c r="I1245" s="113" t="str">
        <f>_xlfn.XLOOKUP($C1245,'Cost Centers'!$A$2:$A$11,'Cost Centers'!$C$2:$C$11,"")</f>
        <v>Programs</v>
      </c>
      <c r="J1245" s="23">
        <f>MROUND(SUMIFS('Allocated Transactions'!$J:$J,'Allocated Transactions'!$D:$D,$E1245,'Allocated Transactions'!$C:$C,$C1245,'Allocated Transactions'!$A:$A,"&gt;="&amp;$A1245,'Allocated Transactions'!$A:$A,"&lt;="&amp;EOMONTH($A1245,0))*0.99,100)</f>
        <v>1300</v>
      </c>
      <c r="K1245" s="113" t="s">
        <v>637</v>
      </c>
    </row>
    <row r="1246" spans="1:11" ht="15" customHeight="1">
      <c r="A1246" s="112">
        <f t="shared" si="79"/>
        <v>46113</v>
      </c>
      <c r="B1246" s="113">
        <v>6</v>
      </c>
      <c r="C1246" s="18" t="str">
        <f t="shared" si="80"/>
        <v>2010</v>
      </c>
      <c r="D1246" s="113" t="str">
        <f>_xlfn.XLOOKUP($C1246,'Cost Centers'!$A$2:$A$11,'Cost Centers'!$B$2:$B$11,"")</f>
        <v>Latin America</v>
      </c>
      <c r="E1246" s="113" t="s">
        <v>30</v>
      </c>
      <c r="F1246" s="113" t="str">
        <f>_xlfn.XLOOKUP(E1246,'Allocated Transactions'!D:D,'Allocated Transactions'!E:E,"")</f>
        <v>Employee Benefits</v>
      </c>
      <c r="G1246" s="113" t="s">
        <v>97</v>
      </c>
      <c r="H1246" s="113"/>
      <c r="I1246" s="113" t="str">
        <f>_xlfn.XLOOKUP($C1246,'Cost Centers'!$A$2:$A$11,'Cost Centers'!$C$2:$C$11,"")</f>
        <v>Programs</v>
      </c>
      <c r="J1246" s="23">
        <f>MROUND(SUMIFS('Allocated Transactions'!$J:$J,'Allocated Transactions'!$D:$D,$E1246,'Allocated Transactions'!$C:$C,$C1246,'Allocated Transactions'!$A:$A,"&gt;="&amp;$A1246,'Allocated Transactions'!$A:$A,"&lt;="&amp;EOMONTH($A1246,0))*0.99,100)</f>
        <v>8400</v>
      </c>
      <c r="K1246" s="113" t="s">
        <v>637</v>
      </c>
    </row>
    <row r="1247" spans="1:11" ht="15" customHeight="1">
      <c r="A1247" s="112">
        <f t="shared" si="79"/>
        <v>46113</v>
      </c>
      <c r="B1247" s="113">
        <v>6</v>
      </c>
      <c r="C1247" s="18" t="str">
        <f t="shared" si="80"/>
        <v>2010</v>
      </c>
      <c r="D1247" s="113" t="str">
        <f>_xlfn.XLOOKUP($C1247,'Cost Centers'!$A$2:$A$11,'Cost Centers'!$B$2:$B$11,"")</f>
        <v>Latin America</v>
      </c>
      <c r="E1247" s="113" t="s">
        <v>31</v>
      </c>
      <c r="F1247" s="113" t="str">
        <f>_xlfn.XLOOKUP(E1247,'Allocated Transactions'!D:D,'Allocated Transactions'!E:E,"")</f>
        <v>Retirement Contributions</v>
      </c>
      <c r="G1247" s="113" t="s">
        <v>97</v>
      </c>
      <c r="H1247" s="113"/>
      <c r="I1247" s="113" t="str">
        <f>_xlfn.XLOOKUP($C1247,'Cost Centers'!$A$2:$A$11,'Cost Centers'!$C$2:$C$11,"")</f>
        <v>Programs</v>
      </c>
      <c r="J1247" s="23">
        <f>MROUND(SUMIFS('Allocated Transactions'!$J:$J,'Allocated Transactions'!$D:$D,$E1247,'Allocated Transactions'!$C:$C,$C1247,'Allocated Transactions'!$A:$A,"&gt;="&amp;$A1247,'Allocated Transactions'!$A:$A,"&lt;="&amp;EOMONTH($A1247,0))*0.99,100)</f>
        <v>500</v>
      </c>
      <c r="K1247" s="113" t="s">
        <v>637</v>
      </c>
    </row>
    <row r="1248" spans="1:11" ht="15" customHeight="1">
      <c r="A1248" s="112">
        <f t="shared" si="79"/>
        <v>46113</v>
      </c>
      <c r="B1248" s="113">
        <v>6</v>
      </c>
      <c r="C1248" s="18" t="str">
        <f t="shared" si="80"/>
        <v>2010</v>
      </c>
      <c r="D1248" s="113" t="str">
        <f>_xlfn.XLOOKUP($C1248,'Cost Centers'!$A$2:$A$11,'Cost Centers'!$B$2:$B$11,"")</f>
        <v>Latin America</v>
      </c>
      <c r="E1248" s="113" t="s">
        <v>101</v>
      </c>
      <c r="F1248" s="113" t="str">
        <f>_xlfn.XLOOKUP(E1248,'Allocated Transactions'!D:D,'Allocated Transactions'!E:E,"")</f>
        <v>Contract Labor / Consultants</v>
      </c>
      <c r="G1248" s="113" t="s">
        <v>97</v>
      </c>
      <c r="H1248" s="113"/>
      <c r="I1248" s="113" t="str">
        <f>_xlfn.XLOOKUP($C1248,'Cost Centers'!$A$2:$A$11,'Cost Centers'!$C$2:$C$11,"")</f>
        <v>Programs</v>
      </c>
      <c r="J1248" s="23">
        <f>MROUND(SUMIFS('Allocated Transactions'!$J:$J,'Allocated Transactions'!$D:$D,$E1248,'Allocated Transactions'!$C:$C,$C1248,'Allocated Transactions'!$A:$A,"&gt;="&amp;$A1248,'Allocated Transactions'!$A:$A,"&lt;="&amp;EOMONTH($A1248,0))*0.99,100)</f>
        <v>0</v>
      </c>
      <c r="K1248" s="113" t="s">
        <v>637</v>
      </c>
    </row>
    <row r="1249" spans="1:11" ht="15" customHeight="1">
      <c r="A1249" s="112">
        <f t="shared" si="79"/>
        <v>46113</v>
      </c>
      <c r="B1249" s="113">
        <v>6</v>
      </c>
      <c r="C1249" s="18" t="str">
        <f t="shared" si="80"/>
        <v>2010</v>
      </c>
      <c r="D1249" s="113" t="str">
        <f>_xlfn.XLOOKUP($C1249,'Cost Centers'!$A$2:$A$11,'Cost Centers'!$B$2:$B$11,"")</f>
        <v>Latin America</v>
      </c>
      <c r="E1249" s="113" t="s">
        <v>32</v>
      </c>
      <c r="F1249" s="113" t="str">
        <f>_xlfn.XLOOKUP(E1249,'Allocated Transactions'!D:D,'Allocated Transactions'!E:E,"")</f>
        <v>Rent</v>
      </c>
      <c r="G1249" s="113" t="s">
        <v>97</v>
      </c>
      <c r="H1249" s="113"/>
      <c r="I1249" s="113" t="str">
        <f>_xlfn.XLOOKUP($C1249,'Cost Centers'!$A$2:$A$11,'Cost Centers'!$C$2:$C$11,"")</f>
        <v>Programs</v>
      </c>
      <c r="J1249" s="23">
        <f>MROUND(SUMIFS('Allocated Transactions'!$J:$J,'Allocated Transactions'!$D:$D,$E1249,'Allocated Transactions'!$C:$C,$C1249,'Allocated Transactions'!$A:$A,"&gt;="&amp;$A1249,'Allocated Transactions'!$A:$A,"&lt;="&amp;EOMONTH($A1249,0))*0.99,100)</f>
        <v>1300</v>
      </c>
      <c r="K1249" s="113" t="s">
        <v>637</v>
      </c>
    </row>
    <row r="1250" spans="1:11" ht="15" customHeight="1">
      <c r="A1250" s="112">
        <f t="shared" si="79"/>
        <v>46113</v>
      </c>
      <c r="B1250" s="113">
        <v>6</v>
      </c>
      <c r="C1250" s="18" t="str">
        <f t="shared" si="80"/>
        <v>2010</v>
      </c>
      <c r="D1250" s="113" t="str">
        <f>_xlfn.XLOOKUP($C1250,'Cost Centers'!$A$2:$A$11,'Cost Centers'!$B$2:$B$11,"")</f>
        <v>Latin America</v>
      </c>
      <c r="E1250" s="113" t="s">
        <v>33</v>
      </c>
      <c r="F1250" s="113" t="str">
        <f>_xlfn.XLOOKUP(E1250,'Allocated Transactions'!D:D,'Allocated Transactions'!E:E,"")</f>
        <v>Utilities</v>
      </c>
      <c r="G1250" s="113" t="s">
        <v>97</v>
      </c>
      <c r="H1250" s="113"/>
      <c r="I1250" s="113" t="str">
        <f>_xlfn.XLOOKUP($C1250,'Cost Centers'!$A$2:$A$11,'Cost Centers'!$C$2:$C$11,"")</f>
        <v>Programs</v>
      </c>
      <c r="J1250" s="23">
        <f>MROUND(SUMIFS('Allocated Transactions'!$J:$J,'Allocated Transactions'!$D:$D,$E1250,'Allocated Transactions'!$C:$C,$C1250,'Allocated Transactions'!$A:$A,"&gt;="&amp;$A1250,'Allocated Transactions'!$A:$A,"&lt;="&amp;EOMONTH($A1250,0))*0.99,100)</f>
        <v>100</v>
      </c>
      <c r="K1250" s="113" t="s">
        <v>637</v>
      </c>
    </row>
    <row r="1251" spans="1:11" ht="15" customHeight="1">
      <c r="A1251" s="112">
        <f t="shared" si="79"/>
        <v>46113</v>
      </c>
      <c r="B1251" s="113">
        <v>6</v>
      </c>
      <c r="C1251" s="18" t="str">
        <f t="shared" si="80"/>
        <v>2010</v>
      </c>
      <c r="D1251" s="113" t="str">
        <f>_xlfn.XLOOKUP($C1251,'Cost Centers'!$A$2:$A$11,'Cost Centers'!$B$2:$B$11,"")</f>
        <v>Latin America</v>
      </c>
      <c r="E1251" s="113" t="s">
        <v>105</v>
      </c>
      <c r="F1251" s="113" t="str">
        <f>_xlfn.XLOOKUP(E1251,'Allocated Transactions'!D:D,'Allocated Transactions'!E:E,"")</f>
        <v>Office Supplies</v>
      </c>
      <c r="G1251" s="113" t="s">
        <v>97</v>
      </c>
      <c r="H1251" s="113"/>
      <c r="I1251" s="113" t="str">
        <f>_xlfn.XLOOKUP($C1251,'Cost Centers'!$A$2:$A$11,'Cost Centers'!$C$2:$C$11,"")</f>
        <v>Programs</v>
      </c>
      <c r="J1251" s="23">
        <f>MROUND(SUMIFS('Allocated Transactions'!$J:$J,'Allocated Transactions'!$D:$D,$E1251,'Allocated Transactions'!$C:$C,$C1251,'Allocated Transactions'!$A:$A,"&gt;="&amp;$A1251,'Allocated Transactions'!$A:$A,"&lt;="&amp;EOMONTH($A1251,0))*0.99,100)</f>
        <v>0</v>
      </c>
      <c r="K1251" s="113" t="s">
        <v>637</v>
      </c>
    </row>
    <row r="1252" spans="1:11" ht="15" customHeight="1">
      <c r="A1252" s="112">
        <f t="shared" si="79"/>
        <v>46113</v>
      </c>
      <c r="B1252" s="113">
        <v>6</v>
      </c>
      <c r="C1252" s="18" t="str">
        <f t="shared" si="80"/>
        <v>2010</v>
      </c>
      <c r="D1252" s="113" t="str">
        <f>_xlfn.XLOOKUP($C1252,'Cost Centers'!$A$2:$A$11,'Cost Centers'!$B$2:$B$11,"")</f>
        <v>Latin America</v>
      </c>
      <c r="E1252" s="113" t="s">
        <v>107</v>
      </c>
      <c r="F1252" s="113" t="str">
        <f>_xlfn.XLOOKUP(E1252,'Allocated Transactions'!D:D,'Allocated Transactions'!E:E,"")</f>
        <v>Software and Subscriptions</v>
      </c>
      <c r="G1252" s="113" t="s">
        <v>97</v>
      </c>
      <c r="H1252" s="113"/>
      <c r="I1252" s="113" t="str">
        <f>_xlfn.XLOOKUP($C1252,'Cost Centers'!$A$2:$A$11,'Cost Centers'!$C$2:$C$11,"")</f>
        <v>Programs</v>
      </c>
      <c r="J1252" s="23">
        <f>MROUND(SUMIFS('Allocated Transactions'!$J:$J,'Allocated Transactions'!$D:$D,$E1252,'Allocated Transactions'!$C:$C,$C1252,'Allocated Transactions'!$A:$A,"&gt;="&amp;$A1252,'Allocated Transactions'!$A:$A,"&lt;="&amp;EOMONTH($A1252,0))*0.99,100)</f>
        <v>0</v>
      </c>
      <c r="K1252" s="113" t="s">
        <v>637</v>
      </c>
    </row>
    <row r="1253" spans="1:11" ht="15" customHeight="1">
      <c r="A1253" s="112">
        <f t="shared" si="79"/>
        <v>46113</v>
      </c>
      <c r="B1253" s="113">
        <v>6</v>
      </c>
      <c r="C1253" s="18" t="str">
        <f t="shared" si="80"/>
        <v>2010</v>
      </c>
      <c r="D1253" s="113" t="str">
        <f>_xlfn.XLOOKUP($C1253,'Cost Centers'!$A$2:$A$11,'Cost Centers'!$B$2:$B$11,"")</f>
        <v>Latin America</v>
      </c>
      <c r="E1253" s="113" t="s">
        <v>109</v>
      </c>
      <c r="F1253" s="113" t="str">
        <f>_xlfn.XLOOKUP(E1253,'Allocated Transactions'!D:D,'Allocated Transactions'!E:E,"")</f>
        <v>Travel</v>
      </c>
      <c r="G1253" s="113" t="s">
        <v>97</v>
      </c>
      <c r="H1253" s="113"/>
      <c r="I1253" s="113" t="str">
        <f>_xlfn.XLOOKUP($C1253,'Cost Centers'!$A$2:$A$11,'Cost Centers'!$C$2:$C$11,"")</f>
        <v>Programs</v>
      </c>
      <c r="J1253" s="23">
        <f>MROUND(SUMIFS('Allocated Transactions'!$J:$J,'Allocated Transactions'!$D:$D,$E1253,'Allocated Transactions'!$C:$C,$C1253,'Allocated Transactions'!$A:$A,"&gt;="&amp;$A1253,'Allocated Transactions'!$A:$A,"&lt;="&amp;EOMONTH($A1253,0))*0.99,100)</f>
        <v>0</v>
      </c>
      <c r="K1253" s="113" t="s">
        <v>637</v>
      </c>
    </row>
    <row r="1254" spans="1:11" ht="15" customHeight="1">
      <c r="A1254" s="112">
        <f t="shared" si="79"/>
        <v>46113</v>
      </c>
      <c r="B1254" s="113">
        <v>6</v>
      </c>
      <c r="C1254" s="18" t="str">
        <f t="shared" si="80"/>
        <v>2010</v>
      </c>
      <c r="D1254" s="113" t="str">
        <f>_xlfn.XLOOKUP($C1254,'Cost Centers'!$A$2:$A$11,'Cost Centers'!$B$2:$B$11,"")</f>
        <v>Latin America</v>
      </c>
      <c r="E1254" s="113" t="s">
        <v>111</v>
      </c>
      <c r="F1254" s="113" t="str">
        <f>_xlfn.XLOOKUP(E1254,'Allocated Transactions'!D:D,'Allocated Transactions'!E:E,"")</f>
        <v>Meals and Entertainment</v>
      </c>
      <c r="G1254" s="113" t="s">
        <v>97</v>
      </c>
      <c r="H1254" s="113"/>
      <c r="I1254" s="113" t="str">
        <f>_xlfn.XLOOKUP($C1254,'Cost Centers'!$A$2:$A$11,'Cost Centers'!$C$2:$C$11,"")</f>
        <v>Programs</v>
      </c>
      <c r="J1254" s="23">
        <f>MROUND(SUMIFS('Allocated Transactions'!$J:$J,'Allocated Transactions'!$D:$D,$E1254,'Allocated Transactions'!$C:$C,$C1254,'Allocated Transactions'!$A:$A,"&gt;="&amp;$A1254,'Allocated Transactions'!$A:$A,"&lt;="&amp;EOMONTH($A1254,0))*0.99,100)</f>
        <v>0</v>
      </c>
      <c r="K1254" s="113" t="s">
        <v>637</v>
      </c>
    </row>
    <row r="1255" spans="1:11" ht="15" customHeight="1">
      <c r="A1255" s="112">
        <f t="shared" si="79"/>
        <v>46113</v>
      </c>
      <c r="B1255" s="113">
        <v>6</v>
      </c>
      <c r="C1255" s="18" t="str">
        <f t="shared" si="80"/>
        <v>2010</v>
      </c>
      <c r="D1255" s="113" t="str">
        <f>_xlfn.XLOOKUP($C1255,'Cost Centers'!$A$2:$A$11,'Cost Centers'!$B$2:$B$11,"")</f>
        <v>Latin America</v>
      </c>
      <c r="E1255" s="113" t="s">
        <v>113</v>
      </c>
      <c r="F1255" s="113" t="str">
        <f>_xlfn.XLOOKUP(E1255,'Allocated Transactions'!D:D,'Allocated Transactions'!E:E,"")</f>
        <v>Professional Fees - Legal</v>
      </c>
      <c r="G1255" s="113" t="s">
        <v>97</v>
      </c>
      <c r="H1255" s="113"/>
      <c r="I1255" s="113" t="str">
        <f>_xlfn.XLOOKUP($C1255,'Cost Centers'!$A$2:$A$11,'Cost Centers'!$C$2:$C$11,"")</f>
        <v>Programs</v>
      </c>
      <c r="J1255" s="23">
        <f>MROUND(SUMIFS('Allocated Transactions'!$J:$J,'Allocated Transactions'!$D:$D,$E1255,'Allocated Transactions'!$C:$C,$C1255,'Allocated Transactions'!$A:$A,"&gt;="&amp;$A1255,'Allocated Transactions'!$A:$A,"&lt;="&amp;EOMONTH($A1255,0))*0.99,100)</f>
        <v>0</v>
      </c>
      <c r="K1255" s="113" t="s">
        <v>637</v>
      </c>
    </row>
    <row r="1256" spans="1:11" ht="15" customHeight="1">
      <c r="A1256" s="112">
        <f t="shared" si="79"/>
        <v>46113</v>
      </c>
      <c r="B1256" s="113">
        <v>6</v>
      </c>
      <c r="C1256" s="18" t="str">
        <f t="shared" si="80"/>
        <v>2010</v>
      </c>
      <c r="D1256" s="113" t="str">
        <f>_xlfn.XLOOKUP($C1256,'Cost Centers'!$A$2:$A$11,'Cost Centers'!$B$2:$B$11,"")</f>
        <v>Latin America</v>
      </c>
      <c r="E1256" s="113" t="s">
        <v>115</v>
      </c>
      <c r="F1256" s="113" t="str">
        <f>_xlfn.XLOOKUP(E1256,'Allocated Transactions'!D:D,'Allocated Transactions'!E:E,"")</f>
        <v>Professional Fees - Accounting/Audit</v>
      </c>
      <c r="G1256" s="113" t="s">
        <v>97</v>
      </c>
      <c r="H1256" s="113"/>
      <c r="I1256" s="113" t="str">
        <f>_xlfn.XLOOKUP($C1256,'Cost Centers'!$A$2:$A$11,'Cost Centers'!$C$2:$C$11,"")</f>
        <v>Programs</v>
      </c>
      <c r="J1256" s="23">
        <f>MROUND(SUMIFS('Allocated Transactions'!$J:$J,'Allocated Transactions'!$D:$D,$E1256,'Allocated Transactions'!$C:$C,$C1256,'Allocated Transactions'!$A:$A,"&gt;="&amp;$A1256,'Allocated Transactions'!$A:$A,"&lt;="&amp;EOMONTH($A1256,0))*0.99,100)</f>
        <v>0</v>
      </c>
      <c r="K1256" s="113" t="s">
        <v>637</v>
      </c>
    </row>
    <row r="1257" spans="1:11" ht="15" customHeight="1">
      <c r="A1257" s="112">
        <f t="shared" si="79"/>
        <v>46113</v>
      </c>
      <c r="B1257" s="113">
        <v>6</v>
      </c>
      <c r="C1257" s="18" t="str">
        <f t="shared" si="80"/>
        <v>2010</v>
      </c>
      <c r="D1257" s="113" t="str">
        <f>_xlfn.XLOOKUP($C1257,'Cost Centers'!$A$2:$A$11,'Cost Centers'!$B$2:$B$11,"")</f>
        <v>Latin America</v>
      </c>
      <c r="E1257" s="113" t="s">
        <v>117</v>
      </c>
      <c r="F1257" s="113" t="str">
        <f>_xlfn.XLOOKUP(E1257,'Allocated Transactions'!D:D,'Allocated Transactions'!E:E,"")</f>
        <v>Insurance</v>
      </c>
      <c r="G1257" s="113" t="s">
        <v>97</v>
      </c>
      <c r="H1257" s="113"/>
      <c r="I1257" s="113" t="str">
        <f>_xlfn.XLOOKUP($C1257,'Cost Centers'!$A$2:$A$11,'Cost Centers'!$C$2:$C$11,"")</f>
        <v>Programs</v>
      </c>
      <c r="J1257" s="23">
        <f>MROUND(SUMIFS('Allocated Transactions'!$J:$J,'Allocated Transactions'!$D:$D,$E1257,'Allocated Transactions'!$C:$C,$C1257,'Allocated Transactions'!$A:$A,"&gt;="&amp;$A1257,'Allocated Transactions'!$A:$A,"&lt;="&amp;EOMONTH($A1257,0))*0.99,100)</f>
        <v>100</v>
      </c>
      <c r="K1257" s="113" t="s">
        <v>637</v>
      </c>
    </row>
    <row r="1258" spans="1:11" ht="15" customHeight="1">
      <c r="A1258" s="112">
        <f t="shared" si="79"/>
        <v>46113</v>
      </c>
      <c r="B1258" s="113">
        <v>6</v>
      </c>
      <c r="C1258" s="18" t="str">
        <f t="shared" si="80"/>
        <v>2010</v>
      </c>
      <c r="D1258" s="113" t="str">
        <f>_xlfn.XLOOKUP($C1258,'Cost Centers'!$A$2:$A$11,'Cost Centers'!$B$2:$B$11,"")</f>
        <v>Latin America</v>
      </c>
      <c r="E1258" s="113" t="s">
        <v>119</v>
      </c>
      <c r="F1258" s="113" t="str">
        <f>_xlfn.XLOOKUP(E1258,'Allocated Transactions'!D:D,'Allocated Transactions'!E:E,"")</f>
        <v>Depreciation Expense</v>
      </c>
      <c r="G1258" s="113" t="s">
        <v>97</v>
      </c>
      <c r="H1258" s="113"/>
      <c r="I1258" s="113" t="str">
        <f>_xlfn.XLOOKUP($C1258,'Cost Centers'!$A$2:$A$11,'Cost Centers'!$C$2:$C$11,"")</f>
        <v>Programs</v>
      </c>
      <c r="J1258" s="23">
        <f>MROUND(SUMIFS('Allocated Transactions'!$J:$J,'Allocated Transactions'!$D:$D,$E1258,'Allocated Transactions'!$C:$C,$C1258,'Allocated Transactions'!$A:$A,"&gt;="&amp;$A1258,'Allocated Transactions'!$A:$A,"&lt;="&amp;EOMONTH($A1258,0))*0.99,100)</f>
        <v>0</v>
      </c>
      <c r="K1258" s="113" t="s">
        <v>637</v>
      </c>
    </row>
    <row r="1259" spans="1:11" ht="15" customHeight="1">
      <c r="A1259" s="112">
        <f t="shared" si="79"/>
        <v>46113</v>
      </c>
      <c r="B1259" s="113">
        <v>6</v>
      </c>
      <c r="C1259" s="18" t="str">
        <f t="shared" si="80"/>
        <v>2010</v>
      </c>
      <c r="D1259" s="113" t="str">
        <f>_xlfn.XLOOKUP($C1259,'Cost Centers'!$A$2:$A$11,'Cost Centers'!$B$2:$B$11,"")</f>
        <v>Latin America</v>
      </c>
      <c r="E1259" s="113" t="s">
        <v>121</v>
      </c>
      <c r="F1259" s="113" t="str">
        <f>_xlfn.XLOOKUP(E1259,'Allocated Transactions'!D:D,'Allocated Transactions'!E:E,"")</f>
        <v>Bank Fees</v>
      </c>
      <c r="G1259" s="113" t="s">
        <v>97</v>
      </c>
      <c r="H1259" s="113"/>
      <c r="I1259" s="113" t="str">
        <f>_xlfn.XLOOKUP($C1259,'Cost Centers'!$A$2:$A$11,'Cost Centers'!$C$2:$C$11,"")</f>
        <v>Programs</v>
      </c>
      <c r="J1259" s="23">
        <f>MROUND(SUMIFS('Allocated Transactions'!$J:$J,'Allocated Transactions'!$D:$D,$E1259,'Allocated Transactions'!$C:$C,$C1259,'Allocated Transactions'!$A:$A,"&gt;="&amp;$A1259,'Allocated Transactions'!$A:$A,"&lt;="&amp;EOMONTH($A1259,0))*0.99,100)</f>
        <v>0</v>
      </c>
      <c r="K1259" s="113" t="s">
        <v>637</v>
      </c>
    </row>
    <row r="1260" spans="1:11" ht="15" customHeight="1">
      <c r="A1260" s="112">
        <f t="shared" si="79"/>
        <v>46113</v>
      </c>
      <c r="B1260" s="113">
        <v>6</v>
      </c>
      <c r="C1260" s="18" t="str">
        <f t="shared" si="80"/>
        <v>2010</v>
      </c>
      <c r="D1260" s="113" t="str">
        <f>_xlfn.XLOOKUP($C1260,'Cost Centers'!$A$2:$A$11,'Cost Centers'!$B$2:$B$11,"")</f>
        <v>Latin America</v>
      </c>
      <c r="E1260" s="113" t="s">
        <v>123</v>
      </c>
      <c r="F1260" s="113" t="str">
        <f>_xlfn.XLOOKUP(E1260,'Allocated Transactions'!D:D,'Allocated Transactions'!E:E,"")</f>
        <v>Interest Expense</v>
      </c>
      <c r="G1260" s="113" t="s">
        <v>97</v>
      </c>
      <c r="H1260" s="113"/>
      <c r="I1260" s="113" t="str">
        <f>_xlfn.XLOOKUP($C1260,'Cost Centers'!$A$2:$A$11,'Cost Centers'!$C$2:$C$11,"")</f>
        <v>Programs</v>
      </c>
      <c r="J1260" s="23">
        <f>MROUND(SUMIFS('Allocated Transactions'!$J:$J,'Allocated Transactions'!$D:$D,$E1260,'Allocated Transactions'!$C:$C,$C1260,'Allocated Transactions'!$A:$A,"&gt;="&amp;$A1260,'Allocated Transactions'!$A:$A,"&lt;="&amp;EOMONTH($A1260,0))*0.99,100)</f>
        <v>0</v>
      </c>
      <c r="K1260" s="113" t="s">
        <v>637</v>
      </c>
    </row>
    <row r="1261" spans="1:11" ht="15" customHeight="1">
      <c r="A1261" s="112">
        <f t="shared" si="79"/>
        <v>46113</v>
      </c>
      <c r="B1261" s="113">
        <v>6</v>
      </c>
      <c r="C1261" s="18" t="str">
        <f t="shared" si="80"/>
        <v>2010</v>
      </c>
      <c r="D1261" s="113" t="str">
        <f>_xlfn.XLOOKUP($C1261,'Cost Centers'!$A$2:$A$11,'Cost Centers'!$B$2:$B$11,"")</f>
        <v>Latin America</v>
      </c>
      <c r="E1261" s="113" t="s">
        <v>125</v>
      </c>
      <c r="F1261" s="113" t="str">
        <f>_xlfn.XLOOKUP(E1261,'Allocated Transactions'!D:D,'Allocated Transactions'!E:E,"")</f>
        <v>Miscellaneous Expense</v>
      </c>
      <c r="G1261" s="113" t="s">
        <v>97</v>
      </c>
      <c r="H1261" s="113"/>
      <c r="I1261" s="113" t="str">
        <f>_xlfn.XLOOKUP($C1261,'Cost Centers'!$A$2:$A$11,'Cost Centers'!$C$2:$C$11,"")</f>
        <v>Programs</v>
      </c>
      <c r="J1261" s="23">
        <f>MROUND(SUMIFS('Allocated Transactions'!$J:$J,'Allocated Transactions'!$D:$D,$E1261,'Allocated Transactions'!$C:$C,$C1261,'Allocated Transactions'!$A:$A,"&gt;="&amp;$A1261,'Allocated Transactions'!$A:$A,"&lt;="&amp;EOMONTH($A1261,0))*0.99,100)</f>
        <v>0</v>
      </c>
      <c r="K1261" s="113" t="s">
        <v>637</v>
      </c>
    </row>
    <row r="1262" spans="1:11" ht="15" customHeight="1">
      <c r="A1262" s="112">
        <f t="shared" si="79"/>
        <v>46143</v>
      </c>
      <c r="B1262" s="113">
        <v>6</v>
      </c>
      <c r="C1262" s="18" t="s">
        <v>12</v>
      </c>
      <c r="D1262" s="113" t="str">
        <f>_xlfn.XLOOKUP($C1262,'Cost Centers'!$A$2:$A$11,'Cost Centers'!$B$2:$B$11,"")</f>
        <v>Latin America</v>
      </c>
      <c r="E1262" s="113" t="s">
        <v>28</v>
      </c>
      <c r="F1262" s="113" t="str">
        <f>_xlfn.XLOOKUP(E1262,'Allocated Transactions'!D:D,'Allocated Transactions'!E:E,"")</f>
        <v>Salaries and Wages</v>
      </c>
      <c r="G1262" s="113" t="s">
        <v>97</v>
      </c>
      <c r="H1262" s="113"/>
      <c r="I1262" s="113" t="str">
        <f>_xlfn.XLOOKUP($C1262,'Cost Centers'!$A$2:$A$11,'Cost Centers'!$C$2:$C$11,"")</f>
        <v>Programs</v>
      </c>
      <c r="J1262" s="23">
        <f>MROUND(SUMIFS('Allocated Transactions'!$J:$J,'Allocated Transactions'!$D:$D,$E1262,'Allocated Transactions'!$C:$C,$C1262,'Allocated Transactions'!$A:$A,"&gt;="&amp;$A1262,'Allocated Transactions'!$A:$A,"&lt;="&amp;EOMONTH($A1262,0))*0.99,100)</f>
        <v>15800</v>
      </c>
      <c r="K1262" s="113" t="s">
        <v>637</v>
      </c>
    </row>
    <row r="1263" spans="1:11" ht="15" customHeight="1">
      <c r="A1263" s="112">
        <f t="shared" si="79"/>
        <v>46143</v>
      </c>
      <c r="B1263" s="113">
        <v>6</v>
      </c>
      <c r="C1263" s="18" t="str">
        <f t="shared" ref="C1263:C1279" si="81">C1262</f>
        <v>2010</v>
      </c>
      <c r="D1263" s="113" t="str">
        <f>_xlfn.XLOOKUP($C1263,'Cost Centers'!$A$2:$A$11,'Cost Centers'!$B$2:$B$11,"")</f>
        <v>Latin America</v>
      </c>
      <c r="E1263" s="113" t="s">
        <v>29</v>
      </c>
      <c r="F1263" s="113" t="str">
        <f>_xlfn.XLOOKUP(E1263,'Allocated Transactions'!D:D,'Allocated Transactions'!E:E,"")</f>
        <v>Payroll Taxes</v>
      </c>
      <c r="G1263" s="113" t="s">
        <v>97</v>
      </c>
      <c r="H1263" s="113"/>
      <c r="I1263" s="113" t="str">
        <f>_xlfn.XLOOKUP($C1263,'Cost Centers'!$A$2:$A$11,'Cost Centers'!$C$2:$C$11,"")</f>
        <v>Programs</v>
      </c>
      <c r="J1263" s="23">
        <f>MROUND(SUMIFS('Allocated Transactions'!$J:$J,'Allocated Transactions'!$D:$D,$E1263,'Allocated Transactions'!$C:$C,$C1263,'Allocated Transactions'!$A:$A,"&gt;="&amp;$A1263,'Allocated Transactions'!$A:$A,"&lt;="&amp;EOMONTH($A1263,0))*0.99,100)</f>
        <v>1200</v>
      </c>
      <c r="K1263" s="113" t="s">
        <v>637</v>
      </c>
    </row>
    <row r="1264" spans="1:11" ht="15" customHeight="1">
      <c r="A1264" s="112">
        <f t="shared" si="79"/>
        <v>46143</v>
      </c>
      <c r="B1264" s="113">
        <v>6</v>
      </c>
      <c r="C1264" s="18" t="str">
        <f t="shared" si="81"/>
        <v>2010</v>
      </c>
      <c r="D1264" s="113" t="str">
        <f>_xlfn.XLOOKUP($C1264,'Cost Centers'!$A$2:$A$11,'Cost Centers'!$B$2:$B$11,"")</f>
        <v>Latin America</v>
      </c>
      <c r="E1264" s="113" t="s">
        <v>30</v>
      </c>
      <c r="F1264" s="113" t="str">
        <f>_xlfn.XLOOKUP(E1264,'Allocated Transactions'!D:D,'Allocated Transactions'!E:E,"")</f>
        <v>Employee Benefits</v>
      </c>
      <c r="G1264" s="113" t="s">
        <v>97</v>
      </c>
      <c r="H1264" s="113"/>
      <c r="I1264" s="113" t="str">
        <f>_xlfn.XLOOKUP($C1264,'Cost Centers'!$A$2:$A$11,'Cost Centers'!$C$2:$C$11,"")</f>
        <v>Programs</v>
      </c>
      <c r="J1264" s="23">
        <f>MROUND(SUMIFS('Allocated Transactions'!$J:$J,'Allocated Transactions'!$D:$D,$E1264,'Allocated Transactions'!$C:$C,$C1264,'Allocated Transactions'!$A:$A,"&gt;="&amp;$A1264,'Allocated Transactions'!$A:$A,"&lt;="&amp;EOMONTH($A1264,0))*0.99,100)</f>
        <v>7800</v>
      </c>
      <c r="K1264" s="113" t="s">
        <v>637</v>
      </c>
    </row>
    <row r="1265" spans="1:11" ht="15" customHeight="1">
      <c r="A1265" s="112">
        <f t="shared" si="79"/>
        <v>46143</v>
      </c>
      <c r="B1265" s="113">
        <v>6</v>
      </c>
      <c r="C1265" s="18" t="str">
        <f t="shared" si="81"/>
        <v>2010</v>
      </c>
      <c r="D1265" s="113" t="str">
        <f>_xlfn.XLOOKUP($C1265,'Cost Centers'!$A$2:$A$11,'Cost Centers'!$B$2:$B$11,"")</f>
        <v>Latin America</v>
      </c>
      <c r="E1265" s="113" t="s">
        <v>31</v>
      </c>
      <c r="F1265" s="113" t="str">
        <f>_xlfn.XLOOKUP(E1265,'Allocated Transactions'!D:D,'Allocated Transactions'!E:E,"")</f>
        <v>Retirement Contributions</v>
      </c>
      <c r="G1265" s="113" t="s">
        <v>97</v>
      </c>
      <c r="H1265" s="113"/>
      <c r="I1265" s="113" t="str">
        <f>_xlfn.XLOOKUP($C1265,'Cost Centers'!$A$2:$A$11,'Cost Centers'!$C$2:$C$11,"")</f>
        <v>Programs</v>
      </c>
      <c r="J1265" s="23">
        <f>MROUND(SUMIFS('Allocated Transactions'!$J:$J,'Allocated Transactions'!$D:$D,$E1265,'Allocated Transactions'!$C:$C,$C1265,'Allocated Transactions'!$A:$A,"&gt;="&amp;$A1265,'Allocated Transactions'!$A:$A,"&lt;="&amp;EOMONTH($A1265,0))*0.99,100)</f>
        <v>500</v>
      </c>
      <c r="K1265" s="113" t="s">
        <v>637</v>
      </c>
    </row>
    <row r="1266" spans="1:11" ht="15" customHeight="1">
      <c r="A1266" s="112">
        <f t="shared" si="79"/>
        <v>46143</v>
      </c>
      <c r="B1266" s="113">
        <v>6</v>
      </c>
      <c r="C1266" s="18" t="str">
        <f t="shared" si="81"/>
        <v>2010</v>
      </c>
      <c r="D1266" s="113" t="str">
        <f>_xlfn.XLOOKUP($C1266,'Cost Centers'!$A$2:$A$11,'Cost Centers'!$B$2:$B$11,"")</f>
        <v>Latin America</v>
      </c>
      <c r="E1266" s="113" t="s">
        <v>101</v>
      </c>
      <c r="F1266" s="113" t="str">
        <f>_xlfn.XLOOKUP(E1266,'Allocated Transactions'!D:D,'Allocated Transactions'!E:E,"")</f>
        <v>Contract Labor / Consultants</v>
      </c>
      <c r="G1266" s="113" t="s">
        <v>97</v>
      </c>
      <c r="H1266" s="113"/>
      <c r="I1266" s="113" t="str">
        <f>_xlfn.XLOOKUP($C1266,'Cost Centers'!$A$2:$A$11,'Cost Centers'!$C$2:$C$11,"")</f>
        <v>Programs</v>
      </c>
      <c r="J1266" s="23">
        <f>MROUND(SUMIFS('Allocated Transactions'!$J:$J,'Allocated Transactions'!$D:$D,$E1266,'Allocated Transactions'!$C:$C,$C1266,'Allocated Transactions'!$A:$A,"&gt;="&amp;$A1266,'Allocated Transactions'!$A:$A,"&lt;="&amp;EOMONTH($A1266,0))*0.99,100)</f>
        <v>0</v>
      </c>
      <c r="K1266" s="113" t="s">
        <v>637</v>
      </c>
    </row>
    <row r="1267" spans="1:11" ht="15" customHeight="1">
      <c r="A1267" s="112">
        <f t="shared" si="79"/>
        <v>46143</v>
      </c>
      <c r="B1267" s="113">
        <v>6</v>
      </c>
      <c r="C1267" s="18" t="str">
        <f t="shared" si="81"/>
        <v>2010</v>
      </c>
      <c r="D1267" s="113" t="str">
        <f>_xlfn.XLOOKUP($C1267,'Cost Centers'!$A$2:$A$11,'Cost Centers'!$B$2:$B$11,"")</f>
        <v>Latin America</v>
      </c>
      <c r="E1267" s="113" t="s">
        <v>32</v>
      </c>
      <c r="F1267" s="113" t="str">
        <f>_xlfn.XLOOKUP(E1267,'Allocated Transactions'!D:D,'Allocated Transactions'!E:E,"")</f>
        <v>Rent</v>
      </c>
      <c r="G1267" s="113" t="s">
        <v>97</v>
      </c>
      <c r="H1267" s="113"/>
      <c r="I1267" s="113" t="str">
        <f>_xlfn.XLOOKUP($C1267,'Cost Centers'!$A$2:$A$11,'Cost Centers'!$C$2:$C$11,"")</f>
        <v>Programs</v>
      </c>
      <c r="J1267" s="23">
        <f>MROUND(SUMIFS('Allocated Transactions'!$J:$J,'Allocated Transactions'!$D:$D,$E1267,'Allocated Transactions'!$C:$C,$C1267,'Allocated Transactions'!$A:$A,"&gt;="&amp;$A1267,'Allocated Transactions'!$A:$A,"&lt;="&amp;EOMONTH($A1267,0))*0.99,100)</f>
        <v>1300</v>
      </c>
      <c r="K1267" s="113" t="s">
        <v>637</v>
      </c>
    </row>
    <row r="1268" spans="1:11" ht="15" customHeight="1">
      <c r="A1268" s="112">
        <f t="shared" si="79"/>
        <v>46143</v>
      </c>
      <c r="B1268" s="113">
        <v>6</v>
      </c>
      <c r="C1268" s="18" t="str">
        <f t="shared" si="81"/>
        <v>2010</v>
      </c>
      <c r="D1268" s="113" t="str">
        <f>_xlfn.XLOOKUP($C1268,'Cost Centers'!$A$2:$A$11,'Cost Centers'!$B$2:$B$11,"")</f>
        <v>Latin America</v>
      </c>
      <c r="E1268" s="113" t="s">
        <v>33</v>
      </c>
      <c r="F1268" s="113" t="str">
        <f>_xlfn.XLOOKUP(E1268,'Allocated Transactions'!D:D,'Allocated Transactions'!E:E,"")</f>
        <v>Utilities</v>
      </c>
      <c r="G1268" s="113" t="s">
        <v>97</v>
      </c>
      <c r="H1268" s="113"/>
      <c r="I1268" s="113" t="str">
        <f>_xlfn.XLOOKUP($C1268,'Cost Centers'!$A$2:$A$11,'Cost Centers'!$C$2:$C$11,"")</f>
        <v>Programs</v>
      </c>
      <c r="J1268" s="23">
        <f>MROUND(SUMIFS('Allocated Transactions'!$J:$J,'Allocated Transactions'!$D:$D,$E1268,'Allocated Transactions'!$C:$C,$C1268,'Allocated Transactions'!$A:$A,"&gt;="&amp;$A1268,'Allocated Transactions'!$A:$A,"&lt;="&amp;EOMONTH($A1268,0))*0.99,100)</f>
        <v>100</v>
      </c>
      <c r="K1268" s="113" t="s">
        <v>637</v>
      </c>
    </row>
    <row r="1269" spans="1:11" ht="15" customHeight="1">
      <c r="A1269" s="112">
        <f t="shared" si="79"/>
        <v>46143</v>
      </c>
      <c r="B1269" s="113">
        <v>6</v>
      </c>
      <c r="C1269" s="18" t="str">
        <f t="shared" si="81"/>
        <v>2010</v>
      </c>
      <c r="D1269" s="113" t="str">
        <f>_xlfn.XLOOKUP($C1269,'Cost Centers'!$A$2:$A$11,'Cost Centers'!$B$2:$B$11,"")</f>
        <v>Latin America</v>
      </c>
      <c r="E1269" s="113" t="s">
        <v>105</v>
      </c>
      <c r="F1269" s="113" t="str">
        <f>_xlfn.XLOOKUP(E1269,'Allocated Transactions'!D:D,'Allocated Transactions'!E:E,"")</f>
        <v>Office Supplies</v>
      </c>
      <c r="G1269" s="113" t="s">
        <v>97</v>
      </c>
      <c r="H1269" s="113"/>
      <c r="I1269" s="113" t="str">
        <f>_xlfn.XLOOKUP($C1269,'Cost Centers'!$A$2:$A$11,'Cost Centers'!$C$2:$C$11,"")</f>
        <v>Programs</v>
      </c>
      <c r="J1269" s="23">
        <f>MROUND(SUMIFS('Allocated Transactions'!$J:$J,'Allocated Transactions'!$D:$D,$E1269,'Allocated Transactions'!$C:$C,$C1269,'Allocated Transactions'!$A:$A,"&gt;="&amp;$A1269,'Allocated Transactions'!$A:$A,"&lt;="&amp;EOMONTH($A1269,0))*0.99,100)</f>
        <v>800</v>
      </c>
      <c r="K1269" s="113" t="s">
        <v>637</v>
      </c>
    </row>
    <row r="1270" spans="1:11" ht="15" customHeight="1">
      <c r="A1270" s="112">
        <f t="shared" si="79"/>
        <v>46143</v>
      </c>
      <c r="B1270" s="113">
        <v>6</v>
      </c>
      <c r="C1270" s="18" t="str">
        <f t="shared" si="81"/>
        <v>2010</v>
      </c>
      <c r="D1270" s="113" t="str">
        <f>_xlfn.XLOOKUP($C1270,'Cost Centers'!$A$2:$A$11,'Cost Centers'!$B$2:$B$11,"")</f>
        <v>Latin America</v>
      </c>
      <c r="E1270" s="113" t="s">
        <v>107</v>
      </c>
      <c r="F1270" s="113" t="str">
        <f>_xlfn.XLOOKUP(E1270,'Allocated Transactions'!D:D,'Allocated Transactions'!E:E,"")</f>
        <v>Software and Subscriptions</v>
      </c>
      <c r="G1270" s="113" t="s">
        <v>97</v>
      </c>
      <c r="H1270" s="113"/>
      <c r="I1270" s="113" t="str">
        <f>_xlfn.XLOOKUP($C1270,'Cost Centers'!$A$2:$A$11,'Cost Centers'!$C$2:$C$11,"")</f>
        <v>Programs</v>
      </c>
      <c r="J1270" s="23">
        <f>MROUND(SUMIFS('Allocated Transactions'!$J:$J,'Allocated Transactions'!$D:$D,$E1270,'Allocated Transactions'!$C:$C,$C1270,'Allocated Transactions'!$A:$A,"&gt;="&amp;$A1270,'Allocated Transactions'!$A:$A,"&lt;="&amp;EOMONTH($A1270,0))*0.99,100)</f>
        <v>0</v>
      </c>
      <c r="K1270" s="113" t="s">
        <v>637</v>
      </c>
    </row>
    <row r="1271" spans="1:11" ht="15" customHeight="1">
      <c r="A1271" s="112">
        <f t="shared" si="79"/>
        <v>46143</v>
      </c>
      <c r="B1271" s="113">
        <v>6</v>
      </c>
      <c r="C1271" s="18" t="str">
        <f t="shared" si="81"/>
        <v>2010</v>
      </c>
      <c r="D1271" s="113" t="str">
        <f>_xlfn.XLOOKUP($C1271,'Cost Centers'!$A$2:$A$11,'Cost Centers'!$B$2:$B$11,"")</f>
        <v>Latin America</v>
      </c>
      <c r="E1271" s="113" t="s">
        <v>109</v>
      </c>
      <c r="F1271" s="113" t="str">
        <f>_xlfn.XLOOKUP(E1271,'Allocated Transactions'!D:D,'Allocated Transactions'!E:E,"")</f>
        <v>Travel</v>
      </c>
      <c r="G1271" s="113" t="s">
        <v>97</v>
      </c>
      <c r="H1271" s="113"/>
      <c r="I1271" s="113" t="str">
        <f>_xlfn.XLOOKUP($C1271,'Cost Centers'!$A$2:$A$11,'Cost Centers'!$C$2:$C$11,"")</f>
        <v>Programs</v>
      </c>
      <c r="J1271" s="23">
        <f>MROUND(SUMIFS('Allocated Transactions'!$J:$J,'Allocated Transactions'!$D:$D,$E1271,'Allocated Transactions'!$C:$C,$C1271,'Allocated Transactions'!$A:$A,"&gt;="&amp;$A1271,'Allocated Transactions'!$A:$A,"&lt;="&amp;EOMONTH($A1271,0))*0.99,100)</f>
        <v>0</v>
      </c>
      <c r="K1271" s="113" t="s">
        <v>637</v>
      </c>
    </row>
    <row r="1272" spans="1:11" ht="15" customHeight="1">
      <c r="A1272" s="112">
        <f t="shared" si="79"/>
        <v>46143</v>
      </c>
      <c r="B1272" s="113">
        <v>6</v>
      </c>
      <c r="C1272" s="18" t="str">
        <f t="shared" si="81"/>
        <v>2010</v>
      </c>
      <c r="D1272" s="113" t="str">
        <f>_xlfn.XLOOKUP($C1272,'Cost Centers'!$A$2:$A$11,'Cost Centers'!$B$2:$B$11,"")</f>
        <v>Latin America</v>
      </c>
      <c r="E1272" s="113" t="s">
        <v>111</v>
      </c>
      <c r="F1272" s="113" t="str">
        <f>_xlfn.XLOOKUP(E1272,'Allocated Transactions'!D:D,'Allocated Transactions'!E:E,"")</f>
        <v>Meals and Entertainment</v>
      </c>
      <c r="G1272" s="113" t="s">
        <v>97</v>
      </c>
      <c r="H1272" s="113"/>
      <c r="I1272" s="113" t="str">
        <f>_xlfn.XLOOKUP($C1272,'Cost Centers'!$A$2:$A$11,'Cost Centers'!$C$2:$C$11,"")</f>
        <v>Programs</v>
      </c>
      <c r="J1272" s="23">
        <f>MROUND(SUMIFS('Allocated Transactions'!$J:$J,'Allocated Transactions'!$D:$D,$E1272,'Allocated Transactions'!$C:$C,$C1272,'Allocated Transactions'!$A:$A,"&gt;="&amp;$A1272,'Allocated Transactions'!$A:$A,"&lt;="&amp;EOMONTH($A1272,0))*0.99,100)</f>
        <v>0</v>
      </c>
      <c r="K1272" s="113" t="s">
        <v>637</v>
      </c>
    </row>
    <row r="1273" spans="1:11" ht="15" customHeight="1">
      <c r="A1273" s="112">
        <f t="shared" si="79"/>
        <v>46143</v>
      </c>
      <c r="B1273" s="113">
        <v>6</v>
      </c>
      <c r="C1273" s="18" t="str">
        <f t="shared" si="81"/>
        <v>2010</v>
      </c>
      <c r="D1273" s="113" t="str">
        <f>_xlfn.XLOOKUP($C1273,'Cost Centers'!$A$2:$A$11,'Cost Centers'!$B$2:$B$11,"")</f>
        <v>Latin America</v>
      </c>
      <c r="E1273" s="113" t="s">
        <v>113</v>
      </c>
      <c r="F1273" s="113" t="str">
        <f>_xlfn.XLOOKUP(E1273,'Allocated Transactions'!D:D,'Allocated Transactions'!E:E,"")</f>
        <v>Professional Fees - Legal</v>
      </c>
      <c r="G1273" s="113" t="s">
        <v>97</v>
      </c>
      <c r="H1273" s="113"/>
      <c r="I1273" s="113" t="str">
        <f>_xlfn.XLOOKUP($C1273,'Cost Centers'!$A$2:$A$11,'Cost Centers'!$C$2:$C$11,"")</f>
        <v>Programs</v>
      </c>
      <c r="J1273" s="23">
        <f>MROUND(SUMIFS('Allocated Transactions'!$J:$J,'Allocated Transactions'!$D:$D,$E1273,'Allocated Transactions'!$C:$C,$C1273,'Allocated Transactions'!$A:$A,"&gt;="&amp;$A1273,'Allocated Transactions'!$A:$A,"&lt;="&amp;EOMONTH($A1273,0))*0.99,100)</f>
        <v>0</v>
      </c>
      <c r="K1273" s="113" t="s">
        <v>637</v>
      </c>
    </row>
    <row r="1274" spans="1:11" ht="15" customHeight="1">
      <c r="A1274" s="112">
        <f t="shared" si="79"/>
        <v>46143</v>
      </c>
      <c r="B1274" s="113">
        <v>6</v>
      </c>
      <c r="C1274" s="18" t="str">
        <f t="shared" si="81"/>
        <v>2010</v>
      </c>
      <c r="D1274" s="113" t="str">
        <f>_xlfn.XLOOKUP($C1274,'Cost Centers'!$A$2:$A$11,'Cost Centers'!$B$2:$B$11,"")</f>
        <v>Latin America</v>
      </c>
      <c r="E1274" s="113" t="s">
        <v>115</v>
      </c>
      <c r="F1274" s="113" t="str">
        <f>_xlfn.XLOOKUP(E1274,'Allocated Transactions'!D:D,'Allocated Transactions'!E:E,"")</f>
        <v>Professional Fees - Accounting/Audit</v>
      </c>
      <c r="G1274" s="113" t="s">
        <v>97</v>
      </c>
      <c r="H1274" s="113"/>
      <c r="I1274" s="113" t="str">
        <f>_xlfn.XLOOKUP($C1274,'Cost Centers'!$A$2:$A$11,'Cost Centers'!$C$2:$C$11,"")</f>
        <v>Programs</v>
      </c>
      <c r="J1274" s="23">
        <f>MROUND(SUMIFS('Allocated Transactions'!$J:$J,'Allocated Transactions'!$D:$D,$E1274,'Allocated Transactions'!$C:$C,$C1274,'Allocated Transactions'!$A:$A,"&gt;="&amp;$A1274,'Allocated Transactions'!$A:$A,"&lt;="&amp;EOMONTH($A1274,0))*0.99,100)</f>
        <v>0</v>
      </c>
      <c r="K1274" s="113" t="s">
        <v>637</v>
      </c>
    </row>
    <row r="1275" spans="1:11" ht="15" customHeight="1">
      <c r="A1275" s="112">
        <f t="shared" si="79"/>
        <v>46143</v>
      </c>
      <c r="B1275" s="113">
        <v>6</v>
      </c>
      <c r="C1275" s="18" t="str">
        <f t="shared" si="81"/>
        <v>2010</v>
      </c>
      <c r="D1275" s="113" t="str">
        <f>_xlfn.XLOOKUP($C1275,'Cost Centers'!$A$2:$A$11,'Cost Centers'!$B$2:$B$11,"")</f>
        <v>Latin America</v>
      </c>
      <c r="E1275" s="113" t="s">
        <v>117</v>
      </c>
      <c r="F1275" s="113" t="str">
        <f>_xlfn.XLOOKUP(E1275,'Allocated Transactions'!D:D,'Allocated Transactions'!E:E,"")</f>
        <v>Insurance</v>
      </c>
      <c r="G1275" s="113" t="s">
        <v>97</v>
      </c>
      <c r="H1275" s="113"/>
      <c r="I1275" s="113" t="str">
        <f>_xlfn.XLOOKUP($C1275,'Cost Centers'!$A$2:$A$11,'Cost Centers'!$C$2:$C$11,"")</f>
        <v>Programs</v>
      </c>
      <c r="J1275" s="23">
        <f>MROUND(SUMIFS('Allocated Transactions'!$J:$J,'Allocated Transactions'!$D:$D,$E1275,'Allocated Transactions'!$C:$C,$C1275,'Allocated Transactions'!$A:$A,"&gt;="&amp;$A1275,'Allocated Transactions'!$A:$A,"&lt;="&amp;EOMONTH($A1275,0))*0.99,100)</f>
        <v>100</v>
      </c>
      <c r="K1275" s="113" t="s">
        <v>637</v>
      </c>
    </row>
    <row r="1276" spans="1:11" ht="15" customHeight="1">
      <c r="A1276" s="112">
        <f t="shared" si="79"/>
        <v>46143</v>
      </c>
      <c r="B1276" s="113">
        <v>6</v>
      </c>
      <c r="C1276" s="18" t="str">
        <f t="shared" si="81"/>
        <v>2010</v>
      </c>
      <c r="D1276" s="113" t="str">
        <f>_xlfn.XLOOKUP($C1276,'Cost Centers'!$A$2:$A$11,'Cost Centers'!$B$2:$B$11,"")</f>
        <v>Latin America</v>
      </c>
      <c r="E1276" s="113" t="s">
        <v>119</v>
      </c>
      <c r="F1276" s="113" t="str">
        <f>_xlfn.XLOOKUP(E1276,'Allocated Transactions'!D:D,'Allocated Transactions'!E:E,"")</f>
        <v>Depreciation Expense</v>
      </c>
      <c r="G1276" s="113" t="s">
        <v>97</v>
      </c>
      <c r="H1276" s="113"/>
      <c r="I1276" s="113" t="str">
        <f>_xlfn.XLOOKUP($C1276,'Cost Centers'!$A$2:$A$11,'Cost Centers'!$C$2:$C$11,"")</f>
        <v>Programs</v>
      </c>
      <c r="J1276" s="23">
        <f>MROUND(SUMIFS('Allocated Transactions'!$J:$J,'Allocated Transactions'!$D:$D,$E1276,'Allocated Transactions'!$C:$C,$C1276,'Allocated Transactions'!$A:$A,"&gt;="&amp;$A1276,'Allocated Transactions'!$A:$A,"&lt;="&amp;EOMONTH($A1276,0))*0.99,100)</f>
        <v>0</v>
      </c>
      <c r="K1276" s="113" t="s">
        <v>637</v>
      </c>
    </row>
    <row r="1277" spans="1:11" ht="15" customHeight="1">
      <c r="A1277" s="112">
        <f t="shared" si="79"/>
        <v>46143</v>
      </c>
      <c r="B1277" s="113">
        <v>6</v>
      </c>
      <c r="C1277" s="18" t="str">
        <f t="shared" si="81"/>
        <v>2010</v>
      </c>
      <c r="D1277" s="113" t="str">
        <f>_xlfn.XLOOKUP($C1277,'Cost Centers'!$A$2:$A$11,'Cost Centers'!$B$2:$B$11,"")</f>
        <v>Latin America</v>
      </c>
      <c r="E1277" s="113" t="s">
        <v>121</v>
      </c>
      <c r="F1277" s="113" t="str">
        <f>_xlfn.XLOOKUP(E1277,'Allocated Transactions'!D:D,'Allocated Transactions'!E:E,"")</f>
        <v>Bank Fees</v>
      </c>
      <c r="G1277" s="113" t="s">
        <v>97</v>
      </c>
      <c r="H1277" s="113"/>
      <c r="I1277" s="113" t="str">
        <f>_xlfn.XLOOKUP($C1277,'Cost Centers'!$A$2:$A$11,'Cost Centers'!$C$2:$C$11,"")</f>
        <v>Programs</v>
      </c>
      <c r="J1277" s="23">
        <f>MROUND(SUMIFS('Allocated Transactions'!$J:$J,'Allocated Transactions'!$D:$D,$E1277,'Allocated Transactions'!$C:$C,$C1277,'Allocated Transactions'!$A:$A,"&gt;="&amp;$A1277,'Allocated Transactions'!$A:$A,"&lt;="&amp;EOMONTH($A1277,0))*0.99,100)</f>
        <v>0</v>
      </c>
      <c r="K1277" s="113" t="s">
        <v>637</v>
      </c>
    </row>
    <row r="1278" spans="1:11" ht="15" customHeight="1">
      <c r="A1278" s="112">
        <f t="shared" si="79"/>
        <v>46143</v>
      </c>
      <c r="B1278" s="113">
        <v>6</v>
      </c>
      <c r="C1278" s="18" t="str">
        <f t="shared" si="81"/>
        <v>2010</v>
      </c>
      <c r="D1278" s="113" t="str">
        <f>_xlfn.XLOOKUP($C1278,'Cost Centers'!$A$2:$A$11,'Cost Centers'!$B$2:$B$11,"")</f>
        <v>Latin America</v>
      </c>
      <c r="E1278" s="113" t="s">
        <v>123</v>
      </c>
      <c r="F1278" s="113" t="str">
        <f>_xlfn.XLOOKUP(E1278,'Allocated Transactions'!D:D,'Allocated Transactions'!E:E,"")</f>
        <v>Interest Expense</v>
      </c>
      <c r="G1278" s="113" t="s">
        <v>97</v>
      </c>
      <c r="H1278" s="113"/>
      <c r="I1278" s="113" t="str">
        <f>_xlfn.XLOOKUP($C1278,'Cost Centers'!$A$2:$A$11,'Cost Centers'!$C$2:$C$11,"")</f>
        <v>Programs</v>
      </c>
      <c r="J1278" s="23">
        <f>MROUND(SUMIFS('Allocated Transactions'!$J:$J,'Allocated Transactions'!$D:$D,$E1278,'Allocated Transactions'!$C:$C,$C1278,'Allocated Transactions'!$A:$A,"&gt;="&amp;$A1278,'Allocated Transactions'!$A:$A,"&lt;="&amp;EOMONTH($A1278,0))*0.99,100)</f>
        <v>0</v>
      </c>
      <c r="K1278" s="113" t="s">
        <v>637</v>
      </c>
    </row>
    <row r="1279" spans="1:11" ht="15" customHeight="1">
      <c r="A1279" s="112">
        <f t="shared" si="79"/>
        <v>46143</v>
      </c>
      <c r="B1279" s="113">
        <v>6</v>
      </c>
      <c r="C1279" s="18" t="str">
        <f t="shared" si="81"/>
        <v>2010</v>
      </c>
      <c r="D1279" s="113" t="str">
        <f>_xlfn.XLOOKUP($C1279,'Cost Centers'!$A$2:$A$11,'Cost Centers'!$B$2:$B$11,"")</f>
        <v>Latin America</v>
      </c>
      <c r="E1279" s="113" t="s">
        <v>125</v>
      </c>
      <c r="F1279" s="113" t="str">
        <f>_xlfn.XLOOKUP(E1279,'Allocated Transactions'!D:D,'Allocated Transactions'!E:E,"")</f>
        <v>Miscellaneous Expense</v>
      </c>
      <c r="G1279" s="113" t="s">
        <v>97</v>
      </c>
      <c r="H1279" s="113"/>
      <c r="I1279" s="113" t="str">
        <f>_xlfn.XLOOKUP($C1279,'Cost Centers'!$A$2:$A$11,'Cost Centers'!$C$2:$C$11,"")</f>
        <v>Programs</v>
      </c>
      <c r="J1279" s="23">
        <f>MROUND(SUMIFS('Allocated Transactions'!$J:$J,'Allocated Transactions'!$D:$D,$E1279,'Allocated Transactions'!$C:$C,$C1279,'Allocated Transactions'!$A:$A,"&gt;="&amp;$A1279,'Allocated Transactions'!$A:$A,"&lt;="&amp;EOMONTH($A1279,0))*0.99,100)</f>
        <v>0</v>
      </c>
      <c r="K1279" s="113" t="s">
        <v>637</v>
      </c>
    </row>
    <row r="1280" spans="1:11" ht="15" customHeight="1">
      <c r="A1280" s="112">
        <f t="shared" si="79"/>
        <v>46174</v>
      </c>
      <c r="B1280" s="113">
        <v>6</v>
      </c>
      <c r="C1280" s="18" t="s">
        <v>12</v>
      </c>
      <c r="D1280" s="113" t="str">
        <f>_xlfn.XLOOKUP($C1280,'Cost Centers'!$A$2:$A$11,'Cost Centers'!$B$2:$B$11,"")</f>
        <v>Latin America</v>
      </c>
      <c r="E1280" s="113" t="s">
        <v>28</v>
      </c>
      <c r="F1280" s="113" t="str">
        <f>_xlfn.XLOOKUP(E1280,'Allocated Transactions'!D:D,'Allocated Transactions'!E:E,"")</f>
        <v>Salaries and Wages</v>
      </c>
      <c r="G1280" s="113" t="s">
        <v>97</v>
      </c>
      <c r="H1280" s="113"/>
      <c r="I1280" s="113" t="str">
        <f>_xlfn.XLOOKUP($C1280,'Cost Centers'!$A$2:$A$11,'Cost Centers'!$C$2:$C$11,"")</f>
        <v>Programs</v>
      </c>
      <c r="J1280" s="23">
        <f>MROUND(SUMIFS('Allocated Transactions'!$J:$J,'Allocated Transactions'!$D:$D,$E1280,'Allocated Transactions'!$C:$C,$C1280,'Allocated Transactions'!$A:$A,"&gt;="&amp;$A1280,'Allocated Transactions'!$A:$A,"&lt;="&amp;EOMONTH($A1280,0))*0.99,100)</f>
        <v>16600</v>
      </c>
      <c r="K1280" s="113" t="s">
        <v>637</v>
      </c>
    </row>
    <row r="1281" spans="1:11" ht="15" customHeight="1">
      <c r="A1281" s="112">
        <f t="shared" si="79"/>
        <v>46174</v>
      </c>
      <c r="B1281" s="113">
        <v>6</v>
      </c>
      <c r="C1281" s="18" t="str">
        <f t="shared" ref="C1281:C1297" si="82">C1280</f>
        <v>2010</v>
      </c>
      <c r="D1281" s="113" t="str">
        <f>_xlfn.XLOOKUP($C1281,'Cost Centers'!$A$2:$A$11,'Cost Centers'!$B$2:$B$11,"")</f>
        <v>Latin America</v>
      </c>
      <c r="E1281" s="113" t="s">
        <v>29</v>
      </c>
      <c r="F1281" s="113" t="str">
        <f>_xlfn.XLOOKUP(E1281,'Allocated Transactions'!D:D,'Allocated Transactions'!E:E,"")</f>
        <v>Payroll Taxes</v>
      </c>
      <c r="G1281" s="113" t="s">
        <v>97</v>
      </c>
      <c r="H1281" s="113"/>
      <c r="I1281" s="113" t="str">
        <f>_xlfn.XLOOKUP($C1281,'Cost Centers'!$A$2:$A$11,'Cost Centers'!$C$2:$C$11,"")</f>
        <v>Programs</v>
      </c>
      <c r="J1281" s="23">
        <f>MROUND(SUMIFS('Allocated Transactions'!$J:$J,'Allocated Transactions'!$D:$D,$E1281,'Allocated Transactions'!$C:$C,$C1281,'Allocated Transactions'!$A:$A,"&gt;="&amp;$A1281,'Allocated Transactions'!$A:$A,"&lt;="&amp;EOMONTH($A1281,0))*0.99,100)</f>
        <v>1300</v>
      </c>
      <c r="K1281" s="113" t="s">
        <v>637</v>
      </c>
    </row>
    <row r="1282" spans="1:11" ht="15" customHeight="1">
      <c r="A1282" s="112">
        <f t="shared" si="79"/>
        <v>46174</v>
      </c>
      <c r="B1282" s="113">
        <v>6</v>
      </c>
      <c r="C1282" s="18" t="str">
        <f t="shared" si="82"/>
        <v>2010</v>
      </c>
      <c r="D1282" s="113" t="str">
        <f>_xlfn.XLOOKUP($C1282,'Cost Centers'!$A$2:$A$11,'Cost Centers'!$B$2:$B$11,"")</f>
        <v>Latin America</v>
      </c>
      <c r="E1282" s="113" t="s">
        <v>30</v>
      </c>
      <c r="F1282" s="113" t="str">
        <f>_xlfn.XLOOKUP(E1282,'Allocated Transactions'!D:D,'Allocated Transactions'!E:E,"")</f>
        <v>Employee Benefits</v>
      </c>
      <c r="G1282" s="113" t="s">
        <v>97</v>
      </c>
      <c r="H1282" s="113"/>
      <c r="I1282" s="113" t="str">
        <f>_xlfn.XLOOKUP($C1282,'Cost Centers'!$A$2:$A$11,'Cost Centers'!$C$2:$C$11,"")</f>
        <v>Programs</v>
      </c>
      <c r="J1282" s="23">
        <f>MROUND(SUMIFS('Allocated Transactions'!$J:$J,'Allocated Transactions'!$D:$D,$E1282,'Allocated Transactions'!$C:$C,$C1282,'Allocated Transactions'!$A:$A,"&gt;="&amp;$A1282,'Allocated Transactions'!$A:$A,"&lt;="&amp;EOMONTH($A1282,0))*0.99,100)</f>
        <v>8800</v>
      </c>
      <c r="K1282" s="113" t="s">
        <v>637</v>
      </c>
    </row>
    <row r="1283" spans="1:11" ht="15" customHeight="1">
      <c r="A1283" s="112">
        <f t="shared" si="79"/>
        <v>46174</v>
      </c>
      <c r="B1283" s="113">
        <v>6</v>
      </c>
      <c r="C1283" s="18" t="str">
        <f t="shared" si="82"/>
        <v>2010</v>
      </c>
      <c r="D1283" s="113" t="str">
        <f>_xlfn.XLOOKUP($C1283,'Cost Centers'!$A$2:$A$11,'Cost Centers'!$B$2:$B$11,"")</f>
        <v>Latin America</v>
      </c>
      <c r="E1283" s="113" t="s">
        <v>31</v>
      </c>
      <c r="F1283" s="113" t="str">
        <f>_xlfn.XLOOKUP(E1283,'Allocated Transactions'!D:D,'Allocated Transactions'!E:E,"")</f>
        <v>Retirement Contributions</v>
      </c>
      <c r="G1283" s="113" t="s">
        <v>97</v>
      </c>
      <c r="H1283" s="113"/>
      <c r="I1283" s="113" t="str">
        <f>_xlfn.XLOOKUP($C1283,'Cost Centers'!$A$2:$A$11,'Cost Centers'!$C$2:$C$11,"")</f>
        <v>Programs</v>
      </c>
      <c r="J1283" s="23">
        <f>MROUND(SUMIFS('Allocated Transactions'!$J:$J,'Allocated Transactions'!$D:$D,$E1283,'Allocated Transactions'!$C:$C,$C1283,'Allocated Transactions'!$A:$A,"&gt;="&amp;$A1283,'Allocated Transactions'!$A:$A,"&lt;="&amp;EOMONTH($A1283,0))*0.99,100)</f>
        <v>500</v>
      </c>
      <c r="K1283" s="113" t="s">
        <v>637</v>
      </c>
    </row>
    <row r="1284" spans="1:11" ht="15" customHeight="1">
      <c r="A1284" s="112">
        <f t="shared" si="79"/>
        <v>46174</v>
      </c>
      <c r="B1284" s="113">
        <v>6</v>
      </c>
      <c r="C1284" s="18" t="str">
        <f t="shared" si="82"/>
        <v>2010</v>
      </c>
      <c r="D1284" s="113" t="str">
        <f>_xlfn.XLOOKUP($C1284,'Cost Centers'!$A$2:$A$11,'Cost Centers'!$B$2:$B$11,"")</f>
        <v>Latin America</v>
      </c>
      <c r="E1284" s="113" t="s">
        <v>101</v>
      </c>
      <c r="F1284" s="113" t="str">
        <f>_xlfn.XLOOKUP(E1284,'Allocated Transactions'!D:D,'Allocated Transactions'!E:E,"")</f>
        <v>Contract Labor / Consultants</v>
      </c>
      <c r="G1284" s="113" t="s">
        <v>97</v>
      </c>
      <c r="H1284" s="113"/>
      <c r="I1284" s="113" t="str">
        <f>_xlfn.XLOOKUP($C1284,'Cost Centers'!$A$2:$A$11,'Cost Centers'!$C$2:$C$11,"")</f>
        <v>Programs</v>
      </c>
      <c r="J1284" s="23">
        <f>MROUND(SUMIFS('Allocated Transactions'!$J:$J,'Allocated Transactions'!$D:$D,$E1284,'Allocated Transactions'!$C:$C,$C1284,'Allocated Transactions'!$A:$A,"&gt;="&amp;$A1284,'Allocated Transactions'!$A:$A,"&lt;="&amp;EOMONTH($A1284,0))*0.99,100)</f>
        <v>0</v>
      </c>
      <c r="K1284" s="113" t="s">
        <v>637</v>
      </c>
    </row>
    <row r="1285" spans="1:11" ht="15" customHeight="1">
      <c r="A1285" s="112">
        <f t="shared" si="79"/>
        <v>46174</v>
      </c>
      <c r="B1285" s="113">
        <v>6</v>
      </c>
      <c r="C1285" s="18" t="str">
        <f t="shared" si="82"/>
        <v>2010</v>
      </c>
      <c r="D1285" s="113" t="str">
        <f>_xlfn.XLOOKUP($C1285,'Cost Centers'!$A$2:$A$11,'Cost Centers'!$B$2:$B$11,"")</f>
        <v>Latin America</v>
      </c>
      <c r="E1285" s="113" t="s">
        <v>32</v>
      </c>
      <c r="F1285" s="113" t="str">
        <f>_xlfn.XLOOKUP(E1285,'Allocated Transactions'!D:D,'Allocated Transactions'!E:E,"")</f>
        <v>Rent</v>
      </c>
      <c r="G1285" s="113" t="s">
        <v>97</v>
      </c>
      <c r="H1285" s="113"/>
      <c r="I1285" s="113" t="str">
        <f>_xlfn.XLOOKUP($C1285,'Cost Centers'!$A$2:$A$11,'Cost Centers'!$C$2:$C$11,"")</f>
        <v>Programs</v>
      </c>
      <c r="J1285" s="23">
        <f>MROUND(SUMIFS('Allocated Transactions'!$J:$J,'Allocated Transactions'!$D:$D,$E1285,'Allocated Transactions'!$C:$C,$C1285,'Allocated Transactions'!$A:$A,"&gt;="&amp;$A1285,'Allocated Transactions'!$A:$A,"&lt;="&amp;EOMONTH($A1285,0))*0.99,100)</f>
        <v>1300</v>
      </c>
      <c r="K1285" s="113" t="s">
        <v>637</v>
      </c>
    </row>
    <row r="1286" spans="1:11" ht="15" customHeight="1">
      <c r="A1286" s="112">
        <f t="shared" si="79"/>
        <v>46174</v>
      </c>
      <c r="B1286" s="113">
        <v>6</v>
      </c>
      <c r="C1286" s="18" t="str">
        <f t="shared" si="82"/>
        <v>2010</v>
      </c>
      <c r="D1286" s="113" t="str">
        <f>_xlfn.XLOOKUP($C1286,'Cost Centers'!$A$2:$A$11,'Cost Centers'!$B$2:$B$11,"")</f>
        <v>Latin America</v>
      </c>
      <c r="E1286" s="113" t="s">
        <v>33</v>
      </c>
      <c r="F1286" s="113" t="str">
        <f>_xlfn.XLOOKUP(E1286,'Allocated Transactions'!D:D,'Allocated Transactions'!E:E,"")</f>
        <v>Utilities</v>
      </c>
      <c r="G1286" s="113" t="s">
        <v>97</v>
      </c>
      <c r="H1286" s="113"/>
      <c r="I1286" s="113" t="str">
        <f>_xlfn.XLOOKUP($C1286,'Cost Centers'!$A$2:$A$11,'Cost Centers'!$C$2:$C$11,"")</f>
        <v>Programs</v>
      </c>
      <c r="J1286" s="23">
        <f>MROUND(SUMIFS('Allocated Transactions'!$J:$J,'Allocated Transactions'!$D:$D,$E1286,'Allocated Transactions'!$C:$C,$C1286,'Allocated Transactions'!$A:$A,"&gt;="&amp;$A1286,'Allocated Transactions'!$A:$A,"&lt;="&amp;EOMONTH($A1286,0))*0.99,100)</f>
        <v>100</v>
      </c>
      <c r="K1286" s="113" t="s">
        <v>637</v>
      </c>
    </row>
    <row r="1287" spans="1:11" ht="15" customHeight="1">
      <c r="A1287" s="112">
        <f t="shared" si="79"/>
        <v>46174</v>
      </c>
      <c r="B1287" s="113">
        <v>6</v>
      </c>
      <c r="C1287" s="18" t="str">
        <f t="shared" si="82"/>
        <v>2010</v>
      </c>
      <c r="D1287" s="113" t="str">
        <f>_xlfn.XLOOKUP($C1287,'Cost Centers'!$A$2:$A$11,'Cost Centers'!$B$2:$B$11,"")</f>
        <v>Latin America</v>
      </c>
      <c r="E1287" s="113" t="s">
        <v>105</v>
      </c>
      <c r="F1287" s="113" t="str">
        <f>_xlfn.XLOOKUP(E1287,'Allocated Transactions'!D:D,'Allocated Transactions'!E:E,"")</f>
        <v>Office Supplies</v>
      </c>
      <c r="G1287" s="113" t="s">
        <v>97</v>
      </c>
      <c r="H1287" s="113"/>
      <c r="I1287" s="113" t="str">
        <f>_xlfn.XLOOKUP($C1287,'Cost Centers'!$A$2:$A$11,'Cost Centers'!$C$2:$C$11,"")</f>
        <v>Programs</v>
      </c>
      <c r="J1287" s="23">
        <f>MROUND(SUMIFS('Allocated Transactions'!$J:$J,'Allocated Transactions'!$D:$D,$E1287,'Allocated Transactions'!$C:$C,$C1287,'Allocated Transactions'!$A:$A,"&gt;="&amp;$A1287,'Allocated Transactions'!$A:$A,"&lt;="&amp;EOMONTH($A1287,0))*0.99,100)</f>
        <v>0</v>
      </c>
      <c r="K1287" s="113" t="s">
        <v>637</v>
      </c>
    </row>
    <row r="1288" spans="1:11" ht="15" customHeight="1">
      <c r="A1288" s="112">
        <f t="shared" si="79"/>
        <v>46174</v>
      </c>
      <c r="B1288" s="113">
        <v>6</v>
      </c>
      <c r="C1288" s="18" t="str">
        <f t="shared" si="82"/>
        <v>2010</v>
      </c>
      <c r="D1288" s="113" t="str">
        <f>_xlfn.XLOOKUP($C1288,'Cost Centers'!$A$2:$A$11,'Cost Centers'!$B$2:$B$11,"")</f>
        <v>Latin America</v>
      </c>
      <c r="E1288" s="113" t="s">
        <v>107</v>
      </c>
      <c r="F1288" s="113" t="str">
        <f>_xlfn.XLOOKUP(E1288,'Allocated Transactions'!D:D,'Allocated Transactions'!E:E,"")</f>
        <v>Software and Subscriptions</v>
      </c>
      <c r="G1288" s="113" t="s">
        <v>97</v>
      </c>
      <c r="H1288" s="113"/>
      <c r="I1288" s="113" t="str">
        <f>_xlfn.XLOOKUP($C1288,'Cost Centers'!$A$2:$A$11,'Cost Centers'!$C$2:$C$11,"")</f>
        <v>Programs</v>
      </c>
      <c r="J1288" s="23">
        <f>MROUND(SUMIFS('Allocated Transactions'!$J:$J,'Allocated Transactions'!$D:$D,$E1288,'Allocated Transactions'!$C:$C,$C1288,'Allocated Transactions'!$A:$A,"&gt;="&amp;$A1288,'Allocated Transactions'!$A:$A,"&lt;="&amp;EOMONTH($A1288,0))*0.99,100)</f>
        <v>0</v>
      </c>
      <c r="K1288" s="113" t="s">
        <v>637</v>
      </c>
    </row>
    <row r="1289" spans="1:11" ht="15" customHeight="1">
      <c r="A1289" s="112">
        <f t="shared" si="79"/>
        <v>46174</v>
      </c>
      <c r="B1289" s="113">
        <v>6</v>
      </c>
      <c r="C1289" s="18" t="str">
        <f t="shared" si="82"/>
        <v>2010</v>
      </c>
      <c r="D1289" s="113" t="str">
        <f>_xlfn.XLOOKUP($C1289,'Cost Centers'!$A$2:$A$11,'Cost Centers'!$B$2:$B$11,"")</f>
        <v>Latin America</v>
      </c>
      <c r="E1289" s="113" t="s">
        <v>109</v>
      </c>
      <c r="F1289" s="113" t="str">
        <f>_xlfn.XLOOKUP(E1289,'Allocated Transactions'!D:D,'Allocated Transactions'!E:E,"")</f>
        <v>Travel</v>
      </c>
      <c r="G1289" s="113" t="s">
        <v>97</v>
      </c>
      <c r="H1289" s="113"/>
      <c r="I1289" s="113" t="str">
        <f>_xlfn.XLOOKUP($C1289,'Cost Centers'!$A$2:$A$11,'Cost Centers'!$C$2:$C$11,"")</f>
        <v>Programs</v>
      </c>
      <c r="J1289" s="23">
        <f>MROUND(SUMIFS('Allocated Transactions'!$J:$J,'Allocated Transactions'!$D:$D,$E1289,'Allocated Transactions'!$C:$C,$C1289,'Allocated Transactions'!$A:$A,"&gt;="&amp;$A1289,'Allocated Transactions'!$A:$A,"&lt;="&amp;EOMONTH($A1289,0))*0.99,100)</f>
        <v>0</v>
      </c>
      <c r="K1289" s="113" t="s">
        <v>637</v>
      </c>
    </row>
    <row r="1290" spans="1:11" ht="15" customHeight="1">
      <c r="A1290" s="112">
        <f t="shared" si="79"/>
        <v>46174</v>
      </c>
      <c r="B1290" s="113">
        <v>6</v>
      </c>
      <c r="C1290" s="18" t="str">
        <f t="shared" si="82"/>
        <v>2010</v>
      </c>
      <c r="D1290" s="113" t="str">
        <f>_xlfn.XLOOKUP($C1290,'Cost Centers'!$A$2:$A$11,'Cost Centers'!$B$2:$B$11,"")</f>
        <v>Latin America</v>
      </c>
      <c r="E1290" s="113" t="s">
        <v>111</v>
      </c>
      <c r="F1290" s="113" t="str">
        <f>_xlfn.XLOOKUP(E1290,'Allocated Transactions'!D:D,'Allocated Transactions'!E:E,"")</f>
        <v>Meals and Entertainment</v>
      </c>
      <c r="G1290" s="113" t="s">
        <v>97</v>
      </c>
      <c r="H1290" s="113"/>
      <c r="I1290" s="113" t="str">
        <f>_xlfn.XLOOKUP($C1290,'Cost Centers'!$A$2:$A$11,'Cost Centers'!$C$2:$C$11,"")</f>
        <v>Programs</v>
      </c>
      <c r="J1290" s="23">
        <f>MROUND(SUMIFS('Allocated Transactions'!$J:$J,'Allocated Transactions'!$D:$D,$E1290,'Allocated Transactions'!$C:$C,$C1290,'Allocated Transactions'!$A:$A,"&gt;="&amp;$A1290,'Allocated Transactions'!$A:$A,"&lt;="&amp;EOMONTH($A1290,0))*0.99,100)</f>
        <v>0</v>
      </c>
      <c r="K1290" s="113" t="s">
        <v>637</v>
      </c>
    </row>
    <row r="1291" spans="1:11" ht="15" customHeight="1">
      <c r="A1291" s="112">
        <f t="shared" si="79"/>
        <v>46174</v>
      </c>
      <c r="B1291" s="113">
        <v>6</v>
      </c>
      <c r="C1291" s="18" t="str">
        <f t="shared" si="82"/>
        <v>2010</v>
      </c>
      <c r="D1291" s="113" t="str">
        <f>_xlfn.XLOOKUP($C1291,'Cost Centers'!$A$2:$A$11,'Cost Centers'!$B$2:$B$11,"")</f>
        <v>Latin America</v>
      </c>
      <c r="E1291" s="113" t="s">
        <v>113</v>
      </c>
      <c r="F1291" s="113" t="str">
        <f>_xlfn.XLOOKUP(E1291,'Allocated Transactions'!D:D,'Allocated Transactions'!E:E,"")</f>
        <v>Professional Fees - Legal</v>
      </c>
      <c r="G1291" s="113" t="s">
        <v>97</v>
      </c>
      <c r="H1291" s="113"/>
      <c r="I1291" s="113" t="str">
        <f>_xlfn.XLOOKUP($C1291,'Cost Centers'!$A$2:$A$11,'Cost Centers'!$C$2:$C$11,"")</f>
        <v>Programs</v>
      </c>
      <c r="J1291" s="23">
        <f>MROUND(SUMIFS('Allocated Transactions'!$J:$J,'Allocated Transactions'!$D:$D,$E1291,'Allocated Transactions'!$C:$C,$C1291,'Allocated Transactions'!$A:$A,"&gt;="&amp;$A1291,'Allocated Transactions'!$A:$A,"&lt;="&amp;EOMONTH($A1291,0))*0.99,100)</f>
        <v>0</v>
      </c>
      <c r="K1291" s="113" t="s">
        <v>637</v>
      </c>
    </row>
    <row r="1292" spans="1:11" ht="15" customHeight="1">
      <c r="A1292" s="112">
        <f t="shared" si="79"/>
        <v>46174</v>
      </c>
      <c r="B1292" s="113">
        <v>6</v>
      </c>
      <c r="C1292" s="18" t="str">
        <f t="shared" si="82"/>
        <v>2010</v>
      </c>
      <c r="D1292" s="113" t="str">
        <f>_xlfn.XLOOKUP($C1292,'Cost Centers'!$A$2:$A$11,'Cost Centers'!$B$2:$B$11,"")</f>
        <v>Latin America</v>
      </c>
      <c r="E1292" s="113" t="s">
        <v>115</v>
      </c>
      <c r="F1292" s="113" t="str">
        <f>_xlfn.XLOOKUP(E1292,'Allocated Transactions'!D:D,'Allocated Transactions'!E:E,"")</f>
        <v>Professional Fees - Accounting/Audit</v>
      </c>
      <c r="G1292" s="113" t="s">
        <v>97</v>
      </c>
      <c r="H1292" s="113"/>
      <c r="I1292" s="113" t="str">
        <f>_xlfn.XLOOKUP($C1292,'Cost Centers'!$A$2:$A$11,'Cost Centers'!$C$2:$C$11,"")</f>
        <v>Programs</v>
      </c>
      <c r="J1292" s="23">
        <f>MROUND(SUMIFS('Allocated Transactions'!$J:$J,'Allocated Transactions'!$D:$D,$E1292,'Allocated Transactions'!$C:$C,$C1292,'Allocated Transactions'!$A:$A,"&gt;="&amp;$A1292,'Allocated Transactions'!$A:$A,"&lt;="&amp;EOMONTH($A1292,0))*0.99,100)</f>
        <v>0</v>
      </c>
      <c r="K1292" s="113" t="s">
        <v>637</v>
      </c>
    </row>
    <row r="1293" spans="1:11" ht="15" customHeight="1">
      <c r="A1293" s="112">
        <f t="shared" si="79"/>
        <v>46174</v>
      </c>
      <c r="B1293" s="113">
        <v>6</v>
      </c>
      <c r="C1293" s="18" t="str">
        <f t="shared" si="82"/>
        <v>2010</v>
      </c>
      <c r="D1293" s="113" t="str">
        <f>_xlfn.XLOOKUP($C1293,'Cost Centers'!$A$2:$A$11,'Cost Centers'!$B$2:$B$11,"")</f>
        <v>Latin America</v>
      </c>
      <c r="E1293" s="113" t="s">
        <v>117</v>
      </c>
      <c r="F1293" s="113" t="str">
        <f>_xlfn.XLOOKUP(E1293,'Allocated Transactions'!D:D,'Allocated Transactions'!E:E,"")</f>
        <v>Insurance</v>
      </c>
      <c r="G1293" s="113" t="s">
        <v>97</v>
      </c>
      <c r="H1293" s="113"/>
      <c r="I1293" s="113" t="str">
        <f>_xlfn.XLOOKUP($C1293,'Cost Centers'!$A$2:$A$11,'Cost Centers'!$C$2:$C$11,"")</f>
        <v>Programs</v>
      </c>
      <c r="J1293" s="23">
        <f>MROUND(SUMIFS('Allocated Transactions'!$J:$J,'Allocated Transactions'!$D:$D,$E1293,'Allocated Transactions'!$C:$C,$C1293,'Allocated Transactions'!$A:$A,"&gt;="&amp;$A1293,'Allocated Transactions'!$A:$A,"&lt;="&amp;EOMONTH($A1293,0))*0.99,100)</f>
        <v>100</v>
      </c>
      <c r="K1293" s="113" t="s">
        <v>637</v>
      </c>
    </row>
    <row r="1294" spans="1:11" ht="15" customHeight="1">
      <c r="A1294" s="112">
        <f t="shared" si="79"/>
        <v>46174</v>
      </c>
      <c r="B1294" s="113">
        <v>6</v>
      </c>
      <c r="C1294" s="18" t="str">
        <f t="shared" si="82"/>
        <v>2010</v>
      </c>
      <c r="D1294" s="113" t="str">
        <f>_xlfn.XLOOKUP($C1294,'Cost Centers'!$A$2:$A$11,'Cost Centers'!$B$2:$B$11,"")</f>
        <v>Latin America</v>
      </c>
      <c r="E1294" s="113" t="s">
        <v>119</v>
      </c>
      <c r="F1294" s="113" t="str">
        <f>_xlfn.XLOOKUP(E1294,'Allocated Transactions'!D:D,'Allocated Transactions'!E:E,"")</f>
        <v>Depreciation Expense</v>
      </c>
      <c r="G1294" s="113" t="s">
        <v>97</v>
      </c>
      <c r="H1294" s="113"/>
      <c r="I1294" s="113" t="str">
        <f>_xlfn.XLOOKUP($C1294,'Cost Centers'!$A$2:$A$11,'Cost Centers'!$C$2:$C$11,"")</f>
        <v>Programs</v>
      </c>
      <c r="J1294" s="23">
        <f>MROUND(SUMIFS('Allocated Transactions'!$J:$J,'Allocated Transactions'!$D:$D,$E1294,'Allocated Transactions'!$C:$C,$C1294,'Allocated Transactions'!$A:$A,"&gt;="&amp;$A1294,'Allocated Transactions'!$A:$A,"&lt;="&amp;EOMONTH($A1294,0))*0.99,100)</f>
        <v>0</v>
      </c>
      <c r="K1294" s="113" t="s">
        <v>637</v>
      </c>
    </row>
    <row r="1295" spans="1:11" ht="15" customHeight="1">
      <c r="A1295" s="112">
        <f t="shared" si="79"/>
        <v>46174</v>
      </c>
      <c r="B1295" s="113">
        <v>6</v>
      </c>
      <c r="C1295" s="18" t="str">
        <f t="shared" si="82"/>
        <v>2010</v>
      </c>
      <c r="D1295" s="113" t="str">
        <f>_xlfn.XLOOKUP($C1295,'Cost Centers'!$A$2:$A$11,'Cost Centers'!$B$2:$B$11,"")</f>
        <v>Latin America</v>
      </c>
      <c r="E1295" s="113" t="s">
        <v>121</v>
      </c>
      <c r="F1295" s="113" t="str">
        <f>_xlfn.XLOOKUP(E1295,'Allocated Transactions'!D:D,'Allocated Transactions'!E:E,"")</f>
        <v>Bank Fees</v>
      </c>
      <c r="G1295" s="113" t="s">
        <v>97</v>
      </c>
      <c r="H1295" s="113"/>
      <c r="I1295" s="113" t="str">
        <f>_xlfn.XLOOKUP($C1295,'Cost Centers'!$A$2:$A$11,'Cost Centers'!$C$2:$C$11,"")</f>
        <v>Programs</v>
      </c>
      <c r="J1295" s="23">
        <f>MROUND(SUMIFS('Allocated Transactions'!$J:$J,'Allocated Transactions'!$D:$D,$E1295,'Allocated Transactions'!$C:$C,$C1295,'Allocated Transactions'!$A:$A,"&gt;="&amp;$A1295,'Allocated Transactions'!$A:$A,"&lt;="&amp;EOMONTH($A1295,0))*0.99,100)</f>
        <v>0</v>
      </c>
      <c r="K1295" s="113" t="s">
        <v>637</v>
      </c>
    </row>
    <row r="1296" spans="1:11" ht="15" customHeight="1">
      <c r="A1296" s="112">
        <f t="shared" si="79"/>
        <v>46174</v>
      </c>
      <c r="B1296" s="113">
        <v>6</v>
      </c>
      <c r="C1296" s="18" t="str">
        <f t="shared" si="82"/>
        <v>2010</v>
      </c>
      <c r="D1296" s="113" t="str">
        <f>_xlfn.XLOOKUP($C1296,'Cost Centers'!$A$2:$A$11,'Cost Centers'!$B$2:$B$11,"")</f>
        <v>Latin America</v>
      </c>
      <c r="E1296" s="113" t="s">
        <v>123</v>
      </c>
      <c r="F1296" s="113" t="str">
        <f>_xlfn.XLOOKUP(E1296,'Allocated Transactions'!D:D,'Allocated Transactions'!E:E,"")</f>
        <v>Interest Expense</v>
      </c>
      <c r="G1296" s="113" t="s">
        <v>97</v>
      </c>
      <c r="H1296" s="113"/>
      <c r="I1296" s="113" t="str">
        <f>_xlfn.XLOOKUP($C1296,'Cost Centers'!$A$2:$A$11,'Cost Centers'!$C$2:$C$11,"")</f>
        <v>Programs</v>
      </c>
      <c r="J1296" s="23">
        <f>MROUND(SUMIFS('Allocated Transactions'!$J:$J,'Allocated Transactions'!$D:$D,$E1296,'Allocated Transactions'!$C:$C,$C1296,'Allocated Transactions'!$A:$A,"&gt;="&amp;$A1296,'Allocated Transactions'!$A:$A,"&lt;="&amp;EOMONTH($A1296,0))*0.99,100)</f>
        <v>0</v>
      </c>
      <c r="K1296" s="113" t="s">
        <v>637</v>
      </c>
    </row>
    <row r="1297" spans="1:11" ht="15" customHeight="1">
      <c r="A1297" s="112">
        <f t="shared" si="79"/>
        <v>46174</v>
      </c>
      <c r="B1297" s="113">
        <v>6</v>
      </c>
      <c r="C1297" s="18" t="str">
        <f t="shared" si="82"/>
        <v>2010</v>
      </c>
      <c r="D1297" s="113" t="str">
        <f>_xlfn.XLOOKUP($C1297,'Cost Centers'!$A$2:$A$11,'Cost Centers'!$B$2:$B$11,"")</f>
        <v>Latin America</v>
      </c>
      <c r="E1297" s="113" t="s">
        <v>125</v>
      </c>
      <c r="F1297" s="113" t="str">
        <f>_xlfn.XLOOKUP(E1297,'Allocated Transactions'!D:D,'Allocated Transactions'!E:E,"")</f>
        <v>Miscellaneous Expense</v>
      </c>
      <c r="G1297" s="113" t="s">
        <v>97</v>
      </c>
      <c r="H1297" s="113"/>
      <c r="I1297" s="113" t="str">
        <f>_xlfn.XLOOKUP($C1297,'Cost Centers'!$A$2:$A$11,'Cost Centers'!$C$2:$C$11,"")</f>
        <v>Programs</v>
      </c>
      <c r="J1297" s="23">
        <f>MROUND(SUMIFS('Allocated Transactions'!$J:$J,'Allocated Transactions'!$D:$D,$E1297,'Allocated Transactions'!$C:$C,$C1297,'Allocated Transactions'!$A:$A,"&gt;="&amp;$A1297,'Allocated Transactions'!$A:$A,"&lt;="&amp;EOMONTH($A1297,0))*0.99,100)</f>
        <v>0</v>
      </c>
      <c r="K1297" s="113" t="s">
        <v>637</v>
      </c>
    </row>
    <row r="1298" spans="1:11" ht="15" customHeight="1">
      <c r="A1298" s="112">
        <f t="shared" si="79"/>
        <v>45839</v>
      </c>
      <c r="B1298" s="113">
        <v>7</v>
      </c>
      <c r="C1298" s="18" t="s">
        <v>14</v>
      </c>
      <c r="D1298" s="113" t="str">
        <f>_xlfn.XLOOKUP($C1298,'Cost Centers'!$A$2:$A$11,'Cost Centers'!$B$2:$B$11,"")</f>
        <v>MENA</v>
      </c>
      <c r="E1298" s="113" t="s">
        <v>28</v>
      </c>
      <c r="F1298" s="113" t="str">
        <f>_xlfn.XLOOKUP(E1298,'Allocated Transactions'!D:D,'Allocated Transactions'!E:E,"")</f>
        <v>Salaries and Wages</v>
      </c>
      <c r="G1298" s="113" t="s">
        <v>97</v>
      </c>
      <c r="H1298" s="113"/>
      <c r="I1298" s="113" t="str">
        <f>_xlfn.XLOOKUP($C1298,'Cost Centers'!$A$2:$A$11,'Cost Centers'!$C$2:$C$11,"")</f>
        <v>Programs</v>
      </c>
      <c r="J1298" s="23">
        <f>MROUND(SUMIFS('Allocated Transactions'!$J:$J,'Allocated Transactions'!$D:$D,$E1298,'Allocated Transactions'!$C:$C,$C1298,'Allocated Transactions'!$A:$A,"&gt;="&amp;$A1298,'Allocated Transactions'!$A:$A,"&lt;="&amp;EOMONTH($A1298,0))*0.99,100)</f>
        <v>14600</v>
      </c>
      <c r="K1298" s="113" t="s">
        <v>637</v>
      </c>
    </row>
    <row r="1299" spans="1:11" ht="15" customHeight="1">
      <c r="A1299" s="112">
        <f t="shared" si="79"/>
        <v>45839</v>
      </c>
      <c r="B1299" s="113">
        <v>7</v>
      </c>
      <c r="C1299" s="18" t="str">
        <f t="shared" ref="C1299:C1315" si="83">C1298</f>
        <v>2020</v>
      </c>
      <c r="D1299" s="113" t="str">
        <f>_xlfn.XLOOKUP($C1299,'Cost Centers'!$A$2:$A$11,'Cost Centers'!$B$2:$B$11,"")</f>
        <v>MENA</v>
      </c>
      <c r="E1299" s="113" t="s">
        <v>29</v>
      </c>
      <c r="F1299" s="113" t="str">
        <f>_xlfn.XLOOKUP(E1299,'Allocated Transactions'!D:D,'Allocated Transactions'!E:E,"")</f>
        <v>Payroll Taxes</v>
      </c>
      <c r="G1299" s="113" t="s">
        <v>97</v>
      </c>
      <c r="H1299" s="113"/>
      <c r="I1299" s="113" t="str">
        <f>_xlfn.XLOOKUP($C1299,'Cost Centers'!$A$2:$A$11,'Cost Centers'!$C$2:$C$11,"")</f>
        <v>Programs</v>
      </c>
      <c r="J1299" s="23">
        <f>MROUND(SUMIFS('Allocated Transactions'!$J:$J,'Allocated Transactions'!$D:$D,$E1299,'Allocated Transactions'!$C:$C,$C1299,'Allocated Transactions'!$A:$A,"&gt;="&amp;$A1299,'Allocated Transactions'!$A:$A,"&lt;="&amp;EOMONTH($A1299,0))*0.99,100)</f>
        <v>1100</v>
      </c>
      <c r="K1299" s="113" t="s">
        <v>637</v>
      </c>
    </row>
    <row r="1300" spans="1:11" ht="15" customHeight="1">
      <c r="A1300" s="112">
        <f t="shared" si="79"/>
        <v>45839</v>
      </c>
      <c r="B1300" s="113">
        <v>7</v>
      </c>
      <c r="C1300" s="18" t="str">
        <f t="shared" si="83"/>
        <v>2020</v>
      </c>
      <c r="D1300" s="113" t="str">
        <f>_xlfn.XLOOKUP($C1300,'Cost Centers'!$A$2:$A$11,'Cost Centers'!$B$2:$B$11,"")</f>
        <v>MENA</v>
      </c>
      <c r="E1300" s="113" t="s">
        <v>30</v>
      </c>
      <c r="F1300" s="113" t="str">
        <f>_xlfn.XLOOKUP(E1300,'Allocated Transactions'!D:D,'Allocated Transactions'!E:E,"")</f>
        <v>Employee Benefits</v>
      </c>
      <c r="G1300" s="113" t="s">
        <v>97</v>
      </c>
      <c r="H1300" s="113"/>
      <c r="I1300" s="113" t="str">
        <f>_xlfn.XLOOKUP($C1300,'Cost Centers'!$A$2:$A$11,'Cost Centers'!$C$2:$C$11,"")</f>
        <v>Programs</v>
      </c>
      <c r="J1300" s="23">
        <f>MROUND(SUMIFS('Allocated Transactions'!$J:$J,'Allocated Transactions'!$D:$D,$E1300,'Allocated Transactions'!$C:$C,$C1300,'Allocated Transactions'!$A:$A,"&gt;="&amp;$A1300,'Allocated Transactions'!$A:$A,"&lt;="&amp;EOMONTH($A1300,0))*0.99,100)</f>
        <v>3000</v>
      </c>
      <c r="K1300" s="113" t="s">
        <v>637</v>
      </c>
    </row>
    <row r="1301" spans="1:11" ht="15" customHeight="1">
      <c r="A1301" s="112">
        <f t="shared" si="79"/>
        <v>45839</v>
      </c>
      <c r="B1301" s="113">
        <v>7</v>
      </c>
      <c r="C1301" s="18" t="str">
        <f t="shared" si="83"/>
        <v>2020</v>
      </c>
      <c r="D1301" s="113" t="str">
        <f>_xlfn.XLOOKUP($C1301,'Cost Centers'!$A$2:$A$11,'Cost Centers'!$B$2:$B$11,"")</f>
        <v>MENA</v>
      </c>
      <c r="E1301" s="113" t="s">
        <v>31</v>
      </c>
      <c r="F1301" s="113" t="str">
        <f>_xlfn.XLOOKUP(E1301,'Allocated Transactions'!D:D,'Allocated Transactions'!E:E,"")</f>
        <v>Retirement Contributions</v>
      </c>
      <c r="G1301" s="113" t="s">
        <v>97</v>
      </c>
      <c r="H1301" s="113"/>
      <c r="I1301" s="113" t="str">
        <f>_xlfn.XLOOKUP($C1301,'Cost Centers'!$A$2:$A$11,'Cost Centers'!$C$2:$C$11,"")</f>
        <v>Programs</v>
      </c>
      <c r="J1301" s="23">
        <f>MROUND(SUMIFS('Allocated Transactions'!$J:$J,'Allocated Transactions'!$D:$D,$E1301,'Allocated Transactions'!$C:$C,$C1301,'Allocated Transactions'!$A:$A,"&gt;="&amp;$A1301,'Allocated Transactions'!$A:$A,"&lt;="&amp;EOMONTH($A1301,0))*0.99,100)</f>
        <v>400</v>
      </c>
      <c r="K1301" s="113" t="s">
        <v>637</v>
      </c>
    </row>
    <row r="1302" spans="1:11" ht="15" customHeight="1">
      <c r="A1302" s="112">
        <f t="shared" si="79"/>
        <v>45839</v>
      </c>
      <c r="B1302" s="113">
        <v>7</v>
      </c>
      <c r="C1302" s="18" t="str">
        <f t="shared" si="83"/>
        <v>2020</v>
      </c>
      <c r="D1302" s="113" t="str">
        <f>_xlfn.XLOOKUP($C1302,'Cost Centers'!$A$2:$A$11,'Cost Centers'!$B$2:$B$11,"")</f>
        <v>MENA</v>
      </c>
      <c r="E1302" s="113" t="s">
        <v>101</v>
      </c>
      <c r="F1302" s="113" t="str">
        <f>_xlfn.XLOOKUP(E1302,'Allocated Transactions'!D:D,'Allocated Transactions'!E:E,"")</f>
        <v>Contract Labor / Consultants</v>
      </c>
      <c r="G1302" s="113" t="s">
        <v>97</v>
      </c>
      <c r="H1302" s="113"/>
      <c r="I1302" s="113" t="str">
        <f>_xlfn.XLOOKUP($C1302,'Cost Centers'!$A$2:$A$11,'Cost Centers'!$C$2:$C$11,"")</f>
        <v>Programs</v>
      </c>
      <c r="J1302" s="23">
        <f>MROUND(SUMIFS('Allocated Transactions'!$J:$J,'Allocated Transactions'!$D:$D,$E1302,'Allocated Transactions'!$C:$C,$C1302,'Allocated Transactions'!$A:$A,"&gt;="&amp;$A1302,'Allocated Transactions'!$A:$A,"&lt;="&amp;EOMONTH($A1302,0))*0.99,100)</f>
        <v>0</v>
      </c>
      <c r="K1302" s="113" t="s">
        <v>637</v>
      </c>
    </row>
    <row r="1303" spans="1:11" ht="15" customHeight="1">
      <c r="A1303" s="112">
        <f t="shared" si="79"/>
        <v>45839</v>
      </c>
      <c r="B1303" s="113">
        <v>7</v>
      </c>
      <c r="C1303" s="18" t="str">
        <f t="shared" si="83"/>
        <v>2020</v>
      </c>
      <c r="D1303" s="113" t="str">
        <f>_xlfn.XLOOKUP($C1303,'Cost Centers'!$A$2:$A$11,'Cost Centers'!$B$2:$B$11,"")</f>
        <v>MENA</v>
      </c>
      <c r="E1303" s="113" t="s">
        <v>32</v>
      </c>
      <c r="F1303" s="113" t="str">
        <f>_xlfn.XLOOKUP(E1303,'Allocated Transactions'!D:D,'Allocated Transactions'!E:E,"")</f>
        <v>Rent</v>
      </c>
      <c r="G1303" s="113" t="s">
        <v>97</v>
      </c>
      <c r="H1303" s="113"/>
      <c r="I1303" s="113" t="str">
        <f>_xlfn.XLOOKUP($C1303,'Cost Centers'!$A$2:$A$11,'Cost Centers'!$C$2:$C$11,"")</f>
        <v>Programs</v>
      </c>
      <c r="J1303" s="23">
        <f>MROUND(SUMIFS('Allocated Transactions'!$J:$J,'Allocated Transactions'!$D:$D,$E1303,'Allocated Transactions'!$C:$C,$C1303,'Allocated Transactions'!$A:$A,"&gt;="&amp;$A1303,'Allocated Transactions'!$A:$A,"&lt;="&amp;EOMONTH($A1303,0))*0.99,100)</f>
        <v>1200</v>
      </c>
      <c r="K1303" s="113" t="s">
        <v>637</v>
      </c>
    </row>
    <row r="1304" spans="1:11" ht="15" customHeight="1">
      <c r="A1304" s="112">
        <f t="shared" si="79"/>
        <v>45839</v>
      </c>
      <c r="B1304" s="113">
        <v>7</v>
      </c>
      <c r="C1304" s="18" t="str">
        <f t="shared" si="83"/>
        <v>2020</v>
      </c>
      <c r="D1304" s="113" t="str">
        <f>_xlfn.XLOOKUP($C1304,'Cost Centers'!$A$2:$A$11,'Cost Centers'!$B$2:$B$11,"")</f>
        <v>MENA</v>
      </c>
      <c r="E1304" s="113" t="s">
        <v>33</v>
      </c>
      <c r="F1304" s="113" t="str">
        <f>_xlfn.XLOOKUP(E1304,'Allocated Transactions'!D:D,'Allocated Transactions'!E:E,"")</f>
        <v>Utilities</v>
      </c>
      <c r="G1304" s="113" t="s">
        <v>97</v>
      </c>
      <c r="H1304" s="113"/>
      <c r="I1304" s="113" t="str">
        <f>_xlfn.XLOOKUP($C1304,'Cost Centers'!$A$2:$A$11,'Cost Centers'!$C$2:$C$11,"")</f>
        <v>Programs</v>
      </c>
      <c r="J1304" s="23">
        <f>MROUND(SUMIFS('Allocated Transactions'!$J:$J,'Allocated Transactions'!$D:$D,$E1304,'Allocated Transactions'!$C:$C,$C1304,'Allocated Transactions'!$A:$A,"&gt;="&amp;$A1304,'Allocated Transactions'!$A:$A,"&lt;="&amp;EOMONTH($A1304,0))*0.99,100)</f>
        <v>200</v>
      </c>
      <c r="K1304" s="113" t="s">
        <v>637</v>
      </c>
    </row>
    <row r="1305" spans="1:11" ht="15" customHeight="1">
      <c r="A1305" s="112">
        <f t="shared" ref="A1305:A1368" si="84">IF(C1305&lt;&gt;C1304,DATE(2025,7,1),IF(E1305="5000",EOMONTH(A1304,0)+1,A1304))</f>
        <v>45839</v>
      </c>
      <c r="B1305" s="113">
        <v>7</v>
      </c>
      <c r="C1305" s="18" t="str">
        <f t="shared" si="83"/>
        <v>2020</v>
      </c>
      <c r="D1305" s="113" t="str">
        <f>_xlfn.XLOOKUP($C1305,'Cost Centers'!$A$2:$A$11,'Cost Centers'!$B$2:$B$11,"")</f>
        <v>MENA</v>
      </c>
      <c r="E1305" s="113" t="s">
        <v>105</v>
      </c>
      <c r="F1305" s="113" t="str">
        <f>_xlfn.XLOOKUP(E1305,'Allocated Transactions'!D:D,'Allocated Transactions'!E:E,"")</f>
        <v>Office Supplies</v>
      </c>
      <c r="G1305" s="113" t="s">
        <v>97</v>
      </c>
      <c r="H1305" s="113"/>
      <c r="I1305" s="113" t="str">
        <f>_xlfn.XLOOKUP($C1305,'Cost Centers'!$A$2:$A$11,'Cost Centers'!$C$2:$C$11,"")</f>
        <v>Programs</v>
      </c>
      <c r="J1305" s="23">
        <f>MROUND(SUMIFS('Allocated Transactions'!$J:$J,'Allocated Transactions'!$D:$D,$E1305,'Allocated Transactions'!$C:$C,$C1305,'Allocated Transactions'!$A:$A,"&gt;="&amp;$A1305,'Allocated Transactions'!$A:$A,"&lt;="&amp;EOMONTH($A1305,0))*0.99,100)</f>
        <v>0</v>
      </c>
      <c r="K1305" s="113" t="s">
        <v>637</v>
      </c>
    </row>
    <row r="1306" spans="1:11" ht="15" customHeight="1">
      <c r="A1306" s="112">
        <f t="shared" si="84"/>
        <v>45839</v>
      </c>
      <c r="B1306" s="113">
        <v>7</v>
      </c>
      <c r="C1306" s="18" t="str">
        <f t="shared" si="83"/>
        <v>2020</v>
      </c>
      <c r="D1306" s="113" t="str">
        <f>_xlfn.XLOOKUP($C1306,'Cost Centers'!$A$2:$A$11,'Cost Centers'!$B$2:$B$11,"")</f>
        <v>MENA</v>
      </c>
      <c r="E1306" s="113" t="s">
        <v>107</v>
      </c>
      <c r="F1306" s="113" t="str">
        <f>_xlfn.XLOOKUP(E1306,'Allocated Transactions'!D:D,'Allocated Transactions'!E:E,"")</f>
        <v>Software and Subscriptions</v>
      </c>
      <c r="G1306" s="113" t="s">
        <v>97</v>
      </c>
      <c r="H1306" s="113"/>
      <c r="I1306" s="113" t="str">
        <f>_xlfn.XLOOKUP($C1306,'Cost Centers'!$A$2:$A$11,'Cost Centers'!$C$2:$C$11,"")</f>
        <v>Programs</v>
      </c>
      <c r="J1306" s="23">
        <f>MROUND(SUMIFS('Allocated Transactions'!$J:$J,'Allocated Transactions'!$D:$D,$E1306,'Allocated Transactions'!$C:$C,$C1306,'Allocated Transactions'!$A:$A,"&gt;="&amp;$A1306,'Allocated Transactions'!$A:$A,"&lt;="&amp;EOMONTH($A1306,0))*0.99,100)</f>
        <v>0</v>
      </c>
      <c r="K1306" s="113" t="s">
        <v>637</v>
      </c>
    </row>
    <row r="1307" spans="1:11" ht="15" customHeight="1">
      <c r="A1307" s="112">
        <f t="shared" si="84"/>
        <v>45839</v>
      </c>
      <c r="B1307" s="113">
        <v>7</v>
      </c>
      <c r="C1307" s="18" t="str">
        <f t="shared" si="83"/>
        <v>2020</v>
      </c>
      <c r="D1307" s="113" t="str">
        <f>_xlfn.XLOOKUP($C1307,'Cost Centers'!$A$2:$A$11,'Cost Centers'!$B$2:$B$11,"")</f>
        <v>MENA</v>
      </c>
      <c r="E1307" s="113" t="s">
        <v>109</v>
      </c>
      <c r="F1307" s="113" t="str">
        <f>_xlfn.XLOOKUP(E1307,'Allocated Transactions'!D:D,'Allocated Transactions'!E:E,"")</f>
        <v>Travel</v>
      </c>
      <c r="G1307" s="113" t="s">
        <v>97</v>
      </c>
      <c r="H1307" s="113"/>
      <c r="I1307" s="113" t="str">
        <f>_xlfn.XLOOKUP($C1307,'Cost Centers'!$A$2:$A$11,'Cost Centers'!$C$2:$C$11,"")</f>
        <v>Programs</v>
      </c>
      <c r="J1307" s="23">
        <f>MROUND(SUMIFS('Allocated Transactions'!$J:$J,'Allocated Transactions'!$D:$D,$E1307,'Allocated Transactions'!$C:$C,$C1307,'Allocated Transactions'!$A:$A,"&gt;="&amp;$A1307,'Allocated Transactions'!$A:$A,"&lt;="&amp;EOMONTH($A1307,0))*0.99,100)</f>
        <v>0</v>
      </c>
      <c r="K1307" s="113" t="s">
        <v>637</v>
      </c>
    </row>
    <row r="1308" spans="1:11" ht="15" customHeight="1">
      <c r="A1308" s="112">
        <f t="shared" si="84"/>
        <v>45839</v>
      </c>
      <c r="B1308" s="113">
        <v>7</v>
      </c>
      <c r="C1308" s="18" t="str">
        <f t="shared" si="83"/>
        <v>2020</v>
      </c>
      <c r="D1308" s="113" t="str">
        <f>_xlfn.XLOOKUP($C1308,'Cost Centers'!$A$2:$A$11,'Cost Centers'!$B$2:$B$11,"")</f>
        <v>MENA</v>
      </c>
      <c r="E1308" s="113" t="s">
        <v>111</v>
      </c>
      <c r="F1308" s="113" t="str">
        <f>_xlfn.XLOOKUP(E1308,'Allocated Transactions'!D:D,'Allocated Transactions'!E:E,"")</f>
        <v>Meals and Entertainment</v>
      </c>
      <c r="G1308" s="113" t="s">
        <v>97</v>
      </c>
      <c r="H1308" s="113"/>
      <c r="I1308" s="113" t="str">
        <f>_xlfn.XLOOKUP($C1308,'Cost Centers'!$A$2:$A$11,'Cost Centers'!$C$2:$C$11,"")</f>
        <v>Programs</v>
      </c>
      <c r="J1308" s="23">
        <f>MROUND(SUMIFS('Allocated Transactions'!$J:$J,'Allocated Transactions'!$D:$D,$E1308,'Allocated Transactions'!$C:$C,$C1308,'Allocated Transactions'!$A:$A,"&gt;="&amp;$A1308,'Allocated Transactions'!$A:$A,"&lt;="&amp;EOMONTH($A1308,0))*0.99,100)</f>
        <v>0</v>
      </c>
      <c r="K1308" s="113" t="s">
        <v>637</v>
      </c>
    </row>
    <row r="1309" spans="1:11" ht="15" customHeight="1">
      <c r="A1309" s="112">
        <f t="shared" si="84"/>
        <v>45839</v>
      </c>
      <c r="B1309" s="113">
        <v>7</v>
      </c>
      <c r="C1309" s="18" t="str">
        <f t="shared" si="83"/>
        <v>2020</v>
      </c>
      <c r="D1309" s="113" t="str">
        <f>_xlfn.XLOOKUP($C1309,'Cost Centers'!$A$2:$A$11,'Cost Centers'!$B$2:$B$11,"")</f>
        <v>MENA</v>
      </c>
      <c r="E1309" s="113" t="s">
        <v>113</v>
      </c>
      <c r="F1309" s="113" t="str">
        <f>_xlfn.XLOOKUP(E1309,'Allocated Transactions'!D:D,'Allocated Transactions'!E:E,"")</f>
        <v>Professional Fees - Legal</v>
      </c>
      <c r="G1309" s="113" t="s">
        <v>97</v>
      </c>
      <c r="H1309" s="113"/>
      <c r="I1309" s="113" t="str">
        <f>_xlfn.XLOOKUP($C1309,'Cost Centers'!$A$2:$A$11,'Cost Centers'!$C$2:$C$11,"")</f>
        <v>Programs</v>
      </c>
      <c r="J1309" s="23">
        <f>MROUND(SUMIFS('Allocated Transactions'!$J:$J,'Allocated Transactions'!$D:$D,$E1309,'Allocated Transactions'!$C:$C,$C1309,'Allocated Transactions'!$A:$A,"&gt;="&amp;$A1309,'Allocated Transactions'!$A:$A,"&lt;="&amp;EOMONTH($A1309,0))*0.99,100)</f>
        <v>0</v>
      </c>
      <c r="K1309" s="113" t="s">
        <v>637</v>
      </c>
    </row>
    <row r="1310" spans="1:11" ht="15" customHeight="1">
      <c r="A1310" s="112">
        <f t="shared" si="84"/>
        <v>45839</v>
      </c>
      <c r="B1310" s="113">
        <v>7</v>
      </c>
      <c r="C1310" s="18" t="str">
        <f t="shared" si="83"/>
        <v>2020</v>
      </c>
      <c r="D1310" s="113" t="str">
        <f>_xlfn.XLOOKUP($C1310,'Cost Centers'!$A$2:$A$11,'Cost Centers'!$B$2:$B$11,"")</f>
        <v>MENA</v>
      </c>
      <c r="E1310" s="113" t="s">
        <v>115</v>
      </c>
      <c r="F1310" s="113" t="str">
        <f>_xlfn.XLOOKUP(E1310,'Allocated Transactions'!D:D,'Allocated Transactions'!E:E,"")</f>
        <v>Professional Fees - Accounting/Audit</v>
      </c>
      <c r="G1310" s="113" t="s">
        <v>97</v>
      </c>
      <c r="H1310" s="113"/>
      <c r="I1310" s="113" t="str">
        <f>_xlfn.XLOOKUP($C1310,'Cost Centers'!$A$2:$A$11,'Cost Centers'!$C$2:$C$11,"")</f>
        <v>Programs</v>
      </c>
      <c r="J1310" s="23">
        <f>MROUND(SUMIFS('Allocated Transactions'!$J:$J,'Allocated Transactions'!$D:$D,$E1310,'Allocated Transactions'!$C:$C,$C1310,'Allocated Transactions'!$A:$A,"&gt;="&amp;$A1310,'Allocated Transactions'!$A:$A,"&lt;="&amp;EOMONTH($A1310,0))*0.99,100)</f>
        <v>0</v>
      </c>
      <c r="K1310" s="113" t="s">
        <v>637</v>
      </c>
    </row>
    <row r="1311" spans="1:11" ht="15" customHeight="1">
      <c r="A1311" s="112">
        <f t="shared" si="84"/>
        <v>45839</v>
      </c>
      <c r="B1311" s="113">
        <v>7</v>
      </c>
      <c r="C1311" s="18" t="str">
        <f t="shared" si="83"/>
        <v>2020</v>
      </c>
      <c r="D1311" s="113" t="str">
        <f>_xlfn.XLOOKUP($C1311,'Cost Centers'!$A$2:$A$11,'Cost Centers'!$B$2:$B$11,"")</f>
        <v>MENA</v>
      </c>
      <c r="E1311" s="113" t="s">
        <v>117</v>
      </c>
      <c r="F1311" s="113" t="str">
        <f>_xlfn.XLOOKUP(E1311,'Allocated Transactions'!D:D,'Allocated Transactions'!E:E,"")</f>
        <v>Insurance</v>
      </c>
      <c r="G1311" s="113" t="s">
        <v>97</v>
      </c>
      <c r="H1311" s="113"/>
      <c r="I1311" s="113" t="str">
        <f>_xlfn.XLOOKUP($C1311,'Cost Centers'!$A$2:$A$11,'Cost Centers'!$C$2:$C$11,"")</f>
        <v>Programs</v>
      </c>
      <c r="J1311" s="23">
        <f>MROUND(SUMIFS('Allocated Transactions'!$J:$J,'Allocated Transactions'!$D:$D,$E1311,'Allocated Transactions'!$C:$C,$C1311,'Allocated Transactions'!$A:$A,"&gt;="&amp;$A1311,'Allocated Transactions'!$A:$A,"&lt;="&amp;EOMONTH($A1311,0))*0.99,100)</f>
        <v>100</v>
      </c>
      <c r="K1311" s="113" t="s">
        <v>637</v>
      </c>
    </row>
    <row r="1312" spans="1:11" ht="15" customHeight="1">
      <c r="A1312" s="112">
        <f t="shared" si="84"/>
        <v>45839</v>
      </c>
      <c r="B1312" s="113">
        <v>7</v>
      </c>
      <c r="C1312" s="18" t="str">
        <f t="shared" si="83"/>
        <v>2020</v>
      </c>
      <c r="D1312" s="113" t="str">
        <f>_xlfn.XLOOKUP($C1312,'Cost Centers'!$A$2:$A$11,'Cost Centers'!$B$2:$B$11,"")</f>
        <v>MENA</v>
      </c>
      <c r="E1312" s="113" t="s">
        <v>119</v>
      </c>
      <c r="F1312" s="113" t="str">
        <f>_xlfn.XLOOKUP(E1312,'Allocated Transactions'!D:D,'Allocated Transactions'!E:E,"")</f>
        <v>Depreciation Expense</v>
      </c>
      <c r="G1312" s="113" t="s">
        <v>97</v>
      </c>
      <c r="H1312" s="113"/>
      <c r="I1312" s="113" t="str">
        <f>_xlfn.XLOOKUP($C1312,'Cost Centers'!$A$2:$A$11,'Cost Centers'!$C$2:$C$11,"")</f>
        <v>Programs</v>
      </c>
      <c r="J1312" s="23">
        <f>MROUND(SUMIFS('Allocated Transactions'!$J:$J,'Allocated Transactions'!$D:$D,$E1312,'Allocated Transactions'!$C:$C,$C1312,'Allocated Transactions'!$A:$A,"&gt;="&amp;$A1312,'Allocated Transactions'!$A:$A,"&lt;="&amp;EOMONTH($A1312,0))*0.99,100)</f>
        <v>0</v>
      </c>
      <c r="K1312" s="113" t="s">
        <v>637</v>
      </c>
    </row>
    <row r="1313" spans="1:11" ht="15" customHeight="1">
      <c r="A1313" s="112">
        <f t="shared" si="84"/>
        <v>45839</v>
      </c>
      <c r="B1313" s="113">
        <v>7</v>
      </c>
      <c r="C1313" s="18" t="str">
        <f t="shared" si="83"/>
        <v>2020</v>
      </c>
      <c r="D1313" s="113" t="str">
        <f>_xlfn.XLOOKUP($C1313,'Cost Centers'!$A$2:$A$11,'Cost Centers'!$B$2:$B$11,"")</f>
        <v>MENA</v>
      </c>
      <c r="E1313" s="113" t="s">
        <v>121</v>
      </c>
      <c r="F1313" s="113" t="str">
        <f>_xlfn.XLOOKUP(E1313,'Allocated Transactions'!D:D,'Allocated Transactions'!E:E,"")</f>
        <v>Bank Fees</v>
      </c>
      <c r="G1313" s="113" t="s">
        <v>97</v>
      </c>
      <c r="H1313" s="113"/>
      <c r="I1313" s="113" t="str">
        <f>_xlfn.XLOOKUP($C1313,'Cost Centers'!$A$2:$A$11,'Cost Centers'!$C$2:$C$11,"")</f>
        <v>Programs</v>
      </c>
      <c r="J1313" s="23">
        <f>MROUND(SUMIFS('Allocated Transactions'!$J:$J,'Allocated Transactions'!$D:$D,$E1313,'Allocated Transactions'!$C:$C,$C1313,'Allocated Transactions'!$A:$A,"&gt;="&amp;$A1313,'Allocated Transactions'!$A:$A,"&lt;="&amp;EOMONTH($A1313,0))*0.99,100)</f>
        <v>0</v>
      </c>
      <c r="K1313" s="113" t="s">
        <v>637</v>
      </c>
    </row>
    <row r="1314" spans="1:11" ht="15" customHeight="1">
      <c r="A1314" s="112">
        <f t="shared" si="84"/>
        <v>45839</v>
      </c>
      <c r="B1314" s="113">
        <v>7</v>
      </c>
      <c r="C1314" s="18" t="str">
        <f t="shared" si="83"/>
        <v>2020</v>
      </c>
      <c r="D1314" s="113" t="str">
        <f>_xlfn.XLOOKUP($C1314,'Cost Centers'!$A$2:$A$11,'Cost Centers'!$B$2:$B$11,"")</f>
        <v>MENA</v>
      </c>
      <c r="E1314" s="113" t="s">
        <v>123</v>
      </c>
      <c r="F1314" s="113" t="str">
        <f>_xlfn.XLOOKUP(E1314,'Allocated Transactions'!D:D,'Allocated Transactions'!E:E,"")</f>
        <v>Interest Expense</v>
      </c>
      <c r="G1314" s="113" t="s">
        <v>97</v>
      </c>
      <c r="H1314" s="113"/>
      <c r="I1314" s="113" t="str">
        <f>_xlfn.XLOOKUP($C1314,'Cost Centers'!$A$2:$A$11,'Cost Centers'!$C$2:$C$11,"")</f>
        <v>Programs</v>
      </c>
      <c r="J1314" s="23">
        <f>MROUND(SUMIFS('Allocated Transactions'!$J:$J,'Allocated Transactions'!$D:$D,$E1314,'Allocated Transactions'!$C:$C,$C1314,'Allocated Transactions'!$A:$A,"&gt;="&amp;$A1314,'Allocated Transactions'!$A:$A,"&lt;="&amp;EOMONTH($A1314,0))*0.99,100)</f>
        <v>0</v>
      </c>
      <c r="K1314" s="113" t="s">
        <v>637</v>
      </c>
    </row>
    <row r="1315" spans="1:11" ht="15" customHeight="1">
      <c r="A1315" s="112">
        <f t="shared" si="84"/>
        <v>45839</v>
      </c>
      <c r="B1315" s="113">
        <v>7</v>
      </c>
      <c r="C1315" s="18" t="str">
        <f t="shared" si="83"/>
        <v>2020</v>
      </c>
      <c r="D1315" s="113" t="str">
        <f>_xlfn.XLOOKUP($C1315,'Cost Centers'!$A$2:$A$11,'Cost Centers'!$B$2:$B$11,"")</f>
        <v>MENA</v>
      </c>
      <c r="E1315" s="113" t="s">
        <v>125</v>
      </c>
      <c r="F1315" s="113" t="str">
        <f>_xlfn.XLOOKUP(E1315,'Allocated Transactions'!D:D,'Allocated Transactions'!E:E,"")</f>
        <v>Miscellaneous Expense</v>
      </c>
      <c r="G1315" s="113" t="s">
        <v>97</v>
      </c>
      <c r="H1315" s="113"/>
      <c r="I1315" s="113" t="str">
        <f>_xlfn.XLOOKUP($C1315,'Cost Centers'!$A$2:$A$11,'Cost Centers'!$C$2:$C$11,"")</f>
        <v>Programs</v>
      </c>
      <c r="J1315" s="23">
        <f>MROUND(SUMIFS('Allocated Transactions'!$J:$J,'Allocated Transactions'!$D:$D,$E1315,'Allocated Transactions'!$C:$C,$C1315,'Allocated Transactions'!$A:$A,"&gt;="&amp;$A1315,'Allocated Transactions'!$A:$A,"&lt;="&amp;EOMONTH($A1315,0))*0.99,100)</f>
        <v>0</v>
      </c>
      <c r="K1315" s="113" t="s">
        <v>637</v>
      </c>
    </row>
    <row r="1316" spans="1:11" ht="15" customHeight="1">
      <c r="A1316" s="112">
        <f t="shared" si="84"/>
        <v>45870</v>
      </c>
      <c r="B1316" s="113">
        <v>7</v>
      </c>
      <c r="C1316" s="18" t="s">
        <v>14</v>
      </c>
      <c r="D1316" s="113" t="str">
        <f>_xlfn.XLOOKUP($C1316,'Cost Centers'!$A$2:$A$11,'Cost Centers'!$B$2:$B$11,"")</f>
        <v>MENA</v>
      </c>
      <c r="E1316" s="113" t="s">
        <v>28</v>
      </c>
      <c r="F1316" s="113" t="str">
        <f>_xlfn.XLOOKUP(E1316,'Allocated Transactions'!D:D,'Allocated Transactions'!E:E,"")</f>
        <v>Salaries and Wages</v>
      </c>
      <c r="G1316" s="113" t="s">
        <v>97</v>
      </c>
      <c r="H1316" s="113"/>
      <c r="I1316" s="113" t="str">
        <f>_xlfn.XLOOKUP($C1316,'Cost Centers'!$A$2:$A$11,'Cost Centers'!$C$2:$C$11,"")</f>
        <v>Programs</v>
      </c>
      <c r="J1316" s="23">
        <f>MROUND(SUMIFS('Allocated Transactions'!$J:$J,'Allocated Transactions'!$D:$D,$E1316,'Allocated Transactions'!$C:$C,$C1316,'Allocated Transactions'!$A:$A,"&gt;="&amp;$A1316,'Allocated Transactions'!$A:$A,"&lt;="&amp;EOMONTH($A1316,0))*0.99,100)</f>
        <v>14800</v>
      </c>
      <c r="K1316" s="113" t="s">
        <v>637</v>
      </c>
    </row>
    <row r="1317" spans="1:11" ht="15" customHeight="1">
      <c r="A1317" s="112">
        <f t="shared" si="84"/>
        <v>45870</v>
      </c>
      <c r="B1317" s="113">
        <v>7</v>
      </c>
      <c r="C1317" s="18" t="str">
        <f t="shared" ref="C1317:C1333" si="85">C1316</f>
        <v>2020</v>
      </c>
      <c r="D1317" s="113" t="str">
        <f>_xlfn.XLOOKUP($C1317,'Cost Centers'!$A$2:$A$11,'Cost Centers'!$B$2:$B$11,"")</f>
        <v>MENA</v>
      </c>
      <c r="E1317" s="113" t="s">
        <v>29</v>
      </c>
      <c r="F1317" s="113" t="str">
        <f>_xlfn.XLOOKUP(E1317,'Allocated Transactions'!D:D,'Allocated Transactions'!E:E,"")</f>
        <v>Payroll Taxes</v>
      </c>
      <c r="G1317" s="113" t="s">
        <v>97</v>
      </c>
      <c r="H1317" s="113"/>
      <c r="I1317" s="113" t="str">
        <f>_xlfn.XLOOKUP($C1317,'Cost Centers'!$A$2:$A$11,'Cost Centers'!$C$2:$C$11,"")</f>
        <v>Programs</v>
      </c>
      <c r="J1317" s="23">
        <f>MROUND(SUMIFS('Allocated Transactions'!$J:$J,'Allocated Transactions'!$D:$D,$E1317,'Allocated Transactions'!$C:$C,$C1317,'Allocated Transactions'!$A:$A,"&gt;="&amp;$A1317,'Allocated Transactions'!$A:$A,"&lt;="&amp;EOMONTH($A1317,0))*0.99,100)</f>
        <v>1100</v>
      </c>
      <c r="K1317" s="113" t="s">
        <v>637</v>
      </c>
    </row>
    <row r="1318" spans="1:11" ht="15" customHeight="1">
      <c r="A1318" s="112">
        <f t="shared" si="84"/>
        <v>45870</v>
      </c>
      <c r="B1318" s="113">
        <v>7</v>
      </c>
      <c r="C1318" s="18" t="str">
        <f t="shared" si="85"/>
        <v>2020</v>
      </c>
      <c r="D1318" s="113" t="str">
        <f>_xlfn.XLOOKUP($C1318,'Cost Centers'!$A$2:$A$11,'Cost Centers'!$B$2:$B$11,"")</f>
        <v>MENA</v>
      </c>
      <c r="E1318" s="113" t="s">
        <v>30</v>
      </c>
      <c r="F1318" s="113" t="str">
        <f>_xlfn.XLOOKUP(E1318,'Allocated Transactions'!D:D,'Allocated Transactions'!E:E,"")</f>
        <v>Employee Benefits</v>
      </c>
      <c r="G1318" s="113" t="s">
        <v>97</v>
      </c>
      <c r="H1318" s="113"/>
      <c r="I1318" s="113" t="str">
        <f>_xlfn.XLOOKUP($C1318,'Cost Centers'!$A$2:$A$11,'Cost Centers'!$C$2:$C$11,"")</f>
        <v>Programs</v>
      </c>
      <c r="J1318" s="23">
        <f>MROUND(SUMIFS('Allocated Transactions'!$J:$J,'Allocated Transactions'!$D:$D,$E1318,'Allocated Transactions'!$C:$C,$C1318,'Allocated Transactions'!$A:$A,"&gt;="&amp;$A1318,'Allocated Transactions'!$A:$A,"&lt;="&amp;EOMONTH($A1318,0))*0.99,100)</f>
        <v>3800</v>
      </c>
      <c r="K1318" s="113" t="s">
        <v>637</v>
      </c>
    </row>
    <row r="1319" spans="1:11" ht="15" customHeight="1">
      <c r="A1319" s="112">
        <f t="shared" si="84"/>
        <v>45870</v>
      </c>
      <c r="B1319" s="113">
        <v>7</v>
      </c>
      <c r="C1319" s="18" t="str">
        <f t="shared" si="85"/>
        <v>2020</v>
      </c>
      <c r="D1319" s="113" t="str">
        <f>_xlfn.XLOOKUP($C1319,'Cost Centers'!$A$2:$A$11,'Cost Centers'!$B$2:$B$11,"")</f>
        <v>MENA</v>
      </c>
      <c r="E1319" s="113" t="s">
        <v>31</v>
      </c>
      <c r="F1319" s="113" t="str">
        <f>_xlfn.XLOOKUP(E1319,'Allocated Transactions'!D:D,'Allocated Transactions'!E:E,"")</f>
        <v>Retirement Contributions</v>
      </c>
      <c r="G1319" s="113" t="s">
        <v>97</v>
      </c>
      <c r="H1319" s="113"/>
      <c r="I1319" s="113" t="str">
        <f>_xlfn.XLOOKUP($C1319,'Cost Centers'!$A$2:$A$11,'Cost Centers'!$C$2:$C$11,"")</f>
        <v>Programs</v>
      </c>
      <c r="J1319" s="23">
        <f>MROUND(SUMIFS('Allocated Transactions'!$J:$J,'Allocated Transactions'!$D:$D,$E1319,'Allocated Transactions'!$C:$C,$C1319,'Allocated Transactions'!$A:$A,"&gt;="&amp;$A1319,'Allocated Transactions'!$A:$A,"&lt;="&amp;EOMONTH($A1319,0))*0.99,100)</f>
        <v>400</v>
      </c>
      <c r="K1319" s="113" t="s">
        <v>637</v>
      </c>
    </row>
    <row r="1320" spans="1:11" ht="15" customHeight="1">
      <c r="A1320" s="112">
        <f t="shared" si="84"/>
        <v>45870</v>
      </c>
      <c r="B1320" s="113">
        <v>7</v>
      </c>
      <c r="C1320" s="18" t="str">
        <f t="shared" si="85"/>
        <v>2020</v>
      </c>
      <c r="D1320" s="113" t="str">
        <f>_xlfn.XLOOKUP($C1320,'Cost Centers'!$A$2:$A$11,'Cost Centers'!$B$2:$B$11,"")</f>
        <v>MENA</v>
      </c>
      <c r="E1320" s="113" t="s">
        <v>101</v>
      </c>
      <c r="F1320" s="113" t="str">
        <f>_xlfn.XLOOKUP(E1320,'Allocated Transactions'!D:D,'Allocated Transactions'!E:E,"")</f>
        <v>Contract Labor / Consultants</v>
      </c>
      <c r="G1320" s="113" t="s">
        <v>97</v>
      </c>
      <c r="H1320" s="113"/>
      <c r="I1320" s="113" t="str">
        <f>_xlfn.XLOOKUP($C1320,'Cost Centers'!$A$2:$A$11,'Cost Centers'!$C$2:$C$11,"")</f>
        <v>Programs</v>
      </c>
      <c r="J1320" s="23">
        <f>MROUND(SUMIFS('Allocated Transactions'!$J:$J,'Allocated Transactions'!$D:$D,$E1320,'Allocated Transactions'!$C:$C,$C1320,'Allocated Transactions'!$A:$A,"&gt;="&amp;$A1320,'Allocated Transactions'!$A:$A,"&lt;="&amp;EOMONTH($A1320,0))*0.99,100)</f>
        <v>0</v>
      </c>
      <c r="K1320" s="113" t="s">
        <v>637</v>
      </c>
    </row>
    <row r="1321" spans="1:11" ht="15" customHeight="1">
      <c r="A1321" s="112">
        <f t="shared" si="84"/>
        <v>45870</v>
      </c>
      <c r="B1321" s="113">
        <v>7</v>
      </c>
      <c r="C1321" s="18" t="str">
        <f t="shared" si="85"/>
        <v>2020</v>
      </c>
      <c r="D1321" s="113" t="str">
        <f>_xlfn.XLOOKUP($C1321,'Cost Centers'!$A$2:$A$11,'Cost Centers'!$B$2:$B$11,"")</f>
        <v>MENA</v>
      </c>
      <c r="E1321" s="113" t="s">
        <v>32</v>
      </c>
      <c r="F1321" s="113" t="str">
        <f>_xlfn.XLOOKUP(E1321,'Allocated Transactions'!D:D,'Allocated Transactions'!E:E,"")</f>
        <v>Rent</v>
      </c>
      <c r="G1321" s="113" t="s">
        <v>97</v>
      </c>
      <c r="H1321" s="113"/>
      <c r="I1321" s="113" t="str">
        <f>_xlfn.XLOOKUP($C1321,'Cost Centers'!$A$2:$A$11,'Cost Centers'!$C$2:$C$11,"")</f>
        <v>Programs</v>
      </c>
      <c r="J1321" s="23">
        <f>MROUND(SUMIFS('Allocated Transactions'!$J:$J,'Allocated Transactions'!$D:$D,$E1321,'Allocated Transactions'!$C:$C,$C1321,'Allocated Transactions'!$A:$A,"&gt;="&amp;$A1321,'Allocated Transactions'!$A:$A,"&lt;="&amp;EOMONTH($A1321,0))*0.99,100)</f>
        <v>1200</v>
      </c>
      <c r="K1321" s="113" t="s">
        <v>637</v>
      </c>
    </row>
    <row r="1322" spans="1:11" ht="15" customHeight="1">
      <c r="A1322" s="112">
        <f t="shared" si="84"/>
        <v>45870</v>
      </c>
      <c r="B1322" s="113">
        <v>7</v>
      </c>
      <c r="C1322" s="18" t="str">
        <f t="shared" si="85"/>
        <v>2020</v>
      </c>
      <c r="D1322" s="113" t="str">
        <f>_xlfn.XLOOKUP($C1322,'Cost Centers'!$A$2:$A$11,'Cost Centers'!$B$2:$B$11,"")</f>
        <v>MENA</v>
      </c>
      <c r="E1322" s="113" t="s">
        <v>33</v>
      </c>
      <c r="F1322" s="113" t="str">
        <f>_xlfn.XLOOKUP(E1322,'Allocated Transactions'!D:D,'Allocated Transactions'!E:E,"")</f>
        <v>Utilities</v>
      </c>
      <c r="G1322" s="113" t="s">
        <v>97</v>
      </c>
      <c r="H1322" s="113"/>
      <c r="I1322" s="113" t="str">
        <f>_xlfn.XLOOKUP($C1322,'Cost Centers'!$A$2:$A$11,'Cost Centers'!$C$2:$C$11,"")</f>
        <v>Programs</v>
      </c>
      <c r="J1322" s="23">
        <f>MROUND(SUMIFS('Allocated Transactions'!$J:$J,'Allocated Transactions'!$D:$D,$E1322,'Allocated Transactions'!$C:$C,$C1322,'Allocated Transactions'!$A:$A,"&gt;="&amp;$A1322,'Allocated Transactions'!$A:$A,"&lt;="&amp;EOMONTH($A1322,0))*0.99,100)</f>
        <v>200</v>
      </c>
      <c r="K1322" s="113" t="s">
        <v>637</v>
      </c>
    </row>
    <row r="1323" spans="1:11" ht="15" customHeight="1">
      <c r="A1323" s="112">
        <f t="shared" si="84"/>
        <v>45870</v>
      </c>
      <c r="B1323" s="113">
        <v>7</v>
      </c>
      <c r="C1323" s="18" t="str">
        <f t="shared" si="85"/>
        <v>2020</v>
      </c>
      <c r="D1323" s="113" t="str">
        <f>_xlfn.XLOOKUP($C1323,'Cost Centers'!$A$2:$A$11,'Cost Centers'!$B$2:$B$11,"")</f>
        <v>MENA</v>
      </c>
      <c r="E1323" s="113" t="s">
        <v>105</v>
      </c>
      <c r="F1323" s="113" t="str">
        <f>_xlfn.XLOOKUP(E1323,'Allocated Transactions'!D:D,'Allocated Transactions'!E:E,"")</f>
        <v>Office Supplies</v>
      </c>
      <c r="G1323" s="113" t="s">
        <v>97</v>
      </c>
      <c r="H1323" s="113"/>
      <c r="I1323" s="113" t="str">
        <f>_xlfn.XLOOKUP($C1323,'Cost Centers'!$A$2:$A$11,'Cost Centers'!$C$2:$C$11,"")</f>
        <v>Programs</v>
      </c>
      <c r="J1323" s="23">
        <f>MROUND(SUMIFS('Allocated Transactions'!$J:$J,'Allocated Transactions'!$D:$D,$E1323,'Allocated Transactions'!$C:$C,$C1323,'Allocated Transactions'!$A:$A,"&gt;="&amp;$A1323,'Allocated Transactions'!$A:$A,"&lt;="&amp;EOMONTH($A1323,0))*0.99,100)</f>
        <v>0</v>
      </c>
      <c r="K1323" s="113" t="s">
        <v>637</v>
      </c>
    </row>
    <row r="1324" spans="1:11" ht="15" customHeight="1">
      <c r="A1324" s="112">
        <f t="shared" si="84"/>
        <v>45870</v>
      </c>
      <c r="B1324" s="113">
        <v>7</v>
      </c>
      <c r="C1324" s="18" t="str">
        <f t="shared" si="85"/>
        <v>2020</v>
      </c>
      <c r="D1324" s="113" t="str">
        <f>_xlfn.XLOOKUP($C1324,'Cost Centers'!$A$2:$A$11,'Cost Centers'!$B$2:$B$11,"")</f>
        <v>MENA</v>
      </c>
      <c r="E1324" s="113" t="s">
        <v>107</v>
      </c>
      <c r="F1324" s="113" t="str">
        <f>_xlfn.XLOOKUP(E1324,'Allocated Transactions'!D:D,'Allocated Transactions'!E:E,"")</f>
        <v>Software and Subscriptions</v>
      </c>
      <c r="G1324" s="113" t="s">
        <v>97</v>
      </c>
      <c r="H1324" s="113"/>
      <c r="I1324" s="113" t="str">
        <f>_xlfn.XLOOKUP($C1324,'Cost Centers'!$A$2:$A$11,'Cost Centers'!$C$2:$C$11,"")</f>
        <v>Programs</v>
      </c>
      <c r="J1324" s="23">
        <f>MROUND(SUMIFS('Allocated Transactions'!$J:$J,'Allocated Transactions'!$D:$D,$E1324,'Allocated Transactions'!$C:$C,$C1324,'Allocated Transactions'!$A:$A,"&gt;="&amp;$A1324,'Allocated Transactions'!$A:$A,"&lt;="&amp;EOMONTH($A1324,0))*0.99,100)</f>
        <v>0</v>
      </c>
      <c r="K1324" s="113" t="s">
        <v>637</v>
      </c>
    </row>
    <row r="1325" spans="1:11" ht="15" customHeight="1">
      <c r="A1325" s="112">
        <f t="shared" si="84"/>
        <v>45870</v>
      </c>
      <c r="B1325" s="113">
        <v>7</v>
      </c>
      <c r="C1325" s="18" t="str">
        <f t="shared" si="85"/>
        <v>2020</v>
      </c>
      <c r="D1325" s="113" t="str">
        <f>_xlfn.XLOOKUP($C1325,'Cost Centers'!$A$2:$A$11,'Cost Centers'!$B$2:$B$11,"")</f>
        <v>MENA</v>
      </c>
      <c r="E1325" s="113" t="s">
        <v>109</v>
      </c>
      <c r="F1325" s="113" t="str">
        <f>_xlfn.XLOOKUP(E1325,'Allocated Transactions'!D:D,'Allocated Transactions'!E:E,"")</f>
        <v>Travel</v>
      </c>
      <c r="G1325" s="113" t="s">
        <v>97</v>
      </c>
      <c r="H1325" s="113"/>
      <c r="I1325" s="113" t="str">
        <f>_xlfn.XLOOKUP($C1325,'Cost Centers'!$A$2:$A$11,'Cost Centers'!$C$2:$C$11,"")</f>
        <v>Programs</v>
      </c>
      <c r="J1325" s="23">
        <f>MROUND(SUMIFS('Allocated Transactions'!$J:$J,'Allocated Transactions'!$D:$D,$E1325,'Allocated Transactions'!$C:$C,$C1325,'Allocated Transactions'!$A:$A,"&gt;="&amp;$A1325,'Allocated Transactions'!$A:$A,"&lt;="&amp;EOMONTH($A1325,0))*0.99,100)</f>
        <v>0</v>
      </c>
      <c r="K1325" s="113" t="s">
        <v>637</v>
      </c>
    </row>
    <row r="1326" spans="1:11" ht="15" customHeight="1">
      <c r="A1326" s="112">
        <f t="shared" si="84"/>
        <v>45870</v>
      </c>
      <c r="B1326" s="113">
        <v>7</v>
      </c>
      <c r="C1326" s="18" t="str">
        <f t="shared" si="85"/>
        <v>2020</v>
      </c>
      <c r="D1326" s="113" t="str">
        <f>_xlfn.XLOOKUP($C1326,'Cost Centers'!$A$2:$A$11,'Cost Centers'!$B$2:$B$11,"")</f>
        <v>MENA</v>
      </c>
      <c r="E1326" s="113" t="s">
        <v>111</v>
      </c>
      <c r="F1326" s="113" t="str">
        <f>_xlfn.XLOOKUP(E1326,'Allocated Transactions'!D:D,'Allocated Transactions'!E:E,"")</f>
        <v>Meals and Entertainment</v>
      </c>
      <c r="G1326" s="113" t="s">
        <v>97</v>
      </c>
      <c r="H1326" s="113"/>
      <c r="I1326" s="113" t="str">
        <f>_xlfn.XLOOKUP($C1326,'Cost Centers'!$A$2:$A$11,'Cost Centers'!$C$2:$C$11,"")</f>
        <v>Programs</v>
      </c>
      <c r="J1326" s="23">
        <f>MROUND(SUMIFS('Allocated Transactions'!$J:$J,'Allocated Transactions'!$D:$D,$E1326,'Allocated Transactions'!$C:$C,$C1326,'Allocated Transactions'!$A:$A,"&gt;="&amp;$A1326,'Allocated Transactions'!$A:$A,"&lt;="&amp;EOMONTH($A1326,0))*0.99,100)</f>
        <v>0</v>
      </c>
      <c r="K1326" s="113" t="s">
        <v>637</v>
      </c>
    </row>
    <row r="1327" spans="1:11" ht="15" customHeight="1">
      <c r="A1327" s="112">
        <f t="shared" si="84"/>
        <v>45870</v>
      </c>
      <c r="B1327" s="113">
        <v>7</v>
      </c>
      <c r="C1327" s="18" t="str">
        <f t="shared" si="85"/>
        <v>2020</v>
      </c>
      <c r="D1327" s="113" t="str">
        <f>_xlfn.XLOOKUP($C1327,'Cost Centers'!$A$2:$A$11,'Cost Centers'!$B$2:$B$11,"")</f>
        <v>MENA</v>
      </c>
      <c r="E1327" s="113" t="s">
        <v>113</v>
      </c>
      <c r="F1327" s="113" t="str">
        <f>_xlfn.XLOOKUP(E1327,'Allocated Transactions'!D:D,'Allocated Transactions'!E:E,"")</f>
        <v>Professional Fees - Legal</v>
      </c>
      <c r="G1327" s="113" t="s">
        <v>97</v>
      </c>
      <c r="H1327" s="113"/>
      <c r="I1327" s="113" t="str">
        <f>_xlfn.XLOOKUP($C1327,'Cost Centers'!$A$2:$A$11,'Cost Centers'!$C$2:$C$11,"")</f>
        <v>Programs</v>
      </c>
      <c r="J1327" s="23">
        <f>MROUND(SUMIFS('Allocated Transactions'!$J:$J,'Allocated Transactions'!$D:$D,$E1327,'Allocated Transactions'!$C:$C,$C1327,'Allocated Transactions'!$A:$A,"&gt;="&amp;$A1327,'Allocated Transactions'!$A:$A,"&lt;="&amp;EOMONTH($A1327,0))*0.99,100)</f>
        <v>0</v>
      </c>
      <c r="K1327" s="113" t="s">
        <v>637</v>
      </c>
    </row>
    <row r="1328" spans="1:11" ht="15" customHeight="1">
      <c r="A1328" s="112">
        <f t="shared" si="84"/>
        <v>45870</v>
      </c>
      <c r="B1328" s="113">
        <v>7</v>
      </c>
      <c r="C1328" s="18" t="str">
        <f t="shared" si="85"/>
        <v>2020</v>
      </c>
      <c r="D1328" s="113" t="str">
        <f>_xlfn.XLOOKUP($C1328,'Cost Centers'!$A$2:$A$11,'Cost Centers'!$B$2:$B$11,"")</f>
        <v>MENA</v>
      </c>
      <c r="E1328" s="113" t="s">
        <v>115</v>
      </c>
      <c r="F1328" s="113" t="str">
        <f>_xlfn.XLOOKUP(E1328,'Allocated Transactions'!D:D,'Allocated Transactions'!E:E,"")</f>
        <v>Professional Fees - Accounting/Audit</v>
      </c>
      <c r="G1328" s="113" t="s">
        <v>97</v>
      </c>
      <c r="H1328" s="113"/>
      <c r="I1328" s="113" t="str">
        <f>_xlfn.XLOOKUP($C1328,'Cost Centers'!$A$2:$A$11,'Cost Centers'!$C$2:$C$11,"")</f>
        <v>Programs</v>
      </c>
      <c r="J1328" s="23">
        <f>MROUND(SUMIFS('Allocated Transactions'!$J:$J,'Allocated Transactions'!$D:$D,$E1328,'Allocated Transactions'!$C:$C,$C1328,'Allocated Transactions'!$A:$A,"&gt;="&amp;$A1328,'Allocated Transactions'!$A:$A,"&lt;="&amp;EOMONTH($A1328,0))*0.99,100)</f>
        <v>0</v>
      </c>
      <c r="K1328" s="113" t="s">
        <v>637</v>
      </c>
    </row>
    <row r="1329" spans="1:11" ht="15" customHeight="1">
      <c r="A1329" s="112">
        <f t="shared" si="84"/>
        <v>45870</v>
      </c>
      <c r="B1329" s="113">
        <v>7</v>
      </c>
      <c r="C1329" s="18" t="str">
        <f t="shared" si="85"/>
        <v>2020</v>
      </c>
      <c r="D1329" s="113" t="str">
        <f>_xlfn.XLOOKUP($C1329,'Cost Centers'!$A$2:$A$11,'Cost Centers'!$B$2:$B$11,"")</f>
        <v>MENA</v>
      </c>
      <c r="E1329" s="113" t="s">
        <v>117</v>
      </c>
      <c r="F1329" s="113" t="str">
        <f>_xlfn.XLOOKUP(E1329,'Allocated Transactions'!D:D,'Allocated Transactions'!E:E,"")</f>
        <v>Insurance</v>
      </c>
      <c r="G1329" s="113" t="s">
        <v>97</v>
      </c>
      <c r="H1329" s="113"/>
      <c r="I1329" s="113" t="str">
        <f>_xlfn.XLOOKUP($C1329,'Cost Centers'!$A$2:$A$11,'Cost Centers'!$C$2:$C$11,"")</f>
        <v>Programs</v>
      </c>
      <c r="J1329" s="23">
        <f>MROUND(SUMIFS('Allocated Transactions'!$J:$J,'Allocated Transactions'!$D:$D,$E1329,'Allocated Transactions'!$C:$C,$C1329,'Allocated Transactions'!$A:$A,"&gt;="&amp;$A1329,'Allocated Transactions'!$A:$A,"&lt;="&amp;EOMONTH($A1329,0))*0.99,100)</f>
        <v>100</v>
      </c>
      <c r="K1329" s="113" t="s">
        <v>637</v>
      </c>
    </row>
    <row r="1330" spans="1:11" ht="15" customHeight="1">
      <c r="A1330" s="112">
        <f t="shared" si="84"/>
        <v>45870</v>
      </c>
      <c r="B1330" s="113">
        <v>7</v>
      </c>
      <c r="C1330" s="18" t="str">
        <f t="shared" si="85"/>
        <v>2020</v>
      </c>
      <c r="D1330" s="113" t="str">
        <f>_xlfn.XLOOKUP($C1330,'Cost Centers'!$A$2:$A$11,'Cost Centers'!$B$2:$B$11,"")</f>
        <v>MENA</v>
      </c>
      <c r="E1330" s="113" t="s">
        <v>119</v>
      </c>
      <c r="F1330" s="113" t="str">
        <f>_xlfn.XLOOKUP(E1330,'Allocated Transactions'!D:D,'Allocated Transactions'!E:E,"")</f>
        <v>Depreciation Expense</v>
      </c>
      <c r="G1330" s="113" t="s">
        <v>97</v>
      </c>
      <c r="H1330" s="113"/>
      <c r="I1330" s="113" t="str">
        <f>_xlfn.XLOOKUP($C1330,'Cost Centers'!$A$2:$A$11,'Cost Centers'!$C$2:$C$11,"")</f>
        <v>Programs</v>
      </c>
      <c r="J1330" s="23">
        <f>MROUND(SUMIFS('Allocated Transactions'!$J:$J,'Allocated Transactions'!$D:$D,$E1330,'Allocated Transactions'!$C:$C,$C1330,'Allocated Transactions'!$A:$A,"&gt;="&amp;$A1330,'Allocated Transactions'!$A:$A,"&lt;="&amp;EOMONTH($A1330,0))*0.99,100)</f>
        <v>0</v>
      </c>
      <c r="K1330" s="113" t="s">
        <v>637</v>
      </c>
    </row>
    <row r="1331" spans="1:11" ht="15" customHeight="1">
      <c r="A1331" s="112">
        <f t="shared" si="84"/>
        <v>45870</v>
      </c>
      <c r="B1331" s="113">
        <v>7</v>
      </c>
      <c r="C1331" s="18" t="str">
        <f t="shared" si="85"/>
        <v>2020</v>
      </c>
      <c r="D1331" s="113" t="str">
        <f>_xlfn.XLOOKUP($C1331,'Cost Centers'!$A$2:$A$11,'Cost Centers'!$B$2:$B$11,"")</f>
        <v>MENA</v>
      </c>
      <c r="E1331" s="113" t="s">
        <v>121</v>
      </c>
      <c r="F1331" s="113" t="str">
        <f>_xlfn.XLOOKUP(E1331,'Allocated Transactions'!D:D,'Allocated Transactions'!E:E,"")</f>
        <v>Bank Fees</v>
      </c>
      <c r="G1331" s="113" t="s">
        <v>97</v>
      </c>
      <c r="H1331" s="113"/>
      <c r="I1331" s="113" t="str">
        <f>_xlfn.XLOOKUP($C1331,'Cost Centers'!$A$2:$A$11,'Cost Centers'!$C$2:$C$11,"")</f>
        <v>Programs</v>
      </c>
      <c r="J1331" s="23">
        <f>MROUND(SUMIFS('Allocated Transactions'!$J:$J,'Allocated Transactions'!$D:$D,$E1331,'Allocated Transactions'!$C:$C,$C1331,'Allocated Transactions'!$A:$A,"&gt;="&amp;$A1331,'Allocated Transactions'!$A:$A,"&lt;="&amp;EOMONTH($A1331,0))*0.99,100)</f>
        <v>0</v>
      </c>
      <c r="K1331" s="113" t="s">
        <v>637</v>
      </c>
    </row>
    <row r="1332" spans="1:11" ht="15" customHeight="1">
      <c r="A1332" s="112">
        <f t="shared" si="84"/>
        <v>45870</v>
      </c>
      <c r="B1332" s="113">
        <v>7</v>
      </c>
      <c r="C1332" s="18" t="str">
        <f t="shared" si="85"/>
        <v>2020</v>
      </c>
      <c r="D1332" s="113" t="str">
        <f>_xlfn.XLOOKUP($C1332,'Cost Centers'!$A$2:$A$11,'Cost Centers'!$B$2:$B$11,"")</f>
        <v>MENA</v>
      </c>
      <c r="E1332" s="113" t="s">
        <v>123</v>
      </c>
      <c r="F1332" s="113" t="str">
        <f>_xlfn.XLOOKUP(E1332,'Allocated Transactions'!D:D,'Allocated Transactions'!E:E,"")</f>
        <v>Interest Expense</v>
      </c>
      <c r="G1332" s="113" t="s">
        <v>97</v>
      </c>
      <c r="H1332" s="113"/>
      <c r="I1332" s="113" t="str">
        <f>_xlfn.XLOOKUP($C1332,'Cost Centers'!$A$2:$A$11,'Cost Centers'!$C$2:$C$11,"")</f>
        <v>Programs</v>
      </c>
      <c r="J1332" s="23">
        <f>MROUND(SUMIFS('Allocated Transactions'!$J:$J,'Allocated Transactions'!$D:$D,$E1332,'Allocated Transactions'!$C:$C,$C1332,'Allocated Transactions'!$A:$A,"&gt;="&amp;$A1332,'Allocated Transactions'!$A:$A,"&lt;="&amp;EOMONTH($A1332,0))*0.99,100)</f>
        <v>0</v>
      </c>
      <c r="K1332" s="113" t="s">
        <v>637</v>
      </c>
    </row>
    <row r="1333" spans="1:11" ht="15" customHeight="1">
      <c r="A1333" s="112">
        <f t="shared" si="84"/>
        <v>45870</v>
      </c>
      <c r="B1333" s="113">
        <v>7</v>
      </c>
      <c r="C1333" s="18" t="str">
        <f t="shared" si="85"/>
        <v>2020</v>
      </c>
      <c r="D1333" s="113" t="str">
        <f>_xlfn.XLOOKUP($C1333,'Cost Centers'!$A$2:$A$11,'Cost Centers'!$B$2:$B$11,"")</f>
        <v>MENA</v>
      </c>
      <c r="E1333" s="113" t="s">
        <v>125</v>
      </c>
      <c r="F1333" s="113" t="str">
        <f>_xlfn.XLOOKUP(E1333,'Allocated Transactions'!D:D,'Allocated Transactions'!E:E,"")</f>
        <v>Miscellaneous Expense</v>
      </c>
      <c r="G1333" s="113" t="s">
        <v>97</v>
      </c>
      <c r="H1333" s="113"/>
      <c r="I1333" s="113" t="str">
        <f>_xlfn.XLOOKUP($C1333,'Cost Centers'!$A$2:$A$11,'Cost Centers'!$C$2:$C$11,"")</f>
        <v>Programs</v>
      </c>
      <c r="J1333" s="23">
        <f>MROUND(SUMIFS('Allocated Transactions'!$J:$J,'Allocated Transactions'!$D:$D,$E1333,'Allocated Transactions'!$C:$C,$C1333,'Allocated Transactions'!$A:$A,"&gt;="&amp;$A1333,'Allocated Transactions'!$A:$A,"&lt;="&amp;EOMONTH($A1333,0))*0.99,100)</f>
        <v>0</v>
      </c>
      <c r="K1333" s="113" t="s">
        <v>637</v>
      </c>
    </row>
    <row r="1334" spans="1:11" ht="15" customHeight="1">
      <c r="A1334" s="112">
        <f t="shared" si="84"/>
        <v>45901</v>
      </c>
      <c r="B1334" s="113">
        <v>7</v>
      </c>
      <c r="C1334" s="18" t="s">
        <v>14</v>
      </c>
      <c r="D1334" s="113" t="str">
        <f>_xlfn.XLOOKUP($C1334,'Cost Centers'!$A$2:$A$11,'Cost Centers'!$B$2:$B$11,"")</f>
        <v>MENA</v>
      </c>
      <c r="E1334" s="113" t="s">
        <v>28</v>
      </c>
      <c r="F1334" s="113" t="str">
        <f>_xlfn.XLOOKUP(E1334,'Allocated Transactions'!D:D,'Allocated Transactions'!E:E,"")</f>
        <v>Salaries and Wages</v>
      </c>
      <c r="G1334" s="113" t="s">
        <v>97</v>
      </c>
      <c r="H1334" s="113"/>
      <c r="I1334" s="113" t="str">
        <f>_xlfn.XLOOKUP($C1334,'Cost Centers'!$A$2:$A$11,'Cost Centers'!$C$2:$C$11,"")</f>
        <v>Programs</v>
      </c>
      <c r="J1334" s="23">
        <f>MROUND(SUMIFS('Allocated Transactions'!$J:$J,'Allocated Transactions'!$D:$D,$E1334,'Allocated Transactions'!$C:$C,$C1334,'Allocated Transactions'!$A:$A,"&gt;="&amp;$A1334,'Allocated Transactions'!$A:$A,"&lt;="&amp;EOMONTH($A1334,0))*0.99,100)</f>
        <v>15200</v>
      </c>
      <c r="K1334" s="113" t="s">
        <v>637</v>
      </c>
    </row>
    <row r="1335" spans="1:11" ht="15" customHeight="1">
      <c r="A1335" s="112">
        <f t="shared" si="84"/>
        <v>45901</v>
      </c>
      <c r="B1335" s="113">
        <v>7</v>
      </c>
      <c r="C1335" s="18" t="str">
        <f t="shared" ref="C1335:C1351" si="86">C1334</f>
        <v>2020</v>
      </c>
      <c r="D1335" s="113" t="str">
        <f>_xlfn.XLOOKUP($C1335,'Cost Centers'!$A$2:$A$11,'Cost Centers'!$B$2:$B$11,"")</f>
        <v>MENA</v>
      </c>
      <c r="E1335" s="113" t="s">
        <v>29</v>
      </c>
      <c r="F1335" s="113" t="str">
        <f>_xlfn.XLOOKUP(E1335,'Allocated Transactions'!D:D,'Allocated Transactions'!E:E,"")</f>
        <v>Payroll Taxes</v>
      </c>
      <c r="G1335" s="113" t="s">
        <v>97</v>
      </c>
      <c r="H1335" s="113"/>
      <c r="I1335" s="113" t="str">
        <f>_xlfn.XLOOKUP($C1335,'Cost Centers'!$A$2:$A$11,'Cost Centers'!$C$2:$C$11,"")</f>
        <v>Programs</v>
      </c>
      <c r="J1335" s="23">
        <f>MROUND(SUMIFS('Allocated Transactions'!$J:$J,'Allocated Transactions'!$D:$D,$E1335,'Allocated Transactions'!$C:$C,$C1335,'Allocated Transactions'!$A:$A,"&gt;="&amp;$A1335,'Allocated Transactions'!$A:$A,"&lt;="&amp;EOMONTH($A1335,0))*0.99,100)</f>
        <v>1200</v>
      </c>
      <c r="K1335" s="113" t="s">
        <v>637</v>
      </c>
    </row>
    <row r="1336" spans="1:11" ht="15" customHeight="1">
      <c r="A1336" s="112">
        <f t="shared" si="84"/>
        <v>45901</v>
      </c>
      <c r="B1336" s="113">
        <v>7</v>
      </c>
      <c r="C1336" s="18" t="str">
        <f t="shared" si="86"/>
        <v>2020</v>
      </c>
      <c r="D1336" s="113" t="str">
        <f>_xlfn.XLOOKUP($C1336,'Cost Centers'!$A$2:$A$11,'Cost Centers'!$B$2:$B$11,"")</f>
        <v>MENA</v>
      </c>
      <c r="E1336" s="113" t="s">
        <v>30</v>
      </c>
      <c r="F1336" s="113" t="str">
        <f>_xlfn.XLOOKUP(E1336,'Allocated Transactions'!D:D,'Allocated Transactions'!E:E,"")</f>
        <v>Employee Benefits</v>
      </c>
      <c r="G1336" s="113" t="s">
        <v>97</v>
      </c>
      <c r="H1336" s="113"/>
      <c r="I1336" s="113" t="str">
        <f>_xlfn.XLOOKUP($C1336,'Cost Centers'!$A$2:$A$11,'Cost Centers'!$C$2:$C$11,"")</f>
        <v>Programs</v>
      </c>
      <c r="J1336" s="23">
        <f>MROUND(SUMIFS('Allocated Transactions'!$J:$J,'Allocated Transactions'!$D:$D,$E1336,'Allocated Transactions'!$C:$C,$C1336,'Allocated Transactions'!$A:$A,"&gt;="&amp;$A1336,'Allocated Transactions'!$A:$A,"&lt;="&amp;EOMONTH($A1336,0))*0.99,100)</f>
        <v>3500</v>
      </c>
      <c r="K1336" s="113" t="s">
        <v>637</v>
      </c>
    </row>
    <row r="1337" spans="1:11" ht="15" customHeight="1">
      <c r="A1337" s="112">
        <f t="shared" si="84"/>
        <v>45901</v>
      </c>
      <c r="B1337" s="113">
        <v>7</v>
      </c>
      <c r="C1337" s="18" t="str">
        <f t="shared" si="86"/>
        <v>2020</v>
      </c>
      <c r="D1337" s="113" t="str">
        <f>_xlfn.XLOOKUP($C1337,'Cost Centers'!$A$2:$A$11,'Cost Centers'!$B$2:$B$11,"")</f>
        <v>MENA</v>
      </c>
      <c r="E1337" s="113" t="s">
        <v>31</v>
      </c>
      <c r="F1337" s="113" t="str">
        <f>_xlfn.XLOOKUP(E1337,'Allocated Transactions'!D:D,'Allocated Transactions'!E:E,"")</f>
        <v>Retirement Contributions</v>
      </c>
      <c r="G1337" s="113" t="s">
        <v>97</v>
      </c>
      <c r="H1337" s="113"/>
      <c r="I1337" s="113" t="str">
        <f>_xlfn.XLOOKUP($C1337,'Cost Centers'!$A$2:$A$11,'Cost Centers'!$C$2:$C$11,"")</f>
        <v>Programs</v>
      </c>
      <c r="J1337" s="23">
        <f>MROUND(SUMIFS('Allocated Transactions'!$J:$J,'Allocated Transactions'!$D:$D,$E1337,'Allocated Transactions'!$C:$C,$C1337,'Allocated Transactions'!$A:$A,"&gt;="&amp;$A1337,'Allocated Transactions'!$A:$A,"&lt;="&amp;EOMONTH($A1337,0))*0.99,100)</f>
        <v>500</v>
      </c>
      <c r="K1337" s="113" t="s">
        <v>637</v>
      </c>
    </row>
    <row r="1338" spans="1:11" ht="15" customHeight="1">
      <c r="A1338" s="112">
        <f t="shared" si="84"/>
        <v>45901</v>
      </c>
      <c r="B1338" s="113">
        <v>7</v>
      </c>
      <c r="C1338" s="18" t="str">
        <f t="shared" si="86"/>
        <v>2020</v>
      </c>
      <c r="D1338" s="113" t="str">
        <f>_xlfn.XLOOKUP($C1338,'Cost Centers'!$A$2:$A$11,'Cost Centers'!$B$2:$B$11,"")</f>
        <v>MENA</v>
      </c>
      <c r="E1338" s="113" t="s">
        <v>101</v>
      </c>
      <c r="F1338" s="113" t="str">
        <f>_xlfn.XLOOKUP(E1338,'Allocated Transactions'!D:D,'Allocated Transactions'!E:E,"")</f>
        <v>Contract Labor / Consultants</v>
      </c>
      <c r="G1338" s="113" t="s">
        <v>97</v>
      </c>
      <c r="H1338" s="113"/>
      <c r="I1338" s="113" t="str">
        <f>_xlfn.XLOOKUP($C1338,'Cost Centers'!$A$2:$A$11,'Cost Centers'!$C$2:$C$11,"")</f>
        <v>Programs</v>
      </c>
      <c r="J1338" s="23">
        <f>MROUND(SUMIFS('Allocated Transactions'!$J:$J,'Allocated Transactions'!$D:$D,$E1338,'Allocated Transactions'!$C:$C,$C1338,'Allocated Transactions'!$A:$A,"&gt;="&amp;$A1338,'Allocated Transactions'!$A:$A,"&lt;="&amp;EOMONTH($A1338,0))*0.99,100)</f>
        <v>0</v>
      </c>
      <c r="K1338" s="113" t="s">
        <v>637</v>
      </c>
    </row>
    <row r="1339" spans="1:11" ht="15" customHeight="1">
      <c r="A1339" s="112">
        <f t="shared" si="84"/>
        <v>45901</v>
      </c>
      <c r="B1339" s="113">
        <v>7</v>
      </c>
      <c r="C1339" s="18" t="str">
        <f t="shared" si="86"/>
        <v>2020</v>
      </c>
      <c r="D1339" s="113" t="str">
        <f>_xlfn.XLOOKUP($C1339,'Cost Centers'!$A$2:$A$11,'Cost Centers'!$B$2:$B$11,"")</f>
        <v>MENA</v>
      </c>
      <c r="E1339" s="113" t="s">
        <v>32</v>
      </c>
      <c r="F1339" s="113" t="str">
        <f>_xlfn.XLOOKUP(E1339,'Allocated Transactions'!D:D,'Allocated Transactions'!E:E,"")</f>
        <v>Rent</v>
      </c>
      <c r="G1339" s="113" t="s">
        <v>97</v>
      </c>
      <c r="H1339" s="113"/>
      <c r="I1339" s="113" t="str">
        <f>_xlfn.XLOOKUP($C1339,'Cost Centers'!$A$2:$A$11,'Cost Centers'!$C$2:$C$11,"")</f>
        <v>Programs</v>
      </c>
      <c r="J1339" s="23">
        <f>MROUND(SUMIFS('Allocated Transactions'!$J:$J,'Allocated Transactions'!$D:$D,$E1339,'Allocated Transactions'!$C:$C,$C1339,'Allocated Transactions'!$A:$A,"&gt;="&amp;$A1339,'Allocated Transactions'!$A:$A,"&lt;="&amp;EOMONTH($A1339,0))*0.99,100)</f>
        <v>1200</v>
      </c>
      <c r="K1339" s="113" t="s">
        <v>637</v>
      </c>
    </row>
    <row r="1340" spans="1:11" ht="15" customHeight="1">
      <c r="A1340" s="112">
        <f t="shared" si="84"/>
        <v>45901</v>
      </c>
      <c r="B1340" s="113">
        <v>7</v>
      </c>
      <c r="C1340" s="18" t="str">
        <f t="shared" si="86"/>
        <v>2020</v>
      </c>
      <c r="D1340" s="113" t="str">
        <f>_xlfn.XLOOKUP($C1340,'Cost Centers'!$A$2:$A$11,'Cost Centers'!$B$2:$B$11,"")</f>
        <v>MENA</v>
      </c>
      <c r="E1340" s="113" t="s">
        <v>33</v>
      </c>
      <c r="F1340" s="113" t="str">
        <f>_xlfn.XLOOKUP(E1340,'Allocated Transactions'!D:D,'Allocated Transactions'!E:E,"")</f>
        <v>Utilities</v>
      </c>
      <c r="G1340" s="113" t="s">
        <v>97</v>
      </c>
      <c r="H1340" s="113"/>
      <c r="I1340" s="113" t="str">
        <f>_xlfn.XLOOKUP($C1340,'Cost Centers'!$A$2:$A$11,'Cost Centers'!$C$2:$C$11,"")</f>
        <v>Programs</v>
      </c>
      <c r="J1340" s="23">
        <f>MROUND(SUMIFS('Allocated Transactions'!$J:$J,'Allocated Transactions'!$D:$D,$E1340,'Allocated Transactions'!$C:$C,$C1340,'Allocated Transactions'!$A:$A,"&gt;="&amp;$A1340,'Allocated Transactions'!$A:$A,"&lt;="&amp;EOMONTH($A1340,0))*0.99,100)</f>
        <v>100</v>
      </c>
      <c r="K1340" s="113" t="s">
        <v>637</v>
      </c>
    </row>
    <row r="1341" spans="1:11" ht="15" customHeight="1">
      <c r="A1341" s="112">
        <f t="shared" si="84"/>
        <v>45901</v>
      </c>
      <c r="B1341" s="113">
        <v>7</v>
      </c>
      <c r="C1341" s="18" t="str">
        <f t="shared" si="86"/>
        <v>2020</v>
      </c>
      <c r="D1341" s="113" t="str">
        <f>_xlfn.XLOOKUP($C1341,'Cost Centers'!$A$2:$A$11,'Cost Centers'!$B$2:$B$11,"")</f>
        <v>MENA</v>
      </c>
      <c r="E1341" s="113" t="s">
        <v>105</v>
      </c>
      <c r="F1341" s="113" t="str">
        <f>_xlfn.XLOOKUP(E1341,'Allocated Transactions'!D:D,'Allocated Transactions'!E:E,"")</f>
        <v>Office Supplies</v>
      </c>
      <c r="G1341" s="113" t="s">
        <v>97</v>
      </c>
      <c r="H1341" s="113"/>
      <c r="I1341" s="113" t="str">
        <f>_xlfn.XLOOKUP($C1341,'Cost Centers'!$A$2:$A$11,'Cost Centers'!$C$2:$C$11,"")</f>
        <v>Programs</v>
      </c>
      <c r="J1341" s="23">
        <f>MROUND(SUMIFS('Allocated Transactions'!$J:$J,'Allocated Transactions'!$D:$D,$E1341,'Allocated Transactions'!$C:$C,$C1341,'Allocated Transactions'!$A:$A,"&gt;="&amp;$A1341,'Allocated Transactions'!$A:$A,"&lt;="&amp;EOMONTH($A1341,0))*0.99,100)</f>
        <v>1000</v>
      </c>
      <c r="K1341" s="113" t="s">
        <v>637</v>
      </c>
    </row>
    <row r="1342" spans="1:11" ht="15" customHeight="1">
      <c r="A1342" s="112">
        <f t="shared" si="84"/>
        <v>45901</v>
      </c>
      <c r="B1342" s="113">
        <v>7</v>
      </c>
      <c r="C1342" s="18" t="str">
        <f t="shared" si="86"/>
        <v>2020</v>
      </c>
      <c r="D1342" s="113" t="str">
        <f>_xlfn.XLOOKUP($C1342,'Cost Centers'!$A$2:$A$11,'Cost Centers'!$B$2:$B$11,"")</f>
        <v>MENA</v>
      </c>
      <c r="E1342" s="113" t="s">
        <v>107</v>
      </c>
      <c r="F1342" s="113" t="str">
        <f>_xlfn.XLOOKUP(E1342,'Allocated Transactions'!D:D,'Allocated Transactions'!E:E,"")</f>
        <v>Software and Subscriptions</v>
      </c>
      <c r="G1342" s="113" t="s">
        <v>97</v>
      </c>
      <c r="H1342" s="113"/>
      <c r="I1342" s="113" t="str">
        <f>_xlfn.XLOOKUP($C1342,'Cost Centers'!$A$2:$A$11,'Cost Centers'!$C$2:$C$11,"")</f>
        <v>Programs</v>
      </c>
      <c r="J1342" s="23">
        <f>MROUND(SUMIFS('Allocated Transactions'!$J:$J,'Allocated Transactions'!$D:$D,$E1342,'Allocated Transactions'!$C:$C,$C1342,'Allocated Transactions'!$A:$A,"&gt;="&amp;$A1342,'Allocated Transactions'!$A:$A,"&lt;="&amp;EOMONTH($A1342,0))*0.99,100)</f>
        <v>0</v>
      </c>
      <c r="K1342" s="113" t="s">
        <v>637</v>
      </c>
    </row>
    <row r="1343" spans="1:11" ht="15" customHeight="1">
      <c r="A1343" s="112">
        <f t="shared" si="84"/>
        <v>45901</v>
      </c>
      <c r="B1343" s="113">
        <v>7</v>
      </c>
      <c r="C1343" s="18" t="str">
        <f t="shared" si="86"/>
        <v>2020</v>
      </c>
      <c r="D1343" s="113" t="str">
        <f>_xlfn.XLOOKUP($C1343,'Cost Centers'!$A$2:$A$11,'Cost Centers'!$B$2:$B$11,"")</f>
        <v>MENA</v>
      </c>
      <c r="E1343" s="113" t="s">
        <v>109</v>
      </c>
      <c r="F1343" s="113" t="str">
        <f>_xlfn.XLOOKUP(E1343,'Allocated Transactions'!D:D,'Allocated Transactions'!E:E,"")</f>
        <v>Travel</v>
      </c>
      <c r="G1343" s="113" t="s">
        <v>97</v>
      </c>
      <c r="H1343" s="113"/>
      <c r="I1343" s="113" t="str">
        <f>_xlfn.XLOOKUP($C1343,'Cost Centers'!$A$2:$A$11,'Cost Centers'!$C$2:$C$11,"")</f>
        <v>Programs</v>
      </c>
      <c r="J1343" s="23">
        <f>MROUND(SUMIFS('Allocated Transactions'!$J:$J,'Allocated Transactions'!$D:$D,$E1343,'Allocated Transactions'!$C:$C,$C1343,'Allocated Transactions'!$A:$A,"&gt;="&amp;$A1343,'Allocated Transactions'!$A:$A,"&lt;="&amp;EOMONTH($A1343,0))*0.99,100)</f>
        <v>0</v>
      </c>
      <c r="K1343" s="113" t="s">
        <v>637</v>
      </c>
    </row>
    <row r="1344" spans="1:11" ht="15" customHeight="1">
      <c r="A1344" s="112">
        <f t="shared" si="84"/>
        <v>45901</v>
      </c>
      <c r="B1344" s="113">
        <v>7</v>
      </c>
      <c r="C1344" s="18" t="str">
        <f t="shared" si="86"/>
        <v>2020</v>
      </c>
      <c r="D1344" s="113" t="str">
        <f>_xlfn.XLOOKUP($C1344,'Cost Centers'!$A$2:$A$11,'Cost Centers'!$B$2:$B$11,"")</f>
        <v>MENA</v>
      </c>
      <c r="E1344" s="113" t="s">
        <v>111</v>
      </c>
      <c r="F1344" s="113" t="str">
        <f>_xlfn.XLOOKUP(E1344,'Allocated Transactions'!D:D,'Allocated Transactions'!E:E,"")</f>
        <v>Meals and Entertainment</v>
      </c>
      <c r="G1344" s="113" t="s">
        <v>97</v>
      </c>
      <c r="H1344" s="113"/>
      <c r="I1344" s="113" t="str">
        <f>_xlfn.XLOOKUP($C1344,'Cost Centers'!$A$2:$A$11,'Cost Centers'!$C$2:$C$11,"")</f>
        <v>Programs</v>
      </c>
      <c r="J1344" s="23">
        <f>MROUND(SUMIFS('Allocated Transactions'!$J:$J,'Allocated Transactions'!$D:$D,$E1344,'Allocated Transactions'!$C:$C,$C1344,'Allocated Transactions'!$A:$A,"&gt;="&amp;$A1344,'Allocated Transactions'!$A:$A,"&lt;="&amp;EOMONTH($A1344,0))*0.99,100)</f>
        <v>0</v>
      </c>
      <c r="K1344" s="113" t="s">
        <v>637</v>
      </c>
    </row>
    <row r="1345" spans="1:11" ht="15" customHeight="1">
      <c r="A1345" s="112">
        <f t="shared" si="84"/>
        <v>45901</v>
      </c>
      <c r="B1345" s="113">
        <v>7</v>
      </c>
      <c r="C1345" s="18" t="str">
        <f t="shared" si="86"/>
        <v>2020</v>
      </c>
      <c r="D1345" s="113" t="str">
        <f>_xlfn.XLOOKUP($C1345,'Cost Centers'!$A$2:$A$11,'Cost Centers'!$B$2:$B$11,"")</f>
        <v>MENA</v>
      </c>
      <c r="E1345" s="113" t="s">
        <v>113</v>
      </c>
      <c r="F1345" s="113" t="str">
        <f>_xlfn.XLOOKUP(E1345,'Allocated Transactions'!D:D,'Allocated Transactions'!E:E,"")</f>
        <v>Professional Fees - Legal</v>
      </c>
      <c r="G1345" s="113" t="s">
        <v>97</v>
      </c>
      <c r="H1345" s="113"/>
      <c r="I1345" s="113" t="str">
        <f>_xlfn.XLOOKUP($C1345,'Cost Centers'!$A$2:$A$11,'Cost Centers'!$C$2:$C$11,"")</f>
        <v>Programs</v>
      </c>
      <c r="J1345" s="23">
        <f>MROUND(SUMIFS('Allocated Transactions'!$J:$J,'Allocated Transactions'!$D:$D,$E1345,'Allocated Transactions'!$C:$C,$C1345,'Allocated Transactions'!$A:$A,"&gt;="&amp;$A1345,'Allocated Transactions'!$A:$A,"&lt;="&amp;EOMONTH($A1345,0))*0.99,100)</f>
        <v>0</v>
      </c>
      <c r="K1345" s="113" t="s">
        <v>637</v>
      </c>
    </row>
    <row r="1346" spans="1:11" ht="15" customHeight="1">
      <c r="A1346" s="112">
        <f t="shared" si="84"/>
        <v>45901</v>
      </c>
      <c r="B1346" s="113">
        <v>7</v>
      </c>
      <c r="C1346" s="18" t="str">
        <f t="shared" si="86"/>
        <v>2020</v>
      </c>
      <c r="D1346" s="113" t="str">
        <f>_xlfn.XLOOKUP($C1346,'Cost Centers'!$A$2:$A$11,'Cost Centers'!$B$2:$B$11,"")</f>
        <v>MENA</v>
      </c>
      <c r="E1346" s="113" t="s">
        <v>115</v>
      </c>
      <c r="F1346" s="113" t="str">
        <f>_xlfn.XLOOKUP(E1346,'Allocated Transactions'!D:D,'Allocated Transactions'!E:E,"")</f>
        <v>Professional Fees - Accounting/Audit</v>
      </c>
      <c r="G1346" s="113" t="s">
        <v>97</v>
      </c>
      <c r="H1346" s="113"/>
      <c r="I1346" s="113" t="str">
        <f>_xlfn.XLOOKUP($C1346,'Cost Centers'!$A$2:$A$11,'Cost Centers'!$C$2:$C$11,"")</f>
        <v>Programs</v>
      </c>
      <c r="J1346" s="23">
        <f>MROUND(SUMIFS('Allocated Transactions'!$J:$J,'Allocated Transactions'!$D:$D,$E1346,'Allocated Transactions'!$C:$C,$C1346,'Allocated Transactions'!$A:$A,"&gt;="&amp;$A1346,'Allocated Transactions'!$A:$A,"&lt;="&amp;EOMONTH($A1346,0))*0.99,100)</f>
        <v>0</v>
      </c>
      <c r="K1346" s="113" t="s">
        <v>637</v>
      </c>
    </row>
    <row r="1347" spans="1:11" ht="15" customHeight="1">
      <c r="A1347" s="112">
        <f t="shared" si="84"/>
        <v>45901</v>
      </c>
      <c r="B1347" s="113">
        <v>7</v>
      </c>
      <c r="C1347" s="18" t="str">
        <f t="shared" si="86"/>
        <v>2020</v>
      </c>
      <c r="D1347" s="113" t="str">
        <f>_xlfn.XLOOKUP($C1347,'Cost Centers'!$A$2:$A$11,'Cost Centers'!$B$2:$B$11,"")</f>
        <v>MENA</v>
      </c>
      <c r="E1347" s="113" t="s">
        <v>117</v>
      </c>
      <c r="F1347" s="113" t="str">
        <f>_xlfn.XLOOKUP(E1347,'Allocated Transactions'!D:D,'Allocated Transactions'!E:E,"")</f>
        <v>Insurance</v>
      </c>
      <c r="G1347" s="113" t="s">
        <v>97</v>
      </c>
      <c r="H1347" s="113"/>
      <c r="I1347" s="113" t="str">
        <f>_xlfn.XLOOKUP($C1347,'Cost Centers'!$A$2:$A$11,'Cost Centers'!$C$2:$C$11,"")</f>
        <v>Programs</v>
      </c>
      <c r="J1347" s="23">
        <f>MROUND(SUMIFS('Allocated Transactions'!$J:$J,'Allocated Transactions'!$D:$D,$E1347,'Allocated Transactions'!$C:$C,$C1347,'Allocated Transactions'!$A:$A,"&gt;="&amp;$A1347,'Allocated Transactions'!$A:$A,"&lt;="&amp;EOMONTH($A1347,0))*0.99,100)</f>
        <v>100</v>
      </c>
      <c r="K1347" s="113" t="s">
        <v>637</v>
      </c>
    </row>
    <row r="1348" spans="1:11" ht="15" customHeight="1">
      <c r="A1348" s="112">
        <f t="shared" si="84"/>
        <v>45901</v>
      </c>
      <c r="B1348" s="113">
        <v>7</v>
      </c>
      <c r="C1348" s="18" t="str">
        <f t="shared" si="86"/>
        <v>2020</v>
      </c>
      <c r="D1348" s="113" t="str">
        <f>_xlfn.XLOOKUP($C1348,'Cost Centers'!$A$2:$A$11,'Cost Centers'!$B$2:$B$11,"")</f>
        <v>MENA</v>
      </c>
      <c r="E1348" s="113" t="s">
        <v>119</v>
      </c>
      <c r="F1348" s="113" t="str">
        <f>_xlfn.XLOOKUP(E1348,'Allocated Transactions'!D:D,'Allocated Transactions'!E:E,"")</f>
        <v>Depreciation Expense</v>
      </c>
      <c r="G1348" s="113" t="s">
        <v>97</v>
      </c>
      <c r="H1348" s="113"/>
      <c r="I1348" s="113" t="str">
        <f>_xlfn.XLOOKUP($C1348,'Cost Centers'!$A$2:$A$11,'Cost Centers'!$C$2:$C$11,"")</f>
        <v>Programs</v>
      </c>
      <c r="J1348" s="23">
        <f>MROUND(SUMIFS('Allocated Transactions'!$J:$J,'Allocated Transactions'!$D:$D,$E1348,'Allocated Transactions'!$C:$C,$C1348,'Allocated Transactions'!$A:$A,"&gt;="&amp;$A1348,'Allocated Transactions'!$A:$A,"&lt;="&amp;EOMONTH($A1348,0))*0.99,100)</f>
        <v>0</v>
      </c>
      <c r="K1348" s="113" t="s">
        <v>637</v>
      </c>
    </row>
    <row r="1349" spans="1:11" ht="15" customHeight="1">
      <c r="A1349" s="112">
        <f t="shared" si="84"/>
        <v>45901</v>
      </c>
      <c r="B1349" s="113">
        <v>7</v>
      </c>
      <c r="C1349" s="18" t="str">
        <f t="shared" si="86"/>
        <v>2020</v>
      </c>
      <c r="D1349" s="113" t="str">
        <f>_xlfn.XLOOKUP($C1349,'Cost Centers'!$A$2:$A$11,'Cost Centers'!$B$2:$B$11,"")</f>
        <v>MENA</v>
      </c>
      <c r="E1349" s="113" t="s">
        <v>121</v>
      </c>
      <c r="F1349" s="113" t="str">
        <f>_xlfn.XLOOKUP(E1349,'Allocated Transactions'!D:D,'Allocated Transactions'!E:E,"")</f>
        <v>Bank Fees</v>
      </c>
      <c r="G1349" s="113" t="s">
        <v>97</v>
      </c>
      <c r="H1349" s="113"/>
      <c r="I1349" s="113" t="str">
        <f>_xlfn.XLOOKUP($C1349,'Cost Centers'!$A$2:$A$11,'Cost Centers'!$C$2:$C$11,"")</f>
        <v>Programs</v>
      </c>
      <c r="J1349" s="23">
        <f>MROUND(SUMIFS('Allocated Transactions'!$J:$J,'Allocated Transactions'!$D:$D,$E1349,'Allocated Transactions'!$C:$C,$C1349,'Allocated Transactions'!$A:$A,"&gt;="&amp;$A1349,'Allocated Transactions'!$A:$A,"&lt;="&amp;EOMONTH($A1349,0))*0.99,100)</f>
        <v>0</v>
      </c>
      <c r="K1349" s="113" t="s">
        <v>637</v>
      </c>
    </row>
    <row r="1350" spans="1:11" ht="15" customHeight="1">
      <c r="A1350" s="112">
        <f t="shared" si="84"/>
        <v>45901</v>
      </c>
      <c r="B1350" s="113">
        <v>7</v>
      </c>
      <c r="C1350" s="18" t="str">
        <f t="shared" si="86"/>
        <v>2020</v>
      </c>
      <c r="D1350" s="113" t="str">
        <f>_xlfn.XLOOKUP($C1350,'Cost Centers'!$A$2:$A$11,'Cost Centers'!$B$2:$B$11,"")</f>
        <v>MENA</v>
      </c>
      <c r="E1350" s="113" t="s">
        <v>123</v>
      </c>
      <c r="F1350" s="113" t="str">
        <f>_xlfn.XLOOKUP(E1350,'Allocated Transactions'!D:D,'Allocated Transactions'!E:E,"")</f>
        <v>Interest Expense</v>
      </c>
      <c r="G1350" s="113" t="s">
        <v>97</v>
      </c>
      <c r="H1350" s="113"/>
      <c r="I1350" s="113" t="str">
        <f>_xlfn.XLOOKUP($C1350,'Cost Centers'!$A$2:$A$11,'Cost Centers'!$C$2:$C$11,"")</f>
        <v>Programs</v>
      </c>
      <c r="J1350" s="23">
        <f>MROUND(SUMIFS('Allocated Transactions'!$J:$J,'Allocated Transactions'!$D:$D,$E1350,'Allocated Transactions'!$C:$C,$C1350,'Allocated Transactions'!$A:$A,"&gt;="&amp;$A1350,'Allocated Transactions'!$A:$A,"&lt;="&amp;EOMONTH($A1350,0))*0.99,100)</f>
        <v>0</v>
      </c>
      <c r="K1350" s="113" t="s">
        <v>637</v>
      </c>
    </row>
    <row r="1351" spans="1:11" ht="15" customHeight="1">
      <c r="A1351" s="112">
        <f t="shared" si="84"/>
        <v>45901</v>
      </c>
      <c r="B1351" s="113">
        <v>7</v>
      </c>
      <c r="C1351" s="18" t="str">
        <f t="shared" si="86"/>
        <v>2020</v>
      </c>
      <c r="D1351" s="113" t="str">
        <f>_xlfn.XLOOKUP($C1351,'Cost Centers'!$A$2:$A$11,'Cost Centers'!$B$2:$B$11,"")</f>
        <v>MENA</v>
      </c>
      <c r="E1351" s="113" t="s">
        <v>125</v>
      </c>
      <c r="F1351" s="113" t="str">
        <f>_xlfn.XLOOKUP(E1351,'Allocated Transactions'!D:D,'Allocated Transactions'!E:E,"")</f>
        <v>Miscellaneous Expense</v>
      </c>
      <c r="G1351" s="113" t="s">
        <v>97</v>
      </c>
      <c r="H1351" s="113"/>
      <c r="I1351" s="113" t="str">
        <f>_xlfn.XLOOKUP($C1351,'Cost Centers'!$A$2:$A$11,'Cost Centers'!$C$2:$C$11,"")</f>
        <v>Programs</v>
      </c>
      <c r="J1351" s="23">
        <f>MROUND(SUMIFS('Allocated Transactions'!$J:$J,'Allocated Transactions'!$D:$D,$E1351,'Allocated Transactions'!$C:$C,$C1351,'Allocated Transactions'!$A:$A,"&gt;="&amp;$A1351,'Allocated Transactions'!$A:$A,"&lt;="&amp;EOMONTH($A1351,0))*0.99,100)</f>
        <v>0</v>
      </c>
      <c r="K1351" s="113" t="s">
        <v>637</v>
      </c>
    </row>
    <row r="1352" spans="1:11" ht="15" customHeight="1">
      <c r="A1352" s="112">
        <f t="shared" si="84"/>
        <v>45931</v>
      </c>
      <c r="B1352" s="113">
        <v>7</v>
      </c>
      <c r="C1352" s="18" t="s">
        <v>14</v>
      </c>
      <c r="D1352" s="113" t="str">
        <f>_xlfn.XLOOKUP($C1352,'Cost Centers'!$A$2:$A$11,'Cost Centers'!$B$2:$B$11,"")</f>
        <v>MENA</v>
      </c>
      <c r="E1352" s="113" t="s">
        <v>28</v>
      </c>
      <c r="F1352" s="113" t="str">
        <f>_xlfn.XLOOKUP(E1352,'Allocated Transactions'!D:D,'Allocated Transactions'!E:E,"")</f>
        <v>Salaries and Wages</v>
      </c>
      <c r="G1352" s="113" t="s">
        <v>97</v>
      </c>
      <c r="H1352" s="113"/>
      <c r="I1352" s="113" t="str">
        <f>_xlfn.XLOOKUP($C1352,'Cost Centers'!$A$2:$A$11,'Cost Centers'!$C$2:$C$11,"")</f>
        <v>Programs</v>
      </c>
      <c r="J1352" s="23">
        <f>MROUND(SUMIFS('Allocated Transactions'!$J:$J,'Allocated Transactions'!$D:$D,$E1352,'Allocated Transactions'!$C:$C,$C1352,'Allocated Transactions'!$A:$A,"&gt;="&amp;$A1352,'Allocated Transactions'!$A:$A,"&lt;="&amp;EOMONTH($A1352,0))*0.99,100)</f>
        <v>20400</v>
      </c>
      <c r="K1352" s="113" t="s">
        <v>637</v>
      </c>
    </row>
    <row r="1353" spans="1:11" ht="15" customHeight="1">
      <c r="A1353" s="112">
        <f t="shared" si="84"/>
        <v>45931</v>
      </c>
      <c r="B1353" s="113">
        <v>7</v>
      </c>
      <c r="C1353" s="18" t="str">
        <f t="shared" ref="C1353:C1369" si="87">C1352</f>
        <v>2020</v>
      </c>
      <c r="D1353" s="113" t="str">
        <f>_xlfn.XLOOKUP($C1353,'Cost Centers'!$A$2:$A$11,'Cost Centers'!$B$2:$B$11,"")</f>
        <v>MENA</v>
      </c>
      <c r="E1353" s="113" t="s">
        <v>29</v>
      </c>
      <c r="F1353" s="113" t="str">
        <f>_xlfn.XLOOKUP(E1353,'Allocated Transactions'!D:D,'Allocated Transactions'!E:E,"")</f>
        <v>Payroll Taxes</v>
      </c>
      <c r="G1353" s="113" t="s">
        <v>97</v>
      </c>
      <c r="H1353" s="113"/>
      <c r="I1353" s="113" t="str">
        <f>_xlfn.XLOOKUP($C1353,'Cost Centers'!$A$2:$A$11,'Cost Centers'!$C$2:$C$11,"")</f>
        <v>Programs</v>
      </c>
      <c r="J1353" s="23">
        <f>MROUND(SUMIFS('Allocated Transactions'!$J:$J,'Allocated Transactions'!$D:$D,$E1353,'Allocated Transactions'!$C:$C,$C1353,'Allocated Transactions'!$A:$A,"&gt;="&amp;$A1353,'Allocated Transactions'!$A:$A,"&lt;="&amp;EOMONTH($A1353,0))*0.99,100)</f>
        <v>1600</v>
      </c>
      <c r="K1353" s="113" t="s">
        <v>637</v>
      </c>
    </row>
    <row r="1354" spans="1:11" ht="15" customHeight="1">
      <c r="A1354" s="112">
        <f t="shared" si="84"/>
        <v>45931</v>
      </c>
      <c r="B1354" s="113">
        <v>7</v>
      </c>
      <c r="C1354" s="18" t="str">
        <f t="shared" si="87"/>
        <v>2020</v>
      </c>
      <c r="D1354" s="113" t="str">
        <f>_xlfn.XLOOKUP($C1354,'Cost Centers'!$A$2:$A$11,'Cost Centers'!$B$2:$B$11,"")</f>
        <v>MENA</v>
      </c>
      <c r="E1354" s="113" t="s">
        <v>30</v>
      </c>
      <c r="F1354" s="113" t="str">
        <f>_xlfn.XLOOKUP(E1354,'Allocated Transactions'!D:D,'Allocated Transactions'!E:E,"")</f>
        <v>Employee Benefits</v>
      </c>
      <c r="G1354" s="113" t="s">
        <v>97</v>
      </c>
      <c r="H1354" s="113"/>
      <c r="I1354" s="113" t="str">
        <f>_xlfn.XLOOKUP($C1354,'Cost Centers'!$A$2:$A$11,'Cost Centers'!$C$2:$C$11,"")</f>
        <v>Programs</v>
      </c>
      <c r="J1354" s="23">
        <f>MROUND(SUMIFS('Allocated Transactions'!$J:$J,'Allocated Transactions'!$D:$D,$E1354,'Allocated Transactions'!$C:$C,$C1354,'Allocated Transactions'!$A:$A,"&gt;="&amp;$A1354,'Allocated Transactions'!$A:$A,"&lt;="&amp;EOMONTH($A1354,0))*0.99,100)</f>
        <v>4700</v>
      </c>
      <c r="K1354" s="113" t="s">
        <v>637</v>
      </c>
    </row>
    <row r="1355" spans="1:11" ht="15" customHeight="1">
      <c r="A1355" s="112">
        <f t="shared" si="84"/>
        <v>45931</v>
      </c>
      <c r="B1355" s="113">
        <v>7</v>
      </c>
      <c r="C1355" s="18" t="str">
        <f t="shared" si="87"/>
        <v>2020</v>
      </c>
      <c r="D1355" s="113" t="str">
        <f>_xlfn.XLOOKUP($C1355,'Cost Centers'!$A$2:$A$11,'Cost Centers'!$B$2:$B$11,"")</f>
        <v>MENA</v>
      </c>
      <c r="E1355" s="113" t="s">
        <v>31</v>
      </c>
      <c r="F1355" s="113" t="str">
        <f>_xlfn.XLOOKUP(E1355,'Allocated Transactions'!D:D,'Allocated Transactions'!E:E,"")</f>
        <v>Retirement Contributions</v>
      </c>
      <c r="G1355" s="113" t="s">
        <v>97</v>
      </c>
      <c r="H1355" s="113"/>
      <c r="I1355" s="113" t="str">
        <f>_xlfn.XLOOKUP($C1355,'Cost Centers'!$A$2:$A$11,'Cost Centers'!$C$2:$C$11,"")</f>
        <v>Programs</v>
      </c>
      <c r="J1355" s="23">
        <f>MROUND(SUMIFS('Allocated Transactions'!$J:$J,'Allocated Transactions'!$D:$D,$E1355,'Allocated Transactions'!$C:$C,$C1355,'Allocated Transactions'!$A:$A,"&gt;="&amp;$A1355,'Allocated Transactions'!$A:$A,"&lt;="&amp;EOMONTH($A1355,0))*0.99,100)</f>
        <v>600</v>
      </c>
      <c r="K1355" s="113" t="s">
        <v>637</v>
      </c>
    </row>
    <row r="1356" spans="1:11" ht="15" customHeight="1">
      <c r="A1356" s="112">
        <f t="shared" si="84"/>
        <v>45931</v>
      </c>
      <c r="B1356" s="113">
        <v>7</v>
      </c>
      <c r="C1356" s="18" t="str">
        <f t="shared" si="87"/>
        <v>2020</v>
      </c>
      <c r="D1356" s="113" t="str">
        <f>_xlfn.XLOOKUP($C1356,'Cost Centers'!$A$2:$A$11,'Cost Centers'!$B$2:$B$11,"")</f>
        <v>MENA</v>
      </c>
      <c r="E1356" s="113" t="s">
        <v>101</v>
      </c>
      <c r="F1356" s="113" t="str">
        <f>_xlfn.XLOOKUP(E1356,'Allocated Transactions'!D:D,'Allocated Transactions'!E:E,"")</f>
        <v>Contract Labor / Consultants</v>
      </c>
      <c r="G1356" s="113" t="s">
        <v>97</v>
      </c>
      <c r="H1356" s="113"/>
      <c r="I1356" s="113" t="str">
        <f>_xlfn.XLOOKUP($C1356,'Cost Centers'!$A$2:$A$11,'Cost Centers'!$C$2:$C$11,"")</f>
        <v>Programs</v>
      </c>
      <c r="J1356" s="23">
        <f>MROUND(SUMIFS('Allocated Transactions'!$J:$J,'Allocated Transactions'!$D:$D,$E1356,'Allocated Transactions'!$C:$C,$C1356,'Allocated Transactions'!$A:$A,"&gt;="&amp;$A1356,'Allocated Transactions'!$A:$A,"&lt;="&amp;EOMONTH($A1356,0))*0.99,100)</f>
        <v>14800</v>
      </c>
      <c r="K1356" s="113" t="s">
        <v>637</v>
      </c>
    </row>
    <row r="1357" spans="1:11" ht="15" customHeight="1">
      <c r="A1357" s="112">
        <f t="shared" si="84"/>
        <v>45931</v>
      </c>
      <c r="B1357" s="113">
        <v>7</v>
      </c>
      <c r="C1357" s="18" t="str">
        <f t="shared" si="87"/>
        <v>2020</v>
      </c>
      <c r="D1357" s="113" t="str">
        <f>_xlfn.XLOOKUP($C1357,'Cost Centers'!$A$2:$A$11,'Cost Centers'!$B$2:$B$11,"")</f>
        <v>MENA</v>
      </c>
      <c r="E1357" s="113" t="s">
        <v>32</v>
      </c>
      <c r="F1357" s="113" t="str">
        <f>_xlfn.XLOOKUP(E1357,'Allocated Transactions'!D:D,'Allocated Transactions'!E:E,"")</f>
        <v>Rent</v>
      </c>
      <c r="G1357" s="113" t="s">
        <v>97</v>
      </c>
      <c r="H1357" s="113"/>
      <c r="I1357" s="113" t="str">
        <f>_xlfn.XLOOKUP($C1357,'Cost Centers'!$A$2:$A$11,'Cost Centers'!$C$2:$C$11,"")</f>
        <v>Programs</v>
      </c>
      <c r="J1357" s="23">
        <f>MROUND(SUMIFS('Allocated Transactions'!$J:$J,'Allocated Transactions'!$D:$D,$E1357,'Allocated Transactions'!$C:$C,$C1357,'Allocated Transactions'!$A:$A,"&gt;="&amp;$A1357,'Allocated Transactions'!$A:$A,"&lt;="&amp;EOMONTH($A1357,0))*0.99,100)</f>
        <v>1600</v>
      </c>
      <c r="K1357" s="113" t="s">
        <v>637</v>
      </c>
    </row>
    <row r="1358" spans="1:11" ht="15" customHeight="1">
      <c r="A1358" s="112">
        <f t="shared" si="84"/>
        <v>45931</v>
      </c>
      <c r="B1358" s="113">
        <v>7</v>
      </c>
      <c r="C1358" s="18" t="str">
        <f t="shared" si="87"/>
        <v>2020</v>
      </c>
      <c r="D1358" s="113" t="str">
        <f>_xlfn.XLOOKUP($C1358,'Cost Centers'!$A$2:$A$11,'Cost Centers'!$B$2:$B$11,"")</f>
        <v>MENA</v>
      </c>
      <c r="E1358" s="113" t="s">
        <v>33</v>
      </c>
      <c r="F1358" s="113" t="str">
        <f>_xlfn.XLOOKUP(E1358,'Allocated Transactions'!D:D,'Allocated Transactions'!E:E,"")</f>
        <v>Utilities</v>
      </c>
      <c r="G1358" s="113" t="s">
        <v>97</v>
      </c>
      <c r="H1358" s="113"/>
      <c r="I1358" s="113" t="str">
        <f>_xlfn.XLOOKUP($C1358,'Cost Centers'!$A$2:$A$11,'Cost Centers'!$C$2:$C$11,"")</f>
        <v>Programs</v>
      </c>
      <c r="J1358" s="23">
        <f>MROUND(SUMIFS('Allocated Transactions'!$J:$J,'Allocated Transactions'!$D:$D,$E1358,'Allocated Transactions'!$C:$C,$C1358,'Allocated Transactions'!$A:$A,"&gt;="&amp;$A1358,'Allocated Transactions'!$A:$A,"&lt;="&amp;EOMONTH($A1358,0))*0.99,100)</f>
        <v>200</v>
      </c>
      <c r="K1358" s="113" t="s">
        <v>637</v>
      </c>
    </row>
    <row r="1359" spans="1:11" ht="15" customHeight="1">
      <c r="A1359" s="112">
        <f t="shared" si="84"/>
        <v>45931</v>
      </c>
      <c r="B1359" s="113">
        <v>7</v>
      </c>
      <c r="C1359" s="18" t="str">
        <f t="shared" si="87"/>
        <v>2020</v>
      </c>
      <c r="D1359" s="113" t="str">
        <f>_xlfn.XLOOKUP($C1359,'Cost Centers'!$A$2:$A$11,'Cost Centers'!$B$2:$B$11,"")</f>
        <v>MENA</v>
      </c>
      <c r="E1359" s="113" t="s">
        <v>105</v>
      </c>
      <c r="F1359" s="113" t="str">
        <f>_xlfn.XLOOKUP(E1359,'Allocated Transactions'!D:D,'Allocated Transactions'!E:E,"")</f>
        <v>Office Supplies</v>
      </c>
      <c r="G1359" s="113" t="s">
        <v>97</v>
      </c>
      <c r="H1359" s="113"/>
      <c r="I1359" s="113" t="str">
        <f>_xlfn.XLOOKUP($C1359,'Cost Centers'!$A$2:$A$11,'Cost Centers'!$C$2:$C$11,"")</f>
        <v>Programs</v>
      </c>
      <c r="J1359" s="23">
        <f>MROUND(SUMIFS('Allocated Transactions'!$J:$J,'Allocated Transactions'!$D:$D,$E1359,'Allocated Transactions'!$C:$C,$C1359,'Allocated Transactions'!$A:$A,"&gt;="&amp;$A1359,'Allocated Transactions'!$A:$A,"&lt;="&amp;EOMONTH($A1359,0))*0.99,100)</f>
        <v>0</v>
      </c>
      <c r="K1359" s="113" t="s">
        <v>637</v>
      </c>
    </row>
    <row r="1360" spans="1:11" ht="15" customHeight="1">
      <c r="A1360" s="112">
        <f t="shared" si="84"/>
        <v>45931</v>
      </c>
      <c r="B1360" s="113">
        <v>7</v>
      </c>
      <c r="C1360" s="18" t="str">
        <f t="shared" si="87"/>
        <v>2020</v>
      </c>
      <c r="D1360" s="113" t="str">
        <f>_xlfn.XLOOKUP($C1360,'Cost Centers'!$A$2:$A$11,'Cost Centers'!$B$2:$B$11,"")</f>
        <v>MENA</v>
      </c>
      <c r="E1360" s="113" t="s">
        <v>107</v>
      </c>
      <c r="F1360" s="113" t="str">
        <f>_xlfn.XLOOKUP(E1360,'Allocated Transactions'!D:D,'Allocated Transactions'!E:E,"")</f>
        <v>Software and Subscriptions</v>
      </c>
      <c r="G1360" s="113" t="s">
        <v>97</v>
      </c>
      <c r="H1360" s="113"/>
      <c r="I1360" s="113" t="str">
        <f>_xlfn.XLOOKUP($C1360,'Cost Centers'!$A$2:$A$11,'Cost Centers'!$C$2:$C$11,"")</f>
        <v>Programs</v>
      </c>
      <c r="J1360" s="23">
        <f>MROUND(SUMIFS('Allocated Transactions'!$J:$J,'Allocated Transactions'!$D:$D,$E1360,'Allocated Transactions'!$C:$C,$C1360,'Allocated Transactions'!$A:$A,"&gt;="&amp;$A1360,'Allocated Transactions'!$A:$A,"&lt;="&amp;EOMONTH($A1360,0))*0.99,100)</f>
        <v>0</v>
      </c>
      <c r="K1360" s="113" t="s">
        <v>637</v>
      </c>
    </row>
    <row r="1361" spans="1:11" ht="15" customHeight="1">
      <c r="A1361" s="112">
        <f t="shared" si="84"/>
        <v>45931</v>
      </c>
      <c r="B1361" s="113">
        <v>7</v>
      </c>
      <c r="C1361" s="18" t="str">
        <f t="shared" si="87"/>
        <v>2020</v>
      </c>
      <c r="D1361" s="113" t="str">
        <f>_xlfn.XLOOKUP($C1361,'Cost Centers'!$A$2:$A$11,'Cost Centers'!$B$2:$B$11,"")</f>
        <v>MENA</v>
      </c>
      <c r="E1361" s="113" t="s">
        <v>109</v>
      </c>
      <c r="F1361" s="113" t="str">
        <f>_xlfn.XLOOKUP(E1361,'Allocated Transactions'!D:D,'Allocated Transactions'!E:E,"")</f>
        <v>Travel</v>
      </c>
      <c r="G1361" s="113" t="s">
        <v>97</v>
      </c>
      <c r="H1361" s="113"/>
      <c r="I1361" s="113" t="str">
        <f>_xlfn.XLOOKUP($C1361,'Cost Centers'!$A$2:$A$11,'Cost Centers'!$C$2:$C$11,"")</f>
        <v>Programs</v>
      </c>
      <c r="J1361" s="23">
        <f>MROUND(SUMIFS('Allocated Transactions'!$J:$J,'Allocated Transactions'!$D:$D,$E1361,'Allocated Transactions'!$C:$C,$C1361,'Allocated Transactions'!$A:$A,"&gt;="&amp;$A1361,'Allocated Transactions'!$A:$A,"&lt;="&amp;EOMONTH($A1361,0))*0.99,100)</f>
        <v>0</v>
      </c>
      <c r="K1361" s="113" t="s">
        <v>637</v>
      </c>
    </row>
    <row r="1362" spans="1:11" ht="15" customHeight="1">
      <c r="A1362" s="112">
        <f t="shared" si="84"/>
        <v>45931</v>
      </c>
      <c r="B1362" s="113">
        <v>7</v>
      </c>
      <c r="C1362" s="18" t="str">
        <f t="shared" si="87"/>
        <v>2020</v>
      </c>
      <c r="D1362" s="113" t="str">
        <f>_xlfn.XLOOKUP($C1362,'Cost Centers'!$A$2:$A$11,'Cost Centers'!$B$2:$B$11,"")</f>
        <v>MENA</v>
      </c>
      <c r="E1362" s="113" t="s">
        <v>111</v>
      </c>
      <c r="F1362" s="113" t="str">
        <f>_xlfn.XLOOKUP(E1362,'Allocated Transactions'!D:D,'Allocated Transactions'!E:E,"")</f>
        <v>Meals and Entertainment</v>
      </c>
      <c r="G1362" s="113" t="s">
        <v>97</v>
      </c>
      <c r="H1362" s="113"/>
      <c r="I1362" s="113" t="str">
        <f>_xlfn.XLOOKUP($C1362,'Cost Centers'!$A$2:$A$11,'Cost Centers'!$C$2:$C$11,"")</f>
        <v>Programs</v>
      </c>
      <c r="J1362" s="23">
        <f>MROUND(SUMIFS('Allocated Transactions'!$J:$J,'Allocated Transactions'!$D:$D,$E1362,'Allocated Transactions'!$C:$C,$C1362,'Allocated Transactions'!$A:$A,"&gt;="&amp;$A1362,'Allocated Transactions'!$A:$A,"&lt;="&amp;EOMONTH($A1362,0))*0.99,100)</f>
        <v>0</v>
      </c>
      <c r="K1362" s="113" t="s">
        <v>637</v>
      </c>
    </row>
    <row r="1363" spans="1:11" ht="15" customHeight="1">
      <c r="A1363" s="112">
        <f t="shared" si="84"/>
        <v>45931</v>
      </c>
      <c r="B1363" s="113">
        <v>7</v>
      </c>
      <c r="C1363" s="18" t="str">
        <f t="shared" si="87"/>
        <v>2020</v>
      </c>
      <c r="D1363" s="113" t="str">
        <f>_xlfn.XLOOKUP($C1363,'Cost Centers'!$A$2:$A$11,'Cost Centers'!$B$2:$B$11,"")</f>
        <v>MENA</v>
      </c>
      <c r="E1363" s="113" t="s">
        <v>113</v>
      </c>
      <c r="F1363" s="113" t="str">
        <f>_xlfn.XLOOKUP(E1363,'Allocated Transactions'!D:D,'Allocated Transactions'!E:E,"")</f>
        <v>Professional Fees - Legal</v>
      </c>
      <c r="G1363" s="113" t="s">
        <v>97</v>
      </c>
      <c r="H1363" s="113"/>
      <c r="I1363" s="113" t="str">
        <f>_xlfn.XLOOKUP($C1363,'Cost Centers'!$A$2:$A$11,'Cost Centers'!$C$2:$C$11,"")</f>
        <v>Programs</v>
      </c>
      <c r="J1363" s="23">
        <f>MROUND(SUMIFS('Allocated Transactions'!$J:$J,'Allocated Transactions'!$D:$D,$E1363,'Allocated Transactions'!$C:$C,$C1363,'Allocated Transactions'!$A:$A,"&gt;="&amp;$A1363,'Allocated Transactions'!$A:$A,"&lt;="&amp;EOMONTH($A1363,0))*0.99,100)</f>
        <v>0</v>
      </c>
      <c r="K1363" s="113" t="s">
        <v>637</v>
      </c>
    </row>
    <row r="1364" spans="1:11" ht="15" customHeight="1">
      <c r="A1364" s="112">
        <f t="shared" si="84"/>
        <v>45931</v>
      </c>
      <c r="B1364" s="113">
        <v>7</v>
      </c>
      <c r="C1364" s="18" t="str">
        <f t="shared" si="87"/>
        <v>2020</v>
      </c>
      <c r="D1364" s="113" t="str">
        <f>_xlfn.XLOOKUP($C1364,'Cost Centers'!$A$2:$A$11,'Cost Centers'!$B$2:$B$11,"")</f>
        <v>MENA</v>
      </c>
      <c r="E1364" s="113" t="s">
        <v>115</v>
      </c>
      <c r="F1364" s="113" t="str">
        <f>_xlfn.XLOOKUP(E1364,'Allocated Transactions'!D:D,'Allocated Transactions'!E:E,"")</f>
        <v>Professional Fees - Accounting/Audit</v>
      </c>
      <c r="G1364" s="113" t="s">
        <v>97</v>
      </c>
      <c r="H1364" s="113"/>
      <c r="I1364" s="113" t="str">
        <f>_xlfn.XLOOKUP($C1364,'Cost Centers'!$A$2:$A$11,'Cost Centers'!$C$2:$C$11,"")</f>
        <v>Programs</v>
      </c>
      <c r="J1364" s="23">
        <f>MROUND(SUMIFS('Allocated Transactions'!$J:$J,'Allocated Transactions'!$D:$D,$E1364,'Allocated Transactions'!$C:$C,$C1364,'Allocated Transactions'!$A:$A,"&gt;="&amp;$A1364,'Allocated Transactions'!$A:$A,"&lt;="&amp;EOMONTH($A1364,0))*0.99,100)</f>
        <v>0</v>
      </c>
      <c r="K1364" s="113" t="s">
        <v>637</v>
      </c>
    </row>
    <row r="1365" spans="1:11" ht="15" customHeight="1">
      <c r="A1365" s="112">
        <f t="shared" si="84"/>
        <v>45931</v>
      </c>
      <c r="B1365" s="113">
        <v>7</v>
      </c>
      <c r="C1365" s="18" t="str">
        <f t="shared" si="87"/>
        <v>2020</v>
      </c>
      <c r="D1365" s="113" t="str">
        <f>_xlfn.XLOOKUP($C1365,'Cost Centers'!$A$2:$A$11,'Cost Centers'!$B$2:$B$11,"")</f>
        <v>MENA</v>
      </c>
      <c r="E1365" s="113" t="s">
        <v>117</v>
      </c>
      <c r="F1365" s="113" t="str">
        <f>_xlfn.XLOOKUP(E1365,'Allocated Transactions'!D:D,'Allocated Transactions'!E:E,"")</f>
        <v>Insurance</v>
      </c>
      <c r="G1365" s="113" t="s">
        <v>97</v>
      </c>
      <c r="H1365" s="113"/>
      <c r="I1365" s="113" t="str">
        <f>_xlfn.XLOOKUP($C1365,'Cost Centers'!$A$2:$A$11,'Cost Centers'!$C$2:$C$11,"")</f>
        <v>Programs</v>
      </c>
      <c r="J1365" s="23">
        <f>MROUND(SUMIFS('Allocated Transactions'!$J:$J,'Allocated Transactions'!$D:$D,$E1365,'Allocated Transactions'!$C:$C,$C1365,'Allocated Transactions'!$A:$A,"&gt;="&amp;$A1365,'Allocated Transactions'!$A:$A,"&lt;="&amp;EOMONTH($A1365,0))*0.99,100)</f>
        <v>100</v>
      </c>
      <c r="K1365" s="113" t="s">
        <v>637</v>
      </c>
    </row>
    <row r="1366" spans="1:11" ht="15" customHeight="1">
      <c r="A1366" s="112">
        <f t="shared" si="84"/>
        <v>45931</v>
      </c>
      <c r="B1366" s="113">
        <v>7</v>
      </c>
      <c r="C1366" s="18" t="str">
        <f t="shared" si="87"/>
        <v>2020</v>
      </c>
      <c r="D1366" s="113" t="str">
        <f>_xlfn.XLOOKUP($C1366,'Cost Centers'!$A$2:$A$11,'Cost Centers'!$B$2:$B$11,"")</f>
        <v>MENA</v>
      </c>
      <c r="E1366" s="113" t="s">
        <v>119</v>
      </c>
      <c r="F1366" s="113" t="str">
        <f>_xlfn.XLOOKUP(E1366,'Allocated Transactions'!D:D,'Allocated Transactions'!E:E,"")</f>
        <v>Depreciation Expense</v>
      </c>
      <c r="G1366" s="113" t="s">
        <v>97</v>
      </c>
      <c r="H1366" s="113"/>
      <c r="I1366" s="113" t="str">
        <f>_xlfn.XLOOKUP($C1366,'Cost Centers'!$A$2:$A$11,'Cost Centers'!$C$2:$C$11,"")</f>
        <v>Programs</v>
      </c>
      <c r="J1366" s="23">
        <f>MROUND(SUMIFS('Allocated Transactions'!$J:$J,'Allocated Transactions'!$D:$D,$E1366,'Allocated Transactions'!$C:$C,$C1366,'Allocated Transactions'!$A:$A,"&gt;="&amp;$A1366,'Allocated Transactions'!$A:$A,"&lt;="&amp;EOMONTH($A1366,0))*0.99,100)</f>
        <v>0</v>
      </c>
      <c r="K1366" s="113" t="s">
        <v>637</v>
      </c>
    </row>
    <row r="1367" spans="1:11" ht="15" customHeight="1">
      <c r="A1367" s="112">
        <f t="shared" si="84"/>
        <v>45931</v>
      </c>
      <c r="B1367" s="113">
        <v>7</v>
      </c>
      <c r="C1367" s="18" t="str">
        <f t="shared" si="87"/>
        <v>2020</v>
      </c>
      <c r="D1367" s="113" t="str">
        <f>_xlfn.XLOOKUP($C1367,'Cost Centers'!$A$2:$A$11,'Cost Centers'!$B$2:$B$11,"")</f>
        <v>MENA</v>
      </c>
      <c r="E1367" s="113" t="s">
        <v>121</v>
      </c>
      <c r="F1367" s="113" t="str">
        <f>_xlfn.XLOOKUP(E1367,'Allocated Transactions'!D:D,'Allocated Transactions'!E:E,"")</f>
        <v>Bank Fees</v>
      </c>
      <c r="G1367" s="113" t="s">
        <v>97</v>
      </c>
      <c r="H1367" s="113"/>
      <c r="I1367" s="113" t="str">
        <f>_xlfn.XLOOKUP($C1367,'Cost Centers'!$A$2:$A$11,'Cost Centers'!$C$2:$C$11,"")</f>
        <v>Programs</v>
      </c>
      <c r="J1367" s="23">
        <f>MROUND(SUMIFS('Allocated Transactions'!$J:$J,'Allocated Transactions'!$D:$D,$E1367,'Allocated Transactions'!$C:$C,$C1367,'Allocated Transactions'!$A:$A,"&gt;="&amp;$A1367,'Allocated Transactions'!$A:$A,"&lt;="&amp;EOMONTH($A1367,0))*0.99,100)</f>
        <v>0</v>
      </c>
      <c r="K1367" s="113" t="s">
        <v>637</v>
      </c>
    </row>
    <row r="1368" spans="1:11" ht="15" customHeight="1">
      <c r="A1368" s="112">
        <f t="shared" si="84"/>
        <v>45931</v>
      </c>
      <c r="B1368" s="113">
        <v>7</v>
      </c>
      <c r="C1368" s="18" t="str">
        <f t="shared" si="87"/>
        <v>2020</v>
      </c>
      <c r="D1368" s="113" t="str">
        <f>_xlfn.XLOOKUP($C1368,'Cost Centers'!$A$2:$A$11,'Cost Centers'!$B$2:$B$11,"")</f>
        <v>MENA</v>
      </c>
      <c r="E1368" s="113" t="s">
        <v>123</v>
      </c>
      <c r="F1368" s="113" t="str">
        <f>_xlfn.XLOOKUP(E1368,'Allocated Transactions'!D:D,'Allocated Transactions'!E:E,"")</f>
        <v>Interest Expense</v>
      </c>
      <c r="G1368" s="113" t="s">
        <v>97</v>
      </c>
      <c r="H1368" s="113"/>
      <c r="I1368" s="113" t="str">
        <f>_xlfn.XLOOKUP($C1368,'Cost Centers'!$A$2:$A$11,'Cost Centers'!$C$2:$C$11,"")</f>
        <v>Programs</v>
      </c>
      <c r="J1368" s="23">
        <f>MROUND(SUMIFS('Allocated Transactions'!$J:$J,'Allocated Transactions'!$D:$D,$E1368,'Allocated Transactions'!$C:$C,$C1368,'Allocated Transactions'!$A:$A,"&gt;="&amp;$A1368,'Allocated Transactions'!$A:$A,"&lt;="&amp;EOMONTH($A1368,0))*0.99,100)</f>
        <v>0</v>
      </c>
      <c r="K1368" s="113" t="s">
        <v>637</v>
      </c>
    </row>
    <row r="1369" spans="1:11" ht="15" customHeight="1">
      <c r="A1369" s="112">
        <f t="shared" ref="A1369:A1432" si="88">IF(C1369&lt;&gt;C1368,DATE(2025,7,1),IF(E1369="5000",EOMONTH(A1368,0)+1,A1368))</f>
        <v>45931</v>
      </c>
      <c r="B1369" s="113">
        <v>7</v>
      </c>
      <c r="C1369" s="18" t="str">
        <f t="shared" si="87"/>
        <v>2020</v>
      </c>
      <c r="D1369" s="113" t="str">
        <f>_xlfn.XLOOKUP($C1369,'Cost Centers'!$A$2:$A$11,'Cost Centers'!$B$2:$B$11,"")</f>
        <v>MENA</v>
      </c>
      <c r="E1369" s="113" t="s">
        <v>125</v>
      </c>
      <c r="F1369" s="113" t="str">
        <f>_xlfn.XLOOKUP(E1369,'Allocated Transactions'!D:D,'Allocated Transactions'!E:E,"")</f>
        <v>Miscellaneous Expense</v>
      </c>
      <c r="G1369" s="113" t="s">
        <v>97</v>
      </c>
      <c r="H1369" s="113"/>
      <c r="I1369" s="113" t="str">
        <f>_xlfn.XLOOKUP($C1369,'Cost Centers'!$A$2:$A$11,'Cost Centers'!$C$2:$C$11,"")</f>
        <v>Programs</v>
      </c>
      <c r="J1369" s="23">
        <f>MROUND(SUMIFS('Allocated Transactions'!$J:$J,'Allocated Transactions'!$D:$D,$E1369,'Allocated Transactions'!$C:$C,$C1369,'Allocated Transactions'!$A:$A,"&gt;="&amp;$A1369,'Allocated Transactions'!$A:$A,"&lt;="&amp;EOMONTH($A1369,0))*0.99,100)</f>
        <v>0</v>
      </c>
      <c r="K1369" s="113" t="s">
        <v>637</v>
      </c>
    </row>
    <row r="1370" spans="1:11" ht="15" customHeight="1">
      <c r="A1370" s="112">
        <f t="shared" si="88"/>
        <v>45962</v>
      </c>
      <c r="B1370" s="113">
        <v>7</v>
      </c>
      <c r="C1370" s="18" t="s">
        <v>14</v>
      </c>
      <c r="D1370" s="113" t="str">
        <f>_xlfn.XLOOKUP($C1370,'Cost Centers'!$A$2:$A$11,'Cost Centers'!$B$2:$B$11,"")</f>
        <v>MENA</v>
      </c>
      <c r="E1370" s="113" t="s">
        <v>28</v>
      </c>
      <c r="F1370" s="113" t="str">
        <f>_xlfn.XLOOKUP(E1370,'Allocated Transactions'!D:D,'Allocated Transactions'!E:E,"")</f>
        <v>Salaries and Wages</v>
      </c>
      <c r="G1370" s="113" t="s">
        <v>97</v>
      </c>
      <c r="H1370" s="113"/>
      <c r="I1370" s="113" t="str">
        <f>_xlfn.XLOOKUP($C1370,'Cost Centers'!$A$2:$A$11,'Cost Centers'!$C$2:$C$11,"")</f>
        <v>Programs</v>
      </c>
      <c r="J1370" s="23">
        <f>MROUND(SUMIFS('Allocated Transactions'!$J:$J,'Allocated Transactions'!$D:$D,$E1370,'Allocated Transactions'!$C:$C,$C1370,'Allocated Transactions'!$A:$A,"&gt;="&amp;$A1370,'Allocated Transactions'!$A:$A,"&lt;="&amp;EOMONTH($A1370,0))*0.99,100)</f>
        <v>19000</v>
      </c>
      <c r="K1370" s="113" t="s">
        <v>637</v>
      </c>
    </row>
    <row r="1371" spans="1:11" ht="15" customHeight="1">
      <c r="A1371" s="112">
        <f t="shared" si="88"/>
        <v>45962</v>
      </c>
      <c r="B1371" s="113">
        <v>7</v>
      </c>
      <c r="C1371" s="18" t="str">
        <f t="shared" ref="C1371:C1387" si="89">C1370</f>
        <v>2020</v>
      </c>
      <c r="D1371" s="113" t="str">
        <f>_xlfn.XLOOKUP($C1371,'Cost Centers'!$A$2:$A$11,'Cost Centers'!$B$2:$B$11,"")</f>
        <v>MENA</v>
      </c>
      <c r="E1371" s="113" t="s">
        <v>29</v>
      </c>
      <c r="F1371" s="113" t="str">
        <f>_xlfn.XLOOKUP(E1371,'Allocated Transactions'!D:D,'Allocated Transactions'!E:E,"")</f>
        <v>Payroll Taxes</v>
      </c>
      <c r="G1371" s="113" t="s">
        <v>97</v>
      </c>
      <c r="H1371" s="113"/>
      <c r="I1371" s="113" t="str">
        <f>_xlfn.XLOOKUP($C1371,'Cost Centers'!$A$2:$A$11,'Cost Centers'!$C$2:$C$11,"")</f>
        <v>Programs</v>
      </c>
      <c r="J1371" s="23">
        <f>MROUND(SUMIFS('Allocated Transactions'!$J:$J,'Allocated Transactions'!$D:$D,$E1371,'Allocated Transactions'!$C:$C,$C1371,'Allocated Transactions'!$A:$A,"&gt;="&amp;$A1371,'Allocated Transactions'!$A:$A,"&lt;="&amp;EOMONTH($A1371,0))*0.99,100)</f>
        <v>1500</v>
      </c>
      <c r="K1371" s="113" t="s">
        <v>637</v>
      </c>
    </row>
    <row r="1372" spans="1:11" ht="15" customHeight="1">
      <c r="A1372" s="112">
        <f t="shared" si="88"/>
        <v>45962</v>
      </c>
      <c r="B1372" s="113">
        <v>7</v>
      </c>
      <c r="C1372" s="18" t="str">
        <f t="shared" si="89"/>
        <v>2020</v>
      </c>
      <c r="D1372" s="113" t="str">
        <f>_xlfn.XLOOKUP($C1372,'Cost Centers'!$A$2:$A$11,'Cost Centers'!$B$2:$B$11,"")</f>
        <v>MENA</v>
      </c>
      <c r="E1372" s="113" t="s">
        <v>30</v>
      </c>
      <c r="F1372" s="113" t="str">
        <f>_xlfn.XLOOKUP(E1372,'Allocated Transactions'!D:D,'Allocated Transactions'!E:E,"")</f>
        <v>Employee Benefits</v>
      </c>
      <c r="G1372" s="113" t="s">
        <v>97</v>
      </c>
      <c r="H1372" s="113"/>
      <c r="I1372" s="113" t="str">
        <f>_xlfn.XLOOKUP($C1372,'Cost Centers'!$A$2:$A$11,'Cost Centers'!$C$2:$C$11,"")</f>
        <v>Programs</v>
      </c>
      <c r="J1372" s="23">
        <f>MROUND(SUMIFS('Allocated Transactions'!$J:$J,'Allocated Transactions'!$D:$D,$E1372,'Allocated Transactions'!$C:$C,$C1372,'Allocated Transactions'!$A:$A,"&gt;="&amp;$A1372,'Allocated Transactions'!$A:$A,"&lt;="&amp;EOMONTH($A1372,0))*0.99,100)</f>
        <v>5400</v>
      </c>
      <c r="K1372" s="113" t="s">
        <v>637</v>
      </c>
    </row>
    <row r="1373" spans="1:11" ht="15" customHeight="1">
      <c r="A1373" s="112">
        <f t="shared" si="88"/>
        <v>45962</v>
      </c>
      <c r="B1373" s="113">
        <v>7</v>
      </c>
      <c r="C1373" s="18" t="str">
        <f t="shared" si="89"/>
        <v>2020</v>
      </c>
      <c r="D1373" s="113" t="str">
        <f>_xlfn.XLOOKUP($C1373,'Cost Centers'!$A$2:$A$11,'Cost Centers'!$B$2:$B$11,"")</f>
        <v>MENA</v>
      </c>
      <c r="E1373" s="113" t="s">
        <v>31</v>
      </c>
      <c r="F1373" s="113" t="str">
        <f>_xlfn.XLOOKUP(E1373,'Allocated Transactions'!D:D,'Allocated Transactions'!E:E,"")</f>
        <v>Retirement Contributions</v>
      </c>
      <c r="G1373" s="113" t="s">
        <v>97</v>
      </c>
      <c r="H1373" s="113"/>
      <c r="I1373" s="113" t="str">
        <f>_xlfn.XLOOKUP($C1373,'Cost Centers'!$A$2:$A$11,'Cost Centers'!$C$2:$C$11,"")</f>
        <v>Programs</v>
      </c>
      <c r="J1373" s="23">
        <f>MROUND(SUMIFS('Allocated Transactions'!$J:$J,'Allocated Transactions'!$D:$D,$E1373,'Allocated Transactions'!$C:$C,$C1373,'Allocated Transactions'!$A:$A,"&gt;="&amp;$A1373,'Allocated Transactions'!$A:$A,"&lt;="&amp;EOMONTH($A1373,0))*0.99,100)</f>
        <v>600</v>
      </c>
      <c r="K1373" s="113" t="s">
        <v>637</v>
      </c>
    </row>
    <row r="1374" spans="1:11" ht="15" customHeight="1">
      <c r="A1374" s="112">
        <f t="shared" si="88"/>
        <v>45962</v>
      </c>
      <c r="B1374" s="113">
        <v>7</v>
      </c>
      <c r="C1374" s="18" t="str">
        <f t="shared" si="89"/>
        <v>2020</v>
      </c>
      <c r="D1374" s="113" t="str">
        <f>_xlfn.XLOOKUP($C1374,'Cost Centers'!$A$2:$A$11,'Cost Centers'!$B$2:$B$11,"")</f>
        <v>MENA</v>
      </c>
      <c r="E1374" s="113" t="s">
        <v>101</v>
      </c>
      <c r="F1374" s="113" t="str">
        <f>_xlfn.XLOOKUP(E1374,'Allocated Transactions'!D:D,'Allocated Transactions'!E:E,"")</f>
        <v>Contract Labor / Consultants</v>
      </c>
      <c r="G1374" s="113" t="s">
        <v>97</v>
      </c>
      <c r="H1374" s="113"/>
      <c r="I1374" s="113" t="str">
        <f>_xlfn.XLOOKUP($C1374,'Cost Centers'!$A$2:$A$11,'Cost Centers'!$C$2:$C$11,"")</f>
        <v>Programs</v>
      </c>
      <c r="J1374" s="23">
        <f>MROUND(SUMIFS('Allocated Transactions'!$J:$J,'Allocated Transactions'!$D:$D,$E1374,'Allocated Transactions'!$C:$C,$C1374,'Allocated Transactions'!$A:$A,"&gt;="&amp;$A1374,'Allocated Transactions'!$A:$A,"&lt;="&amp;EOMONTH($A1374,0))*0.99,100)</f>
        <v>0</v>
      </c>
      <c r="K1374" s="113" t="s">
        <v>637</v>
      </c>
    </row>
    <row r="1375" spans="1:11" ht="15" customHeight="1">
      <c r="A1375" s="112">
        <f t="shared" si="88"/>
        <v>45962</v>
      </c>
      <c r="B1375" s="113">
        <v>7</v>
      </c>
      <c r="C1375" s="18" t="str">
        <f t="shared" si="89"/>
        <v>2020</v>
      </c>
      <c r="D1375" s="113" t="str">
        <f>_xlfn.XLOOKUP($C1375,'Cost Centers'!$A$2:$A$11,'Cost Centers'!$B$2:$B$11,"")</f>
        <v>MENA</v>
      </c>
      <c r="E1375" s="113" t="s">
        <v>32</v>
      </c>
      <c r="F1375" s="113" t="str">
        <f>_xlfn.XLOOKUP(E1375,'Allocated Transactions'!D:D,'Allocated Transactions'!E:E,"")</f>
        <v>Rent</v>
      </c>
      <c r="G1375" s="113" t="s">
        <v>97</v>
      </c>
      <c r="H1375" s="113"/>
      <c r="I1375" s="113" t="str">
        <f>_xlfn.XLOOKUP($C1375,'Cost Centers'!$A$2:$A$11,'Cost Centers'!$C$2:$C$11,"")</f>
        <v>Programs</v>
      </c>
      <c r="J1375" s="23">
        <f>MROUND(SUMIFS('Allocated Transactions'!$J:$J,'Allocated Transactions'!$D:$D,$E1375,'Allocated Transactions'!$C:$C,$C1375,'Allocated Transactions'!$A:$A,"&gt;="&amp;$A1375,'Allocated Transactions'!$A:$A,"&lt;="&amp;EOMONTH($A1375,0))*0.99,100)</f>
        <v>1500</v>
      </c>
      <c r="K1375" s="113" t="s">
        <v>637</v>
      </c>
    </row>
    <row r="1376" spans="1:11" ht="15" customHeight="1">
      <c r="A1376" s="112">
        <f t="shared" si="88"/>
        <v>45962</v>
      </c>
      <c r="B1376" s="113">
        <v>7</v>
      </c>
      <c r="C1376" s="18" t="str">
        <f t="shared" si="89"/>
        <v>2020</v>
      </c>
      <c r="D1376" s="113" t="str">
        <f>_xlfn.XLOOKUP($C1376,'Cost Centers'!$A$2:$A$11,'Cost Centers'!$B$2:$B$11,"")</f>
        <v>MENA</v>
      </c>
      <c r="E1376" s="113" t="s">
        <v>33</v>
      </c>
      <c r="F1376" s="113" t="str">
        <f>_xlfn.XLOOKUP(E1376,'Allocated Transactions'!D:D,'Allocated Transactions'!E:E,"")</f>
        <v>Utilities</v>
      </c>
      <c r="G1376" s="113" t="s">
        <v>97</v>
      </c>
      <c r="H1376" s="113"/>
      <c r="I1376" s="113" t="str">
        <f>_xlfn.XLOOKUP($C1376,'Cost Centers'!$A$2:$A$11,'Cost Centers'!$C$2:$C$11,"")</f>
        <v>Programs</v>
      </c>
      <c r="J1376" s="23">
        <f>MROUND(SUMIFS('Allocated Transactions'!$J:$J,'Allocated Transactions'!$D:$D,$E1376,'Allocated Transactions'!$C:$C,$C1376,'Allocated Transactions'!$A:$A,"&gt;="&amp;$A1376,'Allocated Transactions'!$A:$A,"&lt;="&amp;EOMONTH($A1376,0))*0.99,100)</f>
        <v>200</v>
      </c>
      <c r="K1376" s="113" t="s">
        <v>637</v>
      </c>
    </row>
    <row r="1377" spans="1:11" ht="15" customHeight="1">
      <c r="A1377" s="112">
        <f t="shared" si="88"/>
        <v>45962</v>
      </c>
      <c r="B1377" s="113">
        <v>7</v>
      </c>
      <c r="C1377" s="18" t="str">
        <f t="shared" si="89"/>
        <v>2020</v>
      </c>
      <c r="D1377" s="113" t="str">
        <f>_xlfn.XLOOKUP($C1377,'Cost Centers'!$A$2:$A$11,'Cost Centers'!$B$2:$B$11,"")</f>
        <v>MENA</v>
      </c>
      <c r="E1377" s="113" t="s">
        <v>105</v>
      </c>
      <c r="F1377" s="113" t="str">
        <f>_xlfn.XLOOKUP(E1377,'Allocated Transactions'!D:D,'Allocated Transactions'!E:E,"")</f>
        <v>Office Supplies</v>
      </c>
      <c r="G1377" s="113" t="s">
        <v>97</v>
      </c>
      <c r="H1377" s="113"/>
      <c r="I1377" s="113" t="str">
        <f>_xlfn.XLOOKUP($C1377,'Cost Centers'!$A$2:$A$11,'Cost Centers'!$C$2:$C$11,"")</f>
        <v>Programs</v>
      </c>
      <c r="J1377" s="23">
        <f>MROUND(SUMIFS('Allocated Transactions'!$J:$J,'Allocated Transactions'!$D:$D,$E1377,'Allocated Transactions'!$C:$C,$C1377,'Allocated Transactions'!$A:$A,"&gt;="&amp;$A1377,'Allocated Transactions'!$A:$A,"&lt;="&amp;EOMONTH($A1377,0))*0.99,100)</f>
        <v>0</v>
      </c>
      <c r="K1377" s="113" t="s">
        <v>637</v>
      </c>
    </row>
    <row r="1378" spans="1:11" ht="15" customHeight="1">
      <c r="A1378" s="112">
        <f t="shared" si="88"/>
        <v>45962</v>
      </c>
      <c r="B1378" s="113">
        <v>7</v>
      </c>
      <c r="C1378" s="18" t="str">
        <f t="shared" si="89"/>
        <v>2020</v>
      </c>
      <c r="D1378" s="113" t="str">
        <f>_xlfn.XLOOKUP($C1378,'Cost Centers'!$A$2:$A$11,'Cost Centers'!$B$2:$B$11,"")</f>
        <v>MENA</v>
      </c>
      <c r="E1378" s="113" t="s">
        <v>107</v>
      </c>
      <c r="F1378" s="113" t="str">
        <f>_xlfn.XLOOKUP(E1378,'Allocated Transactions'!D:D,'Allocated Transactions'!E:E,"")</f>
        <v>Software and Subscriptions</v>
      </c>
      <c r="G1378" s="113" t="s">
        <v>97</v>
      </c>
      <c r="H1378" s="113"/>
      <c r="I1378" s="113" t="str">
        <f>_xlfn.XLOOKUP($C1378,'Cost Centers'!$A$2:$A$11,'Cost Centers'!$C$2:$C$11,"")</f>
        <v>Programs</v>
      </c>
      <c r="J1378" s="23">
        <f>MROUND(SUMIFS('Allocated Transactions'!$J:$J,'Allocated Transactions'!$D:$D,$E1378,'Allocated Transactions'!$C:$C,$C1378,'Allocated Transactions'!$A:$A,"&gt;="&amp;$A1378,'Allocated Transactions'!$A:$A,"&lt;="&amp;EOMONTH($A1378,0))*0.99,100)</f>
        <v>0</v>
      </c>
      <c r="K1378" s="113" t="s">
        <v>637</v>
      </c>
    </row>
    <row r="1379" spans="1:11" ht="15" customHeight="1">
      <c r="A1379" s="112">
        <f t="shared" si="88"/>
        <v>45962</v>
      </c>
      <c r="B1379" s="113">
        <v>7</v>
      </c>
      <c r="C1379" s="18" t="str">
        <f t="shared" si="89"/>
        <v>2020</v>
      </c>
      <c r="D1379" s="113" t="str">
        <f>_xlfn.XLOOKUP($C1379,'Cost Centers'!$A$2:$A$11,'Cost Centers'!$B$2:$B$11,"")</f>
        <v>MENA</v>
      </c>
      <c r="E1379" s="113" t="s">
        <v>109</v>
      </c>
      <c r="F1379" s="113" t="str">
        <f>_xlfn.XLOOKUP(E1379,'Allocated Transactions'!D:D,'Allocated Transactions'!E:E,"")</f>
        <v>Travel</v>
      </c>
      <c r="G1379" s="113" t="s">
        <v>97</v>
      </c>
      <c r="H1379" s="113"/>
      <c r="I1379" s="113" t="str">
        <f>_xlfn.XLOOKUP($C1379,'Cost Centers'!$A$2:$A$11,'Cost Centers'!$C$2:$C$11,"")</f>
        <v>Programs</v>
      </c>
      <c r="J1379" s="23">
        <f>MROUND(SUMIFS('Allocated Transactions'!$J:$J,'Allocated Transactions'!$D:$D,$E1379,'Allocated Transactions'!$C:$C,$C1379,'Allocated Transactions'!$A:$A,"&gt;="&amp;$A1379,'Allocated Transactions'!$A:$A,"&lt;="&amp;EOMONTH($A1379,0))*0.99,100)</f>
        <v>0</v>
      </c>
      <c r="K1379" s="113" t="s">
        <v>637</v>
      </c>
    </row>
    <row r="1380" spans="1:11" ht="15" customHeight="1">
      <c r="A1380" s="112">
        <f t="shared" si="88"/>
        <v>45962</v>
      </c>
      <c r="B1380" s="113">
        <v>7</v>
      </c>
      <c r="C1380" s="18" t="str">
        <f t="shared" si="89"/>
        <v>2020</v>
      </c>
      <c r="D1380" s="113" t="str">
        <f>_xlfn.XLOOKUP($C1380,'Cost Centers'!$A$2:$A$11,'Cost Centers'!$B$2:$B$11,"")</f>
        <v>MENA</v>
      </c>
      <c r="E1380" s="113" t="s">
        <v>111</v>
      </c>
      <c r="F1380" s="113" t="str">
        <f>_xlfn.XLOOKUP(E1380,'Allocated Transactions'!D:D,'Allocated Transactions'!E:E,"")</f>
        <v>Meals and Entertainment</v>
      </c>
      <c r="G1380" s="113" t="s">
        <v>97</v>
      </c>
      <c r="H1380" s="113"/>
      <c r="I1380" s="113" t="str">
        <f>_xlfn.XLOOKUP($C1380,'Cost Centers'!$A$2:$A$11,'Cost Centers'!$C$2:$C$11,"")</f>
        <v>Programs</v>
      </c>
      <c r="J1380" s="23">
        <f>MROUND(SUMIFS('Allocated Transactions'!$J:$J,'Allocated Transactions'!$D:$D,$E1380,'Allocated Transactions'!$C:$C,$C1380,'Allocated Transactions'!$A:$A,"&gt;="&amp;$A1380,'Allocated Transactions'!$A:$A,"&lt;="&amp;EOMONTH($A1380,0))*0.99,100)</f>
        <v>0</v>
      </c>
      <c r="K1380" s="113" t="s">
        <v>637</v>
      </c>
    </row>
    <row r="1381" spans="1:11" ht="15" customHeight="1">
      <c r="A1381" s="112">
        <f t="shared" si="88"/>
        <v>45962</v>
      </c>
      <c r="B1381" s="113">
        <v>7</v>
      </c>
      <c r="C1381" s="18" t="str">
        <f t="shared" si="89"/>
        <v>2020</v>
      </c>
      <c r="D1381" s="113" t="str">
        <f>_xlfn.XLOOKUP($C1381,'Cost Centers'!$A$2:$A$11,'Cost Centers'!$B$2:$B$11,"")</f>
        <v>MENA</v>
      </c>
      <c r="E1381" s="113" t="s">
        <v>113</v>
      </c>
      <c r="F1381" s="113" t="str">
        <f>_xlfn.XLOOKUP(E1381,'Allocated Transactions'!D:D,'Allocated Transactions'!E:E,"")</f>
        <v>Professional Fees - Legal</v>
      </c>
      <c r="G1381" s="113" t="s">
        <v>97</v>
      </c>
      <c r="H1381" s="113"/>
      <c r="I1381" s="113" t="str">
        <f>_xlfn.XLOOKUP($C1381,'Cost Centers'!$A$2:$A$11,'Cost Centers'!$C$2:$C$11,"")</f>
        <v>Programs</v>
      </c>
      <c r="J1381" s="23">
        <f>MROUND(SUMIFS('Allocated Transactions'!$J:$J,'Allocated Transactions'!$D:$D,$E1381,'Allocated Transactions'!$C:$C,$C1381,'Allocated Transactions'!$A:$A,"&gt;="&amp;$A1381,'Allocated Transactions'!$A:$A,"&lt;="&amp;EOMONTH($A1381,0))*0.99,100)</f>
        <v>0</v>
      </c>
      <c r="K1381" s="113" t="s">
        <v>637</v>
      </c>
    </row>
    <row r="1382" spans="1:11" ht="15" customHeight="1">
      <c r="A1382" s="112">
        <f t="shared" si="88"/>
        <v>45962</v>
      </c>
      <c r="B1382" s="113">
        <v>7</v>
      </c>
      <c r="C1382" s="18" t="str">
        <f t="shared" si="89"/>
        <v>2020</v>
      </c>
      <c r="D1382" s="113" t="str">
        <f>_xlfn.XLOOKUP($C1382,'Cost Centers'!$A$2:$A$11,'Cost Centers'!$B$2:$B$11,"")</f>
        <v>MENA</v>
      </c>
      <c r="E1382" s="113" t="s">
        <v>115</v>
      </c>
      <c r="F1382" s="113" t="str">
        <f>_xlfn.XLOOKUP(E1382,'Allocated Transactions'!D:D,'Allocated Transactions'!E:E,"")</f>
        <v>Professional Fees - Accounting/Audit</v>
      </c>
      <c r="G1382" s="113" t="s">
        <v>97</v>
      </c>
      <c r="H1382" s="113"/>
      <c r="I1382" s="113" t="str">
        <f>_xlfn.XLOOKUP($C1382,'Cost Centers'!$A$2:$A$11,'Cost Centers'!$C$2:$C$11,"")</f>
        <v>Programs</v>
      </c>
      <c r="J1382" s="23">
        <f>MROUND(SUMIFS('Allocated Transactions'!$J:$J,'Allocated Transactions'!$D:$D,$E1382,'Allocated Transactions'!$C:$C,$C1382,'Allocated Transactions'!$A:$A,"&gt;="&amp;$A1382,'Allocated Transactions'!$A:$A,"&lt;="&amp;EOMONTH($A1382,0))*0.99,100)</f>
        <v>0</v>
      </c>
      <c r="K1382" s="113" t="s">
        <v>637</v>
      </c>
    </row>
    <row r="1383" spans="1:11" ht="15" customHeight="1">
      <c r="A1383" s="112">
        <f t="shared" si="88"/>
        <v>45962</v>
      </c>
      <c r="B1383" s="113">
        <v>7</v>
      </c>
      <c r="C1383" s="18" t="str">
        <f t="shared" si="89"/>
        <v>2020</v>
      </c>
      <c r="D1383" s="113" t="str">
        <f>_xlfn.XLOOKUP($C1383,'Cost Centers'!$A$2:$A$11,'Cost Centers'!$B$2:$B$11,"")</f>
        <v>MENA</v>
      </c>
      <c r="E1383" s="113" t="s">
        <v>117</v>
      </c>
      <c r="F1383" s="113" t="str">
        <f>_xlfn.XLOOKUP(E1383,'Allocated Transactions'!D:D,'Allocated Transactions'!E:E,"")</f>
        <v>Insurance</v>
      </c>
      <c r="G1383" s="113" t="s">
        <v>97</v>
      </c>
      <c r="H1383" s="113"/>
      <c r="I1383" s="113" t="str">
        <f>_xlfn.XLOOKUP($C1383,'Cost Centers'!$A$2:$A$11,'Cost Centers'!$C$2:$C$11,"")</f>
        <v>Programs</v>
      </c>
      <c r="J1383" s="23">
        <f>MROUND(SUMIFS('Allocated Transactions'!$J:$J,'Allocated Transactions'!$D:$D,$E1383,'Allocated Transactions'!$C:$C,$C1383,'Allocated Transactions'!$A:$A,"&gt;="&amp;$A1383,'Allocated Transactions'!$A:$A,"&lt;="&amp;EOMONTH($A1383,0))*0.99,100)</f>
        <v>100</v>
      </c>
      <c r="K1383" s="113" t="s">
        <v>637</v>
      </c>
    </row>
    <row r="1384" spans="1:11" ht="15" customHeight="1">
      <c r="A1384" s="112">
        <f t="shared" si="88"/>
        <v>45962</v>
      </c>
      <c r="B1384" s="113">
        <v>7</v>
      </c>
      <c r="C1384" s="18" t="str">
        <f t="shared" si="89"/>
        <v>2020</v>
      </c>
      <c r="D1384" s="113" t="str">
        <f>_xlfn.XLOOKUP($C1384,'Cost Centers'!$A$2:$A$11,'Cost Centers'!$B$2:$B$11,"")</f>
        <v>MENA</v>
      </c>
      <c r="E1384" s="113" t="s">
        <v>119</v>
      </c>
      <c r="F1384" s="113" t="str">
        <f>_xlfn.XLOOKUP(E1384,'Allocated Transactions'!D:D,'Allocated Transactions'!E:E,"")</f>
        <v>Depreciation Expense</v>
      </c>
      <c r="G1384" s="113" t="s">
        <v>97</v>
      </c>
      <c r="H1384" s="113"/>
      <c r="I1384" s="113" t="str">
        <f>_xlfn.XLOOKUP($C1384,'Cost Centers'!$A$2:$A$11,'Cost Centers'!$C$2:$C$11,"")</f>
        <v>Programs</v>
      </c>
      <c r="J1384" s="23">
        <f>MROUND(SUMIFS('Allocated Transactions'!$J:$J,'Allocated Transactions'!$D:$D,$E1384,'Allocated Transactions'!$C:$C,$C1384,'Allocated Transactions'!$A:$A,"&gt;="&amp;$A1384,'Allocated Transactions'!$A:$A,"&lt;="&amp;EOMONTH($A1384,0))*0.99,100)</f>
        <v>0</v>
      </c>
      <c r="K1384" s="113" t="s">
        <v>637</v>
      </c>
    </row>
    <row r="1385" spans="1:11" ht="15" customHeight="1">
      <c r="A1385" s="112">
        <f t="shared" si="88"/>
        <v>45962</v>
      </c>
      <c r="B1385" s="113">
        <v>7</v>
      </c>
      <c r="C1385" s="18" t="str">
        <f t="shared" si="89"/>
        <v>2020</v>
      </c>
      <c r="D1385" s="113" t="str">
        <f>_xlfn.XLOOKUP($C1385,'Cost Centers'!$A$2:$A$11,'Cost Centers'!$B$2:$B$11,"")</f>
        <v>MENA</v>
      </c>
      <c r="E1385" s="113" t="s">
        <v>121</v>
      </c>
      <c r="F1385" s="113" t="str">
        <f>_xlfn.XLOOKUP(E1385,'Allocated Transactions'!D:D,'Allocated Transactions'!E:E,"")</f>
        <v>Bank Fees</v>
      </c>
      <c r="G1385" s="113" t="s">
        <v>97</v>
      </c>
      <c r="H1385" s="113"/>
      <c r="I1385" s="113" t="str">
        <f>_xlfn.XLOOKUP($C1385,'Cost Centers'!$A$2:$A$11,'Cost Centers'!$C$2:$C$11,"")</f>
        <v>Programs</v>
      </c>
      <c r="J1385" s="23">
        <f>MROUND(SUMIFS('Allocated Transactions'!$J:$J,'Allocated Transactions'!$D:$D,$E1385,'Allocated Transactions'!$C:$C,$C1385,'Allocated Transactions'!$A:$A,"&gt;="&amp;$A1385,'Allocated Transactions'!$A:$A,"&lt;="&amp;EOMONTH($A1385,0))*0.99,100)</f>
        <v>0</v>
      </c>
      <c r="K1385" s="113" t="s">
        <v>637</v>
      </c>
    </row>
    <row r="1386" spans="1:11" ht="15" customHeight="1">
      <c r="A1386" s="112">
        <f t="shared" si="88"/>
        <v>45962</v>
      </c>
      <c r="B1386" s="113">
        <v>7</v>
      </c>
      <c r="C1386" s="18" t="str">
        <f t="shared" si="89"/>
        <v>2020</v>
      </c>
      <c r="D1386" s="113" t="str">
        <f>_xlfn.XLOOKUP($C1386,'Cost Centers'!$A$2:$A$11,'Cost Centers'!$B$2:$B$11,"")</f>
        <v>MENA</v>
      </c>
      <c r="E1386" s="113" t="s">
        <v>123</v>
      </c>
      <c r="F1386" s="113" t="str">
        <f>_xlfn.XLOOKUP(E1386,'Allocated Transactions'!D:D,'Allocated Transactions'!E:E,"")</f>
        <v>Interest Expense</v>
      </c>
      <c r="G1386" s="113" t="s">
        <v>97</v>
      </c>
      <c r="H1386" s="113"/>
      <c r="I1386" s="113" t="str">
        <f>_xlfn.XLOOKUP($C1386,'Cost Centers'!$A$2:$A$11,'Cost Centers'!$C$2:$C$11,"")</f>
        <v>Programs</v>
      </c>
      <c r="J1386" s="23">
        <f>MROUND(SUMIFS('Allocated Transactions'!$J:$J,'Allocated Transactions'!$D:$D,$E1386,'Allocated Transactions'!$C:$C,$C1386,'Allocated Transactions'!$A:$A,"&gt;="&amp;$A1386,'Allocated Transactions'!$A:$A,"&lt;="&amp;EOMONTH($A1386,0))*0.99,100)</f>
        <v>0</v>
      </c>
      <c r="K1386" s="113" t="s">
        <v>637</v>
      </c>
    </row>
    <row r="1387" spans="1:11" ht="15" customHeight="1">
      <c r="A1387" s="112">
        <f t="shared" si="88"/>
        <v>45962</v>
      </c>
      <c r="B1387" s="113">
        <v>7</v>
      </c>
      <c r="C1387" s="18" t="str">
        <f t="shared" si="89"/>
        <v>2020</v>
      </c>
      <c r="D1387" s="113" t="str">
        <f>_xlfn.XLOOKUP($C1387,'Cost Centers'!$A$2:$A$11,'Cost Centers'!$B$2:$B$11,"")</f>
        <v>MENA</v>
      </c>
      <c r="E1387" s="113" t="s">
        <v>125</v>
      </c>
      <c r="F1387" s="113" t="str">
        <f>_xlfn.XLOOKUP(E1387,'Allocated Transactions'!D:D,'Allocated Transactions'!E:E,"")</f>
        <v>Miscellaneous Expense</v>
      </c>
      <c r="G1387" s="113" t="s">
        <v>97</v>
      </c>
      <c r="H1387" s="113"/>
      <c r="I1387" s="113" t="str">
        <f>_xlfn.XLOOKUP($C1387,'Cost Centers'!$A$2:$A$11,'Cost Centers'!$C$2:$C$11,"")</f>
        <v>Programs</v>
      </c>
      <c r="J1387" s="23">
        <f>MROUND(SUMIFS('Allocated Transactions'!$J:$J,'Allocated Transactions'!$D:$D,$E1387,'Allocated Transactions'!$C:$C,$C1387,'Allocated Transactions'!$A:$A,"&gt;="&amp;$A1387,'Allocated Transactions'!$A:$A,"&lt;="&amp;EOMONTH($A1387,0))*0.99,100)</f>
        <v>0</v>
      </c>
      <c r="K1387" s="113" t="s">
        <v>637</v>
      </c>
    </row>
    <row r="1388" spans="1:11" ht="15" customHeight="1">
      <c r="A1388" s="112">
        <f t="shared" si="88"/>
        <v>45992</v>
      </c>
      <c r="B1388" s="113">
        <v>7</v>
      </c>
      <c r="C1388" s="18" t="s">
        <v>14</v>
      </c>
      <c r="D1388" s="113" t="str">
        <f>_xlfn.XLOOKUP($C1388,'Cost Centers'!$A$2:$A$11,'Cost Centers'!$B$2:$B$11,"")</f>
        <v>MENA</v>
      </c>
      <c r="E1388" s="113" t="s">
        <v>28</v>
      </c>
      <c r="F1388" s="113" t="str">
        <f>_xlfn.XLOOKUP(E1388,'Allocated Transactions'!D:D,'Allocated Transactions'!E:E,"")</f>
        <v>Salaries and Wages</v>
      </c>
      <c r="G1388" s="113" t="s">
        <v>97</v>
      </c>
      <c r="H1388" s="113"/>
      <c r="I1388" s="113" t="str">
        <f>_xlfn.XLOOKUP($C1388,'Cost Centers'!$A$2:$A$11,'Cost Centers'!$C$2:$C$11,"")</f>
        <v>Programs</v>
      </c>
      <c r="J1388" s="23">
        <f>MROUND(SUMIFS('Allocated Transactions'!$J:$J,'Allocated Transactions'!$D:$D,$E1388,'Allocated Transactions'!$C:$C,$C1388,'Allocated Transactions'!$A:$A,"&gt;="&amp;$A1388,'Allocated Transactions'!$A:$A,"&lt;="&amp;EOMONTH($A1388,0))*0.99,100)</f>
        <v>19300</v>
      </c>
      <c r="K1388" s="113" t="s">
        <v>637</v>
      </c>
    </row>
    <row r="1389" spans="1:11" ht="15" customHeight="1">
      <c r="A1389" s="112">
        <f t="shared" si="88"/>
        <v>45992</v>
      </c>
      <c r="B1389" s="113">
        <v>7</v>
      </c>
      <c r="C1389" s="18" t="str">
        <f t="shared" ref="C1389:C1405" si="90">C1388</f>
        <v>2020</v>
      </c>
      <c r="D1389" s="113" t="str">
        <f>_xlfn.XLOOKUP($C1389,'Cost Centers'!$A$2:$A$11,'Cost Centers'!$B$2:$B$11,"")</f>
        <v>MENA</v>
      </c>
      <c r="E1389" s="113" t="s">
        <v>29</v>
      </c>
      <c r="F1389" s="113" t="str">
        <f>_xlfn.XLOOKUP(E1389,'Allocated Transactions'!D:D,'Allocated Transactions'!E:E,"")</f>
        <v>Payroll Taxes</v>
      </c>
      <c r="G1389" s="113" t="s">
        <v>97</v>
      </c>
      <c r="H1389" s="113"/>
      <c r="I1389" s="113" t="str">
        <f>_xlfn.XLOOKUP($C1389,'Cost Centers'!$A$2:$A$11,'Cost Centers'!$C$2:$C$11,"")</f>
        <v>Programs</v>
      </c>
      <c r="J1389" s="23">
        <f>MROUND(SUMIFS('Allocated Transactions'!$J:$J,'Allocated Transactions'!$D:$D,$E1389,'Allocated Transactions'!$C:$C,$C1389,'Allocated Transactions'!$A:$A,"&gt;="&amp;$A1389,'Allocated Transactions'!$A:$A,"&lt;="&amp;EOMONTH($A1389,0))*0.99,100)</f>
        <v>1500</v>
      </c>
      <c r="K1389" s="113" t="s">
        <v>637</v>
      </c>
    </row>
    <row r="1390" spans="1:11" ht="15" customHeight="1">
      <c r="A1390" s="112">
        <f t="shared" si="88"/>
        <v>45992</v>
      </c>
      <c r="B1390" s="113">
        <v>7</v>
      </c>
      <c r="C1390" s="18" t="str">
        <f t="shared" si="90"/>
        <v>2020</v>
      </c>
      <c r="D1390" s="113" t="str">
        <f>_xlfn.XLOOKUP($C1390,'Cost Centers'!$A$2:$A$11,'Cost Centers'!$B$2:$B$11,"")</f>
        <v>MENA</v>
      </c>
      <c r="E1390" s="113" t="s">
        <v>30</v>
      </c>
      <c r="F1390" s="113" t="str">
        <f>_xlfn.XLOOKUP(E1390,'Allocated Transactions'!D:D,'Allocated Transactions'!E:E,"")</f>
        <v>Employee Benefits</v>
      </c>
      <c r="G1390" s="113" t="s">
        <v>97</v>
      </c>
      <c r="H1390" s="113"/>
      <c r="I1390" s="113" t="str">
        <f>_xlfn.XLOOKUP($C1390,'Cost Centers'!$A$2:$A$11,'Cost Centers'!$C$2:$C$11,"")</f>
        <v>Programs</v>
      </c>
      <c r="J1390" s="23">
        <f>MROUND(SUMIFS('Allocated Transactions'!$J:$J,'Allocated Transactions'!$D:$D,$E1390,'Allocated Transactions'!$C:$C,$C1390,'Allocated Transactions'!$A:$A,"&gt;="&amp;$A1390,'Allocated Transactions'!$A:$A,"&lt;="&amp;EOMONTH($A1390,0))*0.99,100)</f>
        <v>5900</v>
      </c>
      <c r="K1390" s="113" t="s">
        <v>637</v>
      </c>
    </row>
    <row r="1391" spans="1:11" ht="15" customHeight="1">
      <c r="A1391" s="112">
        <f t="shared" si="88"/>
        <v>45992</v>
      </c>
      <c r="B1391" s="113">
        <v>7</v>
      </c>
      <c r="C1391" s="18" t="str">
        <f t="shared" si="90"/>
        <v>2020</v>
      </c>
      <c r="D1391" s="113" t="str">
        <f>_xlfn.XLOOKUP($C1391,'Cost Centers'!$A$2:$A$11,'Cost Centers'!$B$2:$B$11,"")</f>
        <v>MENA</v>
      </c>
      <c r="E1391" s="113" t="s">
        <v>31</v>
      </c>
      <c r="F1391" s="113" t="str">
        <f>_xlfn.XLOOKUP(E1391,'Allocated Transactions'!D:D,'Allocated Transactions'!E:E,"")</f>
        <v>Retirement Contributions</v>
      </c>
      <c r="G1391" s="113" t="s">
        <v>97</v>
      </c>
      <c r="H1391" s="113"/>
      <c r="I1391" s="113" t="str">
        <f>_xlfn.XLOOKUP($C1391,'Cost Centers'!$A$2:$A$11,'Cost Centers'!$C$2:$C$11,"")</f>
        <v>Programs</v>
      </c>
      <c r="J1391" s="23">
        <f>MROUND(SUMIFS('Allocated Transactions'!$J:$J,'Allocated Transactions'!$D:$D,$E1391,'Allocated Transactions'!$C:$C,$C1391,'Allocated Transactions'!$A:$A,"&gt;="&amp;$A1391,'Allocated Transactions'!$A:$A,"&lt;="&amp;EOMONTH($A1391,0))*0.99,100)</f>
        <v>600</v>
      </c>
      <c r="K1391" s="113" t="s">
        <v>637</v>
      </c>
    </row>
    <row r="1392" spans="1:11" ht="15" customHeight="1">
      <c r="A1392" s="112">
        <f t="shared" si="88"/>
        <v>45992</v>
      </c>
      <c r="B1392" s="113">
        <v>7</v>
      </c>
      <c r="C1392" s="18" t="str">
        <f t="shared" si="90"/>
        <v>2020</v>
      </c>
      <c r="D1392" s="113" t="str">
        <f>_xlfn.XLOOKUP($C1392,'Cost Centers'!$A$2:$A$11,'Cost Centers'!$B$2:$B$11,"")</f>
        <v>MENA</v>
      </c>
      <c r="E1392" s="113" t="s">
        <v>101</v>
      </c>
      <c r="F1392" s="113" t="str">
        <f>_xlfn.XLOOKUP(E1392,'Allocated Transactions'!D:D,'Allocated Transactions'!E:E,"")</f>
        <v>Contract Labor / Consultants</v>
      </c>
      <c r="G1392" s="113" t="s">
        <v>97</v>
      </c>
      <c r="H1392" s="113"/>
      <c r="I1392" s="113" t="str">
        <f>_xlfn.XLOOKUP($C1392,'Cost Centers'!$A$2:$A$11,'Cost Centers'!$C$2:$C$11,"")</f>
        <v>Programs</v>
      </c>
      <c r="J1392" s="23">
        <f>MROUND(SUMIFS('Allocated Transactions'!$J:$J,'Allocated Transactions'!$D:$D,$E1392,'Allocated Transactions'!$C:$C,$C1392,'Allocated Transactions'!$A:$A,"&gt;="&amp;$A1392,'Allocated Transactions'!$A:$A,"&lt;="&amp;EOMONTH($A1392,0))*0.99,100)</f>
        <v>0</v>
      </c>
      <c r="K1392" s="113" t="s">
        <v>637</v>
      </c>
    </row>
    <row r="1393" spans="1:11" ht="15" customHeight="1">
      <c r="A1393" s="112">
        <f t="shared" si="88"/>
        <v>45992</v>
      </c>
      <c r="B1393" s="113">
        <v>7</v>
      </c>
      <c r="C1393" s="18" t="str">
        <f t="shared" si="90"/>
        <v>2020</v>
      </c>
      <c r="D1393" s="113" t="str">
        <f>_xlfn.XLOOKUP($C1393,'Cost Centers'!$A$2:$A$11,'Cost Centers'!$B$2:$B$11,"")</f>
        <v>MENA</v>
      </c>
      <c r="E1393" s="113" t="s">
        <v>32</v>
      </c>
      <c r="F1393" s="113" t="str">
        <f>_xlfn.XLOOKUP(E1393,'Allocated Transactions'!D:D,'Allocated Transactions'!E:E,"")</f>
        <v>Rent</v>
      </c>
      <c r="G1393" s="113" t="s">
        <v>97</v>
      </c>
      <c r="H1393" s="113"/>
      <c r="I1393" s="113" t="str">
        <f>_xlfn.XLOOKUP($C1393,'Cost Centers'!$A$2:$A$11,'Cost Centers'!$C$2:$C$11,"")</f>
        <v>Programs</v>
      </c>
      <c r="J1393" s="23">
        <f>MROUND(SUMIFS('Allocated Transactions'!$J:$J,'Allocated Transactions'!$D:$D,$E1393,'Allocated Transactions'!$C:$C,$C1393,'Allocated Transactions'!$A:$A,"&gt;="&amp;$A1393,'Allocated Transactions'!$A:$A,"&lt;="&amp;EOMONTH($A1393,0))*0.99,100)</f>
        <v>1500</v>
      </c>
      <c r="K1393" s="113" t="s">
        <v>637</v>
      </c>
    </row>
    <row r="1394" spans="1:11" ht="15" customHeight="1">
      <c r="A1394" s="112">
        <f t="shared" si="88"/>
        <v>45992</v>
      </c>
      <c r="B1394" s="113">
        <v>7</v>
      </c>
      <c r="C1394" s="18" t="str">
        <f t="shared" si="90"/>
        <v>2020</v>
      </c>
      <c r="D1394" s="113" t="str">
        <f>_xlfn.XLOOKUP($C1394,'Cost Centers'!$A$2:$A$11,'Cost Centers'!$B$2:$B$11,"")</f>
        <v>MENA</v>
      </c>
      <c r="E1394" s="113" t="s">
        <v>33</v>
      </c>
      <c r="F1394" s="113" t="str">
        <f>_xlfn.XLOOKUP(E1394,'Allocated Transactions'!D:D,'Allocated Transactions'!E:E,"")</f>
        <v>Utilities</v>
      </c>
      <c r="G1394" s="113" t="s">
        <v>97</v>
      </c>
      <c r="H1394" s="113"/>
      <c r="I1394" s="113" t="str">
        <f>_xlfn.XLOOKUP($C1394,'Cost Centers'!$A$2:$A$11,'Cost Centers'!$C$2:$C$11,"")</f>
        <v>Programs</v>
      </c>
      <c r="J1394" s="23">
        <f>MROUND(SUMIFS('Allocated Transactions'!$J:$J,'Allocated Transactions'!$D:$D,$E1394,'Allocated Transactions'!$C:$C,$C1394,'Allocated Transactions'!$A:$A,"&gt;="&amp;$A1394,'Allocated Transactions'!$A:$A,"&lt;="&amp;EOMONTH($A1394,0))*0.99,100)</f>
        <v>200</v>
      </c>
      <c r="K1394" s="113" t="s">
        <v>637</v>
      </c>
    </row>
    <row r="1395" spans="1:11" ht="15" customHeight="1">
      <c r="A1395" s="112">
        <f t="shared" si="88"/>
        <v>45992</v>
      </c>
      <c r="B1395" s="113">
        <v>7</v>
      </c>
      <c r="C1395" s="18" t="str">
        <f t="shared" si="90"/>
        <v>2020</v>
      </c>
      <c r="D1395" s="113" t="str">
        <f>_xlfn.XLOOKUP($C1395,'Cost Centers'!$A$2:$A$11,'Cost Centers'!$B$2:$B$11,"")</f>
        <v>MENA</v>
      </c>
      <c r="E1395" s="113" t="s">
        <v>105</v>
      </c>
      <c r="F1395" s="113" t="str">
        <f>_xlfn.XLOOKUP(E1395,'Allocated Transactions'!D:D,'Allocated Transactions'!E:E,"")</f>
        <v>Office Supplies</v>
      </c>
      <c r="G1395" s="113" t="s">
        <v>97</v>
      </c>
      <c r="H1395" s="113"/>
      <c r="I1395" s="113" t="str">
        <f>_xlfn.XLOOKUP($C1395,'Cost Centers'!$A$2:$A$11,'Cost Centers'!$C$2:$C$11,"")</f>
        <v>Programs</v>
      </c>
      <c r="J1395" s="23">
        <f>MROUND(SUMIFS('Allocated Transactions'!$J:$J,'Allocated Transactions'!$D:$D,$E1395,'Allocated Transactions'!$C:$C,$C1395,'Allocated Transactions'!$A:$A,"&gt;="&amp;$A1395,'Allocated Transactions'!$A:$A,"&lt;="&amp;EOMONTH($A1395,0))*0.99,100)</f>
        <v>0</v>
      </c>
      <c r="K1395" s="113" t="s">
        <v>637</v>
      </c>
    </row>
    <row r="1396" spans="1:11" ht="15" customHeight="1">
      <c r="A1396" s="112">
        <f t="shared" si="88"/>
        <v>45992</v>
      </c>
      <c r="B1396" s="113">
        <v>7</v>
      </c>
      <c r="C1396" s="18" t="str">
        <f t="shared" si="90"/>
        <v>2020</v>
      </c>
      <c r="D1396" s="113" t="str">
        <f>_xlfn.XLOOKUP($C1396,'Cost Centers'!$A$2:$A$11,'Cost Centers'!$B$2:$B$11,"")</f>
        <v>MENA</v>
      </c>
      <c r="E1396" s="113" t="s">
        <v>107</v>
      </c>
      <c r="F1396" s="113" t="str">
        <f>_xlfn.XLOOKUP(E1396,'Allocated Transactions'!D:D,'Allocated Transactions'!E:E,"")</f>
        <v>Software and Subscriptions</v>
      </c>
      <c r="G1396" s="113" t="s">
        <v>97</v>
      </c>
      <c r="H1396" s="113"/>
      <c r="I1396" s="113" t="str">
        <f>_xlfn.XLOOKUP($C1396,'Cost Centers'!$A$2:$A$11,'Cost Centers'!$C$2:$C$11,"")</f>
        <v>Programs</v>
      </c>
      <c r="J1396" s="23">
        <f>MROUND(SUMIFS('Allocated Transactions'!$J:$J,'Allocated Transactions'!$D:$D,$E1396,'Allocated Transactions'!$C:$C,$C1396,'Allocated Transactions'!$A:$A,"&gt;="&amp;$A1396,'Allocated Transactions'!$A:$A,"&lt;="&amp;EOMONTH($A1396,0))*0.99,100)</f>
        <v>0</v>
      </c>
      <c r="K1396" s="113" t="s">
        <v>637</v>
      </c>
    </row>
    <row r="1397" spans="1:11" ht="15" customHeight="1">
      <c r="A1397" s="112">
        <f t="shared" si="88"/>
        <v>45992</v>
      </c>
      <c r="B1397" s="113">
        <v>7</v>
      </c>
      <c r="C1397" s="18" t="str">
        <f t="shared" si="90"/>
        <v>2020</v>
      </c>
      <c r="D1397" s="113" t="str">
        <f>_xlfn.XLOOKUP($C1397,'Cost Centers'!$A$2:$A$11,'Cost Centers'!$B$2:$B$11,"")</f>
        <v>MENA</v>
      </c>
      <c r="E1397" s="113" t="s">
        <v>109</v>
      </c>
      <c r="F1397" s="113" t="str">
        <f>_xlfn.XLOOKUP(E1397,'Allocated Transactions'!D:D,'Allocated Transactions'!E:E,"")</f>
        <v>Travel</v>
      </c>
      <c r="G1397" s="113" t="s">
        <v>97</v>
      </c>
      <c r="H1397" s="113"/>
      <c r="I1397" s="113" t="str">
        <f>_xlfn.XLOOKUP($C1397,'Cost Centers'!$A$2:$A$11,'Cost Centers'!$C$2:$C$11,"")</f>
        <v>Programs</v>
      </c>
      <c r="J1397" s="23">
        <f>MROUND(SUMIFS('Allocated Transactions'!$J:$J,'Allocated Transactions'!$D:$D,$E1397,'Allocated Transactions'!$C:$C,$C1397,'Allocated Transactions'!$A:$A,"&gt;="&amp;$A1397,'Allocated Transactions'!$A:$A,"&lt;="&amp;EOMONTH($A1397,0))*0.99,100)</f>
        <v>0</v>
      </c>
      <c r="K1397" s="113" t="s">
        <v>637</v>
      </c>
    </row>
    <row r="1398" spans="1:11" ht="15" customHeight="1">
      <c r="A1398" s="112">
        <f t="shared" si="88"/>
        <v>45992</v>
      </c>
      <c r="B1398" s="113">
        <v>7</v>
      </c>
      <c r="C1398" s="18" t="str">
        <f t="shared" si="90"/>
        <v>2020</v>
      </c>
      <c r="D1398" s="113" t="str">
        <f>_xlfn.XLOOKUP($C1398,'Cost Centers'!$A$2:$A$11,'Cost Centers'!$B$2:$B$11,"")</f>
        <v>MENA</v>
      </c>
      <c r="E1398" s="113" t="s">
        <v>111</v>
      </c>
      <c r="F1398" s="113" t="str">
        <f>_xlfn.XLOOKUP(E1398,'Allocated Transactions'!D:D,'Allocated Transactions'!E:E,"")</f>
        <v>Meals and Entertainment</v>
      </c>
      <c r="G1398" s="113" t="s">
        <v>97</v>
      </c>
      <c r="H1398" s="113"/>
      <c r="I1398" s="113" t="str">
        <f>_xlfn.XLOOKUP($C1398,'Cost Centers'!$A$2:$A$11,'Cost Centers'!$C$2:$C$11,"")</f>
        <v>Programs</v>
      </c>
      <c r="J1398" s="23">
        <f>MROUND(SUMIFS('Allocated Transactions'!$J:$J,'Allocated Transactions'!$D:$D,$E1398,'Allocated Transactions'!$C:$C,$C1398,'Allocated Transactions'!$A:$A,"&gt;="&amp;$A1398,'Allocated Transactions'!$A:$A,"&lt;="&amp;EOMONTH($A1398,0))*0.99,100)</f>
        <v>0</v>
      </c>
      <c r="K1398" s="113" t="s">
        <v>637</v>
      </c>
    </row>
    <row r="1399" spans="1:11" ht="15" customHeight="1">
      <c r="A1399" s="112">
        <f t="shared" si="88"/>
        <v>45992</v>
      </c>
      <c r="B1399" s="113">
        <v>7</v>
      </c>
      <c r="C1399" s="18" t="str">
        <f t="shared" si="90"/>
        <v>2020</v>
      </c>
      <c r="D1399" s="113" t="str">
        <f>_xlfn.XLOOKUP($C1399,'Cost Centers'!$A$2:$A$11,'Cost Centers'!$B$2:$B$11,"")</f>
        <v>MENA</v>
      </c>
      <c r="E1399" s="113" t="s">
        <v>113</v>
      </c>
      <c r="F1399" s="113" t="str">
        <f>_xlfn.XLOOKUP(E1399,'Allocated Transactions'!D:D,'Allocated Transactions'!E:E,"")</f>
        <v>Professional Fees - Legal</v>
      </c>
      <c r="G1399" s="113" t="s">
        <v>97</v>
      </c>
      <c r="H1399" s="113"/>
      <c r="I1399" s="113" t="str">
        <f>_xlfn.XLOOKUP($C1399,'Cost Centers'!$A$2:$A$11,'Cost Centers'!$C$2:$C$11,"")</f>
        <v>Programs</v>
      </c>
      <c r="J1399" s="23">
        <f>MROUND(SUMIFS('Allocated Transactions'!$J:$J,'Allocated Transactions'!$D:$D,$E1399,'Allocated Transactions'!$C:$C,$C1399,'Allocated Transactions'!$A:$A,"&gt;="&amp;$A1399,'Allocated Transactions'!$A:$A,"&lt;="&amp;EOMONTH($A1399,0))*0.99,100)</f>
        <v>0</v>
      </c>
      <c r="K1399" s="113" t="s">
        <v>637</v>
      </c>
    </row>
    <row r="1400" spans="1:11" ht="15" customHeight="1">
      <c r="A1400" s="112">
        <f t="shared" si="88"/>
        <v>45992</v>
      </c>
      <c r="B1400" s="113">
        <v>7</v>
      </c>
      <c r="C1400" s="18" t="str">
        <f t="shared" si="90"/>
        <v>2020</v>
      </c>
      <c r="D1400" s="113" t="str">
        <f>_xlfn.XLOOKUP($C1400,'Cost Centers'!$A$2:$A$11,'Cost Centers'!$B$2:$B$11,"")</f>
        <v>MENA</v>
      </c>
      <c r="E1400" s="113" t="s">
        <v>115</v>
      </c>
      <c r="F1400" s="113" t="str">
        <f>_xlfn.XLOOKUP(E1400,'Allocated Transactions'!D:D,'Allocated Transactions'!E:E,"")</f>
        <v>Professional Fees - Accounting/Audit</v>
      </c>
      <c r="G1400" s="113" t="s">
        <v>97</v>
      </c>
      <c r="H1400" s="113"/>
      <c r="I1400" s="113" t="str">
        <f>_xlfn.XLOOKUP($C1400,'Cost Centers'!$A$2:$A$11,'Cost Centers'!$C$2:$C$11,"")</f>
        <v>Programs</v>
      </c>
      <c r="J1400" s="23">
        <f>MROUND(SUMIFS('Allocated Transactions'!$J:$J,'Allocated Transactions'!$D:$D,$E1400,'Allocated Transactions'!$C:$C,$C1400,'Allocated Transactions'!$A:$A,"&gt;="&amp;$A1400,'Allocated Transactions'!$A:$A,"&lt;="&amp;EOMONTH($A1400,0))*0.99,100)</f>
        <v>0</v>
      </c>
      <c r="K1400" s="113" t="s">
        <v>637</v>
      </c>
    </row>
    <row r="1401" spans="1:11" ht="15" customHeight="1">
      <c r="A1401" s="112">
        <f t="shared" si="88"/>
        <v>45992</v>
      </c>
      <c r="B1401" s="113">
        <v>7</v>
      </c>
      <c r="C1401" s="18" t="str">
        <f t="shared" si="90"/>
        <v>2020</v>
      </c>
      <c r="D1401" s="113" t="str">
        <f>_xlfn.XLOOKUP($C1401,'Cost Centers'!$A$2:$A$11,'Cost Centers'!$B$2:$B$11,"")</f>
        <v>MENA</v>
      </c>
      <c r="E1401" s="113" t="s">
        <v>117</v>
      </c>
      <c r="F1401" s="113" t="str">
        <f>_xlfn.XLOOKUP(E1401,'Allocated Transactions'!D:D,'Allocated Transactions'!E:E,"")</f>
        <v>Insurance</v>
      </c>
      <c r="G1401" s="113" t="s">
        <v>97</v>
      </c>
      <c r="H1401" s="113"/>
      <c r="I1401" s="113" t="str">
        <f>_xlfn.XLOOKUP($C1401,'Cost Centers'!$A$2:$A$11,'Cost Centers'!$C$2:$C$11,"")</f>
        <v>Programs</v>
      </c>
      <c r="J1401" s="23">
        <f>MROUND(SUMIFS('Allocated Transactions'!$J:$J,'Allocated Transactions'!$D:$D,$E1401,'Allocated Transactions'!$C:$C,$C1401,'Allocated Transactions'!$A:$A,"&gt;="&amp;$A1401,'Allocated Transactions'!$A:$A,"&lt;="&amp;EOMONTH($A1401,0))*0.99,100)</f>
        <v>100</v>
      </c>
      <c r="K1401" s="113" t="s">
        <v>637</v>
      </c>
    </row>
    <row r="1402" spans="1:11" ht="15" customHeight="1">
      <c r="A1402" s="112">
        <f t="shared" si="88"/>
        <v>45992</v>
      </c>
      <c r="B1402" s="113">
        <v>7</v>
      </c>
      <c r="C1402" s="18" t="str">
        <f t="shared" si="90"/>
        <v>2020</v>
      </c>
      <c r="D1402" s="113" t="str">
        <f>_xlfn.XLOOKUP($C1402,'Cost Centers'!$A$2:$A$11,'Cost Centers'!$B$2:$B$11,"")</f>
        <v>MENA</v>
      </c>
      <c r="E1402" s="113" t="s">
        <v>119</v>
      </c>
      <c r="F1402" s="113" t="str">
        <f>_xlfn.XLOOKUP(E1402,'Allocated Transactions'!D:D,'Allocated Transactions'!E:E,"")</f>
        <v>Depreciation Expense</v>
      </c>
      <c r="G1402" s="113" t="s">
        <v>97</v>
      </c>
      <c r="H1402" s="113"/>
      <c r="I1402" s="113" t="str">
        <f>_xlfn.XLOOKUP($C1402,'Cost Centers'!$A$2:$A$11,'Cost Centers'!$C$2:$C$11,"")</f>
        <v>Programs</v>
      </c>
      <c r="J1402" s="23">
        <f>MROUND(SUMIFS('Allocated Transactions'!$J:$J,'Allocated Transactions'!$D:$D,$E1402,'Allocated Transactions'!$C:$C,$C1402,'Allocated Transactions'!$A:$A,"&gt;="&amp;$A1402,'Allocated Transactions'!$A:$A,"&lt;="&amp;EOMONTH($A1402,0))*0.99,100)</f>
        <v>0</v>
      </c>
      <c r="K1402" s="113" t="s">
        <v>637</v>
      </c>
    </row>
    <row r="1403" spans="1:11" ht="15" customHeight="1">
      <c r="A1403" s="112">
        <f t="shared" si="88"/>
        <v>45992</v>
      </c>
      <c r="B1403" s="113">
        <v>7</v>
      </c>
      <c r="C1403" s="18" t="str">
        <f t="shared" si="90"/>
        <v>2020</v>
      </c>
      <c r="D1403" s="113" t="str">
        <f>_xlfn.XLOOKUP($C1403,'Cost Centers'!$A$2:$A$11,'Cost Centers'!$B$2:$B$11,"")</f>
        <v>MENA</v>
      </c>
      <c r="E1403" s="113" t="s">
        <v>121</v>
      </c>
      <c r="F1403" s="113" t="str">
        <f>_xlfn.XLOOKUP(E1403,'Allocated Transactions'!D:D,'Allocated Transactions'!E:E,"")</f>
        <v>Bank Fees</v>
      </c>
      <c r="G1403" s="113" t="s">
        <v>97</v>
      </c>
      <c r="H1403" s="113"/>
      <c r="I1403" s="113" t="str">
        <f>_xlfn.XLOOKUP($C1403,'Cost Centers'!$A$2:$A$11,'Cost Centers'!$C$2:$C$11,"")</f>
        <v>Programs</v>
      </c>
      <c r="J1403" s="23">
        <f>MROUND(SUMIFS('Allocated Transactions'!$J:$J,'Allocated Transactions'!$D:$D,$E1403,'Allocated Transactions'!$C:$C,$C1403,'Allocated Transactions'!$A:$A,"&gt;="&amp;$A1403,'Allocated Transactions'!$A:$A,"&lt;="&amp;EOMONTH($A1403,0))*0.99,100)</f>
        <v>0</v>
      </c>
      <c r="K1403" s="113" t="s">
        <v>637</v>
      </c>
    </row>
    <row r="1404" spans="1:11" ht="15" customHeight="1">
      <c r="A1404" s="112">
        <f t="shared" si="88"/>
        <v>45992</v>
      </c>
      <c r="B1404" s="113">
        <v>7</v>
      </c>
      <c r="C1404" s="18" t="str">
        <f t="shared" si="90"/>
        <v>2020</v>
      </c>
      <c r="D1404" s="113" t="str">
        <f>_xlfn.XLOOKUP($C1404,'Cost Centers'!$A$2:$A$11,'Cost Centers'!$B$2:$B$11,"")</f>
        <v>MENA</v>
      </c>
      <c r="E1404" s="113" t="s">
        <v>123</v>
      </c>
      <c r="F1404" s="113" t="str">
        <f>_xlfn.XLOOKUP(E1404,'Allocated Transactions'!D:D,'Allocated Transactions'!E:E,"")</f>
        <v>Interest Expense</v>
      </c>
      <c r="G1404" s="113" t="s">
        <v>97</v>
      </c>
      <c r="H1404" s="113"/>
      <c r="I1404" s="113" t="str">
        <f>_xlfn.XLOOKUP($C1404,'Cost Centers'!$A$2:$A$11,'Cost Centers'!$C$2:$C$11,"")</f>
        <v>Programs</v>
      </c>
      <c r="J1404" s="23">
        <f>MROUND(SUMIFS('Allocated Transactions'!$J:$J,'Allocated Transactions'!$D:$D,$E1404,'Allocated Transactions'!$C:$C,$C1404,'Allocated Transactions'!$A:$A,"&gt;="&amp;$A1404,'Allocated Transactions'!$A:$A,"&lt;="&amp;EOMONTH($A1404,0))*0.99,100)</f>
        <v>0</v>
      </c>
      <c r="K1404" s="113" t="s">
        <v>637</v>
      </c>
    </row>
    <row r="1405" spans="1:11" ht="15" customHeight="1">
      <c r="A1405" s="112">
        <f t="shared" si="88"/>
        <v>45992</v>
      </c>
      <c r="B1405" s="113">
        <v>7</v>
      </c>
      <c r="C1405" s="18" t="str">
        <f t="shared" si="90"/>
        <v>2020</v>
      </c>
      <c r="D1405" s="113" t="str">
        <f>_xlfn.XLOOKUP($C1405,'Cost Centers'!$A$2:$A$11,'Cost Centers'!$B$2:$B$11,"")</f>
        <v>MENA</v>
      </c>
      <c r="E1405" s="113" t="s">
        <v>125</v>
      </c>
      <c r="F1405" s="113" t="str">
        <f>_xlfn.XLOOKUP(E1405,'Allocated Transactions'!D:D,'Allocated Transactions'!E:E,"")</f>
        <v>Miscellaneous Expense</v>
      </c>
      <c r="G1405" s="113" t="s">
        <v>97</v>
      </c>
      <c r="H1405" s="113"/>
      <c r="I1405" s="113" t="str">
        <f>_xlfn.XLOOKUP($C1405,'Cost Centers'!$A$2:$A$11,'Cost Centers'!$C$2:$C$11,"")</f>
        <v>Programs</v>
      </c>
      <c r="J1405" s="23">
        <f>MROUND(SUMIFS('Allocated Transactions'!$J:$J,'Allocated Transactions'!$D:$D,$E1405,'Allocated Transactions'!$C:$C,$C1405,'Allocated Transactions'!$A:$A,"&gt;="&amp;$A1405,'Allocated Transactions'!$A:$A,"&lt;="&amp;EOMONTH($A1405,0))*0.99,100)</f>
        <v>0</v>
      </c>
      <c r="K1405" s="113" t="s">
        <v>637</v>
      </c>
    </row>
    <row r="1406" spans="1:11" ht="15" customHeight="1">
      <c r="A1406" s="112">
        <f t="shared" si="88"/>
        <v>46023</v>
      </c>
      <c r="B1406" s="113">
        <v>7</v>
      </c>
      <c r="C1406" s="18" t="s">
        <v>14</v>
      </c>
      <c r="D1406" s="113" t="str">
        <f>_xlfn.XLOOKUP($C1406,'Cost Centers'!$A$2:$A$11,'Cost Centers'!$B$2:$B$11,"")</f>
        <v>MENA</v>
      </c>
      <c r="E1406" s="113" t="s">
        <v>28</v>
      </c>
      <c r="F1406" s="113" t="str">
        <f>_xlfn.XLOOKUP(E1406,'Allocated Transactions'!D:D,'Allocated Transactions'!E:E,"")</f>
        <v>Salaries and Wages</v>
      </c>
      <c r="G1406" s="113" t="s">
        <v>97</v>
      </c>
      <c r="H1406" s="113"/>
      <c r="I1406" s="113" t="str">
        <f>_xlfn.XLOOKUP($C1406,'Cost Centers'!$A$2:$A$11,'Cost Centers'!$C$2:$C$11,"")</f>
        <v>Programs</v>
      </c>
      <c r="J1406" s="23">
        <f>MROUND(SUMIFS('Allocated Transactions'!$J:$J,'Allocated Transactions'!$D:$D,$E1406,'Allocated Transactions'!$C:$C,$C1406,'Allocated Transactions'!$A:$A,"&gt;="&amp;$A1406,'Allocated Transactions'!$A:$A,"&lt;="&amp;EOMONTH($A1406,0))*0.99,100)</f>
        <v>19900</v>
      </c>
      <c r="K1406" s="113" t="s">
        <v>637</v>
      </c>
    </row>
    <row r="1407" spans="1:11" ht="15" customHeight="1">
      <c r="A1407" s="112">
        <f t="shared" si="88"/>
        <v>46023</v>
      </c>
      <c r="B1407" s="113">
        <v>7</v>
      </c>
      <c r="C1407" s="18" t="str">
        <f t="shared" ref="C1407:C1423" si="91">C1406</f>
        <v>2020</v>
      </c>
      <c r="D1407" s="113" t="str">
        <f>_xlfn.XLOOKUP($C1407,'Cost Centers'!$A$2:$A$11,'Cost Centers'!$B$2:$B$11,"")</f>
        <v>MENA</v>
      </c>
      <c r="E1407" s="113" t="s">
        <v>29</v>
      </c>
      <c r="F1407" s="113" t="str">
        <f>_xlfn.XLOOKUP(E1407,'Allocated Transactions'!D:D,'Allocated Transactions'!E:E,"")</f>
        <v>Payroll Taxes</v>
      </c>
      <c r="G1407" s="113" t="s">
        <v>97</v>
      </c>
      <c r="H1407" s="113"/>
      <c r="I1407" s="113" t="str">
        <f>_xlfn.XLOOKUP($C1407,'Cost Centers'!$A$2:$A$11,'Cost Centers'!$C$2:$C$11,"")</f>
        <v>Programs</v>
      </c>
      <c r="J1407" s="23">
        <f>MROUND(SUMIFS('Allocated Transactions'!$J:$J,'Allocated Transactions'!$D:$D,$E1407,'Allocated Transactions'!$C:$C,$C1407,'Allocated Transactions'!$A:$A,"&gt;="&amp;$A1407,'Allocated Transactions'!$A:$A,"&lt;="&amp;EOMONTH($A1407,0))*0.99,100)</f>
        <v>1500</v>
      </c>
      <c r="K1407" s="113" t="s">
        <v>637</v>
      </c>
    </row>
    <row r="1408" spans="1:11" ht="15" customHeight="1">
      <c r="A1408" s="112">
        <f t="shared" si="88"/>
        <v>46023</v>
      </c>
      <c r="B1408" s="113">
        <v>7</v>
      </c>
      <c r="C1408" s="18" t="str">
        <f t="shared" si="91"/>
        <v>2020</v>
      </c>
      <c r="D1408" s="113" t="str">
        <f>_xlfn.XLOOKUP($C1408,'Cost Centers'!$A$2:$A$11,'Cost Centers'!$B$2:$B$11,"")</f>
        <v>MENA</v>
      </c>
      <c r="E1408" s="113" t="s">
        <v>30</v>
      </c>
      <c r="F1408" s="113" t="str">
        <f>_xlfn.XLOOKUP(E1408,'Allocated Transactions'!D:D,'Allocated Transactions'!E:E,"")</f>
        <v>Employee Benefits</v>
      </c>
      <c r="G1408" s="113" t="s">
        <v>97</v>
      </c>
      <c r="H1408" s="113"/>
      <c r="I1408" s="113" t="str">
        <f>_xlfn.XLOOKUP($C1408,'Cost Centers'!$A$2:$A$11,'Cost Centers'!$C$2:$C$11,"")</f>
        <v>Programs</v>
      </c>
      <c r="J1408" s="23">
        <f>MROUND(SUMIFS('Allocated Transactions'!$J:$J,'Allocated Transactions'!$D:$D,$E1408,'Allocated Transactions'!$C:$C,$C1408,'Allocated Transactions'!$A:$A,"&gt;="&amp;$A1408,'Allocated Transactions'!$A:$A,"&lt;="&amp;EOMONTH($A1408,0))*0.99,100)</f>
        <v>7100</v>
      </c>
      <c r="K1408" s="113" t="s">
        <v>637</v>
      </c>
    </row>
    <row r="1409" spans="1:11" ht="15" customHeight="1">
      <c r="A1409" s="112">
        <f t="shared" si="88"/>
        <v>46023</v>
      </c>
      <c r="B1409" s="113">
        <v>7</v>
      </c>
      <c r="C1409" s="18" t="str">
        <f t="shared" si="91"/>
        <v>2020</v>
      </c>
      <c r="D1409" s="113" t="str">
        <f>_xlfn.XLOOKUP($C1409,'Cost Centers'!$A$2:$A$11,'Cost Centers'!$B$2:$B$11,"")</f>
        <v>MENA</v>
      </c>
      <c r="E1409" s="113" t="s">
        <v>31</v>
      </c>
      <c r="F1409" s="113" t="str">
        <f>_xlfn.XLOOKUP(E1409,'Allocated Transactions'!D:D,'Allocated Transactions'!E:E,"")</f>
        <v>Retirement Contributions</v>
      </c>
      <c r="G1409" s="113" t="s">
        <v>97</v>
      </c>
      <c r="H1409" s="113"/>
      <c r="I1409" s="113" t="str">
        <f>_xlfn.XLOOKUP($C1409,'Cost Centers'!$A$2:$A$11,'Cost Centers'!$C$2:$C$11,"")</f>
        <v>Programs</v>
      </c>
      <c r="J1409" s="23">
        <f>MROUND(SUMIFS('Allocated Transactions'!$J:$J,'Allocated Transactions'!$D:$D,$E1409,'Allocated Transactions'!$C:$C,$C1409,'Allocated Transactions'!$A:$A,"&gt;="&amp;$A1409,'Allocated Transactions'!$A:$A,"&lt;="&amp;EOMONTH($A1409,0))*0.99,100)</f>
        <v>600</v>
      </c>
      <c r="K1409" s="113" t="s">
        <v>637</v>
      </c>
    </row>
    <row r="1410" spans="1:11" ht="15" customHeight="1">
      <c r="A1410" s="112">
        <f t="shared" si="88"/>
        <v>46023</v>
      </c>
      <c r="B1410" s="113">
        <v>7</v>
      </c>
      <c r="C1410" s="18" t="str">
        <f t="shared" si="91"/>
        <v>2020</v>
      </c>
      <c r="D1410" s="113" t="str">
        <f>_xlfn.XLOOKUP($C1410,'Cost Centers'!$A$2:$A$11,'Cost Centers'!$B$2:$B$11,"")</f>
        <v>MENA</v>
      </c>
      <c r="E1410" s="113" t="s">
        <v>101</v>
      </c>
      <c r="F1410" s="113" t="str">
        <f>_xlfn.XLOOKUP(E1410,'Allocated Transactions'!D:D,'Allocated Transactions'!E:E,"")</f>
        <v>Contract Labor / Consultants</v>
      </c>
      <c r="G1410" s="113" t="s">
        <v>97</v>
      </c>
      <c r="H1410" s="113"/>
      <c r="I1410" s="113" t="str">
        <f>_xlfn.XLOOKUP($C1410,'Cost Centers'!$A$2:$A$11,'Cost Centers'!$C$2:$C$11,"")</f>
        <v>Programs</v>
      </c>
      <c r="J1410" s="23">
        <f>MROUND(SUMIFS('Allocated Transactions'!$J:$J,'Allocated Transactions'!$D:$D,$E1410,'Allocated Transactions'!$C:$C,$C1410,'Allocated Transactions'!$A:$A,"&gt;="&amp;$A1410,'Allocated Transactions'!$A:$A,"&lt;="&amp;EOMONTH($A1410,0))*0.99,100)</f>
        <v>0</v>
      </c>
      <c r="K1410" s="113" t="s">
        <v>637</v>
      </c>
    </row>
    <row r="1411" spans="1:11" ht="15" customHeight="1">
      <c r="A1411" s="112">
        <f t="shared" si="88"/>
        <v>46023</v>
      </c>
      <c r="B1411" s="113">
        <v>7</v>
      </c>
      <c r="C1411" s="18" t="str">
        <f t="shared" si="91"/>
        <v>2020</v>
      </c>
      <c r="D1411" s="113" t="str">
        <f>_xlfn.XLOOKUP($C1411,'Cost Centers'!$A$2:$A$11,'Cost Centers'!$B$2:$B$11,"")</f>
        <v>MENA</v>
      </c>
      <c r="E1411" s="113" t="s">
        <v>32</v>
      </c>
      <c r="F1411" s="113" t="str">
        <f>_xlfn.XLOOKUP(E1411,'Allocated Transactions'!D:D,'Allocated Transactions'!E:E,"")</f>
        <v>Rent</v>
      </c>
      <c r="G1411" s="113" t="s">
        <v>97</v>
      </c>
      <c r="H1411" s="113"/>
      <c r="I1411" s="113" t="str">
        <f>_xlfn.XLOOKUP($C1411,'Cost Centers'!$A$2:$A$11,'Cost Centers'!$C$2:$C$11,"")</f>
        <v>Programs</v>
      </c>
      <c r="J1411" s="23">
        <f>MROUND(SUMIFS('Allocated Transactions'!$J:$J,'Allocated Transactions'!$D:$D,$E1411,'Allocated Transactions'!$C:$C,$C1411,'Allocated Transactions'!$A:$A,"&gt;="&amp;$A1411,'Allocated Transactions'!$A:$A,"&lt;="&amp;EOMONTH($A1411,0))*0.99,100)</f>
        <v>1600</v>
      </c>
      <c r="K1411" s="113" t="s">
        <v>637</v>
      </c>
    </row>
    <row r="1412" spans="1:11" ht="15" customHeight="1">
      <c r="A1412" s="112">
        <f t="shared" si="88"/>
        <v>46023</v>
      </c>
      <c r="B1412" s="113">
        <v>7</v>
      </c>
      <c r="C1412" s="18" t="str">
        <f t="shared" si="91"/>
        <v>2020</v>
      </c>
      <c r="D1412" s="113" t="str">
        <f>_xlfn.XLOOKUP($C1412,'Cost Centers'!$A$2:$A$11,'Cost Centers'!$B$2:$B$11,"")</f>
        <v>MENA</v>
      </c>
      <c r="E1412" s="113" t="s">
        <v>33</v>
      </c>
      <c r="F1412" s="113" t="str">
        <f>_xlfn.XLOOKUP(E1412,'Allocated Transactions'!D:D,'Allocated Transactions'!E:E,"")</f>
        <v>Utilities</v>
      </c>
      <c r="G1412" s="113" t="s">
        <v>97</v>
      </c>
      <c r="H1412" s="113"/>
      <c r="I1412" s="113" t="str">
        <f>_xlfn.XLOOKUP($C1412,'Cost Centers'!$A$2:$A$11,'Cost Centers'!$C$2:$C$11,"")</f>
        <v>Programs</v>
      </c>
      <c r="J1412" s="23">
        <f>MROUND(SUMIFS('Allocated Transactions'!$J:$J,'Allocated Transactions'!$D:$D,$E1412,'Allocated Transactions'!$C:$C,$C1412,'Allocated Transactions'!$A:$A,"&gt;="&amp;$A1412,'Allocated Transactions'!$A:$A,"&lt;="&amp;EOMONTH($A1412,0))*0.99,100)</f>
        <v>200</v>
      </c>
      <c r="K1412" s="113" t="s">
        <v>637</v>
      </c>
    </row>
    <row r="1413" spans="1:11" ht="15" customHeight="1">
      <c r="A1413" s="112">
        <f t="shared" si="88"/>
        <v>46023</v>
      </c>
      <c r="B1413" s="113">
        <v>7</v>
      </c>
      <c r="C1413" s="18" t="str">
        <f t="shared" si="91"/>
        <v>2020</v>
      </c>
      <c r="D1413" s="113" t="str">
        <f>_xlfn.XLOOKUP($C1413,'Cost Centers'!$A$2:$A$11,'Cost Centers'!$B$2:$B$11,"")</f>
        <v>MENA</v>
      </c>
      <c r="E1413" s="113" t="s">
        <v>105</v>
      </c>
      <c r="F1413" s="113" t="str">
        <f>_xlfn.XLOOKUP(E1413,'Allocated Transactions'!D:D,'Allocated Transactions'!E:E,"")</f>
        <v>Office Supplies</v>
      </c>
      <c r="G1413" s="113" t="s">
        <v>97</v>
      </c>
      <c r="H1413" s="113"/>
      <c r="I1413" s="113" t="str">
        <f>_xlfn.XLOOKUP($C1413,'Cost Centers'!$A$2:$A$11,'Cost Centers'!$C$2:$C$11,"")</f>
        <v>Programs</v>
      </c>
      <c r="J1413" s="23">
        <f>MROUND(SUMIFS('Allocated Transactions'!$J:$J,'Allocated Transactions'!$D:$D,$E1413,'Allocated Transactions'!$C:$C,$C1413,'Allocated Transactions'!$A:$A,"&gt;="&amp;$A1413,'Allocated Transactions'!$A:$A,"&lt;="&amp;EOMONTH($A1413,0))*0.99,100)</f>
        <v>200</v>
      </c>
      <c r="K1413" s="113" t="s">
        <v>637</v>
      </c>
    </row>
    <row r="1414" spans="1:11" ht="15" customHeight="1">
      <c r="A1414" s="112">
        <f t="shared" si="88"/>
        <v>46023</v>
      </c>
      <c r="B1414" s="113">
        <v>7</v>
      </c>
      <c r="C1414" s="18" t="str">
        <f t="shared" si="91"/>
        <v>2020</v>
      </c>
      <c r="D1414" s="113" t="str">
        <f>_xlfn.XLOOKUP($C1414,'Cost Centers'!$A$2:$A$11,'Cost Centers'!$B$2:$B$11,"")</f>
        <v>MENA</v>
      </c>
      <c r="E1414" s="113" t="s">
        <v>107</v>
      </c>
      <c r="F1414" s="113" t="str">
        <f>_xlfn.XLOOKUP(E1414,'Allocated Transactions'!D:D,'Allocated Transactions'!E:E,"")</f>
        <v>Software and Subscriptions</v>
      </c>
      <c r="G1414" s="113" t="s">
        <v>97</v>
      </c>
      <c r="H1414" s="113"/>
      <c r="I1414" s="113" t="str">
        <f>_xlfn.XLOOKUP($C1414,'Cost Centers'!$A$2:$A$11,'Cost Centers'!$C$2:$C$11,"")</f>
        <v>Programs</v>
      </c>
      <c r="J1414" s="23">
        <f>MROUND(SUMIFS('Allocated Transactions'!$J:$J,'Allocated Transactions'!$D:$D,$E1414,'Allocated Transactions'!$C:$C,$C1414,'Allocated Transactions'!$A:$A,"&gt;="&amp;$A1414,'Allocated Transactions'!$A:$A,"&lt;="&amp;EOMONTH($A1414,0))*0.99,100)</f>
        <v>0</v>
      </c>
      <c r="K1414" s="113" t="s">
        <v>637</v>
      </c>
    </row>
    <row r="1415" spans="1:11" ht="15" customHeight="1">
      <c r="A1415" s="112">
        <f t="shared" si="88"/>
        <v>46023</v>
      </c>
      <c r="B1415" s="113">
        <v>7</v>
      </c>
      <c r="C1415" s="18" t="str">
        <f t="shared" si="91"/>
        <v>2020</v>
      </c>
      <c r="D1415" s="113" t="str">
        <f>_xlfn.XLOOKUP($C1415,'Cost Centers'!$A$2:$A$11,'Cost Centers'!$B$2:$B$11,"")</f>
        <v>MENA</v>
      </c>
      <c r="E1415" s="113" t="s">
        <v>109</v>
      </c>
      <c r="F1415" s="113" t="str">
        <f>_xlfn.XLOOKUP(E1415,'Allocated Transactions'!D:D,'Allocated Transactions'!E:E,"")</f>
        <v>Travel</v>
      </c>
      <c r="G1415" s="113" t="s">
        <v>97</v>
      </c>
      <c r="H1415" s="113"/>
      <c r="I1415" s="113" t="str">
        <f>_xlfn.XLOOKUP($C1415,'Cost Centers'!$A$2:$A$11,'Cost Centers'!$C$2:$C$11,"")</f>
        <v>Programs</v>
      </c>
      <c r="J1415" s="23">
        <f>MROUND(SUMIFS('Allocated Transactions'!$J:$J,'Allocated Transactions'!$D:$D,$E1415,'Allocated Transactions'!$C:$C,$C1415,'Allocated Transactions'!$A:$A,"&gt;="&amp;$A1415,'Allocated Transactions'!$A:$A,"&lt;="&amp;EOMONTH($A1415,0))*0.99,100)</f>
        <v>0</v>
      </c>
      <c r="K1415" s="113" t="s">
        <v>637</v>
      </c>
    </row>
    <row r="1416" spans="1:11" ht="15" customHeight="1">
      <c r="A1416" s="112">
        <f t="shared" si="88"/>
        <v>46023</v>
      </c>
      <c r="B1416" s="113">
        <v>7</v>
      </c>
      <c r="C1416" s="18" t="str">
        <f t="shared" si="91"/>
        <v>2020</v>
      </c>
      <c r="D1416" s="113" t="str">
        <f>_xlfn.XLOOKUP($C1416,'Cost Centers'!$A$2:$A$11,'Cost Centers'!$B$2:$B$11,"")</f>
        <v>MENA</v>
      </c>
      <c r="E1416" s="113" t="s">
        <v>111</v>
      </c>
      <c r="F1416" s="113" t="str">
        <f>_xlfn.XLOOKUP(E1416,'Allocated Transactions'!D:D,'Allocated Transactions'!E:E,"")</f>
        <v>Meals and Entertainment</v>
      </c>
      <c r="G1416" s="113" t="s">
        <v>97</v>
      </c>
      <c r="H1416" s="113"/>
      <c r="I1416" s="113" t="str">
        <f>_xlfn.XLOOKUP($C1416,'Cost Centers'!$A$2:$A$11,'Cost Centers'!$C$2:$C$11,"")</f>
        <v>Programs</v>
      </c>
      <c r="J1416" s="23">
        <f>MROUND(SUMIFS('Allocated Transactions'!$J:$J,'Allocated Transactions'!$D:$D,$E1416,'Allocated Transactions'!$C:$C,$C1416,'Allocated Transactions'!$A:$A,"&gt;="&amp;$A1416,'Allocated Transactions'!$A:$A,"&lt;="&amp;EOMONTH($A1416,0))*0.99,100)</f>
        <v>0</v>
      </c>
      <c r="K1416" s="113" t="s">
        <v>637</v>
      </c>
    </row>
    <row r="1417" spans="1:11" ht="15" customHeight="1">
      <c r="A1417" s="112">
        <f t="shared" si="88"/>
        <v>46023</v>
      </c>
      <c r="B1417" s="113">
        <v>7</v>
      </c>
      <c r="C1417" s="18" t="str">
        <f t="shared" si="91"/>
        <v>2020</v>
      </c>
      <c r="D1417" s="113" t="str">
        <f>_xlfn.XLOOKUP($C1417,'Cost Centers'!$A$2:$A$11,'Cost Centers'!$B$2:$B$11,"")</f>
        <v>MENA</v>
      </c>
      <c r="E1417" s="113" t="s">
        <v>113</v>
      </c>
      <c r="F1417" s="113" t="str">
        <f>_xlfn.XLOOKUP(E1417,'Allocated Transactions'!D:D,'Allocated Transactions'!E:E,"")</f>
        <v>Professional Fees - Legal</v>
      </c>
      <c r="G1417" s="113" t="s">
        <v>97</v>
      </c>
      <c r="H1417" s="113"/>
      <c r="I1417" s="113" t="str">
        <f>_xlfn.XLOOKUP($C1417,'Cost Centers'!$A$2:$A$11,'Cost Centers'!$C$2:$C$11,"")</f>
        <v>Programs</v>
      </c>
      <c r="J1417" s="23">
        <f>MROUND(SUMIFS('Allocated Transactions'!$J:$J,'Allocated Transactions'!$D:$D,$E1417,'Allocated Transactions'!$C:$C,$C1417,'Allocated Transactions'!$A:$A,"&gt;="&amp;$A1417,'Allocated Transactions'!$A:$A,"&lt;="&amp;EOMONTH($A1417,0))*0.99,100)</f>
        <v>0</v>
      </c>
      <c r="K1417" s="113" t="s">
        <v>637</v>
      </c>
    </row>
    <row r="1418" spans="1:11" ht="15" customHeight="1">
      <c r="A1418" s="112">
        <f t="shared" si="88"/>
        <v>46023</v>
      </c>
      <c r="B1418" s="113">
        <v>7</v>
      </c>
      <c r="C1418" s="18" t="str">
        <f t="shared" si="91"/>
        <v>2020</v>
      </c>
      <c r="D1418" s="113" t="str">
        <f>_xlfn.XLOOKUP($C1418,'Cost Centers'!$A$2:$A$11,'Cost Centers'!$B$2:$B$11,"")</f>
        <v>MENA</v>
      </c>
      <c r="E1418" s="113" t="s">
        <v>115</v>
      </c>
      <c r="F1418" s="113" t="str">
        <f>_xlfn.XLOOKUP(E1418,'Allocated Transactions'!D:D,'Allocated Transactions'!E:E,"")</f>
        <v>Professional Fees - Accounting/Audit</v>
      </c>
      <c r="G1418" s="113" t="s">
        <v>97</v>
      </c>
      <c r="H1418" s="113"/>
      <c r="I1418" s="113" t="str">
        <f>_xlfn.XLOOKUP($C1418,'Cost Centers'!$A$2:$A$11,'Cost Centers'!$C$2:$C$11,"")</f>
        <v>Programs</v>
      </c>
      <c r="J1418" s="23">
        <f>MROUND(SUMIFS('Allocated Transactions'!$J:$J,'Allocated Transactions'!$D:$D,$E1418,'Allocated Transactions'!$C:$C,$C1418,'Allocated Transactions'!$A:$A,"&gt;="&amp;$A1418,'Allocated Transactions'!$A:$A,"&lt;="&amp;EOMONTH($A1418,0))*0.99,100)</f>
        <v>0</v>
      </c>
      <c r="K1418" s="113" t="s">
        <v>637</v>
      </c>
    </row>
    <row r="1419" spans="1:11" ht="15" customHeight="1">
      <c r="A1419" s="112">
        <f t="shared" si="88"/>
        <v>46023</v>
      </c>
      <c r="B1419" s="113">
        <v>7</v>
      </c>
      <c r="C1419" s="18" t="str">
        <f t="shared" si="91"/>
        <v>2020</v>
      </c>
      <c r="D1419" s="113" t="str">
        <f>_xlfn.XLOOKUP($C1419,'Cost Centers'!$A$2:$A$11,'Cost Centers'!$B$2:$B$11,"")</f>
        <v>MENA</v>
      </c>
      <c r="E1419" s="113" t="s">
        <v>117</v>
      </c>
      <c r="F1419" s="113" t="str">
        <f>_xlfn.XLOOKUP(E1419,'Allocated Transactions'!D:D,'Allocated Transactions'!E:E,"")</f>
        <v>Insurance</v>
      </c>
      <c r="G1419" s="113" t="s">
        <v>97</v>
      </c>
      <c r="H1419" s="113"/>
      <c r="I1419" s="113" t="str">
        <f>_xlfn.XLOOKUP($C1419,'Cost Centers'!$A$2:$A$11,'Cost Centers'!$C$2:$C$11,"")</f>
        <v>Programs</v>
      </c>
      <c r="J1419" s="23">
        <f>MROUND(SUMIFS('Allocated Transactions'!$J:$J,'Allocated Transactions'!$D:$D,$E1419,'Allocated Transactions'!$C:$C,$C1419,'Allocated Transactions'!$A:$A,"&gt;="&amp;$A1419,'Allocated Transactions'!$A:$A,"&lt;="&amp;EOMONTH($A1419,0))*0.99,100)</f>
        <v>100</v>
      </c>
      <c r="K1419" s="113" t="s">
        <v>637</v>
      </c>
    </row>
    <row r="1420" spans="1:11" ht="15" customHeight="1">
      <c r="A1420" s="112">
        <f t="shared" si="88"/>
        <v>46023</v>
      </c>
      <c r="B1420" s="113">
        <v>7</v>
      </c>
      <c r="C1420" s="18" t="str">
        <f t="shared" si="91"/>
        <v>2020</v>
      </c>
      <c r="D1420" s="113" t="str">
        <f>_xlfn.XLOOKUP($C1420,'Cost Centers'!$A$2:$A$11,'Cost Centers'!$B$2:$B$11,"")</f>
        <v>MENA</v>
      </c>
      <c r="E1420" s="113" t="s">
        <v>119</v>
      </c>
      <c r="F1420" s="113" t="str">
        <f>_xlfn.XLOOKUP(E1420,'Allocated Transactions'!D:D,'Allocated Transactions'!E:E,"")</f>
        <v>Depreciation Expense</v>
      </c>
      <c r="G1420" s="113" t="s">
        <v>97</v>
      </c>
      <c r="H1420" s="113"/>
      <c r="I1420" s="113" t="str">
        <f>_xlfn.XLOOKUP($C1420,'Cost Centers'!$A$2:$A$11,'Cost Centers'!$C$2:$C$11,"")</f>
        <v>Programs</v>
      </c>
      <c r="J1420" s="23">
        <f>MROUND(SUMIFS('Allocated Transactions'!$J:$J,'Allocated Transactions'!$D:$D,$E1420,'Allocated Transactions'!$C:$C,$C1420,'Allocated Transactions'!$A:$A,"&gt;="&amp;$A1420,'Allocated Transactions'!$A:$A,"&lt;="&amp;EOMONTH($A1420,0))*0.99,100)</f>
        <v>0</v>
      </c>
      <c r="K1420" s="113" t="s">
        <v>637</v>
      </c>
    </row>
    <row r="1421" spans="1:11" ht="15" customHeight="1">
      <c r="A1421" s="112">
        <f t="shared" si="88"/>
        <v>46023</v>
      </c>
      <c r="B1421" s="113">
        <v>7</v>
      </c>
      <c r="C1421" s="18" t="str">
        <f t="shared" si="91"/>
        <v>2020</v>
      </c>
      <c r="D1421" s="113" t="str">
        <f>_xlfn.XLOOKUP($C1421,'Cost Centers'!$A$2:$A$11,'Cost Centers'!$B$2:$B$11,"")</f>
        <v>MENA</v>
      </c>
      <c r="E1421" s="113" t="s">
        <v>121</v>
      </c>
      <c r="F1421" s="113" t="str">
        <f>_xlfn.XLOOKUP(E1421,'Allocated Transactions'!D:D,'Allocated Transactions'!E:E,"")</f>
        <v>Bank Fees</v>
      </c>
      <c r="G1421" s="113" t="s">
        <v>97</v>
      </c>
      <c r="H1421" s="113"/>
      <c r="I1421" s="113" t="str">
        <f>_xlfn.XLOOKUP($C1421,'Cost Centers'!$A$2:$A$11,'Cost Centers'!$C$2:$C$11,"")</f>
        <v>Programs</v>
      </c>
      <c r="J1421" s="23">
        <f>MROUND(SUMIFS('Allocated Transactions'!$J:$J,'Allocated Transactions'!$D:$D,$E1421,'Allocated Transactions'!$C:$C,$C1421,'Allocated Transactions'!$A:$A,"&gt;="&amp;$A1421,'Allocated Transactions'!$A:$A,"&lt;="&amp;EOMONTH($A1421,0))*0.99,100)</f>
        <v>0</v>
      </c>
      <c r="K1421" s="113" t="s">
        <v>637</v>
      </c>
    </row>
    <row r="1422" spans="1:11" ht="15" customHeight="1">
      <c r="A1422" s="112">
        <f t="shared" si="88"/>
        <v>46023</v>
      </c>
      <c r="B1422" s="113">
        <v>7</v>
      </c>
      <c r="C1422" s="18" t="str">
        <f t="shared" si="91"/>
        <v>2020</v>
      </c>
      <c r="D1422" s="113" t="str">
        <f>_xlfn.XLOOKUP($C1422,'Cost Centers'!$A$2:$A$11,'Cost Centers'!$B$2:$B$11,"")</f>
        <v>MENA</v>
      </c>
      <c r="E1422" s="113" t="s">
        <v>123</v>
      </c>
      <c r="F1422" s="113" t="str">
        <f>_xlfn.XLOOKUP(E1422,'Allocated Transactions'!D:D,'Allocated Transactions'!E:E,"")</f>
        <v>Interest Expense</v>
      </c>
      <c r="G1422" s="113" t="s">
        <v>97</v>
      </c>
      <c r="H1422" s="113"/>
      <c r="I1422" s="113" t="str">
        <f>_xlfn.XLOOKUP($C1422,'Cost Centers'!$A$2:$A$11,'Cost Centers'!$C$2:$C$11,"")</f>
        <v>Programs</v>
      </c>
      <c r="J1422" s="23">
        <f>MROUND(SUMIFS('Allocated Transactions'!$J:$J,'Allocated Transactions'!$D:$D,$E1422,'Allocated Transactions'!$C:$C,$C1422,'Allocated Transactions'!$A:$A,"&gt;="&amp;$A1422,'Allocated Transactions'!$A:$A,"&lt;="&amp;EOMONTH($A1422,0))*0.99,100)</f>
        <v>0</v>
      </c>
      <c r="K1422" s="113" t="s">
        <v>637</v>
      </c>
    </row>
    <row r="1423" spans="1:11" ht="15" customHeight="1">
      <c r="A1423" s="112">
        <f t="shared" si="88"/>
        <v>46023</v>
      </c>
      <c r="B1423" s="113">
        <v>7</v>
      </c>
      <c r="C1423" s="18" t="str">
        <f t="shared" si="91"/>
        <v>2020</v>
      </c>
      <c r="D1423" s="113" t="str">
        <f>_xlfn.XLOOKUP($C1423,'Cost Centers'!$A$2:$A$11,'Cost Centers'!$B$2:$B$11,"")</f>
        <v>MENA</v>
      </c>
      <c r="E1423" s="113" t="s">
        <v>125</v>
      </c>
      <c r="F1423" s="113" t="str">
        <f>_xlfn.XLOOKUP(E1423,'Allocated Transactions'!D:D,'Allocated Transactions'!E:E,"")</f>
        <v>Miscellaneous Expense</v>
      </c>
      <c r="G1423" s="113" t="s">
        <v>97</v>
      </c>
      <c r="H1423" s="113"/>
      <c r="I1423" s="113" t="str">
        <f>_xlfn.XLOOKUP($C1423,'Cost Centers'!$A$2:$A$11,'Cost Centers'!$C$2:$C$11,"")</f>
        <v>Programs</v>
      </c>
      <c r="J1423" s="23">
        <f>MROUND(SUMIFS('Allocated Transactions'!$J:$J,'Allocated Transactions'!$D:$D,$E1423,'Allocated Transactions'!$C:$C,$C1423,'Allocated Transactions'!$A:$A,"&gt;="&amp;$A1423,'Allocated Transactions'!$A:$A,"&lt;="&amp;EOMONTH($A1423,0))*0.99,100)</f>
        <v>0</v>
      </c>
      <c r="K1423" s="113" t="s">
        <v>637</v>
      </c>
    </row>
    <row r="1424" spans="1:11" ht="15" customHeight="1">
      <c r="A1424" s="112">
        <f t="shared" si="88"/>
        <v>46054</v>
      </c>
      <c r="B1424" s="113">
        <v>7</v>
      </c>
      <c r="C1424" s="18" t="s">
        <v>14</v>
      </c>
      <c r="D1424" s="113" t="str">
        <f>_xlfn.XLOOKUP($C1424,'Cost Centers'!$A$2:$A$11,'Cost Centers'!$B$2:$B$11,"")</f>
        <v>MENA</v>
      </c>
      <c r="E1424" s="113" t="s">
        <v>28</v>
      </c>
      <c r="F1424" s="113" t="str">
        <f>_xlfn.XLOOKUP(E1424,'Allocated Transactions'!D:D,'Allocated Transactions'!E:E,"")</f>
        <v>Salaries and Wages</v>
      </c>
      <c r="G1424" s="113" t="s">
        <v>97</v>
      </c>
      <c r="H1424" s="113"/>
      <c r="I1424" s="113" t="str">
        <f>_xlfn.XLOOKUP($C1424,'Cost Centers'!$A$2:$A$11,'Cost Centers'!$C$2:$C$11,"")</f>
        <v>Programs</v>
      </c>
      <c r="J1424" s="23">
        <f>MROUND(SUMIFS('Allocated Transactions'!$J:$J,'Allocated Transactions'!$D:$D,$E1424,'Allocated Transactions'!$C:$C,$C1424,'Allocated Transactions'!$A:$A,"&gt;="&amp;$A1424,'Allocated Transactions'!$A:$A,"&lt;="&amp;EOMONTH($A1424,0))*0.99,100)</f>
        <v>19600</v>
      </c>
      <c r="K1424" s="113" t="s">
        <v>637</v>
      </c>
    </row>
    <row r="1425" spans="1:11" ht="15" customHeight="1">
      <c r="A1425" s="112">
        <f t="shared" si="88"/>
        <v>46054</v>
      </c>
      <c r="B1425" s="113">
        <v>7</v>
      </c>
      <c r="C1425" s="18" t="str">
        <f t="shared" ref="C1425:C1441" si="92">C1424</f>
        <v>2020</v>
      </c>
      <c r="D1425" s="113" t="str">
        <f>_xlfn.XLOOKUP($C1425,'Cost Centers'!$A$2:$A$11,'Cost Centers'!$B$2:$B$11,"")</f>
        <v>MENA</v>
      </c>
      <c r="E1425" s="113" t="s">
        <v>29</v>
      </c>
      <c r="F1425" s="113" t="str">
        <f>_xlfn.XLOOKUP(E1425,'Allocated Transactions'!D:D,'Allocated Transactions'!E:E,"")</f>
        <v>Payroll Taxes</v>
      </c>
      <c r="G1425" s="113" t="s">
        <v>97</v>
      </c>
      <c r="H1425" s="113"/>
      <c r="I1425" s="113" t="str">
        <f>_xlfn.XLOOKUP($C1425,'Cost Centers'!$A$2:$A$11,'Cost Centers'!$C$2:$C$11,"")</f>
        <v>Programs</v>
      </c>
      <c r="J1425" s="23">
        <f>MROUND(SUMIFS('Allocated Transactions'!$J:$J,'Allocated Transactions'!$D:$D,$E1425,'Allocated Transactions'!$C:$C,$C1425,'Allocated Transactions'!$A:$A,"&gt;="&amp;$A1425,'Allocated Transactions'!$A:$A,"&lt;="&amp;EOMONTH($A1425,0))*0.99,100)</f>
        <v>1500</v>
      </c>
      <c r="K1425" s="113" t="s">
        <v>637</v>
      </c>
    </row>
    <row r="1426" spans="1:11" ht="15" customHeight="1">
      <c r="A1426" s="112">
        <f t="shared" si="88"/>
        <v>46054</v>
      </c>
      <c r="B1426" s="113">
        <v>7</v>
      </c>
      <c r="C1426" s="18" t="str">
        <f t="shared" si="92"/>
        <v>2020</v>
      </c>
      <c r="D1426" s="113" t="str">
        <f>_xlfn.XLOOKUP($C1426,'Cost Centers'!$A$2:$A$11,'Cost Centers'!$B$2:$B$11,"")</f>
        <v>MENA</v>
      </c>
      <c r="E1426" s="113" t="s">
        <v>30</v>
      </c>
      <c r="F1426" s="113" t="str">
        <f>_xlfn.XLOOKUP(E1426,'Allocated Transactions'!D:D,'Allocated Transactions'!E:E,"")</f>
        <v>Employee Benefits</v>
      </c>
      <c r="G1426" s="113" t="s">
        <v>97</v>
      </c>
      <c r="H1426" s="113"/>
      <c r="I1426" s="113" t="str">
        <f>_xlfn.XLOOKUP($C1426,'Cost Centers'!$A$2:$A$11,'Cost Centers'!$C$2:$C$11,"")</f>
        <v>Programs</v>
      </c>
      <c r="J1426" s="23">
        <f>MROUND(SUMIFS('Allocated Transactions'!$J:$J,'Allocated Transactions'!$D:$D,$E1426,'Allocated Transactions'!$C:$C,$C1426,'Allocated Transactions'!$A:$A,"&gt;="&amp;$A1426,'Allocated Transactions'!$A:$A,"&lt;="&amp;EOMONTH($A1426,0))*0.99,100)</f>
        <v>8500</v>
      </c>
      <c r="K1426" s="113" t="s">
        <v>637</v>
      </c>
    </row>
    <row r="1427" spans="1:11" ht="15" customHeight="1">
      <c r="A1427" s="112">
        <f t="shared" si="88"/>
        <v>46054</v>
      </c>
      <c r="B1427" s="113">
        <v>7</v>
      </c>
      <c r="C1427" s="18" t="str">
        <f t="shared" si="92"/>
        <v>2020</v>
      </c>
      <c r="D1427" s="113" t="str">
        <f>_xlfn.XLOOKUP($C1427,'Cost Centers'!$A$2:$A$11,'Cost Centers'!$B$2:$B$11,"")</f>
        <v>MENA</v>
      </c>
      <c r="E1427" s="113" t="s">
        <v>31</v>
      </c>
      <c r="F1427" s="113" t="str">
        <f>_xlfn.XLOOKUP(E1427,'Allocated Transactions'!D:D,'Allocated Transactions'!E:E,"")</f>
        <v>Retirement Contributions</v>
      </c>
      <c r="G1427" s="113" t="s">
        <v>97</v>
      </c>
      <c r="H1427" s="113"/>
      <c r="I1427" s="113" t="str">
        <f>_xlfn.XLOOKUP($C1427,'Cost Centers'!$A$2:$A$11,'Cost Centers'!$C$2:$C$11,"")</f>
        <v>Programs</v>
      </c>
      <c r="J1427" s="23">
        <f>MROUND(SUMIFS('Allocated Transactions'!$J:$J,'Allocated Transactions'!$D:$D,$E1427,'Allocated Transactions'!$C:$C,$C1427,'Allocated Transactions'!$A:$A,"&gt;="&amp;$A1427,'Allocated Transactions'!$A:$A,"&lt;="&amp;EOMONTH($A1427,0))*0.99,100)</f>
        <v>600</v>
      </c>
      <c r="K1427" s="113" t="s">
        <v>637</v>
      </c>
    </row>
    <row r="1428" spans="1:11" ht="15" customHeight="1">
      <c r="A1428" s="112">
        <f t="shared" si="88"/>
        <v>46054</v>
      </c>
      <c r="B1428" s="113">
        <v>7</v>
      </c>
      <c r="C1428" s="18" t="str">
        <f t="shared" si="92"/>
        <v>2020</v>
      </c>
      <c r="D1428" s="113" t="str">
        <f>_xlfn.XLOOKUP($C1428,'Cost Centers'!$A$2:$A$11,'Cost Centers'!$B$2:$B$11,"")</f>
        <v>MENA</v>
      </c>
      <c r="E1428" s="113" t="s">
        <v>101</v>
      </c>
      <c r="F1428" s="113" t="str">
        <f>_xlfn.XLOOKUP(E1428,'Allocated Transactions'!D:D,'Allocated Transactions'!E:E,"")</f>
        <v>Contract Labor / Consultants</v>
      </c>
      <c r="G1428" s="113" t="s">
        <v>97</v>
      </c>
      <c r="H1428" s="113"/>
      <c r="I1428" s="113" t="str">
        <f>_xlfn.XLOOKUP($C1428,'Cost Centers'!$A$2:$A$11,'Cost Centers'!$C$2:$C$11,"")</f>
        <v>Programs</v>
      </c>
      <c r="J1428" s="23">
        <f>MROUND(SUMIFS('Allocated Transactions'!$J:$J,'Allocated Transactions'!$D:$D,$E1428,'Allocated Transactions'!$C:$C,$C1428,'Allocated Transactions'!$A:$A,"&gt;="&amp;$A1428,'Allocated Transactions'!$A:$A,"&lt;="&amp;EOMONTH($A1428,0))*0.99,100)</f>
        <v>0</v>
      </c>
      <c r="K1428" s="113" t="s">
        <v>637</v>
      </c>
    </row>
    <row r="1429" spans="1:11" ht="15" customHeight="1">
      <c r="A1429" s="112">
        <f t="shared" si="88"/>
        <v>46054</v>
      </c>
      <c r="B1429" s="113">
        <v>7</v>
      </c>
      <c r="C1429" s="18" t="str">
        <f t="shared" si="92"/>
        <v>2020</v>
      </c>
      <c r="D1429" s="113" t="str">
        <f>_xlfn.XLOOKUP($C1429,'Cost Centers'!$A$2:$A$11,'Cost Centers'!$B$2:$B$11,"")</f>
        <v>MENA</v>
      </c>
      <c r="E1429" s="113" t="s">
        <v>32</v>
      </c>
      <c r="F1429" s="113" t="str">
        <f>_xlfn.XLOOKUP(E1429,'Allocated Transactions'!D:D,'Allocated Transactions'!E:E,"")</f>
        <v>Rent</v>
      </c>
      <c r="G1429" s="113" t="s">
        <v>97</v>
      </c>
      <c r="H1429" s="113"/>
      <c r="I1429" s="113" t="str">
        <f>_xlfn.XLOOKUP($C1429,'Cost Centers'!$A$2:$A$11,'Cost Centers'!$C$2:$C$11,"")</f>
        <v>Programs</v>
      </c>
      <c r="J1429" s="23">
        <f>MROUND(SUMIFS('Allocated Transactions'!$J:$J,'Allocated Transactions'!$D:$D,$E1429,'Allocated Transactions'!$C:$C,$C1429,'Allocated Transactions'!$A:$A,"&gt;="&amp;$A1429,'Allocated Transactions'!$A:$A,"&lt;="&amp;EOMONTH($A1429,0))*0.99,100)</f>
        <v>1500</v>
      </c>
      <c r="K1429" s="113" t="s">
        <v>637</v>
      </c>
    </row>
    <row r="1430" spans="1:11" ht="15" customHeight="1">
      <c r="A1430" s="112">
        <f t="shared" si="88"/>
        <v>46054</v>
      </c>
      <c r="B1430" s="113">
        <v>7</v>
      </c>
      <c r="C1430" s="18" t="str">
        <f t="shared" si="92"/>
        <v>2020</v>
      </c>
      <c r="D1430" s="113" t="str">
        <f>_xlfn.XLOOKUP($C1430,'Cost Centers'!$A$2:$A$11,'Cost Centers'!$B$2:$B$11,"")</f>
        <v>MENA</v>
      </c>
      <c r="E1430" s="113" t="s">
        <v>33</v>
      </c>
      <c r="F1430" s="113" t="str">
        <f>_xlfn.XLOOKUP(E1430,'Allocated Transactions'!D:D,'Allocated Transactions'!E:E,"")</f>
        <v>Utilities</v>
      </c>
      <c r="G1430" s="113" t="s">
        <v>97</v>
      </c>
      <c r="H1430" s="113"/>
      <c r="I1430" s="113" t="str">
        <f>_xlfn.XLOOKUP($C1430,'Cost Centers'!$A$2:$A$11,'Cost Centers'!$C$2:$C$11,"")</f>
        <v>Programs</v>
      </c>
      <c r="J1430" s="23">
        <f>MROUND(SUMIFS('Allocated Transactions'!$J:$J,'Allocated Transactions'!$D:$D,$E1430,'Allocated Transactions'!$C:$C,$C1430,'Allocated Transactions'!$A:$A,"&gt;="&amp;$A1430,'Allocated Transactions'!$A:$A,"&lt;="&amp;EOMONTH($A1430,0))*0.99,100)</f>
        <v>200</v>
      </c>
      <c r="K1430" s="113" t="s">
        <v>637</v>
      </c>
    </row>
    <row r="1431" spans="1:11" ht="15" customHeight="1">
      <c r="A1431" s="112">
        <f t="shared" si="88"/>
        <v>46054</v>
      </c>
      <c r="B1431" s="113">
        <v>7</v>
      </c>
      <c r="C1431" s="18" t="str">
        <f t="shared" si="92"/>
        <v>2020</v>
      </c>
      <c r="D1431" s="113" t="str">
        <f>_xlfn.XLOOKUP($C1431,'Cost Centers'!$A$2:$A$11,'Cost Centers'!$B$2:$B$11,"")</f>
        <v>MENA</v>
      </c>
      <c r="E1431" s="113" t="s">
        <v>105</v>
      </c>
      <c r="F1431" s="113" t="str">
        <f>_xlfn.XLOOKUP(E1431,'Allocated Transactions'!D:D,'Allocated Transactions'!E:E,"")</f>
        <v>Office Supplies</v>
      </c>
      <c r="G1431" s="113" t="s">
        <v>97</v>
      </c>
      <c r="H1431" s="113"/>
      <c r="I1431" s="113" t="str">
        <f>_xlfn.XLOOKUP($C1431,'Cost Centers'!$A$2:$A$11,'Cost Centers'!$C$2:$C$11,"")</f>
        <v>Programs</v>
      </c>
      <c r="J1431" s="23">
        <f>MROUND(SUMIFS('Allocated Transactions'!$J:$J,'Allocated Transactions'!$D:$D,$E1431,'Allocated Transactions'!$C:$C,$C1431,'Allocated Transactions'!$A:$A,"&gt;="&amp;$A1431,'Allocated Transactions'!$A:$A,"&lt;="&amp;EOMONTH($A1431,0))*0.99,100)</f>
        <v>0</v>
      </c>
      <c r="K1431" s="113" t="s">
        <v>637</v>
      </c>
    </row>
    <row r="1432" spans="1:11" ht="15" customHeight="1">
      <c r="A1432" s="112">
        <f t="shared" si="88"/>
        <v>46054</v>
      </c>
      <c r="B1432" s="113">
        <v>7</v>
      </c>
      <c r="C1432" s="18" t="str">
        <f t="shared" si="92"/>
        <v>2020</v>
      </c>
      <c r="D1432" s="113" t="str">
        <f>_xlfn.XLOOKUP($C1432,'Cost Centers'!$A$2:$A$11,'Cost Centers'!$B$2:$B$11,"")</f>
        <v>MENA</v>
      </c>
      <c r="E1432" s="113" t="s">
        <v>107</v>
      </c>
      <c r="F1432" s="113" t="str">
        <f>_xlfn.XLOOKUP(E1432,'Allocated Transactions'!D:D,'Allocated Transactions'!E:E,"")</f>
        <v>Software and Subscriptions</v>
      </c>
      <c r="G1432" s="113" t="s">
        <v>97</v>
      </c>
      <c r="H1432" s="113"/>
      <c r="I1432" s="113" t="str">
        <f>_xlfn.XLOOKUP($C1432,'Cost Centers'!$A$2:$A$11,'Cost Centers'!$C$2:$C$11,"")</f>
        <v>Programs</v>
      </c>
      <c r="J1432" s="23">
        <f>MROUND(SUMIFS('Allocated Transactions'!$J:$J,'Allocated Transactions'!$D:$D,$E1432,'Allocated Transactions'!$C:$C,$C1432,'Allocated Transactions'!$A:$A,"&gt;="&amp;$A1432,'Allocated Transactions'!$A:$A,"&lt;="&amp;EOMONTH($A1432,0))*0.99,100)</f>
        <v>3000</v>
      </c>
      <c r="K1432" s="113" t="s">
        <v>637</v>
      </c>
    </row>
    <row r="1433" spans="1:11" ht="15" customHeight="1">
      <c r="A1433" s="112">
        <f t="shared" ref="A1433:A1496" si="93">IF(C1433&lt;&gt;C1432,DATE(2025,7,1),IF(E1433="5000",EOMONTH(A1432,0)+1,A1432))</f>
        <v>46054</v>
      </c>
      <c r="B1433" s="113">
        <v>7</v>
      </c>
      <c r="C1433" s="18" t="str">
        <f t="shared" si="92"/>
        <v>2020</v>
      </c>
      <c r="D1433" s="113" t="str">
        <f>_xlfn.XLOOKUP($C1433,'Cost Centers'!$A$2:$A$11,'Cost Centers'!$B$2:$B$11,"")</f>
        <v>MENA</v>
      </c>
      <c r="E1433" s="113" t="s">
        <v>109</v>
      </c>
      <c r="F1433" s="113" t="str">
        <f>_xlfn.XLOOKUP(E1433,'Allocated Transactions'!D:D,'Allocated Transactions'!E:E,"")</f>
        <v>Travel</v>
      </c>
      <c r="G1433" s="113" t="s">
        <v>97</v>
      </c>
      <c r="H1433" s="113"/>
      <c r="I1433" s="113" t="str">
        <f>_xlfn.XLOOKUP($C1433,'Cost Centers'!$A$2:$A$11,'Cost Centers'!$C$2:$C$11,"")</f>
        <v>Programs</v>
      </c>
      <c r="J1433" s="23">
        <f>MROUND(SUMIFS('Allocated Transactions'!$J:$J,'Allocated Transactions'!$D:$D,$E1433,'Allocated Transactions'!$C:$C,$C1433,'Allocated Transactions'!$A:$A,"&gt;="&amp;$A1433,'Allocated Transactions'!$A:$A,"&lt;="&amp;EOMONTH($A1433,0))*0.99,100)</f>
        <v>0</v>
      </c>
      <c r="K1433" s="113" t="s">
        <v>637</v>
      </c>
    </row>
    <row r="1434" spans="1:11" ht="15" customHeight="1">
      <c r="A1434" s="112">
        <f t="shared" si="93"/>
        <v>46054</v>
      </c>
      <c r="B1434" s="113">
        <v>7</v>
      </c>
      <c r="C1434" s="18" t="str">
        <f t="shared" si="92"/>
        <v>2020</v>
      </c>
      <c r="D1434" s="113" t="str">
        <f>_xlfn.XLOOKUP($C1434,'Cost Centers'!$A$2:$A$11,'Cost Centers'!$B$2:$B$11,"")</f>
        <v>MENA</v>
      </c>
      <c r="E1434" s="113" t="s">
        <v>111</v>
      </c>
      <c r="F1434" s="113" t="str">
        <f>_xlfn.XLOOKUP(E1434,'Allocated Transactions'!D:D,'Allocated Transactions'!E:E,"")</f>
        <v>Meals and Entertainment</v>
      </c>
      <c r="G1434" s="113" t="s">
        <v>97</v>
      </c>
      <c r="H1434" s="113"/>
      <c r="I1434" s="113" t="str">
        <f>_xlfn.XLOOKUP($C1434,'Cost Centers'!$A$2:$A$11,'Cost Centers'!$C$2:$C$11,"")</f>
        <v>Programs</v>
      </c>
      <c r="J1434" s="23">
        <f>MROUND(SUMIFS('Allocated Transactions'!$J:$J,'Allocated Transactions'!$D:$D,$E1434,'Allocated Transactions'!$C:$C,$C1434,'Allocated Transactions'!$A:$A,"&gt;="&amp;$A1434,'Allocated Transactions'!$A:$A,"&lt;="&amp;EOMONTH($A1434,0))*0.99,100)</f>
        <v>0</v>
      </c>
      <c r="K1434" s="113" t="s">
        <v>637</v>
      </c>
    </row>
    <row r="1435" spans="1:11" ht="15" customHeight="1">
      <c r="A1435" s="112">
        <f t="shared" si="93"/>
        <v>46054</v>
      </c>
      <c r="B1435" s="113">
        <v>7</v>
      </c>
      <c r="C1435" s="18" t="str">
        <f t="shared" si="92"/>
        <v>2020</v>
      </c>
      <c r="D1435" s="113" t="str">
        <f>_xlfn.XLOOKUP($C1435,'Cost Centers'!$A$2:$A$11,'Cost Centers'!$B$2:$B$11,"")</f>
        <v>MENA</v>
      </c>
      <c r="E1435" s="113" t="s">
        <v>113</v>
      </c>
      <c r="F1435" s="113" t="str">
        <f>_xlfn.XLOOKUP(E1435,'Allocated Transactions'!D:D,'Allocated Transactions'!E:E,"")</f>
        <v>Professional Fees - Legal</v>
      </c>
      <c r="G1435" s="113" t="s">
        <v>97</v>
      </c>
      <c r="H1435" s="113"/>
      <c r="I1435" s="113" t="str">
        <f>_xlfn.XLOOKUP($C1435,'Cost Centers'!$A$2:$A$11,'Cost Centers'!$C$2:$C$11,"")</f>
        <v>Programs</v>
      </c>
      <c r="J1435" s="23">
        <f>MROUND(SUMIFS('Allocated Transactions'!$J:$J,'Allocated Transactions'!$D:$D,$E1435,'Allocated Transactions'!$C:$C,$C1435,'Allocated Transactions'!$A:$A,"&gt;="&amp;$A1435,'Allocated Transactions'!$A:$A,"&lt;="&amp;EOMONTH($A1435,0))*0.99,100)</f>
        <v>0</v>
      </c>
      <c r="K1435" s="113" t="s">
        <v>637</v>
      </c>
    </row>
    <row r="1436" spans="1:11" ht="15" customHeight="1">
      <c r="A1436" s="112">
        <f t="shared" si="93"/>
        <v>46054</v>
      </c>
      <c r="B1436" s="113">
        <v>7</v>
      </c>
      <c r="C1436" s="18" t="str">
        <f t="shared" si="92"/>
        <v>2020</v>
      </c>
      <c r="D1436" s="113" t="str">
        <f>_xlfn.XLOOKUP($C1436,'Cost Centers'!$A$2:$A$11,'Cost Centers'!$B$2:$B$11,"")</f>
        <v>MENA</v>
      </c>
      <c r="E1436" s="113" t="s">
        <v>115</v>
      </c>
      <c r="F1436" s="113" t="str">
        <f>_xlfn.XLOOKUP(E1436,'Allocated Transactions'!D:D,'Allocated Transactions'!E:E,"")</f>
        <v>Professional Fees - Accounting/Audit</v>
      </c>
      <c r="G1436" s="113" t="s">
        <v>97</v>
      </c>
      <c r="H1436" s="113"/>
      <c r="I1436" s="113" t="str">
        <f>_xlfn.XLOOKUP($C1436,'Cost Centers'!$A$2:$A$11,'Cost Centers'!$C$2:$C$11,"")</f>
        <v>Programs</v>
      </c>
      <c r="J1436" s="23">
        <f>MROUND(SUMIFS('Allocated Transactions'!$J:$J,'Allocated Transactions'!$D:$D,$E1436,'Allocated Transactions'!$C:$C,$C1436,'Allocated Transactions'!$A:$A,"&gt;="&amp;$A1436,'Allocated Transactions'!$A:$A,"&lt;="&amp;EOMONTH($A1436,0))*0.99,100)</f>
        <v>0</v>
      </c>
      <c r="K1436" s="113" t="s">
        <v>637</v>
      </c>
    </row>
    <row r="1437" spans="1:11" ht="15" customHeight="1">
      <c r="A1437" s="112">
        <f t="shared" si="93"/>
        <v>46054</v>
      </c>
      <c r="B1437" s="113">
        <v>7</v>
      </c>
      <c r="C1437" s="18" t="str">
        <f t="shared" si="92"/>
        <v>2020</v>
      </c>
      <c r="D1437" s="113" t="str">
        <f>_xlfn.XLOOKUP($C1437,'Cost Centers'!$A$2:$A$11,'Cost Centers'!$B$2:$B$11,"")</f>
        <v>MENA</v>
      </c>
      <c r="E1437" s="113" t="s">
        <v>117</v>
      </c>
      <c r="F1437" s="113" t="str">
        <f>_xlfn.XLOOKUP(E1437,'Allocated Transactions'!D:D,'Allocated Transactions'!E:E,"")</f>
        <v>Insurance</v>
      </c>
      <c r="G1437" s="113" t="s">
        <v>97</v>
      </c>
      <c r="H1437" s="113"/>
      <c r="I1437" s="113" t="str">
        <f>_xlfn.XLOOKUP($C1437,'Cost Centers'!$A$2:$A$11,'Cost Centers'!$C$2:$C$11,"")</f>
        <v>Programs</v>
      </c>
      <c r="J1437" s="23">
        <f>MROUND(SUMIFS('Allocated Transactions'!$J:$J,'Allocated Transactions'!$D:$D,$E1437,'Allocated Transactions'!$C:$C,$C1437,'Allocated Transactions'!$A:$A,"&gt;="&amp;$A1437,'Allocated Transactions'!$A:$A,"&lt;="&amp;EOMONTH($A1437,0))*0.99,100)</f>
        <v>100</v>
      </c>
      <c r="K1437" s="113" t="s">
        <v>637</v>
      </c>
    </row>
    <row r="1438" spans="1:11" ht="15" customHeight="1">
      <c r="A1438" s="112">
        <f t="shared" si="93"/>
        <v>46054</v>
      </c>
      <c r="B1438" s="113">
        <v>7</v>
      </c>
      <c r="C1438" s="18" t="str">
        <f t="shared" si="92"/>
        <v>2020</v>
      </c>
      <c r="D1438" s="113" t="str">
        <f>_xlfn.XLOOKUP($C1438,'Cost Centers'!$A$2:$A$11,'Cost Centers'!$B$2:$B$11,"")</f>
        <v>MENA</v>
      </c>
      <c r="E1438" s="113" t="s">
        <v>119</v>
      </c>
      <c r="F1438" s="113" t="str">
        <f>_xlfn.XLOOKUP(E1438,'Allocated Transactions'!D:D,'Allocated Transactions'!E:E,"")</f>
        <v>Depreciation Expense</v>
      </c>
      <c r="G1438" s="113" t="s">
        <v>97</v>
      </c>
      <c r="H1438" s="113"/>
      <c r="I1438" s="113" t="str">
        <f>_xlfn.XLOOKUP($C1438,'Cost Centers'!$A$2:$A$11,'Cost Centers'!$C$2:$C$11,"")</f>
        <v>Programs</v>
      </c>
      <c r="J1438" s="23">
        <f>MROUND(SUMIFS('Allocated Transactions'!$J:$J,'Allocated Transactions'!$D:$D,$E1438,'Allocated Transactions'!$C:$C,$C1438,'Allocated Transactions'!$A:$A,"&gt;="&amp;$A1438,'Allocated Transactions'!$A:$A,"&lt;="&amp;EOMONTH($A1438,0))*0.99,100)</f>
        <v>0</v>
      </c>
      <c r="K1438" s="113" t="s">
        <v>637</v>
      </c>
    </row>
    <row r="1439" spans="1:11" ht="15" customHeight="1">
      <c r="A1439" s="112">
        <f t="shared" si="93"/>
        <v>46054</v>
      </c>
      <c r="B1439" s="113">
        <v>7</v>
      </c>
      <c r="C1439" s="18" t="str">
        <f t="shared" si="92"/>
        <v>2020</v>
      </c>
      <c r="D1439" s="113" t="str">
        <f>_xlfn.XLOOKUP($C1439,'Cost Centers'!$A$2:$A$11,'Cost Centers'!$B$2:$B$11,"")</f>
        <v>MENA</v>
      </c>
      <c r="E1439" s="113" t="s">
        <v>121</v>
      </c>
      <c r="F1439" s="113" t="str">
        <f>_xlfn.XLOOKUP(E1439,'Allocated Transactions'!D:D,'Allocated Transactions'!E:E,"")</f>
        <v>Bank Fees</v>
      </c>
      <c r="G1439" s="113" t="s">
        <v>97</v>
      </c>
      <c r="H1439" s="113"/>
      <c r="I1439" s="113" t="str">
        <f>_xlfn.XLOOKUP($C1439,'Cost Centers'!$A$2:$A$11,'Cost Centers'!$C$2:$C$11,"")</f>
        <v>Programs</v>
      </c>
      <c r="J1439" s="23">
        <f>MROUND(SUMIFS('Allocated Transactions'!$J:$J,'Allocated Transactions'!$D:$D,$E1439,'Allocated Transactions'!$C:$C,$C1439,'Allocated Transactions'!$A:$A,"&gt;="&amp;$A1439,'Allocated Transactions'!$A:$A,"&lt;="&amp;EOMONTH($A1439,0))*0.99,100)</f>
        <v>0</v>
      </c>
      <c r="K1439" s="113" t="s">
        <v>637</v>
      </c>
    </row>
    <row r="1440" spans="1:11" ht="15" customHeight="1">
      <c r="A1440" s="112">
        <f t="shared" si="93"/>
        <v>46054</v>
      </c>
      <c r="B1440" s="113">
        <v>7</v>
      </c>
      <c r="C1440" s="18" t="str">
        <f t="shared" si="92"/>
        <v>2020</v>
      </c>
      <c r="D1440" s="113" t="str">
        <f>_xlfn.XLOOKUP($C1440,'Cost Centers'!$A$2:$A$11,'Cost Centers'!$B$2:$B$11,"")</f>
        <v>MENA</v>
      </c>
      <c r="E1440" s="113" t="s">
        <v>123</v>
      </c>
      <c r="F1440" s="113" t="str">
        <f>_xlfn.XLOOKUP(E1440,'Allocated Transactions'!D:D,'Allocated Transactions'!E:E,"")</f>
        <v>Interest Expense</v>
      </c>
      <c r="G1440" s="113" t="s">
        <v>97</v>
      </c>
      <c r="H1440" s="113"/>
      <c r="I1440" s="113" t="str">
        <f>_xlfn.XLOOKUP($C1440,'Cost Centers'!$A$2:$A$11,'Cost Centers'!$C$2:$C$11,"")</f>
        <v>Programs</v>
      </c>
      <c r="J1440" s="23">
        <f>MROUND(SUMIFS('Allocated Transactions'!$J:$J,'Allocated Transactions'!$D:$D,$E1440,'Allocated Transactions'!$C:$C,$C1440,'Allocated Transactions'!$A:$A,"&gt;="&amp;$A1440,'Allocated Transactions'!$A:$A,"&lt;="&amp;EOMONTH($A1440,0))*0.99,100)</f>
        <v>0</v>
      </c>
      <c r="K1440" s="113" t="s">
        <v>637</v>
      </c>
    </row>
    <row r="1441" spans="1:11" ht="15" customHeight="1">
      <c r="A1441" s="112">
        <f t="shared" si="93"/>
        <v>46054</v>
      </c>
      <c r="B1441" s="113">
        <v>7</v>
      </c>
      <c r="C1441" s="18" t="str">
        <f t="shared" si="92"/>
        <v>2020</v>
      </c>
      <c r="D1441" s="113" t="str">
        <f>_xlfn.XLOOKUP($C1441,'Cost Centers'!$A$2:$A$11,'Cost Centers'!$B$2:$B$11,"")</f>
        <v>MENA</v>
      </c>
      <c r="E1441" s="113" t="s">
        <v>125</v>
      </c>
      <c r="F1441" s="113" t="str">
        <f>_xlfn.XLOOKUP(E1441,'Allocated Transactions'!D:D,'Allocated Transactions'!E:E,"")</f>
        <v>Miscellaneous Expense</v>
      </c>
      <c r="G1441" s="113" t="s">
        <v>97</v>
      </c>
      <c r="H1441" s="113"/>
      <c r="I1441" s="113" t="str">
        <f>_xlfn.XLOOKUP($C1441,'Cost Centers'!$A$2:$A$11,'Cost Centers'!$C$2:$C$11,"")</f>
        <v>Programs</v>
      </c>
      <c r="J1441" s="23">
        <f>MROUND(SUMIFS('Allocated Transactions'!$J:$J,'Allocated Transactions'!$D:$D,$E1441,'Allocated Transactions'!$C:$C,$C1441,'Allocated Transactions'!$A:$A,"&gt;="&amp;$A1441,'Allocated Transactions'!$A:$A,"&lt;="&amp;EOMONTH($A1441,0))*0.99,100)</f>
        <v>0</v>
      </c>
      <c r="K1441" s="113" t="s">
        <v>637</v>
      </c>
    </row>
    <row r="1442" spans="1:11" ht="15" customHeight="1">
      <c r="A1442" s="112">
        <f t="shared" si="93"/>
        <v>46082</v>
      </c>
      <c r="B1442" s="113">
        <v>7</v>
      </c>
      <c r="C1442" s="18" t="s">
        <v>14</v>
      </c>
      <c r="D1442" s="113" t="str">
        <f>_xlfn.XLOOKUP($C1442,'Cost Centers'!$A$2:$A$11,'Cost Centers'!$B$2:$B$11,"")</f>
        <v>MENA</v>
      </c>
      <c r="E1442" s="113" t="s">
        <v>28</v>
      </c>
      <c r="F1442" s="113" t="str">
        <f>_xlfn.XLOOKUP(E1442,'Allocated Transactions'!D:D,'Allocated Transactions'!E:E,"")</f>
        <v>Salaries and Wages</v>
      </c>
      <c r="G1442" s="113" t="s">
        <v>97</v>
      </c>
      <c r="H1442" s="113"/>
      <c r="I1442" s="113" t="str">
        <f>_xlfn.XLOOKUP($C1442,'Cost Centers'!$A$2:$A$11,'Cost Centers'!$C$2:$C$11,"")</f>
        <v>Programs</v>
      </c>
      <c r="J1442" s="23">
        <f>MROUND(SUMIFS('Allocated Transactions'!$J:$J,'Allocated Transactions'!$D:$D,$E1442,'Allocated Transactions'!$C:$C,$C1442,'Allocated Transactions'!$A:$A,"&gt;="&amp;$A1442,'Allocated Transactions'!$A:$A,"&lt;="&amp;EOMONTH($A1442,0))*0.99,100)</f>
        <v>19200</v>
      </c>
      <c r="K1442" s="113" t="s">
        <v>637</v>
      </c>
    </row>
    <row r="1443" spans="1:11" ht="15" customHeight="1">
      <c r="A1443" s="112">
        <f t="shared" si="93"/>
        <v>46082</v>
      </c>
      <c r="B1443" s="113">
        <v>7</v>
      </c>
      <c r="C1443" s="18" t="str">
        <f t="shared" ref="C1443:C1459" si="94">C1442</f>
        <v>2020</v>
      </c>
      <c r="D1443" s="113" t="str">
        <f>_xlfn.XLOOKUP($C1443,'Cost Centers'!$A$2:$A$11,'Cost Centers'!$B$2:$B$11,"")</f>
        <v>MENA</v>
      </c>
      <c r="E1443" s="113" t="s">
        <v>29</v>
      </c>
      <c r="F1443" s="113" t="str">
        <f>_xlfn.XLOOKUP(E1443,'Allocated Transactions'!D:D,'Allocated Transactions'!E:E,"")</f>
        <v>Payroll Taxes</v>
      </c>
      <c r="G1443" s="113" t="s">
        <v>97</v>
      </c>
      <c r="H1443" s="113"/>
      <c r="I1443" s="113" t="str">
        <f>_xlfn.XLOOKUP($C1443,'Cost Centers'!$A$2:$A$11,'Cost Centers'!$C$2:$C$11,"")</f>
        <v>Programs</v>
      </c>
      <c r="J1443" s="23">
        <f>MROUND(SUMIFS('Allocated Transactions'!$J:$J,'Allocated Transactions'!$D:$D,$E1443,'Allocated Transactions'!$C:$C,$C1443,'Allocated Transactions'!$A:$A,"&gt;="&amp;$A1443,'Allocated Transactions'!$A:$A,"&lt;="&amp;EOMONTH($A1443,0))*0.99,100)</f>
        <v>1500</v>
      </c>
      <c r="K1443" s="113" t="s">
        <v>637</v>
      </c>
    </row>
    <row r="1444" spans="1:11" ht="15" customHeight="1">
      <c r="A1444" s="112">
        <f t="shared" si="93"/>
        <v>46082</v>
      </c>
      <c r="B1444" s="113">
        <v>7</v>
      </c>
      <c r="C1444" s="18" t="str">
        <f t="shared" si="94"/>
        <v>2020</v>
      </c>
      <c r="D1444" s="113" t="str">
        <f>_xlfn.XLOOKUP($C1444,'Cost Centers'!$A$2:$A$11,'Cost Centers'!$B$2:$B$11,"")</f>
        <v>MENA</v>
      </c>
      <c r="E1444" s="113" t="s">
        <v>30</v>
      </c>
      <c r="F1444" s="113" t="str">
        <f>_xlfn.XLOOKUP(E1444,'Allocated Transactions'!D:D,'Allocated Transactions'!E:E,"")</f>
        <v>Employee Benefits</v>
      </c>
      <c r="G1444" s="113" t="s">
        <v>97</v>
      </c>
      <c r="H1444" s="113"/>
      <c r="I1444" s="113" t="str">
        <f>_xlfn.XLOOKUP($C1444,'Cost Centers'!$A$2:$A$11,'Cost Centers'!$C$2:$C$11,"")</f>
        <v>Programs</v>
      </c>
      <c r="J1444" s="23">
        <f>MROUND(SUMIFS('Allocated Transactions'!$J:$J,'Allocated Transactions'!$D:$D,$E1444,'Allocated Transactions'!$C:$C,$C1444,'Allocated Transactions'!$A:$A,"&gt;="&amp;$A1444,'Allocated Transactions'!$A:$A,"&lt;="&amp;EOMONTH($A1444,0))*0.99,100)</f>
        <v>8600</v>
      </c>
      <c r="K1444" s="113" t="s">
        <v>637</v>
      </c>
    </row>
    <row r="1445" spans="1:11" ht="15" customHeight="1">
      <c r="A1445" s="112">
        <f t="shared" si="93"/>
        <v>46082</v>
      </c>
      <c r="B1445" s="113">
        <v>7</v>
      </c>
      <c r="C1445" s="18" t="str">
        <f t="shared" si="94"/>
        <v>2020</v>
      </c>
      <c r="D1445" s="113" t="str">
        <f>_xlfn.XLOOKUP($C1445,'Cost Centers'!$A$2:$A$11,'Cost Centers'!$B$2:$B$11,"")</f>
        <v>MENA</v>
      </c>
      <c r="E1445" s="113" t="s">
        <v>31</v>
      </c>
      <c r="F1445" s="113" t="str">
        <f>_xlfn.XLOOKUP(E1445,'Allocated Transactions'!D:D,'Allocated Transactions'!E:E,"")</f>
        <v>Retirement Contributions</v>
      </c>
      <c r="G1445" s="113" t="s">
        <v>97</v>
      </c>
      <c r="H1445" s="113"/>
      <c r="I1445" s="113" t="str">
        <f>_xlfn.XLOOKUP($C1445,'Cost Centers'!$A$2:$A$11,'Cost Centers'!$C$2:$C$11,"")</f>
        <v>Programs</v>
      </c>
      <c r="J1445" s="23">
        <f>MROUND(SUMIFS('Allocated Transactions'!$J:$J,'Allocated Transactions'!$D:$D,$E1445,'Allocated Transactions'!$C:$C,$C1445,'Allocated Transactions'!$A:$A,"&gt;="&amp;$A1445,'Allocated Transactions'!$A:$A,"&lt;="&amp;EOMONTH($A1445,0))*0.99,100)</f>
        <v>600</v>
      </c>
      <c r="K1445" s="113" t="s">
        <v>637</v>
      </c>
    </row>
    <row r="1446" spans="1:11" ht="15" customHeight="1">
      <c r="A1446" s="112">
        <f t="shared" si="93"/>
        <v>46082</v>
      </c>
      <c r="B1446" s="113">
        <v>7</v>
      </c>
      <c r="C1446" s="18" t="str">
        <f t="shared" si="94"/>
        <v>2020</v>
      </c>
      <c r="D1446" s="113" t="str">
        <f>_xlfn.XLOOKUP($C1446,'Cost Centers'!$A$2:$A$11,'Cost Centers'!$B$2:$B$11,"")</f>
        <v>MENA</v>
      </c>
      <c r="E1446" s="113" t="s">
        <v>101</v>
      </c>
      <c r="F1446" s="113" t="str">
        <f>_xlfn.XLOOKUP(E1446,'Allocated Transactions'!D:D,'Allocated Transactions'!E:E,"")</f>
        <v>Contract Labor / Consultants</v>
      </c>
      <c r="G1446" s="113" t="s">
        <v>97</v>
      </c>
      <c r="H1446" s="113"/>
      <c r="I1446" s="113" t="str">
        <f>_xlfn.XLOOKUP($C1446,'Cost Centers'!$A$2:$A$11,'Cost Centers'!$C$2:$C$11,"")</f>
        <v>Programs</v>
      </c>
      <c r="J1446" s="23">
        <f>MROUND(SUMIFS('Allocated Transactions'!$J:$J,'Allocated Transactions'!$D:$D,$E1446,'Allocated Transactions'!$C:$C,$C1446,'Allocated Transactions'!$A:$A,"&gt;="&amp;$A1446,'Allocated Transactions'!$A:$A,"&lt;="&amp;EOMONTH($A1446,0))*0.99,100)</f>
        <v>0</v>
      </c>
      <c r="K1446" s="113" t="s">
        <v>637</v>
      </c>
    </row>
    <row r="1447" spans="1:11" ht="15" customHeight="1">
      <c r="A1447" s="112">
        <f t="shared" si="93"/>
        <v>46082</v>
      </c>
      <c r="B1447" s="113">
        <v>7</v>
      </c>
      <c r="C1447" s="18" t="str">
        <f t="shared" si="94"/>
        <v>2020</v>
      </c>
      <c r="D1447" s="113" t="str">
        <f>_xlfn.XLOOKUP($C1447,'Cost Centers'!$A$2:$A$11,'Cost Centers'!$B$2:$B$11,"")</f>
        <v>MENA</v>
      </c>
      <c r="E1447" s="113" t="s">
        <v>32</v>
      </c>
      <c r="F1447" s="113" t="str">
        <f>_xlfn.XLOOKUP(E1447,'Allocated Transactions'!D:D,'Allocated Transactions'!E:E,"")</f>
        <v>Rent</v>
      </c>
      <c r="G1447" s="113" t="s">
        <v>97</v>
      </c>
      <c r="H1447" s="113"/>
      <c r="I1447" s="113" t="str">
        <f>_xlfn.XLOOKUP($C1447,'Cost Centers'!$A$2:$A$11,'Cost Centers'!$C$2:$C$11,"")</f>
        <v>Programs</v>
      </c>
      <c r="J1447" s="23">
        <f>MROUND(SUMIFS('Allocated Transactions'!$J:$J,'Allocated Transactions'!$D:$D,$E1447,'Allocated Transactions'!$C:$C,$C1447,'Allocated Transactions'!$A:$A,"&gt;="&amp;$A1447,'Allocated Transactions'!$A:$A,"&lt;="&amp;EOMONTH($A1447,0))*0.99,100)</f>
        <v>1500</v>
      </c>
      <c r="K1447" s="113" t="s">
        <v>637</v>
      </c>
    </row>
    <row r="1448" spans="1:11" ht="15" customHeight="1">
      <c r="A1448" s="112">
        <f t="shared" si="93"/>
        <v>46082</v>
      </c>
      <c r="B1448" s="113">
        <v>7</v>
      </c>
      <c r="C1448" s="18" t="str">
        <f t="shared" si="94"/>
        <v>2020</v>
      </c>
      <c r="D1448" s="113" t="str">
        <f>_xlfn.XLOOKUP($C1448,'Cost Centers'!$A$2:$A$11,'Cost Centers'!$B$2:$B$11,"")</f>
        <v>MENA</v>
      </c>
      <c r="E1448" s="113" t="s">
        <v>33</v>
      </c>
      <c r="F1448" s="113" t="str">
        <f>_xlfn.XLOOKUP(E1448,'Allocated Transactions'!D:D,'Allocated Transactions'!E:E,"")</f>
        <v>Utilities</v>
      </c>
      <c r="G1448" s="113" t="s">
        <v>97</v>
      </c>
      <c r="H1448" s="113"/>
      <c r="I1448" s="113" t="str">
        <f>_xlfn.XLOOKUP($C1448,'Cost Centers'!$A$2:$A$11,'Cost Centers'!$C$2:$C$11,"")</f>
        <v>Programs</v>
      </c>
      <c r="J1448" s="23">
        <f>MROUND(SUMIFS('Allocated Transactions'!$J:$J,'Allocated Transactions'!$D:$D,$E1448,'Allocated Transactions'!$C:$C,$C1448,'Allocated Transactions'!$A:$A,"&gt;="&amp;$A1448,'Allocated Transactions'!$A:$A,"&lt;="&amp;EOMONTH($A1448,0))*0.99,100)</f>
        <v>200</v>
      </c>
      <c r="K1448" s="113" t="s">
        <v>637</v>
      </c>
    </row>
    <row r="1449" spans="1:11" ht="15" customHeight="1">
      <c r="A1449" s="112">
        <f t="shared" si="93"/>
        <v>46082</v>
      </c>
      <c r="B1449" s="113">
        <v>7</v>
      </c>
      <c r="C1449" s="18" t="str">
        <f t="shared" si="94"/>
        <v>2020</v>
      </c>
      <c r="D1449" s="113" t="str">
        <f>_xlfn.XLOOKUP($C1449,'Cost Centers'!$A$2:$A$11,'Cost Centers'!$B$2:$B$11,"")</f>
        <v>MENA</v>
      </c>
      <c r="E1449" s="113" t="s">
        <v>105</v>
      </c>
      <c r="F1449" s="113" t="str">
        <f>_xlfn.XLOOKUP(E1449,'Allocated Transactions'!D:D,'Allocated Transactions'!E:E,"")</f>
        <v>Office Supplies</v>
      </c>
      <c r="G1449" s="113" t="s">
        <v>97</v>
      </c>
      <c r="H1449" s="113"/>
      <c r="I1449" s="113" t="str">
        <f>_xlfn.XLOOKUP($C1449,'Cost Centers'!$A$2:$A$11,'Cost Centers'!$C$2:$C$11,"")</f>
        <v>Programs</v>
      </c>
      <c r="J1449" s="23">
        <f>MROUND(SUMIFS('Allocated Transactions'!$J:$J,'Allocated Transactions'!$D:$D,$E1449,'Allocated Transactions'!$C:$C,$C1449,'Allocated Transactions'!$A:$A,"&gt;="&amp;$A1449,'Allocated Transactions'!$A:$A,"&lt;="&amp;EOMONTH($A1449,0))*0.99,100)</f>
        <v>0</v>
      </c>
      <c r="K1449" s="113" t="s">
        <v>637</v>
      </c>
    </row>
    <row r="1450" spans="1:11" ht="15" customHeight="1">
      <c r="A1450" s="112">
        <f t="shared" si="93"/>
        <v>46082</v>
      </c>
      <c r="B1450" s="113">
        <v>7</v>
      </c>
      <c r="C1450" s="18" t="str">
        <f t="shared" si="94"/>
        <v>2020</v>
      </c>
      <c r="D1450" s="113" t="str">
        <f>_xlfn.XLOOKUP($C1450,'Cost Centers'!$A$2:$A$11,'Cost Centers'!$B$2:$B$11,"")</f>
        <v>MENA</v>
      </c>
      <c r="E1450" s="113" t="s">
        <v>107</v>
      </c>
      <c r="F1450" s="113" t="str">
        <f>_xlfn.XLOOKUP(E1450,'Allocated Transactions'!D:D,'Allocated Transactions'!E:E,"")</f>
        <v>Software and Subscriptions</v>
      </c>
      <c r="G1450" s="113" t="s">
        <v>97</v>
      </c>
      <c r="H1450" s="113"/>
      <c r="I1450" s="113" t="str">
        <f>_xlfn.XLOOKUP($C1450,'Cost Centers'!$A$2:$A$11,'Cost Centers'!$C$2:$C$11,"")</f>
        <v>Programs</v>
      </c>
      <c r="J1450" s="23">
        <f>MROUND(SUMIFS('Allocated Transactions'!$J:$J,'Allocated Transactions'!$D:$D,$E1450,'Allocated Transactions'!$C:$C,$C1450,'Allocated Transactions'!$A:$A,"&gt;="&amp;$A1450,'Allocated Transactions'!$A:$A,"&lt;="&amp;EOMONTH($A1450,0))*0.99,100)</f>
        <v>0</v>
      </c>
      <c r="K1450" s="113" t="s">
        <v>637</v>
      </c>
    </row>
    <row r="1451" spans="1:11" ht="15" customHeight="1">
      <c r="A1451" s="112">
        <f t="shared" si="93"/>
        <v>46082</v>
      </c>
      <c r="B1451" s="113">
        <v>7</v>
      </c>
      <c r="C1451" s="18" t="str">
        <f t="shared" si="94"/>
        <v>2020</v>
      </c>
      <c r="D1451" s="113" t="str">
        <f>_xlfn.XLOOKUP($C1451,'Cost Centers'!$A$2:$A$11,'Cost Centers'!$B$2:$B$11,"")</f>
        <v>MENA</v>
      </c>
      <c r="E1451" s="113" t="s">
        <v>109</v>
      </c>
      <c r="F1451" s="113" t="str">
        <f>_xlfn.XLOOKUP(E1451,'Allocated Transactions'!D:D,'Allocated Transactions'!E:E,"")</f>
        <v>Travel</v>
      </c>
      <c r="G1451" s="113" t="s">
        <v>97</v>
      </c>
      <c r="H1451" s="113"/>
      <c r="I1451" s="113" t="str">
        <f>_xlfn.XLOOKUP($C1451,'Cost Centers'!$A$2:$A$11,'Cost Centers'!$C$2:$C$11,"")</f>
        <v>Programs</v>
      </c>
      <c r="J1451" s="23">
        <f>MROUND(SUMIFS('Allocated Transactions'!$J:$J,'Allocated Transactions'!$D:$D,$E1451,'Allocated Transactions'!$C:$C,$C1451,'Allocated Transactions'!$A:$A,"&gt;="&amp;$A1451,'Allocated Transactions'!$A:$A,"&lt;="&amp;EOMONTH($A1451,0))*0.99,100)</f>
        <v>0</v>
      </c>
      <c r="K1451" s="113" t="s">
        <v>637</v>
      </c>
    </row>
    <row r="1452" spans="1:11" ht="15" customHeight="1">
      <c r="A1452" s="112">
        <f t="shared" si="93"/>
        <v>46082</v>
      </c>
      <c r="B1452" s="113">
        <v>7</v>
      </c>
      <c r="C1452" s="18" t="str">
        <f t="shared" si="94"/>
        <v>2020</v>
      </c>
      <c r="D1452" s="113" t="str">
        <f>_xlfn.XLOOKUP($C1452,'Cost Centers'!$A$2:$A$11,'Cost Centers'!$B$2:$B$11,"")</f>
        <v>MENA</v>
      </c>
      <c r="E1452" s="113" t="s">
        <v>111</v>
      </c>
      <c r="F1452" s="113" t="str">
        <f>_xlfn.XLOOKUP(E1452,'Allocated Transactions'!D:D,'Allocated Transactions'!E:E,"")</f>
        <v>Meals and Entertainment</v>
      </c>
      <c r="G1452" s="113" t="s">
        <v>97</v>
      </c>
      <c r="H1452" s="113"/>
      <c r="I1452" s="113" t="str">
        <f>_xlfn.XLOOKUP($C1452,'Cost Centers'!$A$2:$A$11,'Cost Centers'!$C$2:$C$11,"")</f>
        <v>Programs</v>
      </c>
      <c r="J1452" s="23">
        <f>MROUND(SUMIFS('Allocated Transactions'!$J:$J,'Allocated Transactions'!$D:$D,$E1452,'Allocated Transactions'!$C:$C,$C1452,'Allocated Transactions'!$A:$A,"&gt;="&amp;$A1452,'Allocated Transactions'!$A:$A,"&lt;="&amp;EOMONTH($A1452,0))*0.99,100)</f>
        <v>0</v>
      </c>
      <c r="K1452" s="113" t="s">
        <v>637</v>
      </c>
    </row>
    <row r="1453" spans="1:11" ht="15" customHeight="1">
      <c r="A1453" s="112">
        <f t="shared" si="93"/>
        <v>46082</v>
      </c>
      <c r="B1453" s="113">
        <v>7</v>
      </c>
      <c r="C1453" s="18" t="str">
        <f t="shared" si="94"/>
        <v>2020</v>
      </c>
      <c r="D1453" s="113" t="str">
        <f>_xlfn.XLOOKUP($C1453,'Cost Centers'!$A$2:$A$11,'Cost Centers'!$B$2:$B$11,"")</f>
        <v>MENA</v>
      </c>
      <c r="E1453" s="113" t="s">
        <v>113</v>
      </c>
      <c r="F1453" s="113" t="str">
        <f>_xlfn.XLOOKUP(E1453,'Allocated Transactions'!D:D,'Allocated Transactions'!E:E,"")</f>
        <v>Professional Fees - Legal</v>
      </c>
      <c r="G1453" s="113" t="s">
        <v>97</v>
      </c>
      <c r="H1453" s="113"/>
      <c r="I1453" s="113" t="str">
        <f>_xlfn.XLOOKUP($C1453,'Cost Centers'!$A$2:$A$11,'Cost Centers'!$C$2:$C$11,"")</f>
        <v>Programs</v>
      </c>
      <c r="J1453" s="23">
        <f>MROUND(SUMIFS('Allocated Transactions'!$J:$J,'Allocated Transactions'!$D:$D,$E1453,'Allocated Transactions'!$C:$C,$C1453,'Allocated Transactions'!$A:$A,"&gt;="&amp;$A1453,'Allocated Transactions'!$A:$A,"&lt;="&amp;EOMONTH($A1453,0))*0.99,100)</f>
        <v>0</v>
      </c>
      <c r="K1453" s="113" t="s">
        <v>637</v>
      </c>
    </row>
    <row r="1454" spans="1:11" ht="15" customHeight="1">
      <c r="A1454" s="112">
        <f t="shared" si="93"/>
        <v>46082</v>
      </c>
      <c r="B1454" s="113">
        <v>7</v>
      </c>
      <c r="C1454" s="18" t="str">
        <f t="shared" si="94"/>
        <v>2020</v>
      </c>
      <c r="D1454" s="113" t="str">
        <f>_xlfn.XLOOKUP($C1454,'Cost Centers'!$A$2:$A$11,'Cost Centers'!$B$2:$B$11,"")</f>
        <v>MENA</v>
      </c>
      <c r="E1454" s="113" t="s">
        <v>115</v>
      </c>
      <c r="F1454" s="113" t="str">
        <f>_xlfn.XLOOKUP(E1454,'Allocated Transactions'!D:D,'Allocated Transactions'!E:E,"")</f>
        <v>Professional Fees - Accounting/Audit</v>
      </c>
      <c r="G1454" s="113" t="s">
        <v>97</v>
      </c>
      <c r="H1454" s="113"/>
      <c r="I1454" s="113" t="str">
        <f>_xlfn.XLOOKUP($C1454,'Cost Centers'!$A$2:$A$11,'Cost Centers'!$C$2:$C$11,"")</f>
        <v>Programs</v>
      </c>
      <c r="J1454" s="23">
        <f>MROUND(SUMIFS('Allocated Transactions'!$J:$J,'Allocated Transactions'!$D:$D,$E1454,'Allocated Transactions'!$C:$C,$C1454,'Allocated Transactions'!$A:$A,"&gt;="&amp;$A1454,'Allocated Transactions'!$A:$A,"&lt;="&amp;EOMONTH($A1454,0))*0.99,100)</f>
        <v>0</v>
      </c>
      <c r="K1454" s="113" t="s">
        <v>637</v>
      </c>
    </row>
    <row r="1455" spans="1:11" ht="15" customHeight="1">
      <c r="A1455" s="112">
        <f t="shared" si="93"/>
        <v>46082</v>
      </c>
      <c r="B1455" s="113">
        <v>7</v>
      </c>
      <c r="C1455" s="18" t="str">
        <f t="shared" si="94"/>
        <v>2020</v>
      </c>
      <c r="D1455" s="113" t="str">
        <f>_xlfn.XLOOKUP($C1455,'Cost Centers'!$A$2:$A$11,'Cost Centers'!$B$2:$B$11,"")</f>
        <v>MENA</v>
      </c>
      <c r="E1455" s="113" t="s">
        <v>117</v>
      </c>
      <c r="F1455" s="113" t="str">
        <f>_xlfn.XLOOKUP(E1455,'Allocated Transactions'!D:D,'Allocated Transactions'!E:E,"")</f>
        <v>Insurance</v>
      </c>
      <c r="G1455" s="113" t="s">
        <v>97</v>
      </c>
      <c r="H1455" s="113"/>
      <c r="I1455" s="113" t="str">
        <f>_xlfn.XLOOKUP($C1455,'Cost Centers'!$A$2:$A$11,'Cost Centers'!$C$2:$C$11,"")</f>
        <v>Programs</v>
      </c>
      <c r="J1455" s="23">
        <f>MROUND(SUMIFS('Allocated Transactions'!$J:$J,'Allocated Transactions'!$D:$D,$E1455,'Allocated Transactions'!$C:$C,$C1455,'Allocated Transactions'!$A:$A,"&gt;="&amp;$A1455,'Allocated Transactions'!$A:$A,"&lt;="&amp;EOMONTH($A1455,0))*0.99,100)</f>
        <v>100</v>
      </c>
      <c r="K1455" s="113" t="s">
        <v>637</v>
      </c>
    </row>
    <row r="1456" spans="1:11" ht="15" customHeight="1">
      <c r="A1456" s="112">
        <f t="shared" si="93"/>
        <v>46082</v>
      </c>
      <c r="B1456" s="113">
        <v>7</v>
      </c>
      <c r="C1456" s="18" t="str">
        <f t="shared" si="94"/>
        <v>2020</v>
      </c>
      <c r="D1456" s="113" t="str">
        <f>_xlfn.XLOOKUP($C1456,'Cost Centers'!$A$2:$A$11,'Cost Centers'!$B$2:$B$11,"")</f>
        <v>MENA</v>
      </c>
      <c r="E1456" s="113" t="s">
        <v>119</v>
      </c>
      <c r="F1456" s="113" t="str">
        <f>_xlfn.XLOOKUP(E1456,'Allocated Transactions'!D:D,'Allocated Transactions'!E:E,"")</f>
        <v>Depreciation Expense</v>
      </c>
      <c r="G1456" s="113" t="s">
        <v>97</v>
      </c>
      <c r="H1456" s="113"/>
      <c r="I1456" s="113" t="str">
        <f>_xlfn.XLOOKUP($C1456,'Cost Centers'!$A$2:$A$11,'Cost Centers'!$C$2:$C$11,"")</f>
        <v>Programs</v>
      </c>
      <c r="J1456" s="23">
        <f>MROUND(SUMIFS('Allocated Transactions'!$J:$J,'Allocated Transactions'!$D:$D,$E1456,'Allocated Transactions'!$C:$C,$C1456,'Allocated Transactions'!$A:$A,"&gt;="&amp;$A1456,'Allocated Transactions'!$A:$A,"&lt;="&amp;EOMONTH($A1456,0))*0.99,100)</f>
        <v>0</v>
      </c>
      <c r="K1456" s="113" t="s">
        <v>637</v>
      </c>
    </row>
    <row r="1457" spans="1:11" ht="15" customHeight="1">
      <c r="A1457" s="112">
        <f t="shared" si="93"/>
        <v>46082</v>
      </c>
      <c r="B1457" s="113">
        <v>7</v>
      </c>
      <c r="C1457" s="18" t="str">
        <f t="shared" si="94"/>
        <v>2020</v>
      </c>
      <c r="D1457" s="113" t="str">
        <f>_xlfn.XLOOKUP($C1457,'Cost Centers'!$A$2:$A$11,'Cost Centers'!$B$2:$B$11,"")</f>
        <v>MENA</v>
      </c>
      <c r="E1457" s="113" t="s">
        <v>121</v>
      </c>
      <c r="F1457" s="113" t="str">
        <f>_xlfn.XLOOKUP(E1457,'Allocated Transactions'!D:D,'Allocated Transactions'!E:E,"")</f>
        <v>Bank Fees</v>
      </c>
      <c r="G1457" s="113" t="s">
        <v>97</v>
      </c>
      <c r="H1457" s="113"/>
      <c r="I1457" s="113" t="str">
        <f>_xlfn.XLOOKUP($C1457,'Cost Centers'!$A$2:$A$11,'Cost Centers'!$C$2:$C$11,"")</f>
        <v>Programs</v>
      </c>
      <c r="J1457" s="23">
        <f>MROUND(SUMIFS('Allocated Transactions'!$J:$J,'Allocated Transactions'!$D:$D,$E1457,'Allocated Transactions'!$C:$C,$C1457,'Allocated Transactions'!$A:$A,"&gt;="&amp;$A1457,'Allocated Transactions'!$A:$A,"&lt;="&amp;EOMONTH($A1457,0))*0.99,100)</f>
        <v>0</v>
      </c>
      <c r="K1457" s="113" t="s">
        <v>637</v>
      </c>
    </row>
    <row r="1458" spans="1:11" ht="15" customHeight="1">
      <c r="A1458" s="112">
        <f t="shared" si="93"/>
        <v>46082</v>
      </c>
      <c r="B1458" s="113">
        <v>7</v>
      </c>
      <c r="C1458" s="18" t="str">
        <f t="shared" si="94"/>
        <v>2020</v>
      </c>
      <c r="D1458" s="113" t="str">
        <f>_xlfn.XLOOKUP($C1458,'Cost Centers'!$A$2:$A$11,'Cost Centers'!$B$2:$B$11,"")</f>
        <v>MENA</v>
      </c>
      <c r="E1458" s="113" t="s">
        <v>123</v>
      </c>
      <c r="F1458" s="113" t="str">
        <f>_xlfn.XLOOKUP(E1458,'Allocated Transactions'!D:D,'Allocated Transactions'!E:E,"")</f>
        <v>Interest Expense</v>
      </c>
      <c r="G1458" s="113" t="s">
        <v>97</v>
      </c>
      <c r="H1458" s="113"/>
      <c r="I1458" s="113" t="str">
        <f>_xlfn.XLOOKUP($C1458,'Cost Centers'!$A$2:$A$11,'Cost Centers'!$C$2:$C$11,"")</f>
        <v>Programs</v>
      </c>
      <c r="J1458" s="23">
        <f>MROUND(SUMIFS('Allocated Transactions'!$J:$J,'Allocated Transactions'!$D:$D,$E1458,'Allocated Transactions'!$C:$C,$C1458,'Allocated Transactions'!$A:$A,"&gt;="&amp;$A1458,'Allocated Transactions'!$A:$A,"&lt;="&amp;EOMONTH($A1458,0))*0.99,100)</f>
        <v>0</v>
      </c>
      <c r="K1458" s="113" t="s">
        <v>637</v>
      </c>
    </row>
    <row r="1459" spans="1:11" ht="15" customHeight="1">
      <c r="A1459" s="112">
        <f t="shared" si="93"/>
        <v>46082</v>
      </c>
      <c r="B1459" s="113">
        <v>7</v>
      </c>
      <c r="C1459" s="18" t="str">
        <f t="shared" si="94"/>
        <v>2020</v>
      </c>
      <c r="D1459" s="113" t="str">
        <f>_xlfn.XLOOKUP($C1459,'Cost Centers'!$A$2:$A$11,'Cost Centers'!$B$2:$B$11,"")</f>
        <v>MENA</v>
      </c>
      <c r="E1459" s="113" t="s">
        <v>125</v>
      </c>
      <c r="F1459" s="113" t="str">
        <f>_xlfn.XLOOKUP(E1459,'Allocated Transactions'!D:D,'Allocated Transactions'!E:E,"")</f>
        <v>Miscellaneous Expense</v>
      </c>
      <c r="G1459" s="113" t="s">
        <v>97</v>
      </c>
      <c r="H1459" s="113"/>
      <c r="I1459" s="113" t="str">
        <f>_xlfn.XLOOKUP($C1459,'Cost Centers'!$A$2:$A$11,'Cost Centers'!$C$2:$C$11,"")</f>
        <v>Programs</v>
      </c>
      <c r="J1459" s="23">
        <f>MROUND(SUMIFS('Allocated Transactions'!$J:$J,'Allocated Transactions'!$D:$D,$E1459,'Allocated Transactions'!$C:$C,$C1459,'Allocated Transactions'!$A:$A,"&gt;="&amp;$A1459,'Allocated Transactions'!$A:$A,"&lt;="&amp;EOMONTH($A1459,0))*0.99,100)</f>
        <v>0</v>
      </c>
      <c r="K1459" s="113" t="s">
        <v>637</v>
      </c>
    </row>
    <row r="1460" spans="1:11" ht="15" customHeight="1">
      <c r="A1460" s="112">
        <f t="shared" si="93"/>
        <v>46113</v>
      </c>
      <c r="B1460" s="113">
        <v>7</v>
      </c>
      <c r="C1460" s="18" t="s">
        <v>14</v>
      </c>
      <c r="D1460" s="113" t="str">
        <f>_xlfn.XLOOKUP($C1460,'Cost Centers'!$A$2:$A$11,'Cost Centers'!$B$2:$B$11,"")</f>
        <v>MENA</v>
      </c>
      <c r="E1460" s="113" t="s">
        <v>28</v>
      </c>
      <c r="F1460" s="113" t="str">
        <f>_xlfn.XLOOKUP(E1460,'Allocated Transactions'!D:D,'Allocated Transactions'!E:E,"")</f>
        <v>Salaries and Wages</v>
      </c>
      <c r="G1460" s="113" t="s">
        <v>97</v>
      </c>
      <c r="H1460" s="113"/>
      <c r="I1460" s="113" t="str">
        <f>_xlfn.XLOOKUP($C1460,'Cost Centers'!$A$2:$A$11,'Cost Centers'!$C$2:$C$11,"")</f>
        <v>Programs</v>
      </c>
      <c r="J1460" s="23">
        <f>MROUND(SUMIFS('Allocated Transactions'!$J:$J,'Allocated Transactions'!$D:$D,$E1460,'Allocated Transactions'!$C:$C,$C1460,'Allocated Transactions'!$A:$A,"&gt;="&amp;$A1460,'Allocated Transactions'!$A:$A,"&lt;="&amp;EOMONTH($A1460,0))*0.99,100)</f>
        <v>19400</v>
      </c>
      <c r="K1460" s="113" t="s">
        <v>637</v>
      </c>
    </row>
    <row r="1461" spans="1:11" ht="15" customHeight="1">
      <c r="A1461" s="112">
        <f t="shared" si="93"/>
        <v>46113</v>
      </c>
      <c r="B1461" s="113">
        <v>7</v>
      </c>
      <c r="C1461" s="18" t="str">
        <f t="shared" ref="C1461:C1477" si="95">C1460</f>
        <v>2020</v>
      </c>
      <c r="D1461" s="113" t="str">
        <f>_xlfn.XLOOKUP($C1461,'Cost Centers'!$A$2:$A$11,'Cost Centers'!$B$2:$B$11,"")</f>
        <v>MENA</v>
      </c>
      <c r="E1461" s="113" t="s">
        <v>29</v>
      </c>
      <c r="F1461" s="113" t="str">
        <f>_xlfn.XLOOKUP(E1461,'Allocated Transactions'!D:D,'Allocated Transactions'!E:E,"")</f>
        <v>Payroll Taxes</v>
      </c>
      <c r="G1461" s="113" t="s">
        <v>97</v>
      </c>
      <c r="H1461" s="113"/>
      <c r="I1461" s="113" t="str">
        <f>_xlfn.XLOOKUP($C1461,'Cost Centers'!$A$2:$A$11,'Cost Centers'!$C$2:$C$11,"")</f>
        <v>Programs</v>
      </c>
      <c r="J1461" s="23">
        <f>MROUND(SUMIFS('Allocated Transactions'!$J:$J,'Allocated Transactions'!$D:$D,$E1461,'Allocated Transactions'!$C:$C,$C1461,'Allocated Transactions'!$A:$A,"&gt;="&amp;$A1461,'Allocated Transactions'!$A:$A,"&lt;="&amp;EOMONTH($A1461,0))*0.99,100)</f>
        <v>1500</v>
      </c>
      <c r="K1461" s="113" t="s">
        <v>637</v>
      </c>
    </row>
    <row r="1462" spans="1:11" ht="15" customHeight="1">
      <c r="A1462" s="112">
        <f t="shared" si="93"/>
        <v>46113</v>
      </c>
      <c r="B1462" s="113">
        <v>7</v>
      </c>
      <c r="C1462" s="18" t="str">
        <f t="shared" si="95"/>
        <v>2020</v>
      </c>
      <c r="D1462" s="113" t="str">
        <f>_xlfn.XLOOKUP($C1462,'Cost Centers'!$A$2:$A$11,'Cost Centers'!$B$2:$B$11,"")</f>
        <v>MENA</v>
      </c>
      <c r="E1462" s="113" t="s">
        <v>30</v>
      </c>
      <c r="F1462" s="113" t="str">
        <f>_xlfn.XLOOKUP(E1462,'Allocated Transactions'!D:D,'Allocated Transactions'!E:E,"")</f>
        <v>Employee Benefits</v>
      </c>
      <c r="G1462" s="113" t="s">
        <v>97</v>
      </c>
      <c r="H1462" s="113"/>
      <c r="I1462" s="113" t="str">
        <f>_xlfn.XLOOKUP($C1462,'Cost Centers'!$A$2:$A$11,'Cost Centers'!$C$2:$C$11,"")</f>
        <v>Programs</v>
      </c>
      <c r="J1462" s="23">
        <f>MROUND(SUMIFS('Allocated Transactions'!$J:$J,'Allocated Transactions'!$D:$D,$E1462,'Allocated Transactions'!$C:$C,$C1462,'Allocated Transactions'!$A:$A,"&gt;="&amp;$A1462,'Allocated Transactions'!$A:$A,"&lt;="&amp;EOMONTH($A1462,0))*0.99,100)</f>
        <v>9400</v>
      </c>
      <c r="K1462" s="113" t="s">
        <v>637</v>
      </c>
    </row>
    <row r="1463" spans="1:11" ht="15" customHeight="1">
      <c r="A1463" s="112">
        <f t="shared" si="93"/>
        <v>46113</v>
      </c>
      <c r="B1463" s="113">
        <v>7</v>
      </c>
      <c r="C1463" s="18" t="str">
        <f t="shared" si="95"/>
        <v>2020</v>
      </c>
      <c r="D1463" s="113" t="str">
        <f>_xlfn.XLOOKUP($C1463,'Cost Centers'!$A$2:$A$11,'Cost Centers'!$B$2:$B$11,"")</f>
        <v>MENA</v>
      </c>
      <c r="E1463" s="113" t="s">
        <v>31</v>
      </c>
      <c r="F1463" s="113" t="str">
        <f>_xlfn.XLOOKUP(E1463,'Allocated Transactions'!D:D,'Allocated Transactions'!E:E,"")</f>
        <v>Retirement Contributions</v>
      </c>
      <c r="G1463" s="113" t="s">
        <v>97</v>
      </c>
      <c r="H1463" s="113"/>
      <c r="I1463" s="113" t="str">
        <f>_xlfn.XLOOKUP($C1463,'Cost Centers'!$A$2:$A$11,'Cost Centers'!$C$2:$C$11,"")</f>
        <v>Programs</v>
      </c>
      <c r="J1463" s="23">
        <f>MROUND(SUMIFS('Allocated Transactions'!$J:$J,'Allocated Transactions'!$D:$D,$E1463,'Allocated Transactions'!$C:$C,$C1463,'Allocated Transactions'!$A:$A,"&gt;="&amp;$A1463,'Allocated Transactions'!$A:$A,"&lt;="&amp;EOMONTH($A1463,0))*0.99,100)</f>
        <v>600</v>
      </c>
      <c r="K1463" s="113" t="s">
        <v>637</v>
      </c>
    </row>
    <row r="1464" spans="1:11" ht="15" customHeight="1">
      <c r="A1464" s="112">
        <f t="shared" si="93"/>
        <v>46113</v>
      </c>
      <c r="B1464" s="113">
        <v>7</v>
      </c>
      <c r="C1464" s="18" t="str">
        <f t="shared" si="95"/>
        <v>2020</v>
      </c>
      <c r="D1464" s="113" t="str">
        <f>_xlfn.XLOOKUP($C1464,'Cost Centers'!$A$2:$A$11,'Cost Centers'!$B$2:$B$11,"")</f>
        <v>MENA</v>
      </c>
      <c r="E1464" s="113" t="s">
        <v>101</v>
      </c>
      <c r="F1464" s="113" t="str">
        <f>_xlfn.XLOOKUP(E1464,'Allocated Transactions'!D:D,'Allocated Transactions'!E:E,"")</f>
        <v>Contract Labor / Consultants</v>
      </c>
      <c r="G1464" s="113" t="s">
        <v>97</v>
      </c>
      <c r="H1464" s="113"/>
      <c r="I1464" s="113" t="str">
        <f>_xlfn.XLOOKUP($C1464,'Cost Centers'!$A$2:$A$11,'Cost Centers'!$C$2:$C$11,"")</f>
        <v>Programs</v>
      </c>
      <c r="J1464" s="23">
        <f>MROUND(SUMIFS('Allocated Transactions'!$J:$J,'Allocated Transactions'!$D:$D,$E1464,'Allocated Transactions'!$C:$C,$C1464,'Allocated Transactions'!$A:$A,"&gt;="&amp;$A1464,'Allocated Transactions'!$A:$A,"&lt;="&amp;EOMONTH($A1464,0))*0.99,100)</f>
        <v>10900</v>
      </c>
      <c r="K1464" s="113" t="s">
        <v>637</v>
      </c>
    </row>
    <row r="1465" spans="1:11" ht="15" customHeight="1">
      <c r="A1465" s="112">
        <f t="shared" si="93"/>
        <v>46113</v>
      </c>
      <c r="B1465" s="113">
        <v>7</v>
      </c>
      <c r="C1465" s="18" t="str">
        <f t="shared" si="95"/>
        <v>2020</v>
      </c>
      <c r="D1465" s="113" t="str">
        <f>_xlfn.XLOOKUP($C1465,'Cost Centers'!$A$2:$A$11,'Cost Centers'!$B$2:$B$11,"")</f>
        <v>MENA</v>
      </c>
      <c r="E1465" s="113" t="s">
        <v>32</v>
      </c>
      <c r="F1465" s="113" t="str">
        <f>_xlfn.XLOOKUP(E1465,'Allocated Transactions'!D:D,'Allocated Transactions'!E:E,"")</f>
        <v>Rent</v>
      </c>
      <c r="G1465" s="113" t="s">
        <v>97</v>
      </c>
      <c r="H1465" s="113"/>
      <c r="I1465" s="113" t="str">
        <f>_xlfn.XLOOKUP($C1465,'Cost Centers'!$A$2:$A$11,'Cost Centers'!$C$2:$C$11,"")</f>
        <v>Programs</v>
      </c>
      <c r="J1465" s="23">
        <f>MROUND(SUMIFS('Allocated Transactions'!$J:$J,'Allocated Transactions'!$D:$D,$E1465,'Allocated Transactions'!$C:$C,$C1465,'Allocated Transactions'!$A:$A,"&gt;="&amp;$A1465,'Allocated Transactions'!$A:$A,"&lt;="&amp;EOMONTH($A1465,0))*0.99,100)</f>
        <v>1500</v>
      </c>
      <c r="K1465" s="113" t="s">
        <v>637</v>
      </c>
    </row>
    <row r="1466" spans="1:11" ht="15" customHeight="1">
      <c r="A1466" s="112">
        <f t="shared" si="93"/>
        <v>46113</v>
      </c>
      <c r="B1466" s="113">
        <v>7</v>
      </c>
      <c r="C1466" s="18" t="str">
        <f t="shared" si="95"/>
        <v>2020</v>
      </c>
      <c r="D1466" s="113" t="str">
        <f>_xlfn.XLOOKUP($C1466,'Cost Centers'!$A$2:$A$11,'Cost Centers'!$B$2:$B$11,"")</f>
        <v>MENA</v>
      </c>
      <c r="E1466" s="113" t="s">
        <v>33</v>
      </c>
      <c r="F1466" s="113" t="str">
        <f>_xlfn.XLOOKUP(E1466,'Allocated Transactions'!D:D,'Allocated Transactions'!E:E,"")</f>
        <v>Utilities</v>
      </c>
      <c r="G1466" s="113" t="s">
        <v>97</v>
      </c>
      <c r="H1466" s="113"/>
      <c r="I1466" s="113" t="str">
        <f>_xlfn.XLOOKUP($C1466,'Cost Centers'!$A$2:$A$11,'Cost Centers'!$C$2:$C$11,"")</f>
        <v>Programs</v>
      </c>
      <c r="J1466" s="23">
        <f>MROUND(SUMIFS('Allocated Transactions'!$J:$J,'Allocated Transactions'!$D:$D,$E1466,'Allocated Transactions'!$C:$C,$C1466,'Allocated Transactions'!$A:$A,"&gt;="&amp;$A1466,'Allocated Transactions'!$A:$A,"&lt;="&amp;EOMONTH($A1466,0))*0.99,100)</f>
        <v>100</v>
      </c>
      <c r="K1466" s="113" t="s">
        <v>637</v>
      </c>
    </row>
    <row r="1467" spans="1:11" ht="15" customHeight="1">
      <c r="A1467" s="112">
        <f t="shared" si="93"/>
        <v>46113</v>
      </c>
      <c r="B1467" s="113">
        <v>7</v>
      </c>
      <c r="C1467" s="18" t="str">
        <f t="shared" si="95"/>
        <v>2020</v>
      </c>
      <c r="D1467" s="113" t="str">
        <f>_xlfn.XLOOKUP($C1467,'Cost Centers'!$A$2:$A$11,'Cost Centers'!$B$2:$B$11,"")</f>
        <v>MENA</v>
      </c>
      <c r="E1467" s="113" t="s">
        <v>105</v>
      </c>
      <c r="F1467" s="113" t="str">
        <f>_xlfn.XLOOKUP(E1467,'Allocated Transactions'!D:D,'Allocated Transactions'!E:E,"")</f>
        <v>Office Supplies</v>
      </c>
      <c r="G1467" s="113" t="s">
        <v>97</v>
      </c>
      <c r="H1467" s="113"/>
      <c r="I1467" s="113" t="str">
        <f>_xlfn.XLOOKUP($C1467,'Cost Centers'!$A$2:$A$11,'Cost Centers'!$C$2:$C$11,"")</f>
        <v>Programs</v>
      </c>
      <c r="J1467" s="23">
        <f>MROUND(SUMIFS('Allocated Transactions'!$J:$J,'Allocated Transactions'!$D:$D,$E1467,'Allocated Transactions'!$C:$C,$C1467,'Allocated Transactions'!$A:$A,"&gt;="&amp;$A1467,'Allocated Transactions'!$A:$A,"&lt;="&amp;EOMONTH($A1467,0))*0.99,100)</f>
        <v>0</v>
      </c>
      <c r="K1467" s="113" t="s">
        <v>637</v>
      </c>
    </row>
    <row r="1468" spans="1:11" ht="15" customHeight="1">
      <c r="A1468" s="112">
        <f t="shared" si="93"/>
        <v>46113</v>
      </c>
      <c r="B1468" s="113">
        <v>7</v>
      </c>
      <c r="C1468" s="18" t="str">
        <f t="shared" si="95"/>
        <v>2020</v>
      </c>
      <c r="D1468" s="113" t="str">
        <f>_xlfn.XLOOKUP($C1468,'Cost Centers'!$A$2:$A$11,'Cost Centers'!$B$2:$B$11,"")</f>
        <v>MENA</v>
      </c>
      <c r="E1468" s="113" t="s">
        <v>107</v>
      </c>
      <c r="F1468" s="113" t="str">
        <f>_xlfn.XLOOKUP(E1468,'Allocated Transactions'!D:D,'Allocated Transactions'!E:E,"")</f>
        <v>Software and Subscriptions</v>
      </c>
      <c r="G1468" s="113" t="s">
        <v>97</v>
      </c>
      <c r="H1468" s="113"/>
      <c r="I1468" s="113" t="str">
        <f>_xlfn.XLOOKUP($C1468,'Cost Centers'!$A$2:$A$11,'Cost Centers'!$C$2:$C$11,"")</f>
        <v>Programs</v>
      </c>
      <c r="J1468" s="23">
        <f>MROUND(SUMIFS('Allocated Transactions'!$J:$J,'Allocated Transactions'!$D:$D,$E1468,'Allocated Transactions'!$C:$C,$C1468,'Allocated Transactions'!$A:$A,"&gt;="&amp;$A1468,'Allocated Transactions'!$A:$A,"&lt;="&amp;EOMONTH($A1468,0))*0.99,100)</f>
        <v>0</v>
      </c>
      <c r="K1468" s="113" t="s">
        <v>637</v>
      </c>
    </row>
    <row r="1469" spans="1:11" ht="15" customHeight="1">
      <c r="A1469" s="112">
        <f t="shared" si="93"/>
        <v>46113</v>
      </c>
      <c r="B1469" s="113">
        <v>7</v>
      </c>
      <c r="C1469" s="18" t="str">
        <f t="shared" si="95"/>
        <v>2020</v>
      </c>
      <c r="D1469" s="113" t="str">
        <f>_xlfn.XLOOKUP($C1469,'Cost Centers'!$A$2:$A$11,'Cost Centers'!$B$2:$B$11,"")</f>
        <v>MENA</v>
      </c>
      <c r="E1469" s="113" t="s">
        <v>109</v>
      </c>
      <c r="F1469" s="113" t="str">
        <f>_xlfn.XLOOKUP(E1469,'Allocated Transactions'!D:D,'Allocated Transactions'!E:E,"")</f>
        <v>Travel</v>
      </c>
      <c r="G1469" s="113" t="s">
        <v>97</v>
      </c>
      <c r="H1469" s="113"/>
      <c r="I1469" s="113" t="str">
        <f>_xlfn.XLOOKUP($C1469,'Cost Centers'!$A$2:$A$11,'Cost Centers'!$C$2:$C$11,"")</f>
        <v>Programs</v>
      </c>
      <c r="J1469" s="23">
        <f>MROUND(SUMIFS('Allocated Transactions'!$J:$J,'Allocated Transactions'!$D:$D,$E1469,'Allocated Transactions'!$C:$C,$C1469,'Allocated Transactions'!$A:$A,"&gt;="&amp;$A1469,'Allocated Transactions'!$A:$A,"&lt;="&amp;EOMONTH($A1469,0))*0.99,100)</f>
        <v>0</v>
      </c>
      <c r="K1469" s="113" t="s">
        <v>637</v>
      </c>
    </row>
    <row r="1470" spans="1:11" ht="15" customHeight="1">
      <c r="A1470" s="112">
        <f t="shared" si="93"/>
        <v>46113</v>
      </c>
      <c r="B1470" s="113">
        <v>7</v>
      </c>
      <c r="C1470" s="18" t="str">
        <f t="shared" si="95"/>
        <v>2020</v>
      </c>
      <c r="D1470" s="113" t="str">
        <f>_xlfn.XLOOKUP($C1470,'Cost Centers'!$A$2:$A$11,'Cost Centers'!$B$2:$B$11,"")</f>
        <v>MENA</v>
      </c>
      <c r="E1470" s="113" t="s">
        <v>111</v>
      </c>
      <c r="F1470" s="113" t="str">
        <f>_xlfn.XLOOKUP(E1470,'Allocated Transactions'!D:D,'Allocated Transactions'!E:E,"")</f>
        <v>Meals and Entertainment</v>
      </c>
      <c r="G1470" s="113" t="s">
        <v>97</v>
      </c>
      <c r="H1470" s="113"/>
      <c r="I1470" s="113" t="str">
        <f>_xlfn.XLOOKUP($C1470,'Cost Centers'!$A$2:$A$11,'Cost Centers'!$C$2:$C$11,"")</f>
        <v>Programs</v>
      </c>
      <c r="J1470" s="23">
        <f>MROUND(SUMIFS('Allocated Transactions'!$J:$J,'Allocated Transactions'!$D:$D,$E1470,'Allocated Transactions'!$C:$C,$C1470,'Allocated Transactions'!$A:$A,"&gt;="&amp;$A1470,'Allocated Transactions'!$A:$A,"&lt;="&amp;EOMONTH($A1470,0))*0.99,100)</f>
        <v>0</v>
      </c>
      <c r="K1470" s="113" t="s">
        <v>637</v>
      </c>
    </row>
    <row r="1471" spans="1:11" ht="15" customHeight="1">
      <c r="A1471" s="112">
        <f t="shared" si="93"/>
        <v>46113</v>
      </c>
      <c r="B1471" s="113">
        <v>7</v>
      </c>
      <c r="C1471" s="18" t="str">
        <f t="shared" si="95"/>
        <v>2020</v>
      </c>
      <c r="D1471" s="113" t="str">
        <f>_xlfn.XLOOKUP($C1471,'Cost Centers'!$A$2:$A$11,'Cost Centers'!$B$2:$B$11,"")</f>
        <v>MENA</v>
      </c>
      <c r="E1471" s="113" t="s">
        <v>113</v>
      </c>
      <c r="F1471" s="113" t="str">
        <f>_xlfn.XLOOKUP(E1471,'Allocated Transactions'!D:D,'Allocated Transactions'!E:E,"")</f>
        <v>Professional Fees - Legal</v>
      </c>
      <c r="G1471" s="113" t="s">
        <v>97</v>
      </c>
      <c r="H1471" s="113"/>
      <c r="I1471" s="113" t="str">
        <f>_xlfn.XLOOKUP($C1471,'Cost Centers'!$A$2:$A$11,'Cost Centers'!$C$2:$C$11,"")</f>
        <v>Programs</v>
      </c>
      <c r="J1471" s="23">
        <f>MROUND(SUMIFS('Allocated Transactions'!$J:$J,'Allocated Transactions'!$D:$D,$E1471,'Allocated Transactions'!$C:$C,$C1471,'Allocated Transactions'!$A:$A,"&gt;="&amp;$A1471,'Allocated Transactions'!$A:$A,"&lt;="&amp;EOMONTH($A1471,0))*0.99,100)</f>
        <v>0</v>
      </c>
      <c r="K1471" s="113" t="s">
        <v>637</v>
      </c>
    </row>
    <row r="1472" spans="1:11" ht="15" customHeight="1">
      <c r="A1472" s="112">
        <f t="shared" si="93"/>
        <v>46113</v>
      </c>
      <c r="B1472" s="113">
        <v>7</v>
      </c>
      <c r="C1472" s="18" t="str">
        <f t="shared" si="95"/>
        <v>2020</v>
      </c>
      <c r="D1472" s="113" t="str">
        <f>_xlfn.XLOOKUP($C1472,'Cost Centers'!$A$2:$A$11,'Cost Centers'!$B$2:$B$11,"")</f>
        <v>MENA</v>
      </c>
      <c r="E1472" s="113" t="s">
        <v>115</v>
      </c>
      <c r="F1472" s="113" t="str">
        <f>_xlfn.XLOOKUP(E1472,'Allocated Transactions'!D:D,'Allocated Transactions'!E:E,"")</f>
        <v>Professional Fees - Accounting/Audit</v>
      </c>
      <c r="G1472" s="113" t="s">
        <v>97</v>
      </c>
      <c r="H1472" s="113"/>
      <c r="I1472" s="113" t="str">
        <f>_xlfn.XLOOKUP($C1472,'Cost Centers'!$A$2:$A$11,'Cost Centers'!$C$2:$C$11,"")</f>
        <v>Programs</v>
      </c>
      <c r="J1472" s="23">
        <f>MROUND(SUMIFS('Allocated Transactions'!$J:$J,'Allocated Transactions'!$D:$D,$E1472,'Allocated Transactions'!$C:$C,$C1472,'Allocated Transactions'!$A:$A,"&gt;="&amp;$A1472,'Allocated Transactions'!$A:$A,"&lt;="&amp;EOMONTH($A1472,0))*0.99,100)</f>
        <v>0</v>
      </c>
      <c r="K1472" s="113" t="s">
        <v>637</v>
      </c>
    </row>
    <row r="1473" spans="1:11" ht="15" customHeight="1">
      <c r="A1473" s="112">
        <f t="shared" si="93"/>
        <v>46113</v>
      </c>
      <c r="B1473" s="113">
        <v>7</v>
      </c>
      <c r="C1473" s="18" t="str">
        <f t="shared" si="95"/>
        <v>2020</v>
      </c>
      <c r="D1473" s="113" t="str">
        <f>_xlfn.XLOOKUP($C1473,'Cost Centers'!$A$2:$A$11,'Cost Centers'!$B$2:$B$11,"")</f>
        <v>MENA</v>
      </c>
      <c r="E1473" s="113" t="s">
        <v>117</v>
      </c>
      <c r="F1473" s="113" t="str">
        <f>_xlfn.XLOOKUP(E1473,'Allocated Transactions'!D:D,'Allocated Transactions'!E:E,"")</f>
        <v>Insurance</v>
      </c>
      <c r="G1473" s="113" t="s">
        <v>97</v>
      </c>
      <c r="H1473" s="113"/>
      <c r="I1473" s="113" t="str">
        <f>_xlfn.XLOOKUP($C1473,'Cost Centers'!$A$2:$A$11,'Cost Centers'!$C$2:$C$11,"")</f>
        <v>Programs</v>
      </c>
      <c r="J1473" s="23">
        <f>MROUND(SUMIFS('Allocated Transactions'!$J:$J,'Allocated Transactions'!$D:$D,$E1473,'Allocated Transactions'!$C:$C,$C1473,'Allocated Transactions'!$A:$A,"&gt;="&amp;$A1473,'Allocated Transactions'!$A:$A,"&lt;="&amp;EOMONTH($A1473,0))*0.99,100)</f>
        <v>100</v>
      </c>
      <c r="K1473" s="113" t="s">
        <v>637</v>
      </c>
    </row>
    <row r="1474" spans="1:11" ht="15" customHeight="1">
      <c r="A1474" s="112">
        <f t="shared" si="93"/>
        <v>46113</v>
      </c>
      <c r="B1474" s="113">
        <v>7</v>
      </c>
      <c r="C1474" s="18" t="str">
        <f t="shared" si="95"/>
        <v>2020</v>
      </c>
      <c r="D1474" s="113" t="str">
        <f>_xlfn.XLOOKUP($C1474,'Cost Centers'!$A$2:$A$11,'Cost Centers'!$B$2:$B$11,"")</f>
        <v>MENA</v>
      </c>
      <c r="E1474" s="113" t="s">
        <v>119</v>
      </c>
      <c r="F1474" s="113" t="str">
        <f>_xlfn.XLOOKUP(E1474,'Allocated Transactions'!D:D,'Allocated Transactions'!E:E,"")</f>
        <v>Depreciation Expense</v>
      </c>
      <c r="G1474" s="113" t="s">
        <v>97</v>
      </c>
      <c r="H1474" s="113"/>
      <c r="I1474" s="113" t="str">
        <f>_xlfn.XLOOKUP($C1474,'Cost Centers'!$A$2:$A$11,'Cost Centers'!$C$2:$C$11,"")</f>
        <v>Programs</v>
      </c>
      <c r="J1474" s="23">
        <f>MROUND(SUMIFS('Allocated Transactions'!$J:$J,'Allocated Transactions'!$D:$D,$E1474,'Allocated Transactions'!$C:$C,$C1474,'Allocated Transactions'!$A:$A,"&gt;="&amp;$A1474,'Allocated Transactions'!$A:$A,"&lt;="&amp;EOMONTH($A1474,0))*0.99,100)</f>
        <v>0</v>
      </c>
      <c r="K1474" s="113" t="s">
        <v>637</v>
      </c>
    </row>
    <row r="1475" spans="1:11" ht="15" customHeight="1">
      <c r="A1475" s="112">
        <f t="shared" si="93"/>
        <v>46113</v>
      </c>
      <c r="B1475" s="113">
        <v>7</v>
      </c>
      <c r="C1475" s="18" t="str">
        <f t="shared" si="95"/>
        <v>2020</v>
      </c>
      <c r="D1475" s="113" t="str">
        <f>_xlfn.XLOOKUP($C1475,'Cost Centers'!$A$2:$A$11,'Cost Centers'!$B$2:$B$11,"")</f>
        <v>MENA</v>
      </c>
      <c r="E1475" s="113" t="s">
        <v>121</v>
      </c>
      <c r="F1475" s="113" t="str">
        <f>_xlfn.XLOOKUP(E1475,'Allocated Transactions'!D:D,'Allocated Transactions'!E:E,"")</f>
        <v>Bank Fees</v>
      </c>
      <c r="G1475" s="113" t="s">
        <v>97</v>
      </c>
      <c r="H1475" s="113"/>
      <c r="I1475" s="113" t="str">
        <f>_xlfn.XLOOKUP($C1475,'Cost Centers'!$A$2:$A$11,'Cost Centers'!$C$2:$C$11,"")</f>
        <v>Programs</v>
      </c>
      <c r="J1475" s="23">
        <f>MROUND(SUMIFS('Allocated Transactions'!$J:$J,'Allocated Transactions'!$D:$D,$E1475,'Allocated Transactions'!$C:$C,$C1475,'Allocated Transactions'!$A:$A,"&gt;="&amp;$A1475,'Allocated Transactions'!$A:$A,"&lt;="&amp;EOMONTH($A1475,0))*0.99,100)</f>
        <v>0</v>
      </c>
      <c r="K1475" s="113" t="s">
        <v>637</v>
      </c>
    </row>
    <row r="1476" spans="1:11" ht="15" customHeight="1">
      <c r="A1476" s="112">
        <f t="shared" si="93"/>
        <v>46113</v>
      </c>
      <c r="B1476" s="113">
        <v>7</v>
      </c>
      <c r="C1476" s="18" t="str">
        <f t="shared" si="95"/>
        <v>2020</v>
      </c>
      <c r="D1476" s="113" t="str">
        <f>_xlfn.XLOOKUP($C1476,'Cost Centers'!$A$2:$A$11,'Cost Centers'!$B$2:$B$11,"")</f>
        <v>MENA</v>
      </c>
      <c r="E1476" s="113" t="s">
        <v>123</v>
      </c>
      <c r="F1476" s="113" t="str">
        <f>_xlfn.XLOOKUP(E1476,'Allocated Transactions'!D:D,'Allocated Transactions'!E:E,"")</f>
        <v>Interest Expense</v>
      </c>
      <c r="G1476" s="113" t="s">
        <v>97</v>
      </c>
      <c r="H1476" s="113"/>
      <c r="I1476" s="113" t="str">
        <f>_xlfn.XLOOKUP($C1476,'Cost Centers'!$A$2:$A$11,'Cost Centers'!$C$2:$C$11,"")</f>
        <v>Programs</v>
      </c>
      <c r="J1476" s="23">
        <f>MROUND(SUMIFS('Allocated Transactions'!$J:$J,'Allocated Transactions'!$D:$D,$E1476,'Allocated Transactions'!$C:$C,$C1476,'Allocated Transactions'!$A:$A,"&gt;="&amp;$A1476,'Allocated Transactions'!$A:$A,"&lt;="&amp;EOMONTH($A1476,0))*0.99,100)</f>
        <v>0</v>
      </c>
      <c r="K1476" s="113" t="s">
        <v>637</v>
      </c>
    </row>
    <row r="1477" spans="1:11" ht="15" customHeight="1">
      <c r="A1477" s="112">
        <f t="shared" si="93"/>
        <v>46113</v>
      </c>
      <c r="B1477" s="113">
        <v>7</v>
      </c>
      <c r="C1477" s="18" t="str">
        <f t="shared" si="95"/>
        <v>2020</v>
      </c>
      <c r="D1477" s="113" t="str">
        <f>_xlfn.XLOOKUP($C1477,'Cost Centers'!$A$2:$A$11,'Cost Centers'!$B$2:$B$11,"")</f>
        <v>MENA</v>
      </c>
      <c r="E1477" s="113" t="s">
        <v>125</v>
      </c>
      <c r="F1477" s="113" t="str">
        <f>_xlfn.XLOOKUP(E1477,'Allocated Transactions'!D:D,'Allocated Transactions'!E:E,"")</f>
        <v>Miscellaneous Expense</v>
      </c>
      <c r="G1477" s="113" t="s">
        <v>97</v>
      </c>
      <c r="H1477" s="113"/>
      <c r="I1477" s="113" t="str">
        <f>_xlfn.XLOOKUP($C1477,'Cost Centers'!$A$2:$A$11,'Cost Centers'!$C$2:$C$11,"")</f>
        <v>Programs</v>
      </c>
      <c r="J1477" s="23">
        <f>MROUND(SUMIFS('Allocated Transactions'!$J:$J,'Allocated Transactions'!$D:$D,$E1477,'Allocated Transactions'!$C:$C,$C1477,'Allocated Transactions'!$A:$A,"&gt;="&amp;$A1477,'Allocated Transactions'!$A:$A,"&lt;="&amp;EOMONTH($A1477,0))*0.99,100)</f>
        <v>0</v>
      </c>
      <c r="K1477" s="113" t="s">
        <v>637</v>
      </c>
    </row>
    <row r="1478" spans="1:11" ht="15" customHeight="1">
      <c r="A1478" s="112">
        <f t="shared" si="93"/>
        <v>46143</v>
      </c>
      <c r="B1478" s="113">
        <v>7</v>
      </c>
      <c r="C1478" s="18" t="s">
        <v>14</v>
      </c>
      <c r="D1478" s="113" t="str">
        <f>_xlfn.XLOOKUP($C1478,'Cost Centers'!$A$2:$A$11,'Cost Centers'!$B$2:$B$11,"")</f>
        <v>MENA</v>
      </c>
      <c r="E1478" s="113" t="s">
        <v>28</v>
      </c>
      <c r="F1478" s="113" t="str">
        <f>_xlfn.XLOOKUP(E1478,'Allocated Transactions'!D:D,'Allocated Transactions'!E:E,"")</f>
        <v>Salaries and Wages</v>
      </c>
      <c r="G1478" s="113" t="s">
        <v>97</v>
      </c>
      <c r="H1478" s="113"/>
      <c r="I1478" s="113" t="str">
        <f>_xlfn.XLOOKUP($C1478,'Cost Centers'!$A$2:$A$11,'Cost Centers'!$C$2:$C$11,"")</f>
        <v>Programs</v>
      </c>
      <c r="J1478" s="23">
        <f>MROUND(SUMIFS('Allocated Transactions'!$J:$J,'Allocated Transactions'!$D:$D,$E1478,'Allocated Transactions'!$C:$C,$C1478,'Allocated Transactions'!$A:$A,"&gt;="&amp;$A1478,'Allocated Transactions'!$A:$A,"&lt;="&amp;EOMONTH($A1478,0))*0.99,100)</f>
        <v>18100</v>
      </c>
      <c r="K1478" s="113" t="s">
        <v>637</v>
      </c>
    </row>
    <row r="1479" spans="1:11" ht="15" customHeight="1">
      <c r="A1479" s="112">
        <f t="shared" si="93"/>
        <v>46143</v>
      </c>
      <c r="B1479" s="113">
        <v>7</v>
      </c>
      <c r="C1479" s="18" t="str">
        <f t="shared" ref="C1479:C1495" si="96">C1478</f>
        <v>2020</v>
      </c>
      <c r="D1479" s="113" t="str">
        <f>_xlfn.XLOOKUP($C1479,'Cost Centers'!$A$2:$A$11,'Cost Centers'!$B$2:$B$11,"")</f>
        <v>MENA</v>
      </c>
      <c r="E1479" s="113" t="s">
        <v>29</v>
      </c>
      <c r="F1479" s="113" t="str">
        <f>_xlfn.XLOOKUP(E1479,'Allocated Transactions'!D:D,'Allocated Transactions'!E:E,"")</f>
        <v>Payroll Taxes</v>
      </c>
      <c r="G1479" s="113" t="s">
        <v>97</v>
      </c>
      <c r="H1479" s="113"/>
      <c r="I1479" s="113" t="str">
        <f>_xlfn.XLOOKUP($C1479,'Cost Centers'!$A$2:$A$11,'Cost Centers'!$C$2:$C$11,"")</f>
        <v>Programs</v>
      </c>
      <c r="J1479" s="23">
        <f>MROUND(SUMIFS('Allocated Transactions'!$J:$J,'Allocated Transactions'!$D:$D,$E1479,'Allocated Transactions'!$C:$C,$C1479,'Allocated Transactions'!$A:$A,"&gt;="&amp;$A1479,'Allocated Transactions'!$A:$A,"&lt;="&amp;EOMONTH($A1479,0))*0.99,100)</f>
        <v>1400</v>
      </c>
      <c r="K1479" s="113" t="s">
        <v>637</v>
      </c>
    </row>
    <row r="1480" spans="1:11" ht="15" customHeight="1">
      <c r="A1480" s="112">
        <f t="shared" si="93"/>
        <v>46143</v>
      </c>
      <c r="B1480" s="113">
        <v>7</v>
      </c>
      <c r="C1480" s="18" t="str">
        <f t="shared" si="96"/>
        <v>2020</v>
      </c>
      <c r="D1480" s="113" t="str">
        <f>_xlfn.XLOOKUP($C1480,'Cost Centers'!$A$2:$A$11,'Cost Centers'!$B$2:$B$11,"")</f>
        <v>MENA</v>
      </c>
      <c r="E1480" s="113" t="s">
        <v>30</v>
      </c>
      <c r="F1480" s="113" t="str">
        <f>_xlfn.XLOOKUP(E1480,'Allocated Transactions'!D:D,'Allocated Transactions'!E:E,"")</f>
        <v>Employee Benefits</v>
      </c>
      <c r="G1480" s="113" t="s">
        <v>97</v>
      </c>
      <c r="H1480" s="113"/>
      <c r="I1480" s="113" t="str">
        <f>_xlfn.XLOOKUP($C1480,'Cost Centers'!$A$2:$A$11,'Cost Centers'!$C$2:$C$11,"")</f>
        <v>Programs</v>
      </c>
      <c r="J1480" s="23">
        <f>MROUND(SUMIFS('Allocated Transactions'!$J:$J,'Allocated Transactions'!$D:$D,$E1480,'Allocated Transactions'!$C:$C,$C1480,'Allocated Transactions'!$A:$A,"&gt;="&amp;$A1480,'Allocated Transactions'!$A:$A,"&lt;="&amp;EOMONTH($A1480,0))*0.99,100)</f>
        <v>9300</v>
      </c>
      <c r="K1480" s="113" t="s">
        <v>637</v>
      </c>
    </row>
    <row r="1481" spans="1:11" ht="15" customHeight="1">
      <c r="A1481" s="112">
        <f t="shared" si="93"/>
        <v>46143</v>
      </c>
      <c r="B1481" s="113">
        <v>7</v>
      </c>
      <c r="C1481" s="18" t="str">
        <f t="shared" si="96"/>
        <v>2020</v>
      </c>
      <c r="D1481" s="113" t="str">
        <f>_xlfn.XLOOKUP($C1481,'Cost Centers'!$A$2:$A$11,'Cost Centers'!$B$2:$B$11,"")</f>
        <v>MENA</v>
      </c>
      <c r="E1481" s="113" t="s">
        <v>31</v>
      </c>
      <c r="F1481" s="113" t="str">
        <f>_xlfn.XLOOKUP(E1481,'Allocated Transactions'!D:D,'Allocated Transactions'!E:E,"")</f>
        <v>Retirement Contributions</v>
      </c>
      <c r="G1481" s="113" t="s">
        <v>97</v>
      </c>
      <c r="H1481" s="113"/>
      <c r="I1481" s="113" t="str">
        <f>_xlfn.XLOOKUP($C1481,'Cost Centers'!$A$2:$A$11,'Cost Centers'!$C$2:$C$11,"")</f>
        <v>Programs</v>
      </c>
      <c r="J1481" s="23">
        <f>MROUND(SUMIFS('Allocated Transactions'!$J:$J,'Allocated Transactions'!$D:$D,$E1481,'Allocated Transactions'!$C:$C,$C1481,'Allocated Transactions'!$A:$A,"&gt;="&amp;$A1481,'Allocated Transactions'!$A:$A,"&lt;="&amp;EOMONTH($A1481,0))*0.99,100)</f>
        <v>500</v>
      </c>
      <c r="K1481" s="113" t="s">
        <v>637</v>
      </c>
    </row>
    <row r="1482" spans="1:11" ht="15" customHeight="1">
      <c r="A1482" s="112">
        <f t="shared" si="93"/>
        <v>46143</v>
      </c>
      <c r="B1482" s="113">
        <v>7</v>
      </c>
      <c r="C1482" s="18" t="str">
        <f t="shared" si="96"/>
        <v>2020</v>
      </c>
      <c r="D1482" s="113" t="str">
        <f>_xlfn.XLOOKUP($C1482,'Cost Centers'!$A$2:$A$11,'Cost Centers'!$B$2:$B$11,"")</f>
        <v>MENA</v>
      </c>
      <c r="E1482" s="113" t="s">
        <v>101</v>
      </c>
      <c r="F1482" s="113" t="str">
        <f>_xlfn.XLOOKUP(E1482,'Allocated Transactions'!D:D,'Allocated Transactions'!E:E,"")</f>
        <v>Contract Labor / Consultants</v>
      </c>
      <c r="G1482" s="113" t="s">
        <v>97</v>
      </c>
      <c r="H1482" s="113"/>
      <c r="I1482" s="113" t="str">
        <f>_xlfn.XLOOKUP($C1482,'Cost Centers'!$A$2:$A$11,'Cost Centers'!$C$2:$C$11,"")</f>
        <v>Programs</v>
      </c>
      <c r="J1482" s="23">
        <f>MROUND(SUMIFS('Allocated Transactions'!$J:$J,'Allocated Transactions'!$D:$D,$E1482,'Allocated Transactions'!$C:$C,$C1482,'Allocated Transactions'!$A:$A,"&gt;="&amp;$A1482,'Allocated Transactions'!$A:$A,"&lt;="&amp;EOMONTH($A1482,0))*0.99,100)</f>
        <v>0</v>
      </c>
      <c r="K1482" s="113" t="s">
        <v>637</v>
      </c>
    </row>
    <row r="1483" spans="1:11" ht="15" customHeight="1">
      <c r="A1483" s="112">
        <f t="shared" si="93"/>
        <v>46143</v>
      </c>
      <c r="B1483" s="113">
        <v>7</v>
      </c>
      <c r="C1483" s="18" t="str">
        <f t="shared" si="96"/>
        <v>2020</v>
      </c>
      <c r="D1483" s="113" t="str">
        <f>_xlfn.XLOOKUP($C1483,'Cost Centers'!$A$2:$A$11,'Cost Centers'!$B$2:$B$11,"")</f>
        <v>MENA</v>
      </c>
      <c r="E1483" s="113" t="s">
        <v>32</v>
      </c>
      <c r="F1483" s="113" t="str">
        <f>_xlfn.XLOOKUP(E1483,'Allocated Transactions'!D:D,'Allocated Transactions'!E:E,"")</f>
        <v>Rent</v>
      </c>
      <c r="G1483" s="113" t="s">
        <v>97</v>
      </c>
      <c r="H1483" s="113"/>
      <c r="I1483" s="113" t="str">
        <f>_xlfn.XLOOKUP($C1483,'Cost Centers'!$A$2:$A$11,'Cost Centers'!$C$2:$C$11,"")</f>
        <v>Programs</v>
      </c>
      <c r="J1483" s="23">
        <f>MROUND(SUMIFS('Allocated Transactions'!$J:$J,'Allocated Transactions'!$D:$D,$E1483,'Allocated Transactions'!$C:$C,$C1483,'Allocated Transactions'!$A:$A,"&gt;="&amp;$A1483,'Allocated Transactions'!$A:$A,"&lt;="&amp;EOMONTH($A1483,0))*0.99,100)</f>
        <v>1500</v>
      </c>
      <c r="K1483" s="113" t="s">
        <v>637</v>
      </c>
    </row>
    <row r="1484" spans="1:11" ht="15" customHeight="1">
      <c r="A1484" s="112">
        <f t="shared" si="93"/>
        <v>46143</v>
      </c>
      <c r="B1484" s="113">
        <v>7</v>
      </c>
      <c r="C1484" s="18" t="str">
        <f t="shared" si="96"/>
        <v>2020</v>
      </c>
      <c r="D1484" s="113" t="str">
        <f>_xlfn.XLOOKUP($C1484,'Cost Centers'!$A$2:$A$11,'Cost Centers'!$B$2:$B$11,"")</f>
        <v>MENA</v>
      </c>
      <c r="E1484" s="113" t="s">
        <v>33</v>
      </c>
      <c r="F1484" s="113" t="str">
        <f>_xlfn.XLOOKUP(E1484,'Allocated Transactions'!D:D,'Allocated Transactions'!E:E,"")</f>
        <v>Utilities</v>
      </c>
      <c r="G1484" s="113" t="s">
        <v>97</v>
      </c>
      <c r="H1484" s="113"/>
      <c r="I1484" s="113" t="str">
        <f>_xlfn.XLOOKUP($C1484,'Cost Centers'!$A$2:$A$11,'Cost Centers'!$C$2:$C$11,"")</f>
        <v>Programs</v>
      </c>
      <c r="J1484" s="23">
        <f>MROUND(SUMIFS('Allocated Transactions'!$J:$J,'Allocated Transactions'!$D:$D,$E1484,'Allocated Transactions'!$C:$C,$C1484,'Allocated Transactions'!$A:$A,"&gt;="&amp;$A1484,'Allocated Transactions'!$A:$A,"&lt;="&amp;EOMONTH($A1484,0))*0.99,100)</f>
        <v>100</v>
      </c>
      <c r="K1484" s="113" t="s">
        <v>637</v>
      </c>
    </row>
    <row r="1485" spans="1:11" ht="15" customHeight="1">
      <c r="A1485" s="112">
        <f t="shared" si="93"/>
        <v>46143</v>
      </c>
      <c r="B1485" s="113">
        <v>7</v>
      </c>
      <c r="C1485" s="18" t="str">
        <f t="shared" si="96"/>
        <v>2020</v>
      </c>
      <c r="D1485" s="113" t="str">
        <f>_xlfn.XLOOKUP($C1485,'Cost Centers'!$A$2:$A$11,'Cost Centers'!$B$2:$B$11,"")</f>
        <v>MENA</v>
      </c>
      <c r="E1485" s="113" t="s">
        <v>105</v>
      </c>
      <c r="F1485" s="113" t="str">
        <f>_xlfn.XLOOKUP(E1485,'Allocated Transactions'!D:D,'Allocated Transactions'!E:E,"")</f>
        <v>Office Supplies</v>
      </c>
      <c r="G1485" s="113" t="s">
        <v>97</v>
      </c>
      <c r="H1485" s="113"/>
      <c r="I1485" s="113" t="str">
        <f>_xlfn.XLOOKUP($C1485,'Cost Centers'!$A$2:$A$11,'Cost Centers'!$C$2:$C$11,"")</f>
        <v>Programs</v>
      </c>
      <c r="J1485" s="23">
        <f>MROUND(SUMIFS('Allocated Transactions'!$J:$J,'Allocated Transactions'!$D:$D,$E1485,'Allocated Transactions'!$C:$C,$C1485,'Allocated Transactions'!$A:$A,"&gt;="&amp;$A1485,'Allocated Transactions'!$A:$A,"&lt;="&amp;EOMONTH($A1485,0))*0.99,100)</f>
        <v>1000</v>
      </c>
      <c r="K1485" s="113" t="s">
        <v>637</v>
      </c>
    </row>
    <row r="1486" spans="1:11" ht="15" customHeight="1">
      <c r="A1486" s="112">
        <f t="shared" si="93"/>
        <v>46143</v>
      </c>
      <c r="B1486" s="113">
        <v>7</v>
      </c>
      <c r="C1486" s="18" t="str">
        <f t="shared" si="96"/>
        <v>2020</v>
      </c>
      <c r="D1486" s="113" t="str">
        <f>_xlfn.XLOOKUP($C1486,'Cost Centers'!$A$2:$A$11,'Cost Centers'!$B$2:$B$11,"")</f>
        <v>MENA</v>
      </c>
      <c r="E1486" s="113" t="s">
        <v>107</v>
      </c>
      <c r="F1486" s="113" t="str">
        <f>_xlfn.XLOOKUP(E1486,'Allocated Transactions'!D:D,'Allocated Transactions'!E:E,"")</f>
        <v>Software and Subscriptions</v>
      </c>
      <c r="G1486" s="113" t="s">
        <v>97</v>
      </c>
      <c r="H1486" s="113"/>
      <c r="I1486" s="113" t="str">
        <f>_xlfn.XLOOKUP($C1486,'Cost Centers'!$A$2:$A$11,'Cost Centers'!$C$2:$C$11,"")</f>
        <v>Programs</v>
      </c>
      <c r="J1486" s="23">
        <f>MROUND(SUMIFS('Allocated Transactions'!$J:$J,'Allocated Transactions'!$D:$D,$E1486,'Allocated Transactions'!$C:$C,$C1486,'Allocated Transactions'!$A:$A,"&gt;="&amp;$A1486,'Allocated Transactions'!$A:$A,"&lt;="&amp;EOMONTH($A1486,0))*0.99,100)</f>
        <v>0</v>
      </c>
      <c r="K1486" s="113" t="s">
        <v>637</v>
      </c>
    </row>
    <row r="1487" spans="1:11" ht="15" customHeight="1">
      <c r="A1487" s="112">
        <f t="shared" si="93"/>
        <v>46143</v>
      </c>
      <c r="B1487" s="113">
        <v>7</v>
      </c>
      <c r="C1487" s="18" t="str">
        <f t="shared" si="96"/>
        <v>2020</v>
      </c>
      <c r="D1487" s="113" t="str">
        <f>_xlfn.XLOOKUP($C1487,'Cost Centers'!$A$2:$A$11,'Cost Centers'!$B$2:$B$11,"")</f>
        <v>MENA</v>
      </c>
      <c r="E1487" s="113" t="s">
        <v>109</v>
      </c>
      <c r="F1487" s="113" t="str">
        <f>_xlfn.XLOOKUP(E1487,'Allocated Transactions'!D:D,'Allocated Transactions'!E:E,"")</f>
        <v>Travel</v>
      </c>
      <c r="G1487" s="113" t="s">
        <v>97</v>
      </c>
      <c r="H1487" s="113"/>
      <c r="I1487" s="113" t="str">
        <f>_xlfn.XLOOKUP($C1487,'Cost Centers'!$A$2:$A$11,'Cost Centers'!$C$2:$C$11,"")</f>
        <v>Programs</v>
      </c>
      <c r="J1487" s="23">
        <f>MROUND(SUMIFS('Allocated Transactions'!$J:$J,'Allocated Transactions'!$D:$D,$E1487,'Allocated Transactions'!$C:$C,$C1487,'Allocated Transactions'!$A:$A,"&gt;="&amp;$A1487,'Allocated Transactions'!$A:$A,"&lt;="&amp;EOMONTH($A1487,0))*0.99,100)</f>
        <v>0</v>
      </c>
      <c r="K1487" s="113" t="s">
        <v>637</v>
      </c>
    </row>
    <row r="1488" spans="1:11" ht="15" customHeight="1">
      <c r="A1488" s="112">
        <f t="shared" si="93"/>
        <v>46143</v>
      </c>
      <c r="B1488" s="113">
        <v>7</v>
      </c>
      <c r="C1488" s="18" t="str">
        <f t="shared" si="96"/>
        <v>2020</v>
      </c>
      <c r="D1488" s="113" t="str">
        <f>_xlfn.XLOOKUP($C1488,'Cost Centers'!$A$2:$A$11,'Cost Centers'!$B$2:$B$11,"")</f>
        <v>MENA</v>
      </c>
      <c r="E1488" s="113" t="s">
        <v>111</v>
      </c>
      <c r="F1488" s="113" t="str">
        <f>_xlfn.XLOOKUP(E1488,'Allocated Transactions'!D:D,'Allocated Transactions'!E:E,"")</f>
        <v>Meals and Entertainment</v>
      </c>
      <c r="G1488" s="113" t="s">
        <v>97</v>
      </c>
      <c r="H1488" s="113"/>
      <c r="I1488" s="113" t="str">
        <f>_xlfn.XLOOKUP($C1488,'Cost Centers'!$A$2:$A$11,'Cost Centers'!$C$2:$C$11,"")</f>
        <v>Programs</v>
      </c>
      <c r="J1488" s="23">
        <f>MROUND(SUMIFS('Allocated Transactions'!$J:$J,'Allocated Transactions'!$D:$D,$E1488,'Allocated Transactions'!$C:$C,$C1488,'Allocated Transactions'!$A:$A,"&gt;="&amp;$A1488,'Allocated Transactions'!$A:$A,"&lt;="&amp;EOMONTH($A1488,0))*0.99,100)</f>
        <v>0</v>
      </c>
      <c r="K1488" s="113" t="s">
        <v>637</v>
      </c>
    </row>
    <row r="1489" spans="1:11" ht="15" customHeight="1">
      <c r="A1489" s="112">
        <f t="shared" si="93"/>
        <v>46143</v>
      </c>
      <c r="B1489" s="113">
        <v>7</v>
      </c>
      <c r="C1489" s="18" t="str">
        <f t="shared" si="96"/>
        <v>2020</v>
      </c>
      <c r="D1489" s="113" t="str">
        <f>_xlfn.XLOOKUP($C1489,'Cost Centers'!$A$2:$A$11,'Cost Centers'!$B$2:$B$11,"")</f>
        <v>MENA</v>
      </c>
      <c r="E1489" s="113" t="s">
        <v>113</v>
      </c>
      <c r="F1489" s="113" t="str">
        <f>_xlfn.XLOOKUP(E1489,'Allocated Transactions'!D:D,'Allocated Transactions'!E:E,"")</f>
        <v>Professional Fees - Legal</v>
      </c>
      <c r="G1489" s="113" t="s">
        <v>97</v>
      </c>
      <c r="H1489" s="113"/>
      <c r="I1489" s="113" t="str">
        <f>_xlfn.XLOOKUP($C1489,'Cost Centers'!$A$2:$A$11,'Cost Centers'!$C$2:$C$11,"")</f>
        <v>Programs</v>
      </c>
      <c r="J1489" s="23">
        <f>MROUND(SUMIFS('Allocated Transactions'!$J:$J,'Allocated Transactions'!$D:$D,$E1489,'Allocated Transactions'!$C:$C,$C1489,'Allocated Transactions'!$A:$A,"&gt;="&amp;$A1489,'Allocated Transactions'!$A:$A,"&lt;="&amp;EOMONTH($A1489,0))*0.99,100)</f>
        <v>0</v>
      </c>
      <c r="K1489" s="113" t="s">
        <v>637</v>
      </c>
    </row>
    <row r="1490" spans="1:11" ht="15" customHeight="1">
      <c r="A1490" s="112">
        <f t="shared" si="93"/>
        <v>46143</v>
      </c>
      <c r="B1490" s="113">
        <v>7</v>
      </c>
      <c r="C1490" s="18" t="str">
        <f t="shared" si="96"/>
        <v>2020</v>
      </c>
      <c r="D1490" s="113" t="str">
        <f>_xlfn.XLOOKUP($C1490,'Cost Centers'!$A$2:$A$11,'Cost Centers'!$B$2:$B$11,"")</f>
        <v>MENA</v>
      </c>
      <c r="E1490" s="113" t="s">
        <v>115</v>
      </c>
      <c r="F1490" s="113" t="str">
        <f>_xlfn.XLOOKUP(E1490,'Allocated Transactions'!D:D,'Allocated Transactions'!E:E,"")</f>
        <v>Professional Fees - Accounting/Audit</v>
      </c>
      <c r="G1490" s="113" t="s">
        <v>97</v>
      </c>
      <c r="H1490" s="113"/>
      <c r="I1490" s="113" t="str">
        <f>_xlfn.XLOOKUP($C1490,'Cost Centers'!$A$2:$A$11,'Cost Centers'!$C$2:$C$11,"")</f>
        <v>Programs</v>
      </c>
      <c r="J1490" s="23">
        <f>MROUND(SUMIFS('Allocated Transactions'!$J:$J,'Allocated Transactions'!$D:$D,$E1490,'Allocated Transactions'!$C:$C,$C1490,'Allocated Transactions'!$A:$A,"&gt;="&amp;$A1490,'Allocated Transactions'!$A:$A,"&lt;="&amp;EOMONTH($A1490,0))*0.99,100)</f>
        <v>0</v>
      </c>
      <c r="K1490" s="113" t="s">
        <v>637</v>
      </c>
    </row>
    <row r="1491" spans="1:11" ht="15" customHeight="1">
      <c r="A1491" s="112">
        <f t="shared" si="93"/>
        <v>46143</v>
      </c>
      <c r="B1491" s="113">
        <v>7</v>
      </c>
      <c r="C1491" s="18" t="str">
        <f t="shared" si="96"/>
        <v>2020</v>
      </c>
      <c r="D1491" s="113" t="str">
        <f>_xlfn.XLOOKUP($C1491,'Cost Centers'!$A$2:$A$11,'Cost Centers'!$B$2:$B$11,"")</f>
        <v>MENA</v>
      </c>
      <c r="E1491" s="113" t="s">
        <v>117</v>
      </c>
      <c r="F1491" s="113" t="str">
        <f>_xlfn.XLOOKUP(E1491,'Allocated Transactions'!D:D,'Allocated Transactions'!E:E,"")</f>
        <v>Insurance</v>
      </c>
      <c r="G1491" s="113" t="s">
        <v>97</v>
      </c>
      <c r="H1491" s="113"/>
      <c r="I1491" s="113" t="str">
        <f>_xlfn.XLOOKUP($C1491,'Cost Centers'!$A$2:$A$11,'Cost Centers'!$C$2:$C$11,"")</f>
        <v>Programs</v>
      </c>
      <c r="J1491" s="23">
        <f>MROUND(SUMIFS('Allocated Transactions'!$J:$J,'Allocated Transactions'!$D:$D,$E1491,'Allocated Transactions'!$C:$C,$C1491,'Allocated Transactions'!$A:$A,"&gt;="&amp;$A1491,'Allocated Transactions'!$A:$A,"&lt;="&amp;EOMONTH($A1491,0))*0.99,100)</f>
        <v>100</v>
      </c>
      <c r="K1491" s="113" t="s">
        <v>637</v>
      </c>
    </row>
    <row r="1492" spans="1:11" ht="15" customHeight="1">
      <c r="A1492" s="112">
        <f t="shared" si="93"/>
        <v>46143</v>
      </c>
      <c r="B1492" s="113">
        <v>7</v>
      </c>
      <c r="C1492" s="18" t="str">
        <f t="shared" si="96"/>
        <v>2020</v>
      </c>
      <c r="D1492" s="113" t="str">
        <f>_xlfn.XLOOKUP($C1492,'Cost Centers'!$A$2:$A$11,'Cost Centers'!$B$2:$B$11,"")</f>
        <v>MENA</v>
      </c>
      <c r="E1492" s="113" t="s">
        <v>119</v>
      </c>
      <c r="F1492" s="113" t="str">
        <f>_xlfn.XLOOKUP(E1492,'Allocated Transactions'!D:D,'Allocated Transactions'!E:E,"")</f>
        <v>Depreciation Expense</v>
      </c>
      <c r="G1492" s="113" t="s">
        <v>97</v>
      </c>
      <c r="H1492" s="113"/>
      <c r="I1492" s="113" t="str">
        <f>_xlfn.XLOOKUP($C1492,'Cost Centers'!$A$2:$A$11,'Cost Centers'!$C$2:$C$11,"")</f>
        <v>Programs</v>
      </c>
      <c r="J1492" s="23">
        <f>MROUND(SUMIFS('Allocated Transactions'!$J:$J,'Allocated Transactions'!$D:$D,$E1492,'Allocated Transactions'!$C:$C,$C1492,'Allocated Transactions'!$A:$A,"&gt;="&amp;$A1492,'Allocated Transactions'!$A:$A,"&lt;="&amp;EOMONTH($A1492,0))*0.99,100)</f>
        <v>0</v>
      </c>
      <c r="K1492" s="113" t="s">
        <v>637</v>
      </c>
    </row>
    <row r="1493" spans="1:11" ht="15" customHeight="1">
      <c r="A1493" s="112">
        <f t="shared" si="93"/>
        <v>46143</v>
      </c>
      <c r="B1493" s="113">
        <v>7</v>
      </c>
      <c r="C1493" s="18" t="str">
        <f t="shared" si="96"/>
        <v>2020</v>
      </c>
      <c r="D1493" s="113" t="str">
        <f>_xlfn.XLOOKUP($C1493,'Cost Centers'!$A$2:$A$11,'Cost Centers'!$B$2:$B$11,"")</f>
        <v>MENA</v>
      </c>
      <c r="E1493" s="113" t="s">
        <v>121</v>
      </c>
      <c r="F1493" s="113" t="str">
        <f>_xlfn.XLOOKUP(E1493,'Allocated Transactions'!D:D,'Allocated Transactions'!E:E,"")</f>
        <v>Bank Fees</v>
      </c>
      <c r="G1493" s="113" t="s">
        <v>97</v>
      </c>
      <c r="H1493" s="113"/>
      <c r="I1493" s="113" t="str">
        <f>_xlfn.XLOOKUP($C1493,'Cost Centers'!$A$2:$A$11,'Cost Centers'!$C$2:$C$11,"")</f>
        <v>Programs</v>
      </c>
      <c r="J1493" s="23">
        <f>MROUND(SUMIFS('Allocated Transactions'!$J:$J,'Allocated Transactions'!$D:$D,$E1493,'Allocated Transactions'!$C:$C,$C1493,'Allocated Transactions'!$A:$A,"&gt;="&amp;$A1493,'Allocated Transactions'!$A:$A,"&lt;="&amp;EOMONTH($A1493,0))*0.99,100)</f>
        <v>0</v>
      </c>
      <c r="K1493" s="113" t="s">
        <v>637</v>
      </c>
    </row>
    <row r="1494" spans="1:11" ht="15" customHeight="1">
      <c r="A1494" s="112">
        <f t="shared" si="93"/>
        <v>46143</v>
      </c>
      <c r="B1494" s="113">
        <v>7</v>
      </c>
      <c r="C1494" s="18" t="str">
        <f t="shared" si="96"/>
        <v>2020</v>
      </c>
      <c r="D1494" s="113" t="str">
        <f>_xlfn.XLOOKUP($C1494,'Cost Centers'!$A$2:$A$11,'Cost Centers'!$B$2:$B$11,"")</f>
        <v>MENA</v>
      </c>
      <c r="E1494" s="113" t="s">
        <v>123</v>
      </c>
      <c r="F1494" s="113" t="str">
        <f>_xlfn.XLOOKUP(E1494,'Allocated Transactions'!D:D,'Allocated Transactions'!E:E,"")</f>
        <v>Interest Expense</v>
      </c>
      <c r="G1494" s="113" t="s">
        <v>97</v>
      </c>
      <c r="H1494" s="113"/>
      <c r="I1494" s="113" t="str">
        <f>_xlfn.XLOOKUP($C1494,'Cost Centers'!$A$2:$A$11,'Cost Centers'!$C$2:$C$11,"")</f>
        <v>Programs</v>
      </c>
      <c r="J1494" s="23">
        <f>MROUND(SUMIFS('Allocated Transactions'!$J:$J,'Allocated Transactions'!$D:$D,$E1494,'Allocated Transactions'!$C:$C,$C1494,'Allocated Transactions'!$A:$A,"&gt;="&amp;$A1494,'Allocated Transactions'!$A:$A,"&lt;="&amp;EOMONTH($A1494,0))*0.99,100)</f>
        <v>0</v>
      </c>
      <c r="K1494" s="113" t="s">
        <v>637</v>
      </c>
    </row>
    <row r="1495" spans="1:11" ht="15" customHeight="1">
      <c r="A1495" s="112">
        <f t="shared" si="93"/>
        <v>46143</v>
      </c>
      <c r="B1495" s="113">
        <v>7</v>
      </c>
      <c r="C1495" s="18" t="str">
        <f t="shared" si="96"/>
        <v>2020</v>
      </c>
      <c r="D1495" s="113" t="str">
        <f>_xlfn.XLOOKUP($C1495,'Cost Centers'!$A$2:$A$11,'Cost Centers'!$B$2:$B$11,"")</f>
        <v>MENA</v>
      </c>
      <c r="E1495" s="113" t="s">
        <v>125</v>
      </c>
      <c r="F1495" s="113" t="str">
        <f>_xlfn.XLOOKUP(E1495,'Allocated Transactions'!D:D,'Allocated Transactions'!E:E,"")</f>
        <v>Miscellaneous Expense</v>
      </c>
      <c r="G1495" s="113" t="s">
        <v>97</v>
      </c>
      <c r="H1495" s="113"/>
      <c r="I1495" s="113" t="str">
        <f>_xlfn.XLOOKUP($C1495,'Cost Centers'!$A$2:$A$11,'Cost Centers'!$C$2:$C$11,"")</f>
        <v>Programs</v>
      </c>
      <c r="J1495" s="23">
        <f>MROUND(SUMIFS('Allocated Transactions'!$J:$J,'Allocated Transactions'!$D:$D,$E1495,'Allocated Transactions'!$C:$C,$C1495,'Allocated Transactions'!$A:$A,"&gt;="&amp;$A1495,'Allocated Transactions'!$A:$A,"&lt;="&amp;EOMONTH($A1495,0))*0.99,100)</f>
        <v>0</v>
      </c>
      <c r="K1495" s="113" t="s">
        <v>637</v>
      </c>
    </row>
    <row r="1496" spans="1:11" ht="15" customHeight="1">
      <c r="A1496" s="112">
        <f t="shared" si="93"/>
        <v>46174</v>
      </c>
      <c r="B1496" s="113">
        <v>7</v>
      </c>
      <c r="C1496" s="18" t="s">
        <v>14</v>
      </c>
      <c r="D1496" s="113" t="str">
        <f>_xlfn.XLOOKUP($C1496,'Cost Centers'!$A$2:$A$11,'Cost Centers'!$B$2:$B$11,"")</f>
        <v>MENA</v>
      </c>
      <c r="E1496" s="113" t="s">
        <v>28</v>
      </c>
      <c r="F1496" s="113" t="str">
        <f>_xlfn.XLOOKUP(E1496,'Allocated Transactions'!D:D,'Allocated Transactions'!E:E,"")</f>
        <v>Salaries and Wages</v>
      </c>
      <c r="G1496" s="113" t="s">
        <v>97</v>
      </c>
      <c r="H1496" s="113"/>
      <c r="I1496" s="113" t="str">
        <f>_xlfn.XLOOKUP($C1496,'Cost Centers'!$A$2:$A$11,'Cost Centers'!$C$2:$C$11,"")</f>
        <v>Programs</v>
      </c>
      <c r="J1496" s="23">
        <f>MROUND(SUMIFS('Allocated Transactions'!$J:$J,'Allocated Transactions'!$D:$D,$E1496,'Allocated Transactions'!$C:$C,$C1496,'Allocated Transactions'!$A:$A,"&gt;="&amp;$A1496,'Allocated Transactions'!$A:$A,"&lt;="&amp;EOMONTH($A1496,0))*0.99,100)</f>
        <v>18900</v>
      </c>
      <c r="K1496" s="113" t="s">
        <v>637</v>
      </c>
    </row>
    <row r="1497" spans="1:11" ht="15" customHeight="1">
      <c r="A1497" s="112">
        <f t="shared" ref="A1497:A1560" si="97">IF(C1497&lt;&gt;C1496,DATE(2025,7,1),IF(E1497="5000",EOMONTH(A1496,0)+1,A1496))</f>
        <v>46174</v>
      </c>
      <c r="B1497" s="113">
        <v>7</v>
      </c>
      <c r="C1497" s="18" t="str">
        <f t="shared" ref="C1497:C1513" si="98">C1496</f>
        <v>2020</v>
      </c>
      <c r="D1497" s="113" t="str">
        <f>_xlfn.XLOOKUP($C1497,'Cost Centers'!$A$2:$A$11,'Cost Centers'!$B$2:$B$11,"")</f>
        <v>MENA</v>
      </c>
      <c r="E1497" s="113" t="s">
        <v>29</v>
      </c>
      <c r="F1497" s="113" t="str">
        <f>_xlfn.XLOOKUP(E1497,'Allocated Transactions'!D:D,'Allocated Transactions'!E:E,"")</f>
        <v>Payroll Taxes</v>
      </c>
      <c r="G1497" s="113" t="s">
        <v>97</v>
      </c>
      <c r="H1497" s="113"/>
      <c r="I1497" s="113" t="str">
        <f>_xlfn.XLOOKUP($C1497,'Cost Centers'!$A$2:$A$11,'Cost Centers'!$C$2:$C$11,"")</f>
        <v>Programs</v>
      </c>
      <c r="J1497" s="23">
        <f>MROUND(SUMIFS('Allocated Transactions'!$J:$J,'Allocated Transactions'!$D:$D,$E1497,'Allocated Transactions'!$C:$C,$C1497,'Allocated Transactions'!$A:$A,"&gt;="&amp;$A1497,'Allocated Transactions'!$A:$A,"&lt;="&amp;EOMONTH($A1497,0))*0.99,100)</f>
        <v>1400</v>
      </c>
      <c r="K1497" s="113" t="s">
        <v>637</v>
      </c>
    </row>
    <row r="1498" spans="1:11" ht="15" customHeight="1">
      <c r="A1498" s="112">
        <f t="shared" si="97"/>
        <v>46174</v>
      </c>
      <c r="B1498" s="113">
        <v>7</v>
      </c>
      <c r="C1498" s="18" t="str">
        <f t="shared" si="98"/>
        <v>2020</v>
      </c>
      <c r="D1498" s="113" t="str">
        <f>_xlfn.XLOOKUP($C1498,'Cost Centers'!$A$2:$A$11,'Cost Centers'!$B$2:$B$11,"")</f>
        <v>MENA</v>
      </c>
      <c r="E1498" s="113" t="s">
        <v>30</v>
      </c>
      <c r="F1498" s="113" t="str">
        <f>_xlfn.XLOOKUP(E1498,'Allocated Transactions'!D:D,'Allocated Transactions'!E:E,"")</f>
        <v>Employee Benefits</v>
      </c>
      <c r="G1498" s="113" t="s">
        <v>97</v>
      </c>
      <c r="H1498" s="113"/>
      <c r="I1498" s="113" t="str">
        <f>_xlfn.XLOOKUP($C1498,'Cost Centers'!$A$2:$A$11,'Cost Centers'!$C$2:$C$11,"")</f>
        <v>Programs</v>
      </c>
      <c r="J1498" s="23">
        <f>MROUND(SUMIFS('Allocated Transactions'!$J:$J,'Allocated Transactions'!$D:$D,$E1498,'Allocated Transactions'!$C:$C,$C1498,'Allocated Transactions'!$A:$A,"&gt;="&amp;$A1498,'Allocated Transactions'!$A:$A,"&lt;="&amp;EOMONTH($A1498,0))*0.99,100)</f>
        <v>9400</v>
      </c>
      <c r="K1498" s="113" t="s">
        <v>637</v>
      </c>
    </row>
    <row r="1499" spans="1:11" ht="15" customHeight="1">
      <c r="A1499" s="112">
        <f t="shared" si="97"/>
        <v>46174</v>
      </c>
      <c r="B1499" s="113">
        <v>7</v>
      </c>
      <c r="C1499" s="18" t="str">
        <f t="shared" si="98"/>
        <v>2020</v>
      </c>
      <c r="D1499" s="113" t="str">
        <f>_xlfn.XLOOKUP($C1499,'Cost Centers'!$A$2:$A$11,'Cost Centers'!$B$2:$B$11,"")</f>
        <v>MENA</v>
      </c>
      <c r="E1499" s="113" t="s">
        <v>31</v>
      </c>
      <c r="F1499" s="113" t="str">
        <f>_xlfn.XLOOKUP(E1499,'Allocated Transactions'!D:D,'Allocated Transactions'!E:E,"")</f>
        <v>Retirement Contributions</v>
      </c>
      <c r="G1499" s="113" t="s">
        <v>97</v>
      </c>
      <c r="H1499" s="113"/>
      <c r="I1499" s="113" t="str">
        <f>_xlfn.XLOOKUP($C1499,'Cost Centers'!$A$2:$A$11,'Cost Centers'!$C$2:$C$11,"")</f>
        <v>Programs</v>
      </c>
      <c r="J1499" s="23">
        <f>MROUND(SUMIFS('Allocated Transactions'!$J:$J,'Allocated Transactions'!$D:$D,$E1499,'Allocated Transactions'!$C:$C,$C1499,'Allocated Transactions'!$A:$A,"&gt;="&amp;$A1499,'Allocated Transactions'!$A:$A,"&lt;="&amp;EOMONTH($A1499,0))*0.99,100)</f>
        <v>600</v>
      </c>
      <c r="K1499" s="113" t="s">
        <v>637</v>
      </c>
    </row>
    <row r="1500" spans="1:11" ht="15" customHeight="1">
      <c r="A1500" s="112">
        <f t="shared" si="97"/>
        <v>46174</v>
      </c>
      <c r="B1500" s="113">
        <v>7</v>
      </c>
      <c r="C1500" s="18" t="str">
        <f t="shared" si="98"/>
        <v>2020</v>
      </c>
      <c r="D1500" s="113" t="str">
        <f>_xlfn.XLOOKUP($C1500,'Cost Centers'!$A$2:$A$11,'Cost Centers'!$B$2:$B$11,"")</f>
        <v>MENA</v>
      </c>
      <c r="E1500" s="113" t="s">
        <v>101</v>
      </c>
      <c r="F1500" s="113" t="str">
        <f>_xlfn.XLOOKUP(E1500,'Allocated Transactions'!D:D,'Allocated Transactions'!E:E,"")</f>
        <v>Contract Labor / Consultants</v>
      </c>
      <c r="G1500" s="113" t="s">
        <v>97</v>
      </c>
      <c r="H1500" s="113"/>
      <c r="I1500" s="113" t="str">
        <f>_xlfn.XLOOKUP($C1500,'Cost Centers'!$A$2:$A$11,'Cost Centers'!$C$2:$C$11,"")</f>
        <v>Programs</v>
      </c>
      <c r="J1500" s="23">
        <f>MROUND(SUMIFS('Allocated Transactions'!$J:$J,'Allocated Transactions'!$D:$D,$E1500,'Allocated Transactions'!$C:$C,$C1500,'Allocated Transactions'!$A:$A,"&gt;="&amp;$A1500,'Allocated Transactions'!$A:$A,"&lt;="&amp;EOMONTH($A1500,0))*0.99,100)</f>
        <v>0</v>
      </c>
      <c r="K1500" s="113" t="s">
        <v>637</v>
      </c>
    </row>
    <row r="1501" spans="1:11" ht="15" customHeight="1">
      <c r="A1501" s="112">
        <f t="shared" si="97"/>
        <v>46174</v>
      </c>
      <c r="B1501" s="113">
        <v>7</v>
      </c>
      <c r="C1501" s="18" t="str">
        <f t="shared" si="98"/>
        <v>2020</v>
      </c>
      <c r="D1501" s="113" t="str">
        <f>_xlfn.XLOOKUP($C1501,'Cost Centers'!$A$2:$A$11,'Cost Centers'!$B$2:$B$11,"")</f>
        <v>MENA</v>
      </c>
      <c r="E1501" s="113" t="s">
        <v>32</v>
      </c>
      <c r="F1501" s="113" t="str">
        <f>_xlfn.XLOOKUP(E1501,'Allocated Transactions'!D:D,'Allocated Transactions'!E:E,"")</f>
        <v>Rent</v>
      </c>
      <c r="G1501" s="113" t="s">
        <v>97</v>
      </c>
      <c r="H1501" s="113"/>
      <c r="I1501" s="113" t="str">
        <f>_xlfn.XLOOKUP($C1501,'Cost Centers'!$A$2:$A$11,'Cost Centers'!$C$2:$C$11,"")</f>
        <v>Programs</v>
      </c>
      <c r="J1501" s="23">
        <f>MROUND(SUMIFS('Allocated Transactions'!$J:$J,'Allocated Transactions'!$D:$D,$E1501,'Allocated Transactions'!$C:$C,$C1501,'Allocated Transactions'!$A:$A,"&gt;="&amp;$A1501,'Allocated Transactions'!$A:$A,"&lt;="&amp;EOMONTH($A1501,0))*0.99,100)</f>
        <v>1500</v>
      </c>
      <c r="K1501" s="113" t="s">
        <v>637</v>
      </c>
    </row>
    <row r="1502" spans="1:11" ht="15" customHeight="1">
      <c r="A1502" s="112">
        <f t="shared" si="97"/>
        <v>46174</v>
      </c>
      <c r="B1502" s="113">
        <v>7</v>
      </c>
      <c r="C1502" s="18" t="str">
        <f t="shared" si="98"/>
        <v>2020</v>
      </c>
      <c r="D1502" s="113" t="str">
        <f>_xlfn.XLOOKUP($C1502,'Cost Centers'!$A$2:$A$11,'Cost Centers'!$B$2:$B$11,"")</f>
        <v>MENA</v>
      </c>
      <c r="E1502" s="113" t="s">
        <v>33</v>
      </c>
      <c r="F1502" s="113" t="str">
        <f>_xlfn.XLOOKUP(E1502,'Allocated Transactions'!D:D,'Allocated Transactions'!E:E,"")</f>
        <v>Utilities</v>
      </c>
      <c r="G1502" s="113" t="s">
        <v>97</v>
      </c>
      <c r="H1502" s="113"/>
      <c r="I1502" s="113" t="str">
        <f>_xlfn.XLOOKUP($C1502,'Cost Centers'!$A$2:$A$11,'Cost Centers'!$C$2:$C$11,"")</f>
        <v>Programs</v>
      </c>
      <c r="J1502" s="23">
        <f>MROUND(SUMIFS('Allocated Transactions'!$J:$J,'Allocated Transactions'!$D:$D,$E1502,'Allocated Transactions'!$C:$C,$C1502,'Allocated Transactions'!$A:$A,"&gt;="&amp;$A1502,'Allocated Transactions'!$A:$A,"&lt;="&amp;EOMONTH($A1502,0))*0.99,100)</f>
        <v>100</v>
      </c>
      <c r="K1502" s="113" t="s">
        <v>637</v>
      </c>
    </row>
    <row r="1503" spans="1:11" ht="15" customHeight="1">
      <c r="A1503" s="112">
        <f t="shared" si="97"/>
        <v>46174</v>
      </c>
      <c r="B1503" s="113">
        <v>7</v>
      </c>
      <c r="C1503" s="18" t="str">
        <f t="shared" si="98"/>
        <v>2020</v>
      </c>
      <c r="D1503" s="113" t="str">
        <f>_xlfn.XLOOKUP($C1503,'Cost Centers'!$A$2:$A$11,'Cost Centers'!$B$2:$B$11,"")</f>
        <v>MENA</v>
      </c>
      <c r="E1503" s="113" t="s">
        <v>105</v>
      </c>
      <c r="F1503" s="113" t="str">
        <f>_xlfn.XLOOKUP(E1503,'Allocated Transactions'!D:D,'Allocated Transactions'!E:E,"")</f>
        <v>Office Supplies</v>
      </c>
      <c r="G1503" s="113" t="s">
        <v>97</v>
      </c>
      <c r="H1503" s="113"/>
      <c r="I1503" s="113" t="str">
        <f>_xlfn.XLOOKUP($C1503,'Cost Centers'!$A$2:$A$11,'Cost Centers'!$C$2:$C$11,"")</f>
        <v>Programs</v>
      </c>
      <c r="J1503" s="23">
        <f>MROUND(SUMIFS('Allocated Transactions'!$J:$J,'Allocated Transactions'!$D:$D,$E1503,'Allocated Transactions'!$C:$C,$C1503,'Allocated Transactions'!$A:$A,"&gt;="&amp;$A1503,'Allocated Transactions'!$A:$A,"&lt;="&amp;EOMONTH($A1503,0))*0.99,100)</f>
        <v>0</v>
      </c>
      <c r="K1503" s="113" t="s">
        <v>637</v>
      </c>
    </row>
    <row r="1504" spans="1:11" ht="15" customHeight="1">
      <c r="A1504" s="112">
        <f t="shared" si="97"/>
        <v>46174</v>
      </c>
      <c r="B1504" s="113">
        <v>7</v>
      </c>
      <c r="C1504" s="18" t="str">
        <f t="shared" si="98"/>
        <v>2020</v>
      </c>
      <c r="D1504" s="113" t="str">
        <f>_xlfn.XLOOKUP($C1504,'Cost Centers'!$A$2:$A$11,'Cost Centers'!$B$2:$B$11,"")</f>
        <v>MENA</v>
      </c>
      <c r="E1504" s="113" t="s">
        <v>107</v>
      </c>
      <c r="F1504" s="113" t="str">
        <f>_xlfn.XLOOKUP(E1504,'Allocated Transactions'!D:D,'Allocated Transactions'!E:E,"")</f>
        <v>Software and Subscriptions</v>
      </c>
      <c r="G1504" s="113" t="s">
        <v>97</v>
      </c>
      <c r="H1504" s="113"/>
      <c r="I1504" s="113" t="str">
        <f>_xlfn.XLOOKUP($C1504,'Cost Centers'!$A$2:$A$11,'Cost Centers'!$C$2:$C$11,"")</f>
        <v>Programs</v>
      </c>
      <c r="J1504" s="23">
        <f>MROUND(SUMIFS('Allocated Transactions'!$J:$J,'Allocated Transactions'!$D:$D,$E1504,'Allocated Transactions'!$C:$C,$C1504,'Allocated Transactions'!$A:$A,"&gt;="&amp;$A1504,'Allocated Transactions'!$A:$A,"&lt;="&amp;EOMONTH($A1504,0))*0.99,100)</f>
        <v>0</v>
      </c>
      <c r="K1504" s="113" t="s">
        <v>637</v>
      </c>
    </row>
    <row r="1505" spans="1:11" ht="15" customHeight="1">
      <c r="A1505" s="112">
        <f t="shared" si="97"/>
        <v>46174</v>
      </c>
      <c r="B1505" s="113">
        <v>7</v>
      </c>
      <c r="C1505" s="18" t="str">
        <f t="shared" si="98"/>
        <v>2020</v>
      </c>
      <c r="D1505" s="113" t="str">
        <f>_xlfn.XLOOKUP($C1505,'Cost Centers'!$A$2:$A$11,'Cost Centers'!$B$2:$B$11,"")</f>
        <v>MENA</v>
      </c>
      <c r="E1505" s="113" t="s">
        <v>109</v>
      </c>
      <c r="F1505" s="113" t="str">
        <f>_xlfn.XLOOKUP(E1505,'Allocated Transactions'!D:D,'Allocated Transactions'!E:E,"")</f>
        <v>Travel</v>
      </c>
      <c r="G1505" s="113" t="s">
        <v>97</v>
      </c>
      <c r="H1505" s="113"/>
      <c r="I1505" s="113" t="str">
        <f>_xlfn.XLOOKUP($C1505,'Cost Centers'!$A$2:$A$11,'Cost Centers'!$C$2:$C$11,"")</f>
        <v>Programs</v>
      </c>
      <c r="J1505" s="23">
        <f>MROUND(SUMIFS('Allocated Transactions'!$J:$J,'Allocated Transactions'!$D:$D,$E1505,'Allocated Transactions'!$C:$C,$C1505,'Allocated Transactions'!$A:$A,"&gt;="&amp;$A1505,'Allocated Transactions'!$A:$A,"&lt;="&amp;EOMONTH($A1505,0))*0.99,100)</f>
        <v>0</v>
      </c>
      <c r="K1505" s="113" t="s">
        <v>637</v>
      </c>
    </row>
    <row r="1506" spans="1:11" ht="15" customHeight="1">
      <c r="A1506" s="112">
        <f t="shared" si="97"/>
        <v>46174</v>
      </c>
      <c r="B1506" s="113">
        <v>7</v>
      </c>
      <c r="C1506" s="18" t="str">
        <f t="shared" si="98"/>
        <v>2020</v>
      </c>
      <c r="D1506" s="113" t="str">
        <f>_xlfn.XLOOKUP($C1506,'Cost Centers'!$A$2:$A$11,'Cost Centers'!$B$2:$B$11,"")</f>
        <v>MENA</v>
      </c>
      <c r="E1506" s="113" t="s">
        <v>111</v>
      </c>
      <c r="F1506" s="113" t="str">
        <f>_xlfn.XLOOKUP(E1506,'Allocated Transactions'!D:D,'Allocated Transactions'!E:E,"")</f>
        <v>Meals and Entertainment</v>
      </c>
      <c r="G1506" s="113" t="s">
        <v>97</v>
      </c>
      <c r="H1506" s="113"/>
      <c r="I1506" s="113" t="str">
        <f>_xlfn.XLOOKUP($C1506,'Cost Centers'!$A$2:$A$11,'Cost Centers'!$C$2:$C$11,"")</f>
        <v>Programs</v>
      </c>
      <c r="J1506" s="23">
        <f>MROUND(SUMIFS('Allocated Transactions'!$J:$J,'Allocated Transactions'!$D:$D,$E1506,'Allocated Transactions'!$C:$C,$C1506,'Allocated Transactions'!$A:$A,"&gt;="&amp;$A1506,'Allocated Transactions'!$A:$A,"&lt;="&amp;EOMONTH($A1506,0))*0.99,100)</f>
        <v>0</v>
      </c>
      <c r="K1506" s="113" t="s">
        <v>637</v>
      </c>
    </row>
    <row r="1507" spans="1:11" ht="15" customHeight="1">
      <c r="A1507" s="112">
        <f t="shared" si="97"/>
        <v>46174</v>
      </c>
      <c r="B1507" s="113">
        <v>7</v>
      </c>
      <c r="C1507" s="18" t="str">
        <f t="shared" si="98"/>
        <v>2020</v>
      </c>
      <c r="D1507" s="113" t="str">
        <f>_xlfn.XLOOKUP($C1507,'Cost Centers'!$A$2:$A$11,'Cost Centers'!$B$2:$B$11,"")</f>
        <v>MENA</v>
      </c>
      <c r="E1507" s="113" t="s">
        <v>113</v>
      </c>
      <c r="F1507" s="113" t="str">
        <f>_xlfn.XLOOKUP(E1507,'Allocated Transactions'!D:D,'Allocated Transactions'!E:E,"")</f>
        <v>Professional Fees - Legal</v>
      </c>
      <c r="G1507" s="113" t="s">
        <v>97</v>
      </c>
      <c r="H1507" s="113"/>
      <c r="I1507" s="113" t="str">
        <f>_xlfn.XLOOKUP($C1507,'Cost Centers'!$A$2:$A$11,'Cost Centers'!$C$2:$C$11,"")</f>
        <v>Programs</v>
      </c>
      <c r="J1507" s="23">
        <f>MROUND(SUMIFS('Allocated Transactions'!$J:$J,'Allocated Transactions'!$D:$D,$E1507,'Allocated Transactions'!$C:$C,$C1507,'Allocated Transactions'!$A:$A,"&gt;="&amp;$A1507,'Allocated Transactions'!$A:$A,"&lt;="&amp;EOMONTH($A1507,0))*0.99,100)</f>
        <v>0</v>
      </c>
      <c r="K1507" s="113" t="s">
        <v>637</v>
      </c>
    </row>
    <row r="1508" spans="1:11" ht="15" customHeight="1">
      <c r="A1508" s="112">
        <f t="shared" si="97"/>
        <v>46174</v>
      </c>
      <c r="B1508" s="113">
        <v>7</v>
      </c>
      <c r="C1508" s="18" t="str">
        <f t="shared" si="98"/>
        <v>2020</v>
      </c>
      <c r="D1508" s="113" t="str">
        <f>_xlfn.XLOOKUP($C1508,'Cost Centers'!$A$2:$A$11,'Cost Centers'!$B$2:$B$11,"")</f>
        <v>MENA</v>
      </c>
      <c r="E1508" s="113" t="s">
        <v>115</v>
      </c>
      <c r="F1508" s="113" t="str">
        <f>_xlfn.XLOOKUP(E1508,'Allocated Transactions'!D:D,'Allocated Transactions'!E:E,"")</f>
        <v>Professional Fees - Accounting/Audit</v>
      </c>
      <c r="G1508" s="113" t="s">
        <v>97</v>
      </c>
      <c r="H1508" s="113"/>
      <c r="I1508" s="113" t="str">
        <f>_xlfn.XLOOKUP($C1508,'Cost Centers'!$A$2:$A$11,'Cost Centers'!$C$2:$C$11,"")</f>
        <v>Programs</v>
      </c>
      <c r="J1508" s="23">
        <f>MROUND(SUMIFS('Allocated Transactions'!$J:$J,'Allocated Transactions'!$D:$D,$E1508,'Allocated Transactions'!$C:$C,$C1508,'Allocated Transactions'!$A:$A,"&gt;="&amp;$A1508,'Allocated Transactions'!$A:$A,"&lt;="&amp;EOMONTH($A1508,0))*0.99,100)</f>
        <v>0</v>
      </c>
      <c r="K1508" s="113" t="s">
        <v>637</v>
      </c>
    </row>
    <row r="1509" spans="1:11" ht="15" customHeight="1">
      <c r="A1509" s="112">
        <f t="shared" si="97"/>
        <v>46174</v>
      </c>
      <c r="B1509" s="113">
        <v>7</v>
      </c>
      <c r="C1509" s="18" t="str">
        <f t="shared" si="98"/>
        <v>2020</v>
      </c>
      <c r="D1509" s="113" t="str">
        <f>_xlfn.XLOOKUP($C1509,'Cost Centers'!$A$2:$A$11,'Cost Centers'!$B$2:$B$11,"")</f>
        <v>MENA</v>
      </c>
      <c r="E1509" s="113" t="s">
        <v>117</v>
      </c>
      <c r="F1509" s="113" t="str">
        <f>_xlfn.XLOOKUP(E1509,'Allocated Transactions'!D:D,'Allocated Transactions'!E:E,"")</f>
        <v>Insurance</v>
      </c>
      <c r="G1509" s="113" t="s">
        <v>97</v>
      </c>
      <c r="H1509" s="113"/>
      <c r="I1509" s="113" t="str">
        <f>_xlfn.XLOOKUP($C1509,'Cost Centers'!$A$2:$A$11,'Cost Centers'!$C$2:$C$11,"")</f>
        <v>Programs</v>
      </c>
      <c r="J1509" s="23">
        <f>MROUND(SUMIFS('Allocated Transactions'!$J:$J,'Allocated Transactions'!$D:$D,$E1509,'Allocated Transactions'!$C:$C,$C1509,'Allocated Transactions'!$A:$A,"&gt;="&amp;$A1509,'Allocated Transactions'!$A:$A,"&lt;="&amp;EOMONTH($A1509,0))*0.99,100)</f>
        <v>100</v>
      </c>
      <c r="K1509" s="113" t="s">
        <v>637</v>
      </c>
    </row>
    <row r="1510" spans="1:11" ht="15" customHeight="1">
      <c r="A1510" s="112">
        <f t="shared" si="97"/>
        <v>46174</v>
      </c>
      <c r="B1510" s="113">
        <v>7</v>
      </c>
      <c r="C1510" s="18" t="str">
        <f t="shared" si="98"/>
        <v>2020</v>
      </c>
      <c r="D1510" s="113" t="str">
        <f>_xlfn.XLOOKUP($C1510,'Cost Centers'!$A$2:$A$11,'Cost Centers'!$B$2:$B$11,"")</f>
        <v>MENA</v>
      </c>
      <c r="E1510" s="113" t="s">
        <v>119</v>
      </c>
      <c r="F1510" s="113" t="str">
        <f>_xlfn.XLOOKUP(E1510,'Allocated Transactions'!D:D,'Allocated Transactions'!E:E,"")</f>
        <v>Depreciation Expense</v>
      </c>
      <c r="G1510" s="113" t="s">
        <v>97</v>
      </c>
      <c r="H1510" s="113"/>
      <c r="I1510" s="113" t="str">
        <f>_xlfn.XLOOKUP($C1510,'Cost Centers'!$A$2:$A$11,'Cost Centers'!$C$2:$C$11,"")</f>
        <v>Programs</v>
      </c>
      <c r="J1510" s="23">
        <f>MROUND(SUMIFS('Allocated Transactions'!$J:$J,'Allocated Transactions'!$D:$D,$E1510,'Allocated Transactions'!$C:$C,$C1510,'Allocated Transactions'!$A:$A,"&gt;="&amp;$A1510,'Allocated Transactions'!$A:$A,"&lt;="&amp;EOMONTH($A1510,0))*0.99,100)</f>
        <v>0</v>
      </c>
      <c r="K1510" s="113" t="s">
        <v>637</v>
      </c>
    </row>
    <row r="1511" spans="1:11" ht="15" customHeight="1">
      <c r="A1511" s="112">
        <f t="shared" si="97"/>
        <v>46174</v>
      </c>
      <c r="B1511" s="113">
        <v>7</v>
      </c>
      <c r="C1511" s="18" t="str">
        <f t="shared" si="98"/>
        <v>2020</v>
      </c>
      <c r="D1511" s="113" t="str">
        <f>_xlfn.XLOOKUP($C1511,'Cost Centers'!$A$2:$A$11,'Cost Centers'!$B$2:$B$11,"")</f>
        <v>MENA</v>
      </c>
      <c r="E1511" s="113" t="s">
        <v>121</v>
      </c>
      <c r="F1511" s="113" t="str">
        <f>_xlfn.XLOOKUP(E1511,'Allocated Transactions'!D:D,'Allocated Transactions'!E:E,"")</f>
        <v>Bank Fees</v>
      </c>
      <c r="G1511" s="113" t="s">
        <v>97</v>
      </c>
      <c r="H1511" s="113"/>
      <c r="I1511" s="113" t="str">
        <f>_xlfn.XLOOKUP($C1511,'Cost Centers'!$A$2:$A$11,'Cost Centers'!$C$2:$C$11,"")</f>
        <v>Programs</v>
      </c>
      <c r="J1511" s="23">
        <f>MROUND(SUMIFS('Allocated Transactions'!$J:$J,'Allocated Transactions'!$D:$D,$E1511,'Allocated Transactions'!$C:$C,$C1511,'Allocated Transactions'!$A:$A,"&gt;="&amp;$A1511,'Allocated Transactions'!$A:$A,"&lt;="&amp;EOMONTH($A1511,0))*0.99,100)</f>
        <v>0</v>
      </c>
      <c r="K1511" s="113" t="s">
        <v>637</v>
      </c>
    </row>
    <row r="1512" spans="1:11" ht="15" customHeight="1">
      <c r="A1512" s="112">
        <f t="shared" si="97"/>
        <v>46174</v>
      </c>
      <c r="B1512" s="113">
        <v>7</v>
      </c>
      <c r="C1512" s="18" t="str">
        <f t="shared" si="98"/>
        <v>2020</v>
      </c>
      <c r="D1512" s="113" t="str">
        <f>_xlfn.XLOOKUP($C1512,'Cost Centers'!$A$2:$A$11,'Cost Centers'!$B$2:$B$11,"")</f>
        <v>MENA</v>
      </c>
      <c r="E1512" s="113" t="s">
        <v>123</v>
      </c>
      <c r="F1512" s="113" t="str">
        <f>_xlfn.XLOOKUP(E1512,'Allocated Transactions'!D:D,'Allocated Transactions'!E:E,"")</f>
        <v>Interest Expense</v>
      </c>
      <c r="G1512" s="113" t="s">
        <v>97</v>
      </c>
      <c r="H1512" s="113"/>
      <c r="I1512" s="113" t="str">
        <f>_xlfn.XLOOKUP($C1512,'Cost Centers'!$A$2:$A$11,'Cost Centers'!$C$2:$C$11,"")</f>
        <v>Programs</v>
      </c>
      <c r="J1512" s="23">
        <f>MROUND(SUMIFS('Allocated Transactions'!$J:$J,'Allocated Transactions'!$D:$D,$E1512,'Allocated Transactions'!$C:$C,$C1512,'Allocated Transactions'!$A:$A,"&gt;="&amp;$A1512,'Allocated Transactions'!$A:$A,"&lt;="&amp;EOMONTH($A1512,0))*0.99,100)</f>
        <v>0</v>
      </c>
      <c r="K1512" s="113" t="s">
        <v>637</v>
      </c>
    </row>
    <row r="1513" spans="1:11" ht="15" customHeight="1">
      <c r="A1513" s="112">
        <f t="shared" si="97"/>
        <v>46174</v>
      </c>
      <c r="B1513" s="113">
        <v>7</v>
      </c>
      <c r="C1513" s="18" t="str">
        <f t="shared" si="98"/>
        <v>2020</v>
      </c>
      <c r="D1513" s="113" t="str">
        <f>_xlfn.XLOOKUP($C1513,'Cost Centers'!$A$2:$A$11,'Cost Centers'!$B$2:$B$11,"")</f>
        <v>MENA</v>
      </c>
      <c r="E1513" s="113" t="s">
        <v>125</v>
      </c>
      <c r="F1513" s="113" t="str">
        <f>_xlfn.XLOOKUP(E1513,'Allocated Transactions'!D:D,'Allocated Transactions'!E:E,"")</f>
        <v>Miscellaneous Expense</v>
      </c>
      <c r="G1513" s="113" t="s">
        <v>97</v>
      </c>
      <c r="H1513" s="113"/>
      <c r="I1513" s="113" t="str">
        <f>_xlfn.XLOOKUP($C1513,'Cost Centers'!$A$2:$A$11,'Cost Centers'!$C$2:$C$11,"")</f>
        <v>Programs</v>
      </c>
      <c r="J1513" s="23">
        <f>MROUND(SUMIFS('Allocated Transactions'!$J:$J,'Allocated Transactions'!$D:$D,$E1513,'Allocated Transactions'!$C:$C,$C1513,'Allocated Transactions'!$A:$A,"&gt;="&amp;$A1513,'Allocated Transactions'!$A:$A,"&lt;="&amp;EOMONTH($A1513,0))*0.99,100)</f>
        <v>0</v>
      </c>
      <c r="K1513" s="113" t="s">
        <v>637</v>
      </c>
    </row>
    <row r="1514" spans="1:11" ht="15" customHeight="1">
      <c r="A1514" s="112">
        <f t="shared" si="97"/>
        <v>45839</v>
      </c>
      <c r="B1514" s="113">
        <v>8</v>
      </c>
      <c r="C1514" s="18" t="s">
        <v>16</v>
      </c>
      <c r="D1514" s="113" t="str">
        <f>_xlfn.XLOOKUP($C1514,'Cost Centers'!$A$2:$A$11,'Cost Centers'!$B$2:$B$11,"")</f>
        <v>Sub-Saharan Africa</v>
      </c>
      <c r="E1514" s="113" t="s">
        <v>28</v>
      </c>
      <c r="F1514" s="113" t="str">
        <f>_xlfn.XLOOKUP(E1514,'Allocated Transactions'!D:D,'Allocated Transactions'!E:E,"")</f>
        <v>Salaries and Wages</v>
      </c>
      <c r="G1514" s="113" t="s">
        <v>97</v>
      </c>
      <c r="H1514" s="113"/>
      <c r="I1514" s="113" t="str">
        <f>_xlfn.XLOOKUP($C1514,'Cost Centers'!$A$2:$A$11,'Cost Centers'!$C$2:$C$11,"")</f>
        <v>Programs</v>
      </c>
      <c r="J1514" s="23">
        <f>MROUND(SUMIFS('Allocated Transactions'!$J:$J,'Allocated Transactions'!$D:$D,$E1514,'Allocated Transactions'!$C:$C,$C1514,'Allocated Transactions'!$A:$A,"&gt;="&amp;$A1514,'Allocated Transactions'!$A:$A,"&lt;="&amp;EOMONTH($A1514,0))*0.99,100)</f>
        <v>14600</v>
      </c>
      <c r="K1514" s="113" t="s">
        <v>637</v>
      </c>
    </row>
    <row r="1515" spans="1:11" ht="15" customHeight="1">
      <c r="A1515" s="112">
        <f t="shared" si="97"/>
        <v>45839</v>
      </c>
      <c r="B1515" s="113">
        <v>8</v>
      </c>
      <c r="C1515" s="18" t="str">
        <f t="shared" ref="C1515:C1531" si="99">C1514</f>
        <v>2030</v>
      </c>
      <c r="D1515" s="113" t="str">
        <f>_xlfn.XLOOKUP($C1515,'Cost Centers'!$A$2:$A$11,'Cost Centers'!$B$2:$B$11,"")</f>
        <v>Sub-Saharan Africa</v>
      </c>
      <c r="E1515" s="113" t="s">
        <v>29</v>
      </c>
      <c r="F1515" s="113" t="str">
        <f>_xlfn.XLOOKUP(E1515,'Allocated Transactions'!D:D,'Allocated Transactions'!E:E,"")</f>
        <v>Payroll Taxes</v>
      </c>
      <c r="G1515" s="113" t="s">
        <v>97</v>
      </c>
      <c r="H1515" s="113"/>
      <c r="I1515" s="113" t="str">
        <f>_xlfn.XLOOKUP($C1515,'Cost Centers'!$A$2:$A$11,'Cost Centers'!$C$2:$C$11,"")</f>
        <v>Programs</v>
      </c>
      <c r="J1515" s="23">
        <f>MROUND(SUMIFS('Allocated Transactions'!$J:$J,'Allocated Transactions'!$D:$D,$E1515,'Allocated Transactions'!$C:$C,$C1515,'Allocated Transactions'!$A:$A,"&gt;="&amp;$A1515,'Allocated Transactions'!$A:$A,"&lt;="&amp;EOMONTH($A1515,0))*0.99,100)</f>
        <v>1100</v>
      </c>
      <c r="K1515" s="113" t="s">
        <v>637</v>
      </c>
    </row>
    <row r="1516" spans="1:11" ht="15" customHeight="1">
      <c r="A1516" s="112">
        <f t="shared" si="97"/>
        <v>45839</v>
      </c>
      <c r="B1516" s="113">
        <v>8</v>
      </c>
      <c r="C1516" s="18" t="str">
        <f t="shared" si="99"/>
        <v>2030</v>
      </c>
      <c r="D1516" s="113" t="str">
        <f>_xlfn.XLOOKUP($C1516,'Cost Centers'!$A$2:$A$11,'Cost Centers'!$B$2:$B$11,"")</f>
        <v>Sub-Saharan Africa</v>
      </c>
      <c r="E1516" s="113" t="s">
        <v>30</v>
      </c>
      <c r="F1516" s="113" t="str">
        <f>_xlfn.XLOOKUP(E1516,'Allocated Transactions'!D:D,'Allocated Transactions'!E:E,"")</f>
        <v>Employee Benefits</v>
      </c>
      <c r="G1516" s="113" t="s">
        <v>97</v>
      </c>
      <c r="H1516" s="113"/>
      <c r="I1516" s="113" t="str">
        <f>_xlfn.XLOOKUP($C1516,'Cost Centers'!$A$2:$A$11,'Cost Centers'!$C$2:$C$11,"")</f>
        <v>Programs</v>
      </c>
      <c r="J1516" s="23">
        <f>MROUND(SUMIFS('Allocated Transactions'!$J:$J,'Allocated Transactions'!$D:$D,$E1516,'Allocated Transactions'!$C:$C,$C1516,'Allocated Transactions'!$A:$A,"&gt;="&amp;$A1516,'Allocated Transactions'!$A:$A,"&lt;="&amp;EOMONTH($A1516,0))*0.99,100)</f>
        <v>4200</v>
      </c>
      <c r="K1516" s="113" t="s">
        <v>637</v>
      </c>
    </row>
    <row r="1517" spans="1:11" ht="15" customHeight="1">
      <c r="A1517" s="112">
        <f t="shared" si="97"/>
        <v>45839</v>
      </c>
      <c r="B1517" s="113">
        <v>8</v>
      </c>
      <c r="C1517" s="18" t="str">
        <f t="shared" si="99"/>
        <v>2030</v>
      </c>
      <c r="D1517" s="113" t="str">
        <f>_xlfn.XLOOKUP($C1517,'Cost Centers'!$A$2:$A$11,'Cost Centers'!$B$2:$B$11,"")</f>
        <v>Sub-Saharan Africa</v>
      </c>
      <c r="E1517" s="113" t="s">
        <v>31</v>
      </c>
      <c r="F1517" s="113" t="str">
        <f>_xlfn.XLOOKUP(E1517,'Allocated Transactions'!D:D,'Allocated Transactions'!E:E,"")</f>
        <v>Retirement Contributions</v>
      </c>
      <c r="G1517" s="113" t="s">
        <v>97</v>
      </c>
      <c r="H1517" s="113"/>
      <c r="I1517" s="113" t="str">
        <f>_xlfn.XLOOKUP($C1517,'Cost Centers'!$A$2:$A$11,'Cost Centers'!$C$2:$C$11,"")</f>
        <v>Programs</v>
      </c>
      <c r="J1517" s="23">
        <f>MROUND(SUMIFS('Allocated Transactions'!$J:$J,'Allocated Transactions'!$D:$D,$E1517,'Allocated Transactions'!$C:$C,$C1517,'Allocated Transactions'!$A:$A,"&gt;="&amp;$A1517,'Allocated Transactions'!$A:$A,"&lt;="&amp;EOMONTH($A1517,0))*0.99,100)</f>
        <v>400</v>
      </c>
      <c r="K1517" s="113" t="s">
        <v>637</v>
      </c>
    </row>
    <row r="1518" spans="1:11" ht="15" customHeight="1">
      <c r="A1518" s="112">
        <f t="shared" si="97"/>
        <v>45839</v>
      </c>
      <c r="B1518" s="113">
        <v>8</v>
      </c>
      <c r="C1518" s="18" t="str">
        <f t="shared" si="99"/>
        <v>2030</v>
      </c>
      <c r="D1518" s="113" t="str">
        <f>_xlfn.XLOOKUP($C1518,'Cost Centers'!$A$2:$A$11,'Cost Centers'!$B$2:$B$11,"")</f>
        <v>Sub-Saharan Africa</v>
      </c>
      <c r="E1518" s="113" t="s">
        <v>101</v>
      </c>
      <c r="F1518" s="113" t="str">
        <f>_xlfn.XLOOKUP(E1518,'Allocated Transactions'!D:D,'Allocated Transactions'!E:E,"")</f>
        <v>Contract Labor / Consultants</v>
      </c>
      <c r="G1518" s="113" t="s">
        <v>97</v>
      </c>
      <c r="H1518" s="113"/>
      <c r="I1518" s="113" t="str">
        <f>_xlfn.XLOOKUP($C1518,'Cost Centers'!$A$2:$A$11,'Cost Centers'!$C$2:$C$11,"")</f>
        <v>Programs</v>
      </c>
      <c r="J1518" s="23">
        <f>MROUND(SUMIFS('Allocated Transactions'!$J:$J,'Allocated Transactions'!$D:$D,$E1518,'Allocated Transactions'!$C:$C,$C1518,'Allocated Transactions'!$A:$A,"&gt;="&amp;$A1518,'Allocated Transactions'!$A:$A,"&lt;="&amp;EOMONTH($A1518,0))*0.99,100)</f>
        <v>0</v>
      </c>
      <c r="K1518" s="113" t="s">
        <v>637</v>
      </c>
    </row>
    <row r="1519" spans="1:11" ht="15" customHeight="1">
      <c r="A1519" s="112">
        <f t="shared" si="97"/>
        <v>45839</v>
      </c>
      <c r="B1519" s="113">
        <v>8</v>
      </c>
      <c r="C1519" s="18" t="str">
        <f t="shared" si="99"/>
        <v>2030</v>
      </c>
      <c r="D1519" s="113" t="str">
        <f>_xlfn.XLOOKUP($C1519,'Cost Centers'!$A$2:$A$11,'Cost Centers'!$B$2:$B$11,"")</f>
        <v>Sub-Saharan Africa</v>
      </c>
      <c r="E1519" s="113" t="s">
        <v>32</v>
      </c>
      <c r="F1519" s="113" t="str">
        <f>_xlfn.XLOOKUP(E1519,'Allocated Transactions'!D:D,'Allocated Transactions'!E:E,"")</f>
        <v>Rent</v>
      </c>
      <c r="G1519" s="113" t="s">
        <v>97</v>
      </c>
      <c r="H1519" s="113"/>
      <c r="I1519" s="113" t="str">
        <f>_xlfn.XLOOKUP($C1519,'Cost Centers'!$A$2:$A$11,'Cost Centers'!$C$2:$C$11,"")</f>
        <v>Programs</v>
      </c>
      <c r="J1519" s="23">
        <f>MROUND(SUMIFS('Allocated Transactions'!$J:$J,'Allocated Transactions'!$D:$D,$E1519,'Allocated Transactions'!$C:$C,$C1519,'Allocated Transactions'!$A:$A,"&gt;="&amp;$A1519,'Allocated Transactions'!$A:$A,"&lt;="&amp;EOMONTH($A1519,0))*0.99,100)</f>
        <v>1200</v>
      </c>
      <c r="K1519" s="113" t="s">
        <v>637</v>
      </c>
    </row>
    <row r="1520" spans="1:11" ht="15" customHeight="1">
      <c r="A1520" s="112">
        <f t="shared" si="97"/>
        <v>45839</v>
      </c>
      <c r="B1520" s="113">
        <v>8</v>
      </c>
      <c r="C1520" s="18" t="str">
        <f t="shared" si="99"/>
        <v>2030</v>
      </c>
      <c r="D1520" s="113" t="str">
        <f>_xlfn.XLOOKUP($C1520,'Cost Centers'!$A$2:$A$11,'Cost Centers'!$B$2:$B$11,"")</f>
        <v>Sub-Saharan Africa</v>
      </c>
      <c r="E1520" s="113" t="s">
        <v>33</v>
      </c>
      <c r="F1520" s="113" t="str">
        <f>_xlfn.XLOOKUP(E1520,'Allocated Transactions'!D:D,'Allocated Transactions'!E:E,"")</f>
        <v>Utilities</v>
      </c>
      <c r="G1520" s="113" t="s">
        <v>97</v>
      </c>
      <c r="H1520" s="113"/>
      <c r="I1520" s="113" t="str">
        <f>_xlfn.XLOOKUP($C1520,'Cost Centers'!$A$2:$A$11,'Cost Centers'!$C$2:$C$11,"")</f>
        <v>Programs</v>
      </c>
      <c r="J1520" s="23">
        <f>MROUND(SUMIFS('Allocated Transactions'!$J:$J,'Allocated Transactions'!$D:$D,$E1520,'Allocated Transactions'!$C:$C,$C1520,'Allocated Transactions'!$A:$A,"&gt;="&amp;$A1520,'Allocated Transactions'!$A:$A,"&lt;="&amp;EOMONTH($A1520,0))*0.99,100)</f>
        <v>200</v>
      </c>
      <c r="K1520" s="113" t="s">
        <v>637</v>
      </c>
    </row>
    <row r="1521" spans="1:11" ht="15" customHeight="1">
      <c r="A1521" s="112">
        <f t="shared" si="97"/>
        <v>45839</v>
      </c>
      <c r="B1521" s="113">
        <v>8</v>
      </c>
      <c r="C1521" s="18" t="str">
        <f t="shared" si="99"/>
        <v>2030</v>
      </c>
      <c r="D1521" s="113" t="str">
        <f>_xlfn.XLOOKUP($C1521,'Cost Centers'!$A$2:$A$11,'Cost Centers'!$B$2:$B$11,"")</f>
        <v>Sub-Saharan Africa</v>
      </c>
      <c r="E1521" s="113" t="s">
        <v>105</v>
      </c>
      <c r="F1521" s="113" t="str">
        <f>_xlfn.XLOOKUP(E1521,'Allocated Transactions'!D:D,'Allocated Transactions'!E:E,"")</f>
        <v>Office Supplies</v>
      </c>
      <c r="G1521" s="113" t="s">
        <v>97</v>
      </c>
      <c r="H1521" s="113"/>
      <c r="I1521" s="113" t="str">
        <f>_xlfn.XLOOKUP($C1521,'Cost Centers'!$A$2:$A$11,'Cost Centers'!$C$2:$C$11,"")</f>
        <v>Programs</v>
      </c>
      <c r="J1521" s="23">
        <f>MROUND(SUMIFS('Allocated Transactions'!$J:$J,'Allocated Transactions'!$D:$D,$E1521,'Allocated Transactions'!$C:$C,$C1521,'Allocated Transactions'!$A:$A,"&gt;="&amp;$A1521,'Allocated Transactions'!$A:$A,"&lt;="&amp;EOMONTH($A1521,0))*0.99,100)</f>
        <v>0</v>
      </c>
      <c r="K1521" s="113" t="s">
        <v>637</v>
      </c>
    </row>
    <row r="1522" spans="1:11" ht="15" customHeight="1">
      <c r="A1522" s="112">
        <f t="shared" si="97"/>
        <v>45839</v>
      </c>
      <c r="B1522" s="113">
        <v>8</v>
      </c>
      <c r="C1522" s="18" t="str">
        <f t="shared" si="99"/>
        <v>2030</v>
      </c>
      <c r="D1522" s="113" t="str">
        <f>_xlfn.XLOOKUP($C1522,'Cost Centers'!$A$2:$A$11,'Cost Centers'!$B$2:$B$11,"")</f>
        <v>Sub-Saharan Africa</v>
      </c>
      <c r="E1522" s="113" t="s">
        <v>107</v>
      </c>
      <c r="F1522" s="113" t="str">
        <f>_xlfn.XLOOKUP(E1522,'Allocated Transactions'!D:D,'Allocated Transactions'!E:E,"")</f>
        <v>Software and Subscriptions</v>
      </c>
      <c r="G1522" s="113" t="s">
        <v>97</v>
      </c>
      <c r="H1522" s="113"/>
      <c r="I1522" s="113" t="str">
        <f>_xlfn.XLOOKUP($C1522,'Cost Centers'!$A$2:$A$11,'Cost Centers'!$C$2:$C$11,"")</f>
        <v>Programs</v>
      </c>
      <c r="J1522" s="23">
        <f>MROUND(SUMIFS('Allocated Transactions'!$J:$J,'Allocated Transactions'!$D:$D,$E1522,'Allocated Transactions'!$C:$C,$C1522,'Allocated Transactions'!$A:$A,"&gt;="&amp;$A1522,'Allocated Transactions'!$A:$A,"&lt;="&amp;EOMONTH($A1522,0))*0.99,100)</f>
        <v>0</v>
      </c>
      <c r="K1522" s="113" t="s">
        <v>637</v>
      </c>
    </row>
    <row r="1523" spans="1:11" ht="15" customHeight="1">
      <c r="A1523" s="112">
        <f t="shared" si="97"/>
        <v>45839</v>
      </c>
      <c r="B1523" s="113">
        <v>8</v>
      </c>
      <c r="C1523" s="18" t="str">
        <f t="shared" si="99"/>
        <v>2030</v>
      </c>
      <c r="D1523" s="113" t="str">
        <f>_xlfn.XLOOKUP($C1523,'Cost Centers'!$A$2:$A$11,'Cost Centers'!$B$2:$B$11,"")</f>
        <v>Sub-Saharan Africa</v>
      </c>
      <c r="E1523" s="113" t="s">
        <v>109</v>
      </c>
      <c r="F1523" s="113" t="str">
        <f>_xlfn.XLOOKUP(E1523,'Allocated Transactions'!D:D,'Allocated Transactions'!E:E,"")</f>
        <v>Travel</v>
      </c>
      <c r="G1523" s="113" t="s">
        <v>97</v>
      </c>
      <c r="H1523" s="113"/>
      <c r="I1523" s="113" t="str">
        <f>_xlfn.XLOOKUP($C1523,'Cost Centers'!$A$2:$A$11,'Cost Centers'!$C$2:$C$11,"")</f>
        <v>Programs</v>
      </c>
      <c r="J1523" s="23">
        <f>MROUND(SUMIFS('Allocated Transactions'!$J:$J,'Allocated Transactions'!$D:$D,$E1523,'Allocated Transactions'!$C:$C,$C1523,'Allocated Transactions'!$A:$A,"&gt;="&amp;$A1523,'Allocated Transactions'!$A:$A,"&lt;="&amp;EOMONTH($A1523,0))*0.99,100)</f>
        <v>2700</v>
      </c>
      <c r="K1523" s="113" t="s">
        <v>637</v>
      </c>
    </row>
    <row r="1524" spans="1:11" ht="15" customHeight="1">
      <c r="A1524" s="112">
        <f t="shared" si="97"/>
        <v>45839</v>
      </c>
      <c r="B1524" s="113">
        <v>8</v>
      </c>
      <c r="C1524" s="18" t="str">
        <f t="shared" si="99"/>
        <v>2030</v>
      </c>
      <c r="D1524" s="113" t="str">
        <f>_xlfn.XLOOKUP($C1524,'Cost Centers'!$A$2:$A$11,'Cost Centers'!$B$2:$B$11,"")</f>
        <v>Sub-Saharan Africa</v>
      </c>
      <c r="E1524" s="113" t="s">
        <v>111</v>
      </c>
      <c r="F1524" s="113" t="str">
        <f>_xlfn.XLOOKUP(E1524,'Allocated Transactions'!D:D,'Allocated Transactions'!E:E,"")</f>
        <v>Meals and Entertainment</v>
      </c>
      <c r="G1524" s="113" t="s">
        <v>97</v>
      </c>
      <c r="H1524" s="113"/>
      <c r="I1524" s="113" t="str">
        <f>_xlfn.XLOOKUP($C1524,'Cost Centers'!$A$2:$A$11,'Cost Centers'!$C$2:$C$11,"")</f>
        <v>Programs</v>
      </c>
      <c r="J1524" s="23">
        <f>MROUND(SUMIFS('Allocated Transactions'!$J:$J,'Allocated Transactions'!$D:$D,$E1524,'Allocated Transactions'!$C:$C,$C1524,'Allocated Transactions'!$A:$A,"&gt;="&amp;$A1524,'Allocated Transactions'!$A:$A,"&lt;="&amp;EOMONTH($A1524,0))*0.99,100)</f>
        <v>200</v>
      </c>
      <c r="K1524" s="113" t="s">
        <v>637</v>
      </c>
    </row>
    <row r="1525" spans="1:11" ht="15" customHeight="1">
      <c r="A1525" s="112">
        <f t="shared" si="97"/>
        <v>45839</v>
      </c>
      <c r="B1525" s="113">
        <v>8</v>
      </c>
      <c r="C1525" s="18" t="str">
        <f t="shared" si="99"/>
        <v>2030</v>
      </c>
      <c r="D1525" s="113" t="str">
        <f>_xlfn.XLOOKUP($C1525,'Cost Centers'!$A$2:$A$11,'Cost Centers'!$B$2:$B$11,"")</f>
        <v>Sub-Saharan Africa</v>
      </c>
      <c r="E1525" s="113" t="s">
        <v>113</v>
      </c>
      <c r="F1525" s="113" t="str">
        <f>_xlfn.XLOOKUP(E1525,'Allocated Transactions'!D:D,'Allocated Transactions'!E:E,"")</f>
        <v>Professional Fees - Legal</v>
      </c>
      <c r="G1525" s="113" t="s">
        <v>97</v>
      </c>
      <c r="H1525" s="113"/>
      <c r="I1525" s="113" t="str">
        <f>_xlfn.XLOOKUP($C1525,'Cost Centers'!$A$2:$A$11,'Cost Centers'!$C$2:$C$11,"")</f>
        <v>Programs</v>
      </c>
      <c r="J1525" s="23">
        <f>MROUND(SUMIFS('Allocated Transactions'!$J:$J,'Allocated Transactions'!$D:$D,$E1525,'Allocated Transactions'!$C:$C,$C1525,'Allocated Transactions'!$A:$A,"&gt;="&amp;$A1525,'Allocated Transactions'!$A:$A,"&lt;="&amp;EOMONTH($A1525,0))*0.99,100)</f>
        <v>0</v>
      </c>
      <c r="K1525" s="113" t="s">
        <v>637</v>
      </c>
    </row>
    <row r="1526" spans="1:11" ht="15" customHeight="1">
      <c r="A1526" s="112">
        <f t="shared" si="97"/>
        <v>45839</v>
      </c>
      <c r="B1526" s="113">
        <v>8</v>
      </c>
      <c r="C1526" s="18" t="str">
        <f t="shared" si="99"/>
        <v>2030</v>
      </c>
      <c r="D1526" s="113" t="str">
        <f>_xlfn.XLOOKUP($C1526,'Cost Centers'!$A$2:$A$11,'Cost Centers'!$B$2:$B$11,"")</f>
        <v>Sub-Saharan Africa</v>
      </c>
      <c r="E1526" s="113" t="s">
        <v>115</v>
      </c>
      <c r="F1526" s="113" t="str">
        <f>_xlfn.XLOOKUP(E1526,'Allocated Transactions'!D:D,'Allocated Transactions'!E:E,"")</f>
        <v>Professional Fees - Accounting/Audit</v>
      </c>
      <c r="G1526" s="113" t="s">
        <v>97</v>
      </c>
      <c r="H1526" s="113"/>
      <c r="I1526" s="113" t="str">
        <f>_xlfn.XLOOKUP($C1526,'Cost Centers'!$A$2:$A$11,'Cost Centers'!$C$2:$C$11,"")</f>
        <v>Programs</v>
      </c>
      <c r="J1526" s="23">
        <f>MROUND(SUMIFS('Allocated Transactions'!$J:$J,'Allocated Transactions'!$D:$D,$E1526,'Allocated Transactions'!$C:$C,$C1526,'Allocated Transactions'!$A:$A,"&gt;="&amp;$A1526,'Allocated Transactions'!$A:$A,"&lt;="&amp;EOMONTH($A1526,0))*0.99,100)</f>
        <v>0</v>
      </c>
      <c r="K1526" s="113" t="s">
        <v>637</v>
      </c>
    </row>
    <row r="1527" spans="1:11" ht="15" customHeight="1">
      <c r="A1527" s="112">
        <f t="shared" si="97"/>
        <v>45839</v>
      </c>
      <c r="B1527" s="113">
        <v>8</v>
      </c>
      <c r="C1527" s="18" t="str">
        <f t="shared" si="99"/>
        <v>2030</v>
      </c>
      <c r="D1527" s="113" t="str">
        <f>_xlfn.XLOOKUP($C1527,'Cost Centers'!$A$2:$A$11,'Cost Centers'!$B$2:$B$11,"")</f>
        <v>Sub-Saharan Africa</v>
      </c>
      <c r="E1527" s="113" t="s">
        <v>117</v>
      </c>
      <c r="F1527" s="113" t="str">
        <f>_xlfn.XLOOKUP(E1527,'Allocated Transactions'!D:D,'Allocated Transactions'!E:E,"")</f>
        <v>Insurance</v>
      </c>
      <c r="G1527" s="113" t="s">
        <v>97</v>
      </c>
      <c r="H1527" s="113"/>
      <c r="I1527" s="113" t="str">
        <f>_xlfn.XLOOKUP($C1527,'Cost Centers'!$A$2:$A$11,'Cost Centers'!$C$2:$C$11,"")</f>
        <v>Programs</v>
      </c>
      <c r="J1527" s="23">
        <f>MROUND(SUMIFS('Allocated Transactions'!$J:$J,'Allocated Transactions'!$D:$D,$E1527,'Allocated Transactions'!$C:$C,$C1527,'Allocated Transactions'!$A:$A,"&gt;="&amp;$A1527,'Allocated Transactions'!$A:$A,"&lt;="&amp;EOMONTH($A1527,0))*0.99,100)</f>
        <v>100</v>
      </c>
      <c r="K1527" s="113" t="s">
        <v>637</v>
      </c>
    </row>
    <row r="1528" spans="1:11" ht="15" customHeight="1">
      <c r="A1528" s="112">
        <f t="shared" si="97"/>
        <v>45839</v>
      </c>
      <c r="B1528" s="113">
        <v>8</v>
      </c>
      <c r="C1528" s="18" t="str">
        <f t="shared" si="99"/>
        <v>2030</v>
      </c>
      <c r="D1528" s="113" t="str">
        <f>_xlfn.XLOOKUP($C1528,'Cost Centers'!$A$2:$A$11,'Cost Centers'!$B$2:$B$11,"")</f>
        <v>Sub-Saharan Africa</v>
      </c>
      <c r="E1528" s="113" t="s">
        <v>119</v>
      </c>
      <c r="F1528" s="113" t="str">
        <f>_xlfn.XLOOKUP(E1528,'Allocated Transactions'!D:D,'Allocated Transactions'!E:E,"")</f>
        <v>Depreciation Expense</v>
      </c>
      <c r="G1528" s="113" t="s">
        <v>97</v>
      </c>
      <c r="H1528" s="113"/>
      <c r="I1528" s="113" t="str">
        <f>_xlfn.XLOOKUP($C1528,'Cost Centers'!$A$2:$A$11,'Cost Centers'!$C$2:$C$11,"")</f>
        <v>Programs</v>
      </c>
      <c r="J1528" s="23">
        <f>MROUND(SUMIFS('Allocated Transactions'!$J:$J,'Allocated Transactions'!$D:$D,$E1528,'Allocated Transactions'!$C:$C,$C1528,'Allocated Transactions'!$A:$A,"&gt;="&amp;$A1528,'Allocated Transactions'!$A:$A,"&lt;="&amp;EOMONTH($A1528,0))*0.99,100)</f>
        <v>0</v>
      </c>
      <c r="K1528" s="113" t="s">
        <v>637</v>
      </c>
    </row>
    <row r="1529" spans="1:11" ht="15" customHeight="1">
      <c r="A1529" s="112">
        <f t="shared" si="97"/>
        <v>45839</v>
      </c>
      <c r="B1529" s="113">
        <v>8</v>
      </c>
      <c r="C1529" s="18" t="str">
        <f t="shared" si="99"/>
        <v>2030</v>
      </c>
      <c r="D1529" s="113" t="str">
        <f>_xlfn.XLOOKUP($C1529,'Cost Centers'!$A$2:$A$11,'Cost Centers'!$B$2:$B$11,"")</f>
        <v>Sub-Saharan Africa</v>
      </c>
      <c r="E1529" s="113" t="s">
        <v>121</v>
      </c>
      <c r="F1529" s="113" t="str">
        <f>_xlfn.XLOOKUP(E1529,'Allocated Transactions'!D:D,'Allocated Transactions'!E:E,"")</f>
        <v>Bank Fees</v>
      </c>
      <c r="G1529" s="113" t="s">
        <v>97</v>
      </c>
      <c r="H1529" s="113"/>
      <c r="I1529" s="113" t="str">
        <f>_xlfn.XLOOKUP($C1529,'Cost Centers'!$A$2:$A$11,'Cost Centers'!$C$2:$C$11,"")</f>
        <v>Programs</v>
      </c>
      <c r="J1529" s="23">
        <f>MROUND(SUMIFS('Allocated Transactions'!$J:$J,'Allocated Transactions'!$D:$D,$E1529,'Allocated Transactions'!$C:$C,$C1529,'Allocated Transactions'!$A:$A,"&gt;="&amp;$A1529,'Allocated Transactions'!$A:$A,"&lt;="&amp;EOMONTH($A1529,0))*0.99,100)</f>
        <v>0</v>
      </c>
      <c r="K1529" s="113" t="s">
        <v>637</v>
      </c>
    </row>
    <row r="1530" spans="1:11" ht="15" customHeight="1">
      <c r="A1530" s="112">
        <f t="shared" si="97"/>
        <v>45839</v>
      </c>
      <c r="B1530" s="113">
        <v>8</v>
      </c>
      <c r="C1530" s="18" t="str">
        <f t="shared" si="99"/>
        <v>2030</v>
      </c>
      <c r="D1530" s="113" t="str">
        <f>_xlfn.XLOOKUP($C1530,'Cost Centers'!$A$2:$A$11,'Cost Centers'!$B$2:$B$11,"")</f>
        <v>Sub-Saharan Africa</v>
      </c>
      <c r="E1530" s="113" t="s">
        <v>123</v>
      </c>
      <c r="F1530" s="113" t="str">
        <f>_xlfn.XLOOKUP(E1530,'Allocated Transactions'!D:D,'Allocated Transactions'!E:E,"")</f>
        <v>Interest Expense</v>
      </c>
      <c r="G1530" s="113" t="s">
        <v>97</v>
      </c>
      <c r="H1530" s="113"/>
      <c r="I1530" s="113" t="str">
        <f>_xlfn.XLOOKUP($C1530,'Cost Centers'!$A$2:$A$11,'Cost Centers'!$C$2:$C$11,"")</f>
        <v>Programs</v>
      </c>
      <c r="J1530" s="23">
        <f>MROUND(SUMIFS('Allocated Transactions'!$J:$J,'Allocated Transactions'!$D:$D,$E1530,'Allocated Transactions'!$C:$C,$C1530,'Allocated Transactions'!$A:$A,"&gt;="&amp;$A1530,'Allocated Transactions'!$A:$A,"&lt;="&amp;EOMONTH($A1530,0))*0.99,100)</f>
        <v>0</v>
      </c>
      <c r="K1530" s="113" t="s">
        <v>637</v>
      </c>
    </row>
    <row r="1531" spans="1:11" ht="15" customHeight="1">
      <c r="A1531" s="112">
        <f t="shared" si="97"/>
        <v>45839</v>
      </c>
      <c r="B1531" s="113">
        <v>8</v>
      </c>
      <c r="C1531" s="18" t="str">
        <f t="shared" si="99"/>
        <v>2030</v>
      </c>
      <c r="D1531" s="113" t="str">
        <f>_xlfn.XLOOKUP($C1531,'Cost Centers'!$A$2:$A$11,'Cost Centers'!$B$2:$B$11,"")</f>
        <v>Sub-Saharan Africa</v>
      </c>
      <c r="E1531" s="113" t="s">
        <v>125</v>
      </c>
      <c r="F1531" s="113" t="str">
        <f>_xlfn.XLOOKUP(E1531,'Allocated Transactions'!D:D,'Allocated Transactions'!E:E,"")</f>
        <v>Miscellaneous Expense</v>
      </c>
      <c r="G1531" s="113" t="s">
        <v>97</v>
      </c>
      <c r="H1531" s="113"/>
      <c r="I1531" s="113" t="str">
        <f>_xlfn.XLOOKUP($C1531,'Cost Centers'!$A$2:$A$11,'Cost Centers'!$C$2:$C$11,"")</f>
        <v>Programs</v>
      </c>
      <c r="J1531" s="23">
        <f>MROUND(SUMIFS('Allocated Transactions'!$J:$J,'Allocated Transactions'!$D:$D,$E1531,'Allocated Transactions'!$C:$C,$C1531,'Allocated Transactions'!$A:$A,"&gt;="&amp;$A1531,'Allocated Transactions'!$A:$A,"&lt;="&amp;EOMONTH($A1531,0))*0.99,100)</f>
        <v>0</v>
      </c>
      <c r="K1531" s="113" t="s">
        <v>637</v>
      </c>
    </row>
    <row r="1532" spans="1:11" ht="15" customHeight="1">
      <c r="A1532" s="112">
        <f t="shared" si="97"/>
        <v>45870</v>
      </c>
      <c r="B1532" s="113">
        <v>8</v>
      </c>
      <c r="C1532" s="18" t="s">
        <v>16</v>
      </c>
      <c r="D1532" s="113" t="str">
        <f>_xlfn.XLOOKUP($C1532,'Cost Centers'!$A$2:$A$11,'Cost Centers'!$B$2:$B$11,"")</f>
        <v>Sub-Saharan Africa</v>
      </c>
      <c r="E1532" s="113" t="s">
        <v>28</v>
      </c>
      <c r="F1532" s="113" t="str">
        <f>_xlfn.XLOOKUP(E1532,'Allocated Transactions'!D:D,'Allocated Transactions'!E:E,"")</f>
        <v>Salaries and Wages</v>
      </c>
      <c r="G1532" s="113" t="s">
        <v>97</v>
      </c>
      <c r="H1532" s="113"/>
      <c r="I1532" s="113" t="str">
        <f>_xlfn.XLOOKUP($C1532,'Cost Centers'!$A$2:$A$11,'Cost Centers'!$C$2:$C$11,"")</f>
        <v>Programs</v>
      </c>
      <c r="J1532" s="23">
        <f>MROUND(SUMIFS('Allocated Transactions'!$J:$J,'Allocated Transactions'!$D:$D,$E1532,'Allocated Transactions'!$C:$C,$C1532,'Allocated Transactions'!$A:$A,"&gt;="&amp;$A1532,'Allocated Transactions'!$A:$A,"&lt;="&amp;EOMONTH($A1532,0))*0.99,100)</f>
        <v>14800</v>
      </c>
      <c r="K1532" s="113" t="s">
        <v>637</v>
      </c>
    </row>
    <row r="1533" spans="1:11" ht="15" customHeight="1">
      <c r="A1533" s="112">
        <f t="shared" si="97"/>
        <v>45870</v>
      </c>
      <c r="B1533" s="113">
        <v>8</v>
      </c>
      <c r="C1533" s="18" t="str">
        <f t="shared" ref="C1533:C1549" si="100">C1532</f>
        <v>2030</v>
      </c>
      <c r="D1533" s="113" t="str">
        <f>_xlfn.XLOOKUP($C1533,'Cost Centers'!$A$2:$A$11,'Cost Centers'!$B$2:$B$11,"")</f>
        <v>Sub-Saharan Africa</v>
      </c>
      <c r="E1533" s="113" t="s">
        <v>29</v>
      </c>
      <c r="F1533" s="113" t="str">
        <f>_xlfn.XLOOKUP(E1533,'Allocated Transactions'!D:D,'Allocated Transactions'!E:E,"")</f>
        <v>Payroll Taxes</v>
      </c>
      <c r="G1533" s="113" t="s">
        <v>97</v>
      </c>
      <c r="H1533" s="113"/>
      <c r="I1533" s="113" t="str">
        <f>_xlfn.XLOOKUP($C1533,'Cost Centers'!$A$2:$A$11,'Cost Centers'!$C$2:$C$11,"")</f>
        <v>Programs</v>
      </c>
      <c r="J1533" s="23">
        <f>MROUND(SUMIFS('Allocated Transactions'!$J:$J,'Allocated Transactions'!$D:$D,$E1533,'Allocated Transactions'!$C:$C,$C1533,'Allocated Transactions'!$A:$A,"&gt;="&amp;$A1533,'Allocated Transactions'!$A:$A,"&lt;="&amp;EOMONTH($A1533,0))*0.99,100)</f>
        <v>1100</v>
      </c>
      <c r="K1533" s="113" t="s">
        <v>637</v>
      </c>
    </row>
    <row r="1534" spans="1:11" ht="15" customHeight="1">
      <c r="A1534" s="112">
        <f t="shared" si="97"/>
        <v>45870</v>
      </c>
      <c r="B1534" s="113">
        <v>8</v>
      </c>
      <c r="C1534" s="18" t="str">
        <f t="shared" si="100"/>
        <v>2030</v>
      </c>
      <c r="D1534" s="113" t="str">
        <f>_xlfn.XLOOKUP($C1534,'Cost Centers'!$A$2:$A$11,'Cost Centers'!$B$2:$B$11,"")</f>
        <v>Sub-Saharan Africa</v>
      </c>
      <c r="E1534" s="113" t="s">
        <v>30</v>
      </c>
      <c r="F1534" s="113" t="str">
        <f>_xlfn.XLOOKUP(E1534,'Allocated Transactions'!D:D,'Allocated Transactions'!E:E,"")</f>
        <v>Employee Benefits</v>
      </c>
      <c r="G1534" s="113" t="s">
        <v>97</v>
      </c>
      <c r="H1534" s="113"/>
      <c r="I1534" s="113" t="str">
        <f>_xlfn.XLOOKUP($C1534,'Cost Centers'!$A$2:$A$11,'Cost Centers'!$C$2:$C$11,"")</f>
        <v>Programs</v>
      </c>
      <c r="J1534" s="23">
        <f>MROUND(SUMIFS('Allocated Transactions'!$J:$J,'Allocated Transactions'!$D:$D,$E1534,'Allocated Transactions'!$C:$C,$C1534,'Allocated Transactions'!$A:$A,"&gt;="&amp;$A1534,'Allocated Transactions'!$A:$A,"&lt;="&amp;EOMONTH($A1534,0))*0.99,100)</f>
        <v>4700</v>
      </c>
      <c r="K1534" s="113" t="s">
        <v>637</v>
      </c>
    </row>
    <row r="1535" spans="1:11" ht="15" customHeight="1">
      <c r="A1535" s="112">
        <f t="shared" si="97"/>
        <v>45870</v>
      </c>
      <c r="B1535" s="113">
        <v>8</v>
      </c>
      <c r="C1535" s="18" t="str">
        <f t="shared" si="100"/>
        <v>2030</v>
      </c>
      <c r="D1535" s="113" t="str">
        <f>_xlfn.XLOOKUP($C1535,'Cost Centers'!$A$2:$A$11,'Cost Centers'!$B$2:$B$11,"")</f>
        <v>Sub-Saharan Africa</v>
      </c>
      <c r="E1535" s="113" t="s">
        <v>31</v>
      </c>
      <c r="F1535" s="113" t="str">
        <f>_xlfn.XLOOKUP(E1535,'Allocated Transactions'!D:D,'Allocated Transactions'!E:E,"")</f>
        <v>Retirement Contributions</v>
      </c>
      <c r="G1535" s="113" t="s">
        <v>97</v>
      </c>
      <c r="H1535" s="113"/>
      <c r="I1535" s="113" t="str">
        <f>_xlfn.XLOOKUP($C1535,'Cost Centers'!$A$2:$A$11,'Cost Centers'!$C$2:$C$11,"")</f>
        <v>Programs</v>
      </c>
      <c r="J1535" s="23">
        <f>MROUND(SUMIFS('Allocated Transactions'!$J:$J,'Allocated Transactions'!$D:$D,$E1535,'Allocated Transactions'!$C:$C,$C1535,'Allocated Transactions'!$A:$A,"&gt;="&amp;$A1535,'Allocated Transactions'!$A:$A,"&lt;="&amp;EOMONTH($A1535,0))*0.99,100)</f>
        <v>400</v>
      </c>
      <c r="K1535" s="113" t="s">
        <v>637</v>
      </c>
    </row>
    <row r="1536" spans="1:11" ht="15" customHeight="1">
      <c r="A1536" s="112">
        <f t="shared" si="97"/>
        <v>45870</v>
      </c>
      <c r="B1536" s="113">
        <v>8</v>
      </c>
      <c r="C1536" s="18" t="str">
        <f t="shared" si="100"/>
        <v>2030</v>
      </c>
      <c r="D1536" s="113" t="str">
        <f>_xlfn.XLOOKUP($C1536,'Cost Centers'!$A$2:$A$11,'Cost Centers'!$B$2:$B$11,"")</f>
        <v>Sub-Saharan Africa</v>
      </c>
      <c r="E1536" s="113" t="s">
        <v>101</v>
      </c>
      <c r="F1536" s="113" t="str">
        <f>_xlfn.XLOOKUP(E1536,'Allocated Transactions'!D:D,'Allocated Transactions'!E:E,"")</f>
        <v>Contract Labor / Consultants</v>
      </c>
      <c r="G1536" s="113" t="s">
        <v>97</v>
      </c>
      <c r="H1536" s="113"/>
      <c r="I1536" s="113" t="str">
        <f>_xlfn.XLOOKUP($C1536,'Cost Centers'!$A$2:$A$11,'Cost Centers'!$C$2:$C$11,"")</f>
        <v>Programs</v>
      </c>
      <c r="J1536" s="23">
        <f>MROUND(SUMIFS('Allocated Transactions'!$J:$J,'Allocated Transactions'!$D:$D,$E1536,'Allocated Transactions'!$C:$C,$C1536,'Allocated Transactions'!$A:$A,"&gt;="&amp;$A1536,'Allocated Transactions'!$A:$A,"&lt;="&amp;EOMONTH($A1536,0))*0.99,100)</f>
        <v>0</v>
      </c>
      <c r="K1536" s="113" t="s">
        <v>637</v>
      </c>
    </row>
    <row r="1537" spans="1:11" ht="15" customHeight="1">
      <c r="A1537" s="112">
        <f t="shared" si="97"/>
        <v>45870</v>
      </c>
      <c r="B1537" s="113">
        <v>8</v>
      </c>
      <c r="C1537" s="18" t="str">
        <f t="shared" si="100"/>
        <v>2030</v>
      </c>
      <c r="D1537" s="113" t="str">
        <f>_xlfn.XLOOKUP($C1537,'Cost Centers'!$A$2:$A$11,'Cost Centers'!$B$2:$B$11,"")</f>
        <v>Sub-Saharan Africa</v>
      </c>
      <c r="E1537" s="113" t="s">
        <v>32</v>
      </c>
      <c r="F1537" s="113" t="str">
        <f>_xlfn.XLOOKUP(E1537,'Allocated Transactions'!D:D,'Allocated Transactions'!E:E,"")</f>
        <v>Rent</v>
      </c>
      <c r="G1537" s="113" t="s">
        <v>97</v>
      </c>
      <c r="H1537" s="113"/>
      <c r="I1537" s="113" t="str">
        <f>_xlfn.XLOOKUP($C1537,'Cost Centers'!$A$2:$A$11,'Cost Centers'!$C$2:$C$11,"")</f>
        <v>Programs</v>
      </c>
      <c r="J1537" s="23">
        <f>MROUND(SUMIFS('Allocated Transactions'!$J:$J,'Allocated Transactions'!$D:$D,$E1537,'Allocated Transactions'!$C:$C,$C1537,'Allocated Transactions'!$A:$A,"&gt;="&amp;$A1537,'Allocated Transactions'!$A:$A,"&lt;="&amp;EOMONTH($A1537,0))*0.99,100)</f>
        <v>1200</v>
      </c>
      <c r="K1537" s="113" t="s">
        <v>637</v>
      </c>
    </row>
    <row r="1538" spans="1:11" ht="15" customHeight="1">
      <c r="A1538" s="112">
        <f t="shared" si="97"/>
        <v>45870</v>
      </c>
      <c r="B1538" s="113">
        <v>8</v>
      </c>
      <c r="C1538" s="18" t="str">
        <f t="shared" si="100"/>
        <v>2030</v>
      </c>
      <c r="D1538" s="113" t="str">
        <f>_xlfn.XLOOKUP($C1538,'Cost Centers'!$A$2:$A$11,'Cost Centers'!$B$2:$B$11,"")</f>
        <v>Sub-Saharan Africa</v>
      </c>
      <c r="E1538" s="113" t="s">
        <v>33</v>
      </c>
      <c r="F1538" s="113" t="str">
        <f>_xlfn.XLOOKUP(E1538,'Allocated Transactions'!D:D,'Allocated Transactions'!E:E,"")</f>
        <v>Utilities</v>
      </c>
      <c r="G1538" s="113" t="s">
        <v>97</v>
      </c>
      <c r="H1538" s="113"/>
      <c r="I1538" s="113" t="str">
        <f>_xlfn.XLOOKUP($C1538,'Cost Centers'!$A$2:$A$11,'Cost Centers'!$C$2:$C$11,"")</f>
        <v>Programs</v>
      </c>
      <c r="J1538" s="23">
        <f>MROUND(SUMIFS('Allocated Transactions'!$J:$J,'Allocated Transactions'!$D:$D,$E1538,'Allocated Transactions'!$C:$C,$C1538,'Allocated Transactions'!$A:$A,"&gt;="&amp;$A1538,'Allocated Transactions'!$A:$A,"&lt;="&amp;EOMONTH($A1538,0))*0.99,100)</f>
        <v>200</v>
      </c>
      <c r="K1538" s="113" t="s">
        <v>637</v>
      </c>
    </row>
    <row r="1539" spans="1:11" ht="15" customHeight="1">
      <c r="A1539" s="112">
        <f t="shared" si="97"/>
        <v>45870</v>
      </c>
      <c r="B1539" s="113">
        <v>8</v>
      </c>
      <c r="C1539" s="18" t="str">
        <f t="shared" si="100"/>
        <v>2030</v>
      </c>
      <c r="D1539" s="113" t="str">
        <f>_xlfn.XLOOKUP($C1539,'Cost Centers'!$A$2:$A$11,'Cost Centers'!$B$2:$B$11,"")</f>
        <v>Sub-Saharan Africa</v>
      </c>
      <c r="E1539" s="113" t="s">
        <v>105</v>
      </c>
      <c r="F1539" s="113" t="str">
        <f>_xlfn.XLOOKUP(E1539,'Allocated Transactions'!D:D,'Allocated Transactions'!E:E,"")</f>
        <v>Office Supplies</v>
      </c>
      <c r="G1539" s="113" t="s">
        <v>97</v>
      </c>
      <c r="H1539" s="113"/>
      <c r="I1539" s="113" t="str">
        <f>_xlfn.XLOOKUP($C1539,'Cost Centers'!$A$2:$A$11,'Cost Centers'!$C$2:$C$11,"")</f>
        <v>Programs</v>
      </c>
      <c r="J1539" s="23">
        <f>MROUND(SUMIFS('Allocated Transactions'!$J:$J,'Allocated Transactions'!$D:$D,$E1539,'Allocated Transactions'!$C:$C,$C1539,'Allocated Transactions'!$A:$A,"&gt;="&amp;$A1539,'Allocated Transactions'!$A:$A,"&lt;="&amp;EOMONTH($A1539,0))*0.99,100)</f>
        <v>0</v>
      </c>
      <c r="K1539" s="113" t="s">
        <v>637</v>
      </c>
    </row>
    <row r="1540" spans="1:11" ht="15" customHeight="1">
      <c r="A1540" s="112">
        <f t="shared" si="97"/>
        <v>45870</v>
      </c>
      <c r="B1540" s="113">
        <v>8</v>
      </c>
      <c r="C1540" s="18" t="str">
        <f t="shared" si="100"/>
        <v>2030</v>
      </c>
      <c r="D1540" s="113" t="str">
        <f>_xlfn.XLOOKUP($C1540,'Cost Centers'!$A$2:$A$11,'Cost Centers'!$B$2:$B$11,"")</f>
        <v>Sub-Saharan Africa</v>
      </c>
      <c r="E1540" s="113" t="s">
        <v>107</v>
      </c>
      <c r="F1540" s="113" t="str">
        <f>_xlfn.XLOOKUP(E1540,'Allocated Transactions'!D:D,'Allocated Transactions'!E:E,"")</f>
        <v>Software and Subscriptions</v>
      </c>
      <c r="G1540" s="113" t="s">
        <v>97</v>
      </c>
      <c r="H1540" s="113"/>
      <c r="I1540" s="113" t="str">
        <f>_xlfn.XLOOKUP($C1540,'Cost Centers'!$A$2:$A$11,'Cost Centers'!$C$2:$C$11,"")</f>
        <v>Programs</v>
      </c>
      <c r="J1540" s="23">
        <f>MROUND(SUMIFS('Allocated Transactions'!$J:$J,'Allocated Transactions'!$D:$D,$E1540,'Allocated Transactions'!$C:$C,$C1540,'Allocated Transactions'!$A:$A,"&gt;="&amp;$A1540,'Allocated Transactions'!$A:$A,"&lt;="&amp;EOMONTH($A1540,0))*0.99,100)</f>
        <v>0</v>
      </c>
      <c r="K1540" s="113" t="s">
        <v>637</v>
      </c>
    </row>
    <row r="1541" spans="1:11" ht="15" customHeight="1">
      <c r="A1541" s="112">
        <f t="shared" si="97"/>
        <v>45870</v>
      </c>
      <c r="B1541" s="113">
        <v>8</v>
      </c>
      <c r="C1541" s="18" t="str">
        <f t="shared" si="100"/>
        <v>2030</v>
      </c>
      <c r="D1541" s="113" t="str">
        <f>_xlfn.XLOOKUP($C1541,'Cost Centers'!$A$2:$A$11,'Cost Centers'!$B$2:$B$11,"")</f>
        <v>Sub-Saharan Africa</v>
      </c>
      <c r="E1541" s="113" t="s">
        <v>109</v>
      </c>
      <c r="F1541" s="113" t="str">
        <f>_xlfn.XLOOKUP(E1541,'Allocated Transactions'!D:D,'Allocated Transactions'!E:E,"")</f>
        <v>Travel</v>
      </c>
      <c r="G1541" s="113" t="s">
        <v>97</v>
      </c>
      <c r="H1541" s="113"/>
      <c r="I1541" s="113" t="str">
        <f>_xlfn.XLOOKUP($C1541,'Cost Centers'!$A$2:$A$11,'Cost Centers'!$C$2:$C$11,"")</f>
        <v>Programs</v>
      </c>
      <c r="J1541" s="23">
        <f>MROUND(SUMIFS('Allocated Transactions'!$J:$J,'Allocated Transactions'!$D:$D,$E1541,'Allocated Transactions'!$C:$C,$C1541,'Allocated Transactions'!$A:$A,"&gt;="&amp;$A1541,'Allocated Transactions'!$A:$A,"&lt;="&amp;EOMONTH($A1541,0))*0.99,100)</f>
        <v>0</v>
      </c>
      <c r="K1541" s="113" t="s">
        <v>637</v>
      </c>
    </row>
    <row r="1542" spans="1:11" ht="15" customHeight="1">
      <c r="A1542" s="112">
        <f t="shared" si="97"/>
        <v>45870</v>
      </c>
      <c r="B1542" s="113">
        <v>8</v>
      </c>
      <c r="C1542" s="18" t="str">
        <f t="shared" si="100"/>
        <v>2030</v>
      </c>
      <c r="D1542" s="113" t="str">
        <f>_xlfn.XLOOKUP($C1542,'Cost Centers'!$A$2:$A$11,'Cost Centers'!$B$2:$B$11,"")</f>
        <v>Sub-Saharan Africa</v>
      </c>
      <c r="E1542" s="113" t="s">
        <v>111</v>
      </c>
      <c r="F1542" s="113" t="str">
        <f>_xlfn.XLOOKUP(E1542,'Allocated Transactions'!D:D,'Allocated Transactions'!E:E,"")</f>
        <v>Meals and Entertainment</v>
      </c>
      <c r="G1542" s="113" t="s">
        <v>97</v>
      </c>
      <c r="H1542" s="113"/>
      <c r="I1542" s="113" t="str">
        <f>_xlfn.XLOOKUP($C1542,'Cost Centers'!$A$2:$A$11,'Cost Centers'!$C$2:$C$11,"")</f>
        <v>Programs</v>
      </c>
      <c r="J1542" s="23">
        <f>MROUND(SUMIFS('Allocated Transactions'!$J:$J,'Allocated Transactions'!$D:$D,$E1542,'Allocated Transactions'!$C:$C,$C1542,'Allocated Transactions'!$A:$A,"&gt;="&amp;$A1542,'Allocated Transactions'!$A:$A,"&lt;="&amp;EOMONTH($A1542,0))*0.99,100)</f>
        <v>0</v>
      </c>
      <c r="K1542" s="113" t="s">
        <v>637</v>
      </c>
    </row>
    <row r="1543" spans="1:11" ht="15" customHeight="1">
      <c r="A1543" s="112">
        <f t="shared" si="97"/>
        <v>45870</v>
      </c>
      <c r="B1543" s="113">
        <v>8</v>
      </c>
      <c r="C1543" s="18" t="str">
        <f t="shared" si="100"/>
        <v>2030</v>
      </c>
      <c r="D1543" s="113" t="str">
        <f>_xlfn.XLOOKUP($C1543,'Cost Centers'!$A$2:$A$11,'Cost Centers'!$B$2:$B$11,"")</f>
        <v>Sub-Saharan Africa</v>
      </c>
      <c r="E1543" s="113" t="s">
        <v>113</v>
      </c>
      <c r="F1543" s="113" t="str">
        <f>_xlfn.XLOOKUP(E1543,'Allocated Transactions'!D:D,'Allocated Transactions'!E:E,"")</f>
        <v>Professional Fees - Legal</v>
      </c>
      <c r="G1543" s="113" t="s">
        <v>97</v>
      </c>
      <c r="H1543" s="113"/>
      <c r="I1543" s="113" t="str">
        <f>_xlfn.XLOOKUP($C1543,'Cost Centers'!$A$2:$A$11,'Cost Centers'!$C$2:$C$11,"")</f>
        <v>Programs</v>
      </c>
      <c r="J1543" s="23">
        <f>MROUND(SUMIFS('Allocated Transactions'!$J:$J,'Allocated Transactions'!$D:$D,$E1543,'Allocated Transactions'!$C:$C,$C1543,'Allocated Transactions'!$A:$A,"&gt;="&amp;$A1543,'Allocated Transactions'!$A:$A,"&lt;="&amp;EOMONTH($A1543,0))*0.99,100)</f>
        <v>0</v>
      </c>
      <c r="K1543" s="113" t="s">
        <v>637</v>
      </c>
    </row>
    <row r="1544" spans="1:11" ht="15" customHeight="1">
      <c r="A1544" s="112">
        <f t="shared" si="97"/>
        <v>45870</v>
      </c>
      <c r="B1544" s="113">
        <v>8</v>
      </c>
      <c r="C1544" s="18" t="str">
        <f t="shared" si="100"/>
        <v>2030</v>
      </c>
      <c r="D1544" s="113" t="str">
        <f>_xlfn.XLOOKUP($C1544,'Cost Centers'!$A$2:$A$11,'Cost Centers'!$B$2:$B$11,"")</f>
        <v>Sub-Saharan Africa</v>
      </c>
      <c r="E1544" s="113" t="s">
        <v>115</v>
      </c>
      <c r="F1544" s="113" t="str">
        <f>_xlfn.XLOOKUP(E1544,'Allocated Transactions'!D:D,'Allocated Transactions'!E:E,"")</f>
        <v>Professional Fees - Accounting/Audit</v>
      </c>
      <c r="G1544" s="113" t="s">
        <v>97</v>
      </c>
      <c r="H1544" s="113"/>
      <c r="I1544" s="113" t="str">
        <f>_xlfn.XLOOKUP($C1544,'Cost Centers'!$A$2:$A$11,'Cost Centers'!$C$2:$C$11,"")</f>
        <v>Programs</v>
      </c>
      <c r="J1544" s="23">
        <f>MROUND(SUMIFS('Allocated Transactions'!$J:$J,'Allocated Transactions'!$D:$D,$E1544,'Allocated Transactions'!$C:$C,$C1544,'Allocated Transactions'!$A:$A,"&gt;="&amp;$A1544,'Allocated Transactions'!$A:$A,"&lt;="&amp;EOMONTH($A1544,0))*0.99,100)</f>
        <v>0</v>
      </c>
      <c r="K1544" s="113" t="s">
        <v>637</v>
      </c>
    </row>
    <row r="1545" spans="1:11" ht="15" customHeight="1">
      <c r="A1545" s="112">
        <f t="shared" si="97"/>
        <v>45870</v>
      </c>
      <c r="B1545" s="113">
        <v>8</v>
      </c>
      <c r="C1545" s="18" t="str">
        <f t="shared" si="100"/>
        <v>2030</v>
      </c>
      <c r="D1545" s="113" t="str">
        <f>_xlfn.XLOOKUP($C1545,'Cost Centers'!$A$2:$A$11,'Cost Centers'!$B$2:$B$11,"")</f>
        <v>Sub-Saharan Africa</v>
      </c>
      <c r="E1545" s="113" t="s">
        <v>117</v>
      </c>
      <c r="F1545" s="113" t="str">
        <f>_xlfn.XLOOKUP(E1545,'Allocated Transactions'!D:D,'Allocated Transactions'!E:E,"")</f>
        <v>Insurance</v>
      </c>
      <c r="G1545" s="113" t="s">
        <v>97</v>
      </c>
      <c r="H1545" s="113"/>
      <c r="I1545" s="113" t="str">
        <f>_xlfn.XLOOKUP($C1545,'Cost Centers'!$A$2:$A$11,'Cost Centers'!$C$2:$C$11,"")</f>
        <v>Programs</v>
      </c>
      <c r="J1545" s="23">
        <f>MROUND(SUMIFS('Allocated Transactions'!$J:$J,'Allocated Transactions'!$D:$D,$E1545,'Allocated Transactions'!$C:$C,$C1545,'Allocated Transactions'!$A:$A,"&gt;="&amp;$A1545,'Allocated Transactions'!$A:$A,"&lt;="&amp;EOMONTH($A1545,0))*0.99,100)</f>
        <v>100</v>
      </c>
      <c r="K1545" s="113" t="s">
        <v>637</v>
      </c>
    </row>
    <row r="1546" spans="1:11" ht="15" customHeight="1">
      <c r="A1546" s="112">
        <f t="shared" si="97"/>
        <v>45870</v>
      </c>
      <c r="B1546" s="113">
        <v>8</v>
      </c>
      <c r="C1546" s="18" t="str">
        <f t="shared" si="100"/>
        <v>2030</v>
      </c>
      <c r="D1546" s="113" t="str">
        <f>_xlfn.XLOOKUP($C1546,'Cost Centers'!$A$2:$A$11,'Cost Centers'!$B$2:$B$11,"")</f>
        <v>Sub-Saharan Africa</v>
      </c>
      <c r="E1546" s="113" t="s">
        <v>119</v>
      </c>
      <c r="F1546" s="113" t="str">
        <f>_xlfn.XLOOKUP(E1546,'Allocated Transactions'!D:D,'Allocated Transactions'!E:E,"")</f>
        <v>Depreciation Expense</v>
      </c>
      <c r="G1546" s="113" t="s">
        <v>97</v>
      </c>
      <c r="H1546" s="113"/>
      <c r="I1546" s="113" t="str">
        <f>_xlfn.XLOOKUP($C1546,'Cost Centers'!$A$2:$A$11,'Cost Centers'!$C$2:$C$11,"")</f>
        <v>Programs</v>
      </c>
      <c r="J1546" s="23">
        <f>MROUND(SUMIFS('Allocated Transactions'!$J:$J,'Allocated Transactions'!$D:$D,$E1546,'Allocated Transactions'!$C:$C,$C1546,'Allocated Transactions'!$A:$A,"&gt;="&amp;$A1546,'Allocated Transactions'!$A:$A,"&lt;="&amp;EOMONTH($A1546,0))*0.99,100)</f>
        <v>0</v>
      </c>
      <c r="K1546" s="113" t="s">
        <v>637</v>
      </c>
    </row>
    <row r="1547" spans="1:11" ht="15" customHeight="1">
      <c r="A1547" s="112">
        <f t="shared" si="97"/>
        <v>45870</v>
      </c>
      <c r="B1547" s="113">
        <v>8</v>
      </c>
      <c r="C1547" s="18" t="str">
        <f t="shared" si="100"/>
        <v>2030</v>
      </c>
      <c r="D1547" s="113" t="str">
        <f>_xlfn.XLOOKUP($C1547,'Cost Centers'!$A$2:$A$11,'Cost Centers'!$B$2:$B$11,"")</f>
        <v>Sub-Saharan Africa</v>
      </c>
      <c r="E1547" s="113" t="s">
        <v>121</v>
      </c>
      <c r="F1547" s="113" t="str">
        <f>_xlfn.XLOOKUP(E1547,'Allocated Transactions'!D:D,'Allocated Transactions'!E:E,"")</f>
        <v>Bank Fees</v>
      </c>
      <c r="G1547" s="113" t="s">
        <v>97</v>
      </c>
      <c r="H1547" s="113"/>
      <c r="I1547" s="113" t="str">
        <f>_xlfn.XLOOKUP($C1547,'Cost Centers'!$A$2:$A$11,'Cost Centers'!$C$2:$C$11,"")</f>
        <v>Programs</v>
      </c>
      <c r="J1547" s="23">
        <f>MROUND(SUMIFS('Allocated Transactions'!$J:$J,'Allocated Transactions'!$D:$D,$E1547,'Allocated Transactions'!$C:$C,$C1547,'Allocated Transactions'!$A:$A,"&gt;="&amp;$A1547,'Allocated Transactions'!$A:$A,"&lt;="&amp;EOMONTH($A1547,0))*0.99,100)</f>
        <v>0</v>
      </c>
      <c r="K1547" s="113" t="s">
        <v>637</v>
      </c>
    </row>
    <row r="1548" spans="1:11" ht="15" customHeight="1">
      <c r="A1548" s="112">
        <f t="shared" si="97"/>
        <v>45870</v>
      </c>
      <c r="B1548" s="113">
        <v>8</v>
      </c>
      <c r="C1548" s="18" t="str">
        <f t="shared" si="100"/>
        <v>2030</v>
      </c>
      <c r="D1548" s="113" t="str">
        <f>_xlfn.XLOOKUP($C1548,'Cost Centers'!$A$2:$A$11,'Cost Centers'!$B$2:$B$11,"")</f>
        <v>Sub-Saharan Africa</v>
      </c>
      <c r="E1548" s="113" t="s">
        <v>123</v>
      </c>
      <c r="F1548" s="113" t="str">
        <f>_xlfn.XLOOKUP(E1548,'Allocated Transactions'!D:D,'Allocated Transactions'!E:E,"")</f>
        <v>Interest Expense</v>
      </c>
      <c r="G1548" s="113" t="s">
        <v>97</v>
      </c>
      <c r="H1548" s="113"/>
      <c r="I1548" s="113" t="str">
        <f>_xlfn.XLOOKUP($C1548,'Cost Centers'!$A$2:$A$11,'Cost Centers'!$C$2:$C$11,"")</f>
        <v>Programs</v>
      </c>
      <c r="J1548" s="23">
        <f>MROUND(SUMIFS('Allocated Transactions'!$J:$J,'Allocated Transactions'!$D:$D,$E1548,'Allocated Transactions'!$C:$C,$C1548,'Allocated Transactions'!$A:$A,"&gt;="&amp;$A1548,'Allocated Transactions'!$A:$A,"&lt;="&amp;EOMONTH($A1548,0))*0.99,100)</f>
        <v>0</v>
      </c>
      <c r="K1548" s="113" t="s">
        <v>637</v>
      </c>
    </row>
    <row r="1549" spans="1:11" ht="15" customHeight="1">
      <c r="A1549" s="112">
        <f t="shared" si="97"/>
        <v>45870</v>
      </c>
      <c r="B1549" s="113">
        <v>8</v>
      </c>
      <c r="C1549" s="18" t="str">
        <f t="shared" si="100"/>
        <v>2030</v>
      </c>
      <c r="D1549" s="113" t="str">
        <f>_xlfn.XLOOKUP($C1549,'Cost Centers'!$A$2:$A$11,'Cost Centers'!$B$2:$B$11,"")</f>
        <v>Sub-Saharan Africa</v>
      </c>
      <c r="E1549" s="113" t="s">
        <v>125</v>
      </c>
      <c r="F1549" s="113" t="str">
        <f>_xlfn.XLOOKUP(E1549,'Allocated Transactions'!D:D,'Allocated Transactions'!E:E,"")</f>
        <v>Miscellaneous Expense</v>
      </c>
      <c r="G1549" s="113" t="s">
        <v>97</v>
      </c>
      <c r="H1549" s="113"/>
      <c r="I1549" s="113" t="str">
        <f>_xlfn.XLOOKUP($C1549,'Cost Centers'!$A$2:$A$11,'Cost Centers'!$C$2:$C$11,"")</f>
        <v>Programs</v>
      </c>
      <c r="J1549" s="23">
        <f>MROUND(SUMIFS('Allocated Transactions'!$J:$J,'Allocated Transactions'!$D:$D,$E1549,'Allocated Transactions'!$C:$C,$C1549,'Allocated Transactions'!$A:$A,"&gt;="&amp;$A1549,'Allocated Transactions'!$A:$A,"&lt;="&amp;EOMONTH($A1549,0))*0.99,100)</f>
        <v>0</v>
      </c>
      <c r="K1549" s="113" t="s">
        <v>637</v>
      </c>
    </row>
    <row r="1550" spans="1:11" ht="15" customHeight="1">
      <c r="A1550" s="112">
        <f t="shared" si="97"/>
        <v>45901</v>
      </c>
      <c r="B1550" s="113">
        <v>8</v>
      </c>
      <c r="C1550" s="18" t="s">
        <v>16</v>
      </c>
      <c r="D1550" s="113" t="str">
        <f>_xlfn.XLOOKUP($C1550,'Cost Centers'!$A$2:$A$11,'Cost Centers'!$B$2:$B$11,"")</f>
        <v>Sub-Saharan Africa</v>
      </c>
      <c r="E1550" s="113" t="s">
        <v>28</v>
      </c>
      <c r="F1550" s="113" t="str">
        <f>_xlfn.XLOOKUP(E1550,'Allocated Transactions'!D:D,'Allocated Transactions'!E:E,"")</f>
        <v>Salaries and Wages</v>
      </c>
      <c r="G1550" s="113" t="s">
        <v>97</v>
      </c>
      <c r="H1550" s="113"/>
      <c r="I1550" s="113" t="str">
        <f>_xlfn.XLOOKUP($C1550,'Cost Centers'!$A$2:$A$11,'Cost Centers'!$C$2:$C$11,"")</f>
        <v>Programs</v>
      </c>
      <c r="J1550" s="23">
        <f>MROUND(SUMIFS('Allocated Transactions'!$J:$J,'Allocated Transactions'!$D:$D,$E1550,'Allocated Transactions'!$C:$C,$C1550,'Allocated Transactions'!$A:$A,"&gt;="&amp;$A1550,'Allocated Transactions'!$A:$A,"&lt;="&amp;EOMONTH($A1550,0))*0.99,100)</f>
        <v>15200</v>
      </c>
      <c r="K1550" s="113" t="s">
        <v>637</v>
      </c>
    </row>
    <row r="1551" spans="1:11" ht="15" customHeight="1">
      <c r="A1551" s="112">
        <f t="shared" si="97"/>
        <v>45901</v>
      </c>
      <c r="B1551" s="113">
        <v>8</v>
      </c>
      <c r="C1551" s="18" t="str">
        <f t="shared" ref="C1551:C1567" si="101">C1550</f>
        <v>2030</v>
      </c>
      <c r="D1551" s="113" t="str">
        <f>_xlfn.XLOOKUP($C1551,'Cost Centers'!$A$2:$A$11,'Cost Centers'!$B$2:$B$11,"")</f>
        <v>Sub-Saharan Africa</v>
      </c>
      <c r="E1551" s="113" t="s">
        <v>29</v>
      </c>
      <c r="F1551" s="113" t="str">
        <f>_xlfn.XLOOKUP(E1551,'Allocated Transactions'!D:D,'Allocated Transactions'!E:E,"")</f>
        <v>Payroll Taxes</v>
      </c>
      <c r="G1551" s="113" t="s">
        <v>97</v>
      </c>
      <c r="H1551" s="113"/>
      <c r="I1551" s="113" t="str">
        <f>_xlfn.XLOOKUP($C1551,'Cost Centers'!$A$2:$A$11,'Cost Centers'!$C$2:$C$11,"")</f>
        <v>Programs</v>
      </c>
      <c r="J1551" s="23">
        <f>MROUND(SUMIFS('Allocated Transactions'!$J:$J,'Allocated Transactions'!$D:$D,$E1551,'Allocated Transactions'!$C:$C,$C1551,'Allocated Transactions'!$A:$A,"&gt;="&amp;$A1551,'Allocated Transactions'!$A:$A,"&lt;="&amp;EOMONTH($A1551,0))*0.99,100)</f>
        <v>1200</v>
      </c>
      <c r="K1551" s="113" t="s">
        <v>637</v>
      </c>
    </row>
    <row r="1552" spans="1:11" ht="15" customHeight="1">
      <c r="A1552" s="112">
        <f t="shared" si="97"/>
        <v>45901</v>
      </c>
      <c r="B1552" s="113">
        <v>8</v>
      </c>
      <c r="C1552" s="18" t="str">
        <f t="shared" si="101"/>
        <v>2030</v>
      </c>
      <c r="D1552" s="113" t="str">
        <f>_xlfn.XLOOKUP($C1552,'Cost Centers'!$A$2:$A$11,'Cost Centers'!$B$2:$B$11,"")</f>
        <v>Sub-Saharan Africa</v>
      </c>
      <c r="E1552" s="113" t="s">
        <v>30</v>
      </c>
      <c r="F1552" s="113" t="str">
        <f>_xlfn.XLOOKUP(E1552,'Allocated Transactions'!D:D,'Allocated Transactions'!E:E,"")</f>
        <v>Employee Benefits</v>
      </c>
      <c r="G1552" s="113" t="s">
        <v>97</v>
      </c>
      <c r="H1552" s="113"/>
      <c r="I1552" s="113" t="str">
        <f>_xlfn.XLOOKUP($C1552,'Cost Centers'!$A$2:$A$11,'Cost Centers'!$C$2:$C$11,"")</f>
        <v>Programs</v>
      </c>
      <c r="J1552" s="23">
        <f>MROUND(SUMIFS('Allocated Transactions'!$J:$J,'Allocated Transactions'!$D:$D,$E1552,'Allocated Transactions'!$C:$C,$C1552,'Allocated Transactions'!$A:$A,"&gt;="&amp;$A1552,'Allocated Transactions'!$A:$A,"&lt;="&amp;EOMONTH($A1552,0))*0.99,100)</f>
        <v>5000</v>
      </c>
      <c r="K1552" s="113" t="s">
        <v>637</v>
      </c>
    </row>
    <row r="1553" spans="1:11" ht="15" customHeight="1">
      <c r="A1553" s="112">
        <f t="shared" si="97"/>
        <v>45901</v>
      </c>
      <c r="B1553" s="113">
        <v>8</v>
      </c>
      <c r="C1553" s="18" t="str">
        <f t="shared" si="101"/>
        <v>2030</v>
      </c>
      <c r="D1553" s="113" t="str">
        <f>_xlfn.XLOOKUP($C1553,'Cost Centers'!$A$2:$A$11,'Cost Centers'!$B$2:$B$11,"")</f>
        <v>Sub-Saharan Africa</v>
      </c>
      <c r="E1553" s="113" t="s">
        <v>31</v>
      </c>
      <c r="F1553" s="113" t="str">
        <f>_xlfn.XLOOKUP(E1553,'Allocated Transactions'!D:D,'Allocated Transactions'!E:E,"")</f>
        <v>Retirement Contributions</v>
      </c>
      <c r="G1553" s="113" t="s">
        <v>97</v>
      </c>
      <c r="H1553" s="113"/>
      <c r="I1553" s="113" t="str">
        <f>_xlfn.XLOOKUP($C1553,'Cost Centers'!$A$2:$A$11,'Cost Centers'!$C$2:$C$11,"")</f>
        <v>Programs</v>
      </c>
      <c r="J1553" s="23">
        <f>MROUND(SUMIFS('Allocated Transactions'!$J:$J,'Allocated Transactions'!$D:$D,$E1553,'Allocated Transactions'!$C:$C,$C1553,'Allocated Transactions'!$A:$A,"&gt;="&amp;$A1553,'Allocated Transactions'!$A:$A,"&lt;="&amp;EOMONTH($A1553,0))*0.99,100)</f>
        <v>500</v>
      </c>
      <c r="K1553" s="113" t="s">
        <v>637</v>
      </c>
    </row>
    <row r="1554" spans="1:11" ht="15" customHeight="1">
      <c r="A1554" s="112">
        <f t="shared" si="97"/>
        <v>45901</v>
      </c>
      <c r="B1554" s="113">
        <v>8</v>
      </c>
      <c r="C1554" s="18" t="str">
        <f t="shared" si="101"/>
        <v>2030</v>
      </c>
      <c r="D1554" s="113" t="str">
        <f>_xlfn.XLOOKUP($C1554,'Cost Centers'!$A$2:$A$11,'Cost Centers'!$B$2:$B$11,"")</f>
        <v>Sub-Saharan Africa</v>
      </c>
      <c r="E1554" s="113" t="s">
        <v>101</v>
      </c>
      <c r="F1554" s="113" t="str">
        <f>_xlfn.XLOOKUP(E1554,'Allocated Transactions'!D:D,'Allocated Transactions'!E:E,"")</f>
        <v>Contract Labor / Consultants</v>
      </c>
      <c r="G1554" s="113" t="s">
        <v>97</v>
      </c>
      <c r="H1554" s="113"/>
      <c r="I1554" s="113" t="str">
        <f>_xlfn.XLOOKUP($C1554,'Cost Centers'!$A$2:$A$11,'Cost Centers'!$C$2:$C$11,"")</f>
        <v>Programs</v>
      </c>
      <c r="J1554" s="23">
        <f>MROUND(SUMIFS('Allocated Transactions'!$J:$J,'Allocated Transactions'!$D:$D,$E1554,'Allocated Transactions'!$C:$C,$C1554,'Allocated Transactions'!$A:$A,"&gt;="&amp;$A1554,'Allocated Transactions'!$A:$A,"&lt;="&amp;EOMONTH($A1554,0))*0.99,100)</f>
        <v>0</v>
      </c>
      <c r="K1554" s="113" t="s">
        <v>637</v>
      </c>
    </row>
    <row r="1555" spans="1:11" ht="15" customHeight="1">
      <c r="A1555" s="112">
        <f t="shared" si="97"/>
        <v>45901</v>
      </c>
      <c r="B1555" s="113">
        <v>8</v>
      </c>
      <c r="C1555" s="18" t="str">
        <f t="shared" si="101"/>
        <v>2030</v>
      </c>
      <c r="D1555" s="113" t="str">
        <f>_xlfn.XLOOKUP($C1555,'Cost Centers'!$A$2:$A$11,'Cost Centers'!$B$2:$B$11,"")</f>
        <v>Sub-Saharan Africa</v>
      </c>
      <c r="E1555" s="113" t="s">
        <v>32</v>
      </c>
      <c r="F1555" s="113" t="str">
        <f>_xlfn.XLOOKUP(E1555,'Allocated Transactions'!D:D,'Allocated Transactions'!E:E,"")</f>
        <v>Rent</v>
      </c>
      <c r="G1555" s="113" t="s">
        <v>97</v>
      </c>
      <c r="H1555" s="113"/>
      <c r="I1555" s="113" t="str">
        <f>_xlfn.XLOOKUP($C1555,'Cost Centers'!$A$2:$A$11,'Cost Centers'!$C$2:$C$11,"")</f>
        <v>Programs</v>
      </c>
      <c r="J1555" s="23">
        <f>MROUND(SUMIFS('Allocated Transactions'!$J:$J,'Allocated Transactions'!$D:$D,$E1555,'Allocated Transactions'!$C:$C,$C1555,'Allocated Transactions'!$A:$A,"&gt;="&amp;$A1555,'Allocated Transactions'!$A:$A,"&lt;="&amp;EOMONTH($A1555,0))*0.99,100)</f>
        <v>1200</v>
      </c>
      <c r="K1555" s="113" t="s">
        <v>637</v>
      </c>
    </row>
    <row r="1556" spans="1:11" ht="15" customHeight="1">
      <c r="A1556" s="112">
        <f t="shared" si="97"/>
        <v>45901</v>
      </c>
      <c r="B1556" s="113">
        <v>8</v>
      </c>
      <c r="C1556" s="18" t="str">
        <f t="shared" si="101"/>
        <v>2030</v>
      </c>
      <c r="D1556" s="113" t="str">
        <f>_xlfn.XLOOKUP($C1556,'Cost Centers'!$A$2:$A$11,'Cost Centers'!$B$2:$B$11,"")</f>
        <v>Sub-Saharan Africa</v>
      </c>
      <c r="E1556" s="113" t="s">
        <v>33</v>
      </c>
      <c r="F1556" s="113" t="str">
        <f>_xlfn.XLOOKUP(E1556,'Allocated Transactions'!D:D,'Allocated Transactions'!E:E,"")</f>
        <v>Utilities</v>
      </c>
      <c r="G1556" s="113" t="s">
        <v>97</v>
      </c>
      <c r="H1556" s="113"/>
      <c r="I1556" s="113" t="str">
        <f>_xlfn.XLOOKUP($C1556,'Cost Centers'!$A$2:$A$11,'Cost Centers'!$C$2:$C$11,"")</f>
        <v>Programs</v>
      </c>
      <c r="J1556" s="23">
        <f>MROUND(SUMIFS('Allocated Transactions'!$J:$J,'Allocated Transactions'!$D:$D,$E1556,'Allocated Transactions'!$C:$C,$C1556,'Allocated Transactions'!$A:$A,"&gt;="&amp;$A1556,'Allocated Transactions'!$A:$A,"&lt;="&amp;EOMONTH($A1556,0))*0.99,100)</f>
        <v>100</v>
      </c>
      <c r="K1556" s="113" t="s">
        <v>637</v>
      </c>
    </row>
    <row r="1557" spans="1:11" ht="15" customHeight="1">
      <c r="A1557" s="112">
        <f t="shared" si="97"/>
        <v>45901</v>
      </c>
      <c r="B1557" s="113">
        <v>8</v>
      </c>
      <c r="C1557" s="18" t="str">
        <f t="shared" si="101"/>
        <v>2030</v>
      </c>
      <c r="D1557" s="113" t="str">
        <f>_xlfn.XLOOKUP($C1557,'Cost Centers'!$A$2:$A$11,'Cost Centers'!$B$2:$B$11,"")</f>
        <v>Sub-Saharan Africa</v>
      </c>
      <c r="E1557" s="113" t="s">
        <v>105</v>
      </c>
      <c r="F1557" s="113" t="str">
        <f>_xlfn.XLOOKUP(E1557,'Allocated Transactions'!D:D,'Allocated Transactions'!E:E,"")</f>
        <v>Office Supplies</v>
      </c>
      <c r="G1557" s="113" t="s">
        <v>97</v>
      </c>
      <c r="H1557" s="113"/>
      <c r="I1557" s="113" t="str">
        <f>_xlfn.XLOOKUP($C1557,'Cost Centers'!$A$2:$A$11,'Cost Centers'!$C$2:$C$11,"")</f>
        <v>Programs</v>
      </c>
      <c r="J1557" s="23">
        <f>MROUND(SUMIFS('Allocated Transactions'!$J:$J,'Allocated Transactions'!$D:$D,$E1557,'Allocated Transactions'!$C:$C,$C1557,'Allocated Transactions'!$A:$A,"&gt;="&amp;$A1557,'Allocated Transactions'!$A:$A,"&lt;="&amp;EOMONTH($A1557,0))*0.99,100)</f>
        <v>0</v>
      </c>
      <c r="K1557" s="113" t="s">
        <v>637</v>
      </c>
    </row>
    <row r="1558" spans="1:11" ht="15" customHeight="1">
      <c r="A1558" s="112">
        <f t="shared" si="97"/>
        <v>45901</v>
      </c>
      <c r="B1558" s="113">
        <v>8</v>
      </c>
      <c r="C1558" s="18" t="str">
        <f t="shared" si="101"/>
        <v>2030</v>
      </c>
      <c r="D1558" s="113" t="str">
        <f>_xlfn.XLOOKUP($C1558,'Cost Centers'!$A$2:$A$11,'Cost Centers'!$B$2:$B$11,"")</f>
        <v>Sub-Saharan Africa</v>
      </c>
      <c r="E1558" s="113" t="s">
        <v>107</v>
      </c>
      <c r="F1558" s="113" t="str">
        <f>_xlfn.XLOOKUP(E1558,'Allocated Transactions'!D:D,'Allocated Transactions'!E:E,"")</f>
        <v>Software and Subscriptions</v>
      </c>
      <c r="G1558" s="113" t="s">
        <v>97</v>
      </c>
      <c r="H1558" s="113"/>
      <c r="I1558" s="113" t="str">
        <f>_xlfn.XLOOKUP($C1558,'Cost Centers'!$A$2:$A$11,'Cost Centers'!$C$2:$C$11,"")</f>
        <v>Programs</v>
      </c>
      <c r="J1558" s="23">
        <f>MROUND(SUMIFS('Allocated Transactions'!$J:$J,'Allocated Transactions'!$D:$D,$E1558,'Allocated Transactions'!$C:$C,$C1558,'Allocated Transactions'!$A:$A,"&gt;="&amp;$A1558,'Allocated Transactions'!$A:$A,"&lt;="&amp;EOMONTH($A1558,0))*0.99,100)</f>
        <v>0</v>
      </c>
      <c r="K1558" s="113" t="s">
        <v>637</v>
      </c>
    </row>
    <row r="1559" spans="1:11" ht="15" customHeight="1">
      <c r="A1559" s="112">
        <f t="shared" si="97"/>
        <v>45901</v>
      </c>
      <c r="B1559" s="113">
        <v>8</v>
      </c>
      <c r="C1559" s="18" t="str">
        <f t="shared" si="101"/>
        <v>2030</v>
      </c>
      <c r="D1559" s="113" t="str">
        <f>_xlfn.XLOOKUP($C1559,'Cost Centers'!$A$2:$A$11,'Cost Centers'!$B$2:$B$11,"")</f>
        <v>Sub-Saharan Africa</v>
      </c>
      <c r="E1559" s="113" t="s">
        <v>109</v>
      </c>
      <c r="F1559" s="113" t="str">
        <f>_xlfn.XLOOKUP(E1559,'Allocated Transactions'!D:D,'Allocated Transactions'!E:E,"")</f>
        <v>Travel</v>
      </c>
      <c r="G1559" s="113" t="s">
        <v>97</v>
      </c>
      <c r="H1559" s="113"/>
      <c r="I1559" s="113" t="str">
        <f>_xlfn.XLOOKUP($C1559,'Cost Centers'!$A$2:$A$11,'Cost Centers'!$C$2:$C$11,"")</f>
        <v>Programs</v>
      </c>
      <c r="J1559" s="23">
        <f>MROUND(SUMIFS('Allocated Transactions'!$J:$J,'Allocated Transactions'!$D:$D,$E1559,'Allocated Transactions'!$C:$C,$C1559,'Allocated Transactions'!$A:$A,"&gt;="&amp;$A1559,'Allocated Transactions'!$A:$A,"&lt;="&amp;EOMONTH($A1559,0))*0.99,100)</f>
        <v>0</v>
      </c>
      <c r="K1559" s="113" t="s">
        <v>637</v>
      </c>
    </row>
    <row r="1560" spans="1:11" ht="15" customHeight="1">
      <c r="A1560" s="112">
        <f t="shared" si="97"/>
        <v>45901</v>
      </c>
      <c r="B1560" s="113">
        <v>8</v>
      </c>
      <c r="C1560" s="18" t="str">
        <f t="shared" si="101"/>
        <v>2030</v>
      </c>
      <c r="D1560" s="113" t="str">
        <f>_xlfn.XLOOKUP($C1560,'Cost Centers'!$A$2:$A$11,'Cost Centers'!$B$2:$B$11,"")</f>
        <v>Sub-Saharan Africa</v>
      </c>
      <c r="E1560" s="113" t="s">
        <v>111</v>
      </c>
      <c r="F1560" s="113" t="str">
        <f>_xlfn.XLOOKUP(E1560,'Allocated Transactions'!D:D,'Allocated Transactions'!E:E,"")</f>
        <v>Meals and Entertainment</v>
      </c>
      <c r="G1560" s="113" t="s">
        <v>97</v>
      </c>
      <c r="H1560" s="113"/>
      <c r="I1560" s="113" t="str">
        <f>_xlfn.XLOOKUP($C1560,'Cost Centers'!$A$2:$A$11,'Cost Centers'!$C$2:$C$11,"")</f>
        <v>Programs</v>
      </c>
      <c r="J1560" s="23">
        <f>MROUND(SUMIFS('Allocated Transactions'!$J:$J,'Allocated Transactions'!$D:$D,$E1560,'Allocated Transactions'!$C:$C,$C1560,'Allocated Transactions'!$A:$A,"&gt;="&amp;$A1560,'Allocated Transactions'!$A:$A,"&lt;="&amp;EOMONTH($A1560,0))*0.99,100)</f>
        <v>0</v>
      </c>
      <c r="K1560" s="113" t="s">
        <v>637</v>
      </c>
    </row>
    <row r="1561" spans="1:11" ht="15" customHeight="1">
      <c r="A1561" s="112">
        <f t="shared" ref="A1561:A1624" si="102">IF(C1561&lt;&gt;C1560,DATE(2025,7,1),IF(E1561="5000",EOMONTH(A1560,0)+1,A1560))</f>
        <v>45901</v>
      </c>
      <c r="B1561" s="113">
        <v>8</v>
      </c>
      <c r="C1561" s="18" t="str">
        <f t="shared" si="101"/>
        <v>2030</v>
      </c>
      <c r="D1561" s="113" t="str">
        <f>_xlfn.XLOOKUP($C1561,'Cost Centers'!$A$2:$A$11,'Cost Centers'!$B$2:$B$11,"")</f>
        <v>Sub-Saharan Africa</v>
      </c>
      <c r="E1561" s="113" t="s">
        <v>113</v>
      </c>
      <c r="F1561" s="113" t="str">
        <f>_xlfn.XLOOKUP(E1561,'Allocated Transactions'!D:D,'Allocated Transactions'!E:E,"")</f>
        <v>Professional Fees - Legal</v>
      </c>
      <c r="G1561" s="113" t="s">
        <v>97</v>
      </c>
      <c r="H1561" s="113"/>
      <c r="I1561" s="113" t="str">
        <f>_xlfn.XLOOKUP($C1561,'Cost Centers'!$A$2:$A$11,'Cost Centers'!$C$2:$C$11,"")</f>
        <v>Programs</v>
      </c>
      <c r="J1561" s="23">
        <f>MROUND(SUMIFS('Allocated Transactions'!$J:$J,'Allocated Transactions'!$D:$D,$E1561,'Allocated Transactions'!$C:$C,$C1561,'Allocated Transactions'!$A:$A,"&gt;="&amp;$A1561,'Allocated Transactions'!$A:$A,"&lt;="&amp;EOMONTH($A1561,0))*0.99,100)</f>
        <v>0</v>
      </c>
      <c r="K1561" s="113" t="s">
        <v>637</v>
      </c>
    </row>
    <row r="1562" spans="1:11" ht="15" customHeight="1">
      <c r="A1562" s="112">
        <f t="shared" si="102"/>
        <v>45901</v>
      </c>
      <c r="B1562" s="113">
        <v>8</v>
      </c>
      <c r="C1562" s="18" t="str">
        <f t="shared" si="101"/>
        <v>2030</v>
      </c>
      <c r="D1562" s="113" t="str">
        <f>_xlfn.XLOOKUP($C1562,'Cost Centers'!$A$2:$A$11,'Cost Centers'!$B$2:$B$11,"")</f>
        <v>Sub-Saharan Africa</v>
      </c>
      <c r="E1562" s="113" t="s">
        <v>115</v>
      </c>
      <c r="F1562" s="113" t="str">
        <f>_xlfn.XLOOKUP(E1562,'Allocated Transactions'!D:D,'Allocated Transactions'!E:E,"")</f>
        <v>Professional Fees - Accounting/Audit</v>
      </c>
      <c r="G1562" s="113" t="s">
        <v>97</v>
      </c>
      <c r="H1562" s="113"/>
      <c r="I1562" s="113" t="str">
        <f>_xlfn.XLOOKUP($C1562,'Cost Centers'!$A$2:$A$11,'Cost Centers'!$C$2:$C$11,"")</f>
        <v>Programs</v>
      </c>
      <c r="J1562" s="23">
        <f>MROUND(SUMIFS('Allocated Transactions'!$J:$J,'Allocated Transactions'!$D:$D,$E1562,'Allocated Transactions'!$C:$C,$C1562,'Allocated Transactions'!$A:$A,"&gt;="&amp;$A1562,'Allocated Transactions'!$A:$A,"&lt;="&amp;EOMONTH($A1562,0))*0.99,100)</f>
        <v>0</v>
      </c>
      <c r="K1562" s="113" t="s">
        <v>637</v>
      </c>
    </row>
    <row r="1563" spans="1:11" ht="15" customHeight="1">
      <c r="A1563" s="112">
        <f t="shared" si="102"/>
        <v>45901</v>
      </c>
      <c r="B1563" s="113">
        <v>8</v>
      </c>
      <c r="C1563" s="18" t="str">
        <f t="shared" si="101"/>
        <v>2030</v>
      </c>
      <c r="D1563" s="113" t="str">
        <f>_xlfn.XLOOKUP($C1563,'Cost Centers'!$A$2:$A$11,'Cost Centers'!$B$2:$B$11,"")</f>
        <v>Sub-Saharan Africa</v>
      </c>
      <c r="E1563" s="113" t="s">
        <v>117</v>
      </c>
      <c r="F1563" s="113" t="str">
        <f>_xlfn.XLOOKUP(E1563,'Allocated Transactions'!D:D,'Allocated Transactions'!E:E,"")</f>
        <v>Insurance</v>
      </c>
      <c r="G1563" s="113" t="s">
        <v>97</v>
      </c>
      <c r="H1563" s="113"/>
      <c r="I1563" s="113" t="str">
        <f>_xlfn.XLOOKUP($C1563,'Cost Centers'!$A$2:$A$11,'Cost Centers'!$C$2:$C$11,"")</f>
        <v>Programs</v>
      </c>
      <c r="J1563" s="23">
        <f>MROUND(SUMIFS('Allocated Transactions'!$J:$J,'Allocated Transactions'!$D:$D,$E1563,'Allocated Transactions'!$C:$C,$C1563,'Allocated Transactions'!$A:$A,"&gt;="&amp;$A1563,'Allocated Transactions'!$A:$A,"&lt;="&amp;EOMONTH($A1563,0))*0.99,100)</f>
        <v>100</v>
      </c>
      <c r="K1563" s="113" t="s">
        <v>637</v>
      </c>
    </row>
    <row r="1564" spans="1:11" ht="15" customHeight="1">
      <c r="A1564" s="112">
        <f t="shared" si="102"/>
        <v>45901</v>
      </c>
      <c r="B1564" s="113">
        <v>8</v>
      </c>
      <c r="C1564" s="18" t="str">
        <f t="shared" si="101"/>
        <v>2030</v>
      </c>
      <c r="D1564" s="113" t="str">
        <f>_xlfn.XLOOKUP($C1564,'Cost Centers'!$A$2:$A$11,'Cost Centers'!$B$2:$B$11,"")</f>
        <v>Sub-Saharan Africa</v>
      </c>
      <c r="E1564" s="113" t="s">
        <v>119</v>
      </c>
      <c r="F1564" s="113" t="str">
        <f>_xlfn.XLOOKUP(E1564,'Allocated Transactions'!D:D,'Allocated Transactions'!E:E,"")</f>
        <v>Depreciation Expense</v>
      </c>
      <c r="G1564" s="113" t="s">
        <v>97</v>
      </c>
      <c r="H1564" s="113"/>
      <c r="I1564" s="113" t="str">
        <f>_xlfn.XLOOKUP($C1564,'Cost Centers'!$A$2:$A$11,'Cost Centers'!$C$2:$C$11,"")</f>
        <v>Programs</v>
      </c>
      <c r="J1564" s="23">
        <f>MROUND(SUMIFS('Allocated Transactions'!$J:$J,'Allocated Transactions'!$D:$D,$E1564,'Allocated Transactions'!$C:$C,$C1564,'Allocated Transactions'!$A:$A,"&gt;="&amp;$A1564,'Allocated Transactions'!$A:$A,"&lt;="&amp;EOMONTH($A1564,0))*0.99,100)</f>
        <v>0</v>
      </c>
      <c r="K1564" s="113" t="s">
        <v>637</v>
      </c>
    </row>
    <row r="1565" spans="1:11" ht="15" customHeight="1">
      <c r="A1565" s="112">
        <f t="shared" si="102"/>
        <v>45901</v>
      </c>
      <c r="B1565" s="113">
        <v>8</v>
      </c>
      <c r="C1565" s="18" t="str">
        <f t="shared" si="101"/>
        <v>2030</v>
      </c>
      <c r="D1565" s="113" t="str">
        <f>_xlfn.XLOOKUP($C1565,'Cost Centers'!$A$2:$A$11,'Cost Centers'!$B$2:$B$11,"")</f>
        <v>Sub-Saharan Africa</v>
      </c>
      <c r="E1565" s="113" t="s">
        <v>121</v>
      </c>
      <c r="F1565" s="113" t="str">
        <f>_xlfn.XLOOKUP(E1565,'Allocated Transactions'!D:D,'Allocated Transactions'!E:E,"")</f>
        <v>Bank Fees</v>
      </c>
      <c r="G1565" s="113" t="s">
        <v>97</v>
      </c>
      <c r="H1565" s="113"/>
      <c r="I1565" s="113" t="str">
        <f>_xlfn.XLOOKUP($C1565,'Cost Centers'!$A$2:$A$11,'Cost Centers'!$C$2:$C$11,"")</f>
        <v>Programs</v>
      </c>
      <c r="J1565" s="23">
        <f>MROUND(SUMIFS('Allocated Transactions'!$J:$J,'Allocated Transactions'!$D:$D,$E1565,'Allocated Transactions'!$C:$C,$C1565,'Allocated Transactions'!$A:$A,"&gt;="&amp;$A1565,'Allocated Transactions'!$A:$A,"&lt;="&amp;EOMONTH($A1565,0))*0.99,100)</f>
        <v>0</v>
      </c>
      <c r="K1565" s="113" t="s">
        <v>637</v>
      </c>
    </row>
    <row r="1566" spans="1:11" ht="15" customHeight="1">
      <c r="A1566" s="112">
        <f t="shared" si="102"/>
        <v>45901</v>
      </c>
      <c r="B1566" s="113">
        <v>8</v>
      </c>
      <c r="C1566" s="18" t="str">
        <f t="shared" si="101"/>
        <v>2030</v>
      </c>
      <c r="D1566" s="113" t="str">
        <f>_xlfn.XLOOKUP($C1566,'Cost Centers'!$A$2:$A$11,'Cost Centers'!$B$2:$B$11,"")</f>
        <v>Sub-Saharan Africa</v>
      </c>
      <c r="E1566" s="113" t="s">
        <v>123</v>
      </c>
      <c r="F1566" s="113" t="str">
        <f>_xlfn.XLOOKUP(E1566,'Allocated Transactions'!D:D,'Allocated Transactions'!E:E,"")</f>
        <v>Interest Expense</v>
      </c>
      <c r="G1566" s="113" t="s">
        <v>97</v>
      </c>
      <c r="H1566" s="113"/>
      <c r="I1566" s="113" t="str">
        <f>_xlfn.XLOOKUP($C1566,'Cost Centers'!$A$2:$A$11,'Cost Centers'!$C$2:$C$11,"")</f>
        <v>Programs</v>
      </c>
      <c r="J1566" s="23">
        <f>MROUND(SUMIFS('Allocated Transactions'!$J:$J,'Allocated Transactions'!$D:$D,$E1566,'Allocated Transactions'!$C:$C,$C1566,'Allocated Transactions'!$A:$A,"&gt;="&amp;$A1566,'Allocated Transactions'!$A:$A,"&lt;="&amp;EOMONTH($A1566,0))*0.99,100)</f>
        <v>0</v>
      </c>
      <c r="K1566" s="113" t="s">
        <v>637</v>
      </c>
    </row>
    <row r="1567" spans="1:11" ht="15" customHeight="1">
      <c r="A1567" s="112">
        <f t="shared" si="102"/>
        <v>45901</v>
      </c>
      <c r="B1567" s="113">
        <v>8</v>
      </c>
      <c r="C1567" s="18" t="str">
        <f t="shared" si="101"/>
        <v>2030</v>
      </c>
      <c r="D1567" s="113" t="str">
        <f>_xlfn.XLOOKUP($C1567,'Cost Centers'!$A$2:$A$11,'Cost Centers'!$B$2:$B$11,"")</f>
        <v>Sub-Saharan Africa</v>
      </c>
      <c r="E1567" s="113" t="s">
        <v>125</v>
      </c>
      <c r="F1567" s="113" t="str">
        <f>_xlfn.XLOOKUP(E1567,'Allocated Transactions'!D:D,'Allocated Transactions'!E:E,"")</f>
        <v>Miscellaneous Expense</v>
      </c>
      <c r="G1567" s="113" t="s">
        <v>97</v>
      </c>
      <c r="H1567" s="113"/>
      <c r="I1567" s="113" t="str">
        <f>_xlfn.XLOOKUP($C1567,'Cost Centers'!$A$2:$A$11,'Cost Centers'!$C$2:$C$11,"")</f>
        <v>Programs</v>
      </c>
      <c r="J1567" s="23">
        <f>MROUND(SUMIFS('Allocated Transactions'!$J:$J,'Allocated Transactions'!$D:$D,$E1567,'Allocated Transactions'!$C:$C,$C1567,'Allocated Transactions'!$A:$A,"&gt;="&amp;$A1567,'Allocated Transactions'!$A:$A,"&lt;="&amp;EOMONTH($A1567,0))*0.99,100)</f>
        <v>0</v>
      </c>
      <c r="K1567" s="113" t="s">
        <v>637</v>
      </c>
    </row>
    <row r="1568" spans="1:11" ht="15" customHeight="1">
      <c r="A1568" s="112">
        <f t="shared" si="102"/>
        <v>45931</v>
      </c>
      <c r="B1568" s="113">
        <v>8</v>
      </c>
      <c r="C1568" s="18" t="s">
        <v>16</v>
      </c>
      <c r="D1568" s="113" t="str">
        <f>_xlfn.XLOOKUP($C1568,'Cost Centers'!$A$2:$A$11,'Cost Centers'!$B$2:$B$11,"")</f>
        <v>Sub-Saharan Africa</v>
      </c>
      <c r="E1568" s="113" t="s">
        <v>28</v>
      </c>
      <c r="F1568" s="113" t="str">
        <f>_xlfn.XLOOKUP(E1568,'Allocated Transactions'!D:D,'Allocated Transactions'!E:E,"")</f>
        <v>Salaries and Wages</v>
      </c>
      <c r="G1568" s="113" t="s">
        <v>97</v>
      </c>
      <c r="H1568" s="113"/>
      <c r="I1568" s="113" t="str">
        <f>_xlfn.XLOOKUP($C1568,'Cost Centers'!$A$2:$A$11,'Cost Centers'!$C$2:$C$11,"")</f>
        <v>Programs</v>
      </c>
      <c r="J1568" s="23">
        <f>MROUND(SUMIFS('Allocated Transactions'!$J:$J,'Allocated Transactions'!$D:$D,$E1568,'Allocated Transactions'!$C:$C,$C1568,'Allocated Transactions'!$A:$A,"&gt;="&amp;$A1568,'Allocated Transactions'!$A:$A,"&lt;="&amp;EOMONTH($A1568,0))*0.99,100)</f>
        <v>15300</v>
      </c>
      <c r="K1568" s="113" t="s">
        <v>637</v>
      </c>
    </row>
    <row r="1569" spans="1:11" ht="15" customHeight="1">
      <c r="A1569" s="112">
        <f t="shared" si="102"/>
        <v>45931</v>
      </c>
      <c r="B1569" s="113">
        <v>8</v>
      </c>
      <c r="C1569" s="18" t="str">
        <f t="shared" ref="C1569:C1585" si="103">C1568</f>
        <v>2030</v>
      </c>
      <c r="D1569" s="113" t="str">
        <f>_xlfn.XLOOKUP($C1569,'Cost Centers'!$A$2:$A$11,'Cost Centers'!$B$2:$B$11,"")</f>
        <v>Sub-Saharan Africa</v>
      </c>
      <c r="E1569" s="113" t="s">
        <v>29</v>
      </c>
      <c r="F1569" s="113" t="str">
        <f>_xlfn.XLOOKUP(E1569,'Allocated Transactions'!D:D,'Allocated Transactions'!E:E,"")</f>
        <v>Payroll Taxes</v>
      </c>
      <c r="G1569" s="113" t="s">
        <v>97</v>
      </c>
      <c r="H1569" s="113"/>
      <c r="I1569" s="113" t="str">
        <f>_xlfn.XLOOKUP($C1569,'Cost Centers'!$A$2:$A$11,'Cost Centers'!$C$2:$C$11,"")</f>
        <v>Programs</v>
      </c>
      <c r="J1569" s="23">
        <f>MROUND(SUMIFS('Allocated Transactions'!$J:$J,'Allocated Transactions'!$D:$D,$E1569,'Allocated Transactions'!$C:$C,$C1569,'Allocated Transactions'!$A:$A,"&gt;="&amp;$A1569,'Allocated Transactions'!$A:$A,"&lt;="&amp;EOMONTH($A1569,0))*0.99,100)</f>
        <v>1200</v>
      </c>
      <c r="K1569" s="113" t="s">
        <v>637</v>
      </c>
    </row>
    <row r="1570" spans="1:11" ht="15" customHeight="1">
      <c r="A1570" s="112">
        <f t="shared" si="102"/>
        <v>45931</v>
      </c>
      <c r="B1570" s="113">
        <v>8</v>
      </c>
      <c r="C1570" s="18" t="str">
        <f t="shared" si="103"/>
        <v>2030</v>
      </c>
      <c r="D1570" s="113" t="str">
        <f>_xlfn.XLOOKUP($C1570,'Cost Centers'!$A$2:$A$11,'Cost Centers'!$B$2:$B$11,"")</f>
        <v>Sub-Saharan Africa</v>
      </c>
      <c r="E1570" s="113" t="s">
        <v>30</v>
      </c>
      <c r="F1570" s="113" t="str">
        <f>_xlfn.XLOOKUP(E1570,'Allocated Transactions'!D:D,'Allocated Transactions'!E:E,"")</f>
        <v>Employee Benefits</v>
      </c>
      <c r="G1570" s="113" t="s">
        <v>97</v>
      </c>
      <c r="H1570" s="113"/>
      <c r="I1570" s="113" t="str">
        <f>_xlfn.XLOOKUP($C1570,'Cost Centers'!$A$2:$A$11,'Cost Centers'!$C$2:$C$11,"")</f>
        <v>Programs</v>
      </c>
      <c r="J1570" s="23">
        <f>MROUND(SUMIFS('Allocated Transactions'!$J:$J,'Allocated Transactions'!$D:$D,$E1570,'Allocated Transactions'!$C:$C,$C1570,'Allocated Transactions'!$A:$A,"&gt;="&amp;$A1570,'Allocated Transactions'!$A:$A,"&lt;="&amp;EOMONTH($A1570,0))*0.99,100)</f>
        <v>4000</v>
      </c>
      <c r="K1570" s="113" t="s">
        <v>637</v>
      </c>
    </row>
    <row r="1571" spans="1:11" ht="15" customHeight="1">
      <c r="A1571" s="112">
        <f t="shared" si="102"/>
        <v>45931</v>
      </c>
      <c r="B1571" s="113">
        <v>8</v>
      </c>
      <c r="C1571" s="18" t="str">
        <f t="shared" si="103"/>
        <v>2030</v>
      </c>
      <c r="D1571" s="113" t="str">
        <f>_xlfn.XLOOKUP($C1571,'Cost Centers'!$A$2:$A$11,'Cost Centers'!$B$2:$B$11,"")</f>
        <v>Sub-Saharan Africa</v>
      </c>
      <c r="E1571" s="113" t="s">
        <v>31</v>
      </c>
      <c r="F1571" s="113" t="str">
        <f>_xlfn.XLOOKUP(E1571,'Allocated Transactions'!D:D,'Allocated Transactions'!E:E,"")</f>
        <v>Retirement Contributions</v>
      </c>
      <c r="G1571" s="113" t="s">
        <v>97</v>
      </c>
      <c r="H1571" s="113"/>
      <c r="I1571" s="113" t="str">
        <f>_xlfn.XLOOKUP($C1571,'Cost Centers'!$A$2:$A$11,'Cost Centers'!$C$2:$C$11,"")</f>
        <v>Programs</v>
      </c>
      <c r="J1571" s="23">
        <f>MROUND(SUMIFS('Allocated Transactions'!$J:$J,'Allocated Transactions'!$D:$D,$E1571,'Allocated Transactions'!$C:$C,$C1571,'Allocated Transactions'!$A:$A,"&gt;="&amp;$A1571,'Allocated Transactions'!$A:$A,"&lt;="&amp;EOMONTH($A1571,0))*0.99,100)</f>
        <v>500</v>
      </c>
      <c r="K1571" s="113" t="s">
        <v>637</v>
      </c>
    </row>
    <row r="1572" spans="1:11" ht="15" customHeight="1">
      <c r="A1572" s="112">
        <f t="shared" si="102"/>
        <v>45931</v>
      </c>
      <c r="B1572" s="113">
        <v>8</v>
      </c>
      <c r="C1572" s="18" t="str">
        <f t="shared" si="103"/>
        <v>2030</v>
      </c>
      <c r="D1572" s="113" t="str">
        <f>_xlfn.XLOOKUP($C1572,'Cost Centers'!$A$2:$A$11,'Cost Centers'!$B$2:$B$11,"")</f>
        <v>Sub-Saharan Africa</v>
      </c>
      <c r="E1572" s="113" t="s">
        <v>101</v>
      </c>
      <c r="F1572" s="113" t="str">
        <f>_xlfn.XLOOKUP(E1572,'Allocated Transactions'!D:D,'Allocated Transactions'!E:E,"")</f>
        <v>Contract Labor / Consultants</v>
      </c>
      <c r="G1572" s="113" t="s">
        <v>97</v>
      </c>
      <c r="H1572" s="113"/>
      <c r="I1572" s="113" t="str">
        <f>_xlfn.XLOOKUP($C1572,'Cost Centers'!$A$2:$A$11,'Cost Centers'!$C$2:$C$11,"")</f>
        <v>Programs</v>
      </c>
      <c r="J1572" s="23">
        <f>MROUND(SUMIFS('Allocated Transactions'!$J:$J,'Allocated Transactions'!$D:$D,$E1572,'Allocated Transactions'!$C:$C,$C1572,'Allocated Transactions'!$A:$A,"&gt;="&amp;$A1572,'Allocated Transactions'!$A:$A,"&lt;="&amp;EOMONTH($A1572,0))*0.99,100)</f>
        <v>0</v>
      </c>
      <c r="K1572" s="113" t="s">
        <v>637</v>
      </c>
    </row>
    <row r="1573" spans="1:11" ht="15" customHeight="1">
      <c r="A1573" s="112">
        <f t="shared" si="102"/>
        <v>45931</v>
      </c>
      <c r="B1573" s="113">
        <v>8</v>
      </c>
      <c r="C1573" s="18" t="str">
        <f t="shared" si="103"/>
        <v>2030</v>
      </c>
      <c r="D1573" s="113" t="str">
        <f>_xlfn.XLOOKUP($C1573,'Cost Centers'!$A$2:$A$11,'Cost Centers'!$B$2:$B$11,"")</f>
        <v>Sub-Saharan Africa</v>
      </c>
      <c r="E1573" s="113" t="s">
        <v>32</v>
      </c>
      <c r="F1573" s="113" t="str">
        <f>_xlfn.XLOOKUP(E1573,'Allocated Transactions'!D:D,'Allocated Transactions'!E:E,"")</f>
        <v>Rent</v>
      </c>
      <c r="G1573" s="113" t="s">
        <v>97</v>
      </c>
      <c r="H1573" s="113"/>
      <c r="I1573" s="113" t="str">
        <f>_xlfn.XLOOKUP($C1573,'Cost Centers'!$A$2:$A$11,'Cost Centers'!$C$2:$C$11,"")</f>
        <v>Programs</v>
      </c>
      <c r="J1573" s="23">
        <f>MROUND(SUMIFS('Allocated Transactions'!$J:$J,'Allocated Transactions'!$D:$D,$E1573,'Allocated Transactions'!$C:$C,$C1573,'Allocated Transactions'!$A:$A,"&gt;="&amp;$A1573,'Allocated Transactions'!$A:$A,"&lt;="&amp;EOMONTH($A1573,0))*0.99,100)</f>
        <v>1200</v>
      </c>
      <c r="K1573" s="113" t="s">
        <v>637</v>
      </c>
    </row>
    <row r="1574" spans="1:11" ht="15" customHeight="1">
      <c r="A1574" s="112">
        <f t="shared" si="102"/>
        <v>45931</v>
      </c>
      <c r="B1574" s="113">
        <v>8</v>
      </c>
      <c r="C1574" s="18" t="str">
        <f t="shared" si="103"/>
        <v>2030</v>
      </c>
      <c r="D1574" s="113" t="str">
        <f>_xlfn.XLOOKUP($C1574,'Cost Centers'!$A$2:$A$11,'Cost Centers'!$B$2:$B$11,"")</f>
        <v>Sub-Saharan Africa</v>
      </c>
      <c r="E1574" s="113" t="s">
        <v>33</v>
      </c>
      <c r="F1574" s="113" t="str">
        <f>_xlfn.XLOOKUP(E1574,'Allocated Transactions'!D:D,'Allocated Transactions'!E:E,"")</f>
        <v>Utilities</v>
      </c>
      <c r="G1574" s="113" t="s">
        <v>97</v>
      </c>
      <c r="H1574" s="113"/>
      <c r="I1574" s="113" t="str">
        <f>_xlfn.XLOOKUP($C1574,'Cost Centers'!$A$2:$A$11,'Cost Centers'!$C$2:$C$11,"")</f>
        <v>Programs</v>
      </c>
      <c r="J1574" s="23">
        <f>MROUND(SUMIFS('Allocated Transactions'!$J:$J,'Allocated Transactions'!$D:$D,$E1574,'Allocated Transactions'!$C:$C,$C1574,'Allocated Transactions'!$A:$A,"&gt;="&amp;$A1574,'Allocated Transactions'!$A:$A,"&lt;="&amp;EOMONTH($A1574,0))*0.99,100)</f>
        <v>100</v>
      </c>
      <c r="K1574" s="113" t="s">
        <v>637</v>
      </c>
    </row>
    <row r="1575" spans="1:11" ht="15" customHeight="1">
      <c r="A1575" s="112">
        <f t="shared" si="102"/>
        <v>45931</v>
      </c>
      <c r="B1575" s="113">
        <v>8</v>
      </c>
      <c r="C1575" s="18" t="str">
        <f t="shared" si="103"/>
        <v>2030</v>
      </c>
      <c r="D1575" s="113" t="str">
        <f>_xlfn.XLOOKUP($C1575,'Cost Centers'!$A$2:$A$11,'Cost Centers'!$B$2:$B$11,"")</f>
        <v>Sub-Saharan Africa</v>
      </c>
      <c r="E1575" s="113" t="s">
        <v>105</v>
      </c>
      <c r="F1575" s="113" t="str">
        <f>_xlfn.XLOOKUP(E1575,'Allocated Transactions'!D:D,'Allocated Transactions'!E:E,"")</f>
        <v>Office Supplies</v>
      </c>
      <c r="G1575" s="113" t="s">
        <v>97</v>
      </c>
      <c r="H1575" s="113"/>
      <c r="I1575" s="113" t="str">
        <f>_xlfn.XLOOKUP($C1575,'Cost Centers'!$A$2:$A$11,'Cost Centers'!$C$2:$C$11,"")</f>
        <v>Programs</v>
      </c>
      <c r="J1575" s="23">
        <f>MROUND(SUMIFS('Allocated Transactions'!$J:$J,'Allocated Transactions'!$D:$D,$E1575,'Allocated Transactions'!$C:$C,$C1575,'Allocated Transactions'!$A:$A,"&gt;="&amp;$A1575,'Allocated Transactions'!$A:$A,"&lt;="&amp;EOMONTH($A1575,0))*0.99,100)</f>
        <v>700</v>
      </c>
      <c r="K1575" s="113" t="s">
        <v>637</v>
      </c>
    </row>
    <row r="1576" spans="1:11" ht="15" customHeight="1">
      <c r="A1576" s="112">
        <f t="shared" si="102"/>
        <v>45931</v>
      </c>
      <c r="B1576" s="113">
        <v>8</v>
      </c>
      <c r="C1576" s="18" t="str">
        <f t="shared" si="103"/>
        <v>2030</v>
      </c>
      <c r="D1576" s="113" t="str">
        <f>_xlfn.XLOOKUP($C1576,'Cost Centers'!$A$2:$A$11,'Cost Centers'!$B$2:$B$11,"")</f>
        <v>Sub-Saharan Africa</v>
      </c>
      <c r="E1576" s="113" t="s">
        <v>107</v>
      </c>
      <c r="F1576" s="113" t="str">
        <f>_xlfn.XLOOKUP(E1576,'Allocated Transactions'!D:D,'Allocated Transactions'!E:E,"")</f>
        <v>Software and Subscriptions</v>
      </c>
      <c r="G1576" s="113" t="s">
        <v>97</v>
      </c>
      <c r="H1576" s="113"/>
      <c r="I1576" s="113" t="str">
        <f>_xlfn.XLOOKUP($C1576,'Cost Centers'!$A$2:$A$11,'Cost Centers'!$C$2:$C$11,"")</f>
        <v>Programs</v>
      </c>
      <c r="J1576" s="23">
        <f>MROUND(SUMIFS('Allocated Transactions'!$J:$J,'Allocated Transactions'!$D:$D,$E1576,'Allocated Transactions'!$C:$C,$C1576,'Allocated Transactions'!$A:$A,"&gt;="&amp;$A1576,'Allocated Transactions'!$A:$A,"&lt;="&amp;EOMONTH($A1576,0))*0.99,100)</f>
        <v>0</v>
      </c>
      <c r="K1576" s="113" t="s">
        <v>637</v>
      </c>
    </row>
    <row r="1577" spans="1:11" ht="15" customHeight="1">
      <c r="A1577" s="112">
        <f t="shared" si="102"/>
        <v>45931</v>
      </c>
      <c r="B1577" s="113">
        <v>8</v>
      </c>
      <c r="C1577" s="18" t="str">
        <f t="shared" si="103"/>
        <v>2030</v>
      </c>
      <c r="D1577" s="113" t="str">
        <f>_xlfn.XLOOKUP($C1577,'Cost Centers'!$A$2:$A$11,'Cost Centers'!$B$2:$B$11,"")</f>
        <v>Sub-Saharan Africa</v>
      </c>
      <c r="E1577" s="113" t="s">
        <v>109</v>
      </c>
      <c r="F1577" s="113" t="str">
        <f>_xlfn.XLOOKUP(E1577,'Allocated Transactions'!D:D,'Allocated Transactions'!E:E,"")</f>
        <v>Travel</v>
      </c>
      <c r="G1577" s="113" t="s">
        <v>97</v>
      </c>
      <c r="H1577" s="113"/>
      <c r="I1577" s="113" t="str">
        <f>_xlfn.XLOOKUP($C1577,'Cost Centers'!$A$2:$A$11,'Cost Centers'!$C$2:$C$11,"")</f>
        <v>Programs</v>
      </c>
      <c r="J1577" s="23">
        <f>MROUND(SUMIFS('Allocated Transactions'!$J:$J,'Allocated Transactions'!$D:$D,$E1577,'Allocated Transactions'!$C:$C,$C1577,'Allocated Transactions'!$A:$A,"&gt;="&amp;$A1577,'Allocated Transactions'!$A:$A,"&lt;="&amp;EOMONTH($A1577,0))*0.99,100)</f>
        <v>2700</v>
      </c>
      <c r="K1577" s="113" t="s">
        <v>637</v>
      </c>
    </row>
    <row r="1578" spans="1:11" ht="15" customHeight="1">
      <c r="A1578" s="112">
        <f t="shared" si="102"/>
        <v>45931</v>
      </c>
      <c r="B1578" s="113">
        <v>8</v>
      </c>
      <c r="C1578" s="18" t="str">
        <f t="shared" si="103"/>
        <v>2030</v>
      </c>
      <c r="D1578" s="113" t="str">
        <f>_xlfn.XLOOKUP($C1578,'Cost Centers'!$A$2:$A$11,'Cost Centers'!$B$2:$B$11,"")</f>
        <v>Sub-Saharan Africa</v>
      </c>
      <c r="E1578" s="113" t="s">
        <v>111</v>
      </c>
      <c r="F1578" s="113" t="str">
        <f>_xlfn.XLOOKUP(E1578,'Allocated Transactions'!D:D,'Allocated Transactions'!E:E,"")</f>
        <v>Meals and Entertainment</v>
      </c>
      <c r="G1578" s="113" t="s">
        <v>97</v>
      </c>
      <c r="H1578" s="113"/>
      <c r="I1578" s="113" t="str">
        <f>_xlfn.XLOOKUP($C1578,'Cost Centers'!$A$2:$A$11,'Cost Centers'!$C$2:$C$11,"")</f>
        <v>Programs</v>
      </c>
      <c r="J1578" s="23">
        <f>MROUND(SUMIFS('Allocated Transactions'!$J:$J,'Allocated Transactions'!$D:$D,$E1578,'Allocated Transactions'!$C:$C,$C1578,'Allocated Transactions'!$A:$A,"&gt;="&amp;$A1578,'Allocated Transactions'!$A:$A,"&lt;="&amp;EOMONTH($A1578,0))*0.99,100)</f>
        <v>0</v>
      </c>
      <c r="K1578" s="113" t="s">
        <v>637</v>
      </c>
    </row>
    <row r="1579" spans="1:11" ht="15" customHeight="1">
      <c r="A1579" s="112">
        <f t="shared" si="102"/>
        <v>45931</v>
      </c>
      <c r="B1579" s="113">
        <v>8</v>
      </c>
      <c r="C1579" s="18" t="str">
        <f t="shared" si="103"/>
        <v>2030</v>
      </c>
      <c r="D1579" s="113" t="str">
        <f>_xlfn.XLOOKUP($C1579,'Cost Centers'!$A$2:$A$11,'Cost Centers'!$B$2:$B$11,"")</f>
        <v>Sub-Saharan Africa</v>
      </c>
      <c r="E1579" s="113" t="s">
        <v>113</v>
      </c>
      <c r="F1579" s="113" t="str">
        <f>_xlfn.XLOOKUP(E1579,'Allocated Transactions'!D:D,'Allocated Transactions'!E:E,"")</f>
        <v>Professional Fees - Legal</v>
      </c>
      <c r="G1579" s="113" t="s">
        <v>97</v>
      </c>
      <c r="H1579" s="113"/>
      <c r="I1579" s="113" t="str">
        <f>_xlfn.XLOOKUP($C1579,'Cost Centers'!$A$2:$A$11,'Cost Centers'!$C$2:$C$11,"")</f>
        <v>Programs</v>
      </c>
      <c r="J1579" s="23">
        <f>MROUND(SUMIFS('Allocated Transactions'!$J:$J,'Allocated Transactions'!$D:$D,$E1579,'Allocated Transactions'!$C:$C,$C1579,'Allocated Transactions'!$A:$A,"&gt;="&amp;$A1579,'Allocated Transactions'!$A:$A,"&lt;="&amp;EOMONTH($A1579,0))*0.99,100)</f>
        <v>0</v>
      </c>
      <c r="K1579" s="113" t="s">
        <v>637</v>
      </c>
    </row>
    <row r="1580" spans="1:11" ht="15" customHeight="1">
      <c r="A1580" s="112">
        <f t="shared" si="102"/>
        <v>45931</v>
      </c>
      <c r="B1580" s="113">
        <v>8</v>
      </c>
      <c r="C1580" s="18" t="str">
        <f t="shared" si="103"/>
        <v>2030</v>
      </c>
      <c r="D1580" s="113" t="str">
        <f>_xlfn.XLOOKUP($C1580,'Cost Centers'!$A$2:$A$11,'Cost Centers'!$B$2:$B$11,"")</f>
        <v>Sub-Saharan Africa</v>
      </c>
      <c r="E1580" s="113" t="s">
        <v>115</v>
      </c>
      <c r="F1580" s="113" t="str">
        <f>_xlfn.XLOOKUP(E1580,'Allocated Transactions'!D:D,'Allocated Transactions'!E:E,"")</f>
        <v>Professional Fees - Accounting/Audit</v>
      </c>
      <c r="G1580" s="113" t="s">
        <v>97</v>
      </c>
      <c r="H1580" s="113"/>
      <c r="I1580" s="113" t="str">
        <f>_xlfn.XLOOKUP($C1580,'Cost Centers'!$A$2:$A$11,'Cost Centers'!$C$2:$C$11,"")</f>
        <v>Programs</v>
      </c>
      <c r="J1580" s="23">
        <f>MROUND(SUMIFS('Allocated Transactions'!$J:$J,'Allocated Transactions'!$D:$D,$E1580,'Allocated Transactions'!$C:$C,$C1580,'Allocated Transactions'!$A:$A,"&gt;="&amp;$A1580,'Allocated Transactions'!$A:$A,"&lt;="&amp;EOMONTH($A1580,0))*0.99,100)</f>
        <v>0</v>
      </c>
      <c r="K1580" s="113" t="s">
        <v>637</v>
      </c>
    </row>
    <row r="1581" spans="1:11" ht="15" customHeight="1">
      <c r="A1581" s="112">
        <f t="shared" si="102"/>
        <v>45931</v>
      </c>
      <c r="B1581" s="113">
        <v>8</v>
      </c>
      <c r="C1581" s="18" t="str">
        <f t="shared" si="103"/>
        <v>2030</v>
      </c>
      <c r="D1581" s="113" t="str">
        <f>_xlfn.XLOOKUP($C1581,'Cost Centers'!$A$2:$A$11,'Cost Centers'!$B$2:$B$11,"")</f>
        <v>Sub-Saharan Africa</v>
      </c>
      <c r="E1581" s="113" t="s">
        <v>117</v>
      </c>
      <c r="F1581" s="113" t="str">
        <f>_xlfn.XLOOKUP(E1581,'Allocated Transactions'!D:D,'Allocated Transactions'!E:E,"")</f>
        <v>Insurance</v>
      </c>
      <c r="G1581" s="113" t="s">
        <v>97</v>
      </c>
      <c r="H1581" s="113"/>
      <c r="I1581" s="113" t="str">
        <f>_xlfn.XLOOKUP($C1581,'Cost Centers'!$A$2:$A$11,'Cost Centers'!$C$2:$C$11,"")</f>
        <v>Programs</v>
      </c>
      <c r="J1581" s="23">
        <f>MROUND(SUMIFS('Allocated Transactions'!$J:$J,'Allocated Transactions'!$D:$D,$E1581,'Allocated Transactions'!$C:$C,$C1581,'Allocated Transactions'!$A:$A,"&gt;="&amp;$A1581,'Allocated Transactions'!$A:$A,"&lt;="&amp;EOMONTH($A1581,0))*0.99,100)</f>
        <v>100</v>
      </c>
      <c r="K1581" s="113" t="s">
        <v>637</v>
      </c>
    </row>
    <row r="1582" spans="1:11" ht="15" customHeight="1">
      <c r="A1582" s="112">
        <f t="shared" si="102"/>
        <v>45931</v>
      </c>
      <c r="B1582" s="113">
        <v>8</v>
      </c>
      <c r="C1582" s="18" t="str">
        <f t="shared" si="103"/>
        <v>2030</v>
      </c>
      <c r="D1582" s="113" t="str">
        <f>_xlfn.XLOOKUP($C1582,'Cost Centers'!$A$2:$A$11,'Cost Centers'!$B$2:$B$11,"")</f>
        <v>Sub-Saharan Africa</v>
      </c>
      <c r="E1582" s="113" t="s">
        <v>119</v>
      </c>
      <c r="F1582" s="113" t="str">
        <f>_xlfn.XLOOKUP(E1582,'Allocated Transactions'!D:D,'Allocated Transactions'!E:E,"")</f>
        <v>Depreciation Expense</v>
      </c>
      <c r="G1582" s="113" t="s">
        <v>97</v>
      </c>
      <c r="H1582" s="113"/>
      <c r="I1582" s="113" t="str">
        <f>_xlfn.XLOOKUP($C1582,'Cost Centers'!$A$2:$A$11,'Cost Centers'!$C$2:$C$11,"")</f>
        <v>Programs</v>
      </c>
      <c r="J1582" s="23">
        <f>MROUND(SUMIFS('Allocated Transactions'!$J:$J,'Allocated Transactions'!$D:$D,$E1582,'Allocated Transactions'!$C:$C,$C1582,'Allocated Transactions'!$A:$A,"&gt;="&amp;$A1582,'Allocated Transactions'!$A:$A,"&lt;="&amp;EOMONTH($A1582,0))*0.99,100)</f>
        <v>0</v>
      </c>
      <c r="K1582" s="113" t="s">
        <v>637</v>
      </c>
    </row>
    <row r="1583" spans="1:11" ht="15" customHeight="1">
      <c r="A1583" s="112">
        <f t="shared" si="102"/>
        <v>45931</v>
      </c>
      <c r="B1583" s="113">
        <v>8</v>
      </c>
      <c r="C1583" s="18" t="str">
        <f t="shared" si="103"/>
        <v>2030</v>
      </c>
      <c r="D1583" s="113" t="str">
        <f>_xlfn.XLOOKUP($C1583,'Cost Centers'!$A$2:$A$11,'Cost Centers'!$B$2:$B$11,"")</f>
        <v>Sub-Saharan Africa</v>
      </c>
      <c r="E1583" s="113" t="s">
        <v>121</v>
      </c>
      <c r="F1583" s="113" t="str">
        <f>_xlfn.XLOOKUP(E1583,'Allocated Transactions'!D:D,'Allocated Transactions'!E:E,"")</f>
        <v>Bank Fees</v>
      </c>
      <c r="G1583" s="113" t="s">
        <v>97</v>
      </c>
      <c r="H1583" s="113"/>
      <c r="I1583" s="113" t="str">
        <f>_xlfn.XLOOKUP($C1583,'Cost Centers'!$A$2:$A$11,'Cost Centers'!$C$2:$C$11,"")</f>
        <v>Programs</v>
      </c>
      <c r="J1583" s="23">
        <f>MROUND(SUMIFS('Allocated Transactions'!$J:$J,'Allocated Transactions'!$D:$D,$E1583,'Allocated Transactions'!$C:$C,$C1583,'Allocated Transactions'!$A:$A,"&gt;="&amp;$A1583,'Allocated Transactions'!$A:$A,"&lt;="&amp;EOMONTH($A1583,0))*0.99,100)</f>
        <v>0</v>
      </c>
      <c r="K1583" s="113" t="s">
        <v>637</v>
      </c>
    </row>
    <row r="1584" spans="1:11" ht="15" customHeight="1">
      <c r="A1584" s="112">
        <f t="shared" si="102"/>
        <v>45931</v>
      </c>
      <c r="B1584" s="113">
        <v>8</v>
      </c>
      <c r="C1584" s="18" t="str">
        <f t="shared" si="103"/>
        <v>2030</v>
      </c>
      <c r="D1584" s="113" t="str">
        <f>_xlfn.XLOOKUP($C1584,'Cost Centers'!$A$2:$A$11,'Cost Centers'!$B$2:$B$11,"")</f>
        <v>Sub-Saharan Africa</v>
      </c>
      <c r="E1584" s="113" t="s">
        <v>123</v>
      </c>
      <c r="F1584" s="113" t="str">
        <f>_xlfn.XLOOKUP(E1584,'Allocated Transactions'!D:D,'Allocated Transactions'!E:E,"")</f>
        <v>Interest Expense</v>
      </c>
      <c r="G1584" s="113" t="s">
        <v>97</v>
      </c>
      <c r="H1584" s="113"/>
      <c r="I1584" s="113" t="str">
        <f>_xlfn.XLOOKUP($C1584,'Cost Centers'!$A$2:$A$11,'Cost Centers'!$C$2:$C$11,"")</f>
        <v>Programs</v>
      </c>
      <c r="J1584" s="23">
        <f>MROUND(SUMIFS('Allocated Transactions'!$J:$J,'Allocated Transactions'!$D:$D,$E1584,'Allocated Transactions'!$C:$C,$C1584,'Allocated Transactions'!$A:$A,"&gt;="&amp;$A1584,'Allocated Transactions'!$A:$A,"&lt;="&amp;EOMONTH($A1584,0))*0.99,100)</f>
        <v>0</v>
      </c>
      <c r="K1584" s="113" t="s">
        <v>637</v>
      </c>
    </row>
    <row r="1585" spans="1:11" ht="15" customHeight="1">
      <c r="A1585" s="112">
        <f t="shared" si="102"/>
        <v>45931</v>
      </c>
      <c r="B1585" s="113">
        <v>8</v>
      </c>
      <c r="C1585" s="18" t="str">
        <f t="shared" si="103"/>
        <v>2030</v>
      </c>
      <c r="D1585" s="113" t="str">
        <f>_xlfn.XLOOKUP($C1585,'Cost Centers'!$A$2:$A$11,'Cost Centers'!$B$2:$B$11,"")</f>
        <v>Sub-Saharan Africa</v>
      </c>
      <c r="E1585" s="113" t="s">
        <v>125</v>
      </c>
      <c r="F1585" s="113" t="str">
        <f>_xlfn.XLOOKUP(E1585,'Allocated Transactions'!D:D,'Allocated Transactions'!E:E,"")</f>
        <v>Miscellaneous Expense</v>
      </c>
      <c r="G1585" s="113" t="s">
        <v>97</v>
      </c>
      <c r="H1585" s="113"/>
      <c r="I1585" s="113" t="str">
        <f>_xlfn.XLOOKUP($C1585,'Cost Centers'!$A$2:$A$11,'Cost Centers'!$C$2:$C$11,"")</f>
        <v>Programs</v>
      </c>
      <c r="J1585" s="23">
        <f>MROUND(SUMIFS('Allocated Transactions'!$J:$J,'Allocated Transactions'!$D:$D,$E1585,'Allocated Transactions'!$C:$C,$C1585,'Allocated Transactions'!$A:$A,"&gt;="&amp;$A1585,'Allocated Transactions'!$A:$A,"&lt;="&amp;EOMONTH($A1585,0))*0.99,100)</f>
        <v>0</v>
      </c>
      <c r="K1585" s="113" t="s">
        <v>637</v>
      </c>
    </row>
    <row r="1586" spans="1:11" ht="15" customHeight="1">
      <c r="A1586" s="112">
        <f t="shared" si="102"/>
        <v>45962</v>
      </c>
      <c r="B1586" s="113">
        <v>8</v>
      </c>
      <c r="C1586" s="18" t="s">
        <v>16</v>
      </c>
      <c r="D1586" s="113" t="str">
        <f>_xlfn.XLOOKUP($C1586,'Cost Centers'!$A$2:$A$11,'Cost Centers'!$B$2:$B$11,"")</f>
        <v>Sub-Saharan Africa</v>
      </c>
      <c r="E1586" s="113" t="s">
        <v>28</v>
      </c>
      <c r="F1586" s="113" t="str">
        <f>_xlfn.XLOOKUP(E1586,'Allocated Transactions'!D:D,'Allocated Transactions'!E:E,"")</f>
        <v>Salaries and Wages</v>
      </c>
      <c r="G1586" s="113" t="s">
        <v>97</v>
      </c>
      <c r="H1586" s="113"/>
      <c r="I1586" s="113" t="str">
        <f>_xlfn.XLOOKUP($C1586,'Cost Centers'!$A$2:$A$11,'Cost Centers'!$C$2:$C$11,"")</f>
        <v>Programs</v>
      </c>
      <c r="J1586" s="23">
        <f>MROUND(SUMIFS('Allocated Transactions'!$J:$J,'Allocated Transactions'!$D:$D,$E1586,'Allocated Transactions'!$C:$C,$C1586,'Allocated Transactions'!$A:$A,"&gt;="&amp;$A1586,'Allocated Transactions'!$A:$A,"&lt;="&amp;EOMONTH($A1586,0))*0.99,100)</f>
        <v>14200</v>
      </c>
      <c r="K1586" s="113" t="s">
        <v>637</v>
      </c>
    </row>
    <row r="1587" spans="1:11" ht="15" customHeight="1">
      <c r="A1587" s="112">
        <f t="shared" si="102"/>
        <v>45962</v>
      </c>
      <c r="B1587" s="113">
        <v>8</v>
      </c>
      <c r="C1587" s="18" t="str">
        <f t="shared" ref="C1587:C1603" si="104">C1586</f>
        <v>2030</v>
      </c>
      <c r="D1587" s="113" t="str">
        <f>_xlfn.XLOOKUP($C1587,'Cost Centers'!$A$2:$A$11,'Cost Centers'!$B$2:$B$11,"")</f>
        <v>Sub-Saharan Africa</v>
      </c>
      <c r="E1587" s="113" t="s">
        <v>29</v>
      </c>
      <c r="F1587" s="113" t="str">
        <f>_xlfn.XLOOKUP(E1587,'Allocated Transactions'!D:D,'Allocated Transactions'!E:E,"")</f>
        <v>Payroll Taxes</v>
      </c>
      <c r="G1587" s="113" t="s">
        <v>97</v>
      </c>
      <c r="H1587" s="113"/>
      <c r="I1587" s="113" t="str">
        <f>_xlfn.XLOOKUP($C1587,'Cost Centers'!$A$2:$A$11,'Cost Centers'!$C$2:$C$11,"")</f>
        <v>Programs</v>
      </c>
      <c r="J1587" s="23">
        <f>MROUND(SUMIFS('Allocated Transactions'!$J:$J,'Allocated Transactions'!$D:$D,$E1587,'Allocated Transactions'!$C:$C,$C1587,'Allocated Transactions'!$A:$A,"&gt;="&amp;$A1587,'Allocated Transactions'!$A:$A,"&lt;="&amp;EOMONTH($A1587,0))*0.99,100)</f>
        <v>1100</v>
      </c>
      <c r="K1587" s="113" t="s">
        <v>637</v>
      </c>
    </row>
    <row r="1588" spans="1:11" ht="15" customHeight="1">
      <c r="A1588" s="112">
        <f t="shared" si="102"/>
        <v>45962</v>
      </c>
      <c r="B1588" s="113">
        <v>8</v>
      </c>
      <c r="C1588" s="18" t="str">
        <f t="shared" si="104"/>
        <v>2030</v>
      </c>
      <c r="D1588" s="113" t="str">
        <f>_xlfn.XLOOKUP($C1588,'Cost Centers'!$A$2:$A$11,'Cost Centers'!$B$2:$B$11,"")</f>
        <v>Sub-Saharan Africa</v>
      </c>
      <c r="E1588" s="113" t="s">
        <v>30</v>
      </c>
      <c r="F1588" s="113" t="str">
        <f>_xlfn.XLOOKUP(E1588,'Allocated Transactions'!D:D,'Allocated Transactions'!E:E,"")</f>
        <v>Employee Benefits</v>
      </c>
      <c r="G1588" s="113" t="s">
        <v>97</v>
      </c>
      <c r="H1588" s="113"/>
      <c r="I1588" s="113" t="str">
        <f>_xlfn.XLOOKUP($C1588,'Cost Centers'!$A$2:$A$11,'Cost Centers'!$C$2:$C$11,"")</f>
        <v>Programs</v>
      </c>
      <c r="J1588" s="23">
        <f>MROUND(SUMIFS('Allocated Transactions'!$J:$J,'Allocated Transactions'!$D:$D,$E1588,'Allocated Transactions'!$C:$C,$C1588,'Allocated Transactions'!$A:$A,"&gt;="&amp;$A1588,'Allocated Transactions'!$A:$A,"&lt;="&amp;EOMONTH($A1588,0))*0.99,100)</f>
        <v>4700</v>
      </c>
      <c r="K1588" s="113" t="s">
        <v>637</v>
      </c>
    </row>
    <row r="1589" spans="1:11" ht="15" customHeight="1">
      <c r="A1589" s="112">
        <f t="shared" si="102"/>
        <v>45962</v>
      </c>
      <c r="B1589" s="113">
        <v>8</v>
      </c>
      <c r="C1589" s="18" t="str">
        <f t="shared" si="104"/>
        <v>2030</v>
      </c>
      <c r="D1589" s="113" t="str">
        <f>_xlfn.XLOOKUP($C1589,'Cost Centers'!$A$2:$A$11,'Cost Centers'!$B$2:$B$11,"")</f>
        <v>Sub-Saharan Africa</v>
      </c>
      <c r="E1589" s="113" t="s">
        <v>31</v>
      </c>
      <c r="F1589" s="113" t="str">
        <f>_xlfn.XLOOKUP(E1589,'Allocated Transactions'!D:D,'Allocated Transactions'!E:E,"")</f>
        <v>Retirement Contributions</v>
      </c>
      <c r="G1589" s="113" t="s">
        <v>97</v>
      </c>
      <c r="H1589" s="113"/>
      <c r="I1589" s="113" t="str">
        <f>_xlfn.XLOOKUP($C1589,'Cost Centers'!$A$2:$A$11,'Cost Centers'!$C$2:$C$11,"")</f>
        <v>Programs</v>
      </c>
      <c r="J1589" s="23">
        <f>MROUND(SUMIFS('Allocated Transactions'!$J:$J,'Allocated Transactions'!$D:$D,$E1589,'Allocated Transactions'!$C:$C,$C1589,'Allocated Transactions'!$A:$A,"&gt;="&amp;$A1589,'Allocated Transactions'!$A:$A,"&lt;="&amp;EOMONTH($A1589,0))*0.99,100)</f>
        <v>400</v>
      </c>
      <c r="K1589" s="113" t="s">
        <v>637</v>
      </c>
    </row>
    <row r="1590" spans="1:11" ht="15" customHeight="1">
      <c r="A1590" s="112">
        <f t="shared" si="102"/>
        <v>45962</v>
      </c>
      <c r="B1590" s="113">
        <v>8</v>
      </c>
      <c r="C1590" s="18" t="str">
        <f t="shared" si="104"/>
        <v>2030</v>
      </c>
      <c r="D1590" s="113" t="str">
        <f>_xlfn.XLOOKUP($C1590,'Cost Centers'!$A$2:$A$11,'Cost Centers'!$B$2:$B$11,"")</f>
        <v>Sub-Saharan Africa</v>
      </c>
      <c r="E1590" s="113" t="s">
        <v>101</v>
      </c>
      <c r="F1590" s="113" t="str">
        <f>_xlfn.XLOOKUP(E1590,'Allocated Transactions'!D:D,'Allocated Transactions'!E:E,"")</f>
        <v>Contract Labor / Consultants</v>
      </c>
      <c r="G1590" s="113" t="s">
        <v>97</v>
      </c>
      <c r="H1590" s="113"/>
      <c r="I1590" s="113" t="str">
        <f>_xlfn.XLOOKUP($C1590,'Cost Centers'!$A$2:$A$11,'Cost Centers'!$C$2:$C$11,"")</f>
        <v>Programs</v>
      </c>
      <c r="J1590" s="23">
        <f>MROUND(SUMIFS('Allocated Transactions'!$J:$J,'Allocated Transactions'!$D:$D,$E1590,'Allocated Transactions'!$C:$C,$C1590,'Allocated Transactions'!$A:$A,"&gt;="&amp;$A1590,'Allocated Transactions'!$A:$A,"&lt;="&amp;EOMONTH($A1590,0))*0.99,100)</f>
        <v>9200</v>
      </c>
      <c r="K1590" s="113" t="s">
        <v>637</v>
      </c>
    </row>
    <row r="1591" spans="1:11" ht="15" customHeight="1">
      <c r="A1591" s="112">
        <f t="shared" si="102"/>
        <v>45962</v>
      </c>
      <c r="B1591" s="113">
        <v>8</v>
      </c>
      <c r="C1591" s="18" t="str">
        <f t="shared" si="104"/>
        <v>2030</v>
      </c>
      <c r="D1591" s="113" t="str">
        <f>_xlfn.XLOOKUP($C1591,'Cost Centers'!$A$2:$A$11,'Cost Centers'!$B$2:$B$11,"")</f>
        <v>Sub-Saharan Africa</v>
      </c>
      <c r="E1591" s="113" t="s">
        <v>32</v>
      </c>
      <c r="F1591" s="113" t="str">
        <f>_xlfn.XLOOKUP(E1591,'Allocated Transactions'!D:D,'Allocated Transactions'!E:E,"")</f>
        <v>Rent</v>
      </c>
      <c r="G1591" s="113" t="s">
        <v>97</v>
      </c>
      <c r="H1591" s="113"/>
      <c r="I1591" s="113" t="str">
        <f>_xlfn.XLOOKUP($C1591,'Cost Centers'!$A$2:$A$11,'Cost Centers'!$C$2:$C$11,"")</f>
        <v>Programs</v>
      </c>
      <c r="J1591" s="23">
        <f>MROUND(SUMIFS('Allocated Transactions'!$J:$J,'Allocated Transactions'!$D:$D,$E1591,'Allocated Transactions'!$C:$C,$C1591,'Allocated Transactions'!$A:$A,"&gt;="&amp;$A1591,'Allocated Transactions'!$A:$A,"&lt;="&amp;EOMONTH($A1591,0))*0.99,100)</f>
        <v>1100</v>
      </c>
      <c r="K1591" s="113" t="s">
        <v>637</v>
      </c>
    </row>
    <row r="1592" spans="1:11" ht="15" customHeight="1">
      <c r="A1592" s="112">
        <f t="shared" si="102"/>
        <v>45962</v>
      </c>
      <c r="B1592" s="113">
        <v>8</v>
      </c>
      <c r="C1592" s="18" t="str">
        <f t="shared" si="104"/>
        <v>2030</v>
      </c>
      <c r="D1592" s="113" t="str">
        <f>_xlfn.XLOOKUP($C1592,'Cost Centers'!$A$2:$A$11,'Cost Centers'!$B$2:$B$11,"")</f>
        <v>Sub-Saharan Africa</v>
      </c>
      <c r="E1592" s="113" t="s">
        <v>33</v>
      </c>
      <c r="F1592" s="113" t="str">
        <f>_xlfn.XLOOKUP(E1592,'Allocated Transactions'!D:D,'Allocated Transactions'!E:E,"")</f>
        <v>Utilities</v>
      </c>
      <c r="G1592" s="113" t="s">
        <v>97</v>
      </c>
      <c r="H1592" s="113"/>
      <c r="I1592" s="113" t="str">
        <f>_xlfn.XLOOKUP($C1592,'Cost Centers'!$A$2:$A$11,'Cost Centers'!$C$2:$C$11,"")</f>
        <v>Programs</v>
      </c>
      <c r="J1592" s="23">
        <f>MROUND(SUMIFS('Allocated Transactions'!$J:$J,'Allocated Transactions'!$D:$D,$E1592,'Allocated Transactions'!$C:$C,$C1592,'Allocated Transactions'!$A:$A,"&gt;="&amp;$A1592,'Allocated Transactions'!$A:$A,"&lt;="&amp;EOMONTH($A1592,0))*0.99,100)</f>
        <v>100</v>
      </c>
      <c r="K1592" s="113" t="s">
        <v>637</v>
      </c>
    </row>
    <row r="1593" spans="1:11" ht="15" customHeight="1">
      <c r="A1593" s="112">
        <f t="shared" si="102"/>
        <v>45962</v>
      </c>
      <c r="B1593" s="113">
        <v>8</v>
      </c>
      <c r="C1593" s="18" t="str">
        <f t="shared" si="104"/>
        <v>2030</v>
      </c>
      <c r="D1593" s="113" t="str">
        <f>_xlfn.XLOOKUP($C1593,'Cost Centers'!$A$2:$A$11,'Cost Centers'!$B$2:$B$11,"")</f>
        <v>Sub-Saharan Africa</v>
      </c>
      <c r="E1593" s="113" t="s">
        <v>105</v>
      </c>
      <c r="F1593" s="113" t="str">
        <f>_xlfn.XLOOKUP(E1593,'Allocated Transactions'!D:D,'Allocated Transactions'!E:E,"")</f>
        <v>Office Supplies</v>
      </c>
      <c r="G1593" s="113" t="s">
        <v>97</v>
      </c>
      <c r="H1593" s="113"/>
      <c r="I1593" s="113" t="str">
        <f>_xlfn.XLOOKUP($C1593,'Cost Centers'!$A$2:$A$11,'Cost Centers'!$C$2:$C$11,"")</f>
        <v>Programs</v>
      </c>
      <c r="J1593" s="23">
        <f>MROUND(SUMIFS('Allocated Transactions'!$J:$J,'Allocated Transactions'!$D:$D,$E1593,'Allocated Transactions'!$C:$C,$C1593,'Allocated Transactions'!$A:$A,"&gt;="&amp;$A1593,'Allocated Transactions'!$A:$A,"&lt;="&amp;EOMONTH($A1593,0))*0.99,100)</f>
        <v>0</v>
      </c>
      <c r="K1593" s="113" t="s">
        <v>637</v>
      </c>
    </row>
    <row r="1594" spans="1:11" ht="15" customHeight="1">
      <c r="A1594" s="112">
        <f t="shared" si="102"/>
        <v>45962</v>
      </c>
      <c r="B1594" s="113">
        <v>8</v>
      </c>
      <c r="C1594" s="18" t="str">
        <f t="shared" si="104"/>
        <v>2030</v>
      </c>
      <c r="D1594" s="113" t="str">
        <f>_xlfn.XLOOKUP($C1594,'Cost Centers'!$A$2:$A$11,'Cost Centers'!$B$2:$B$11,"")</f>
        <v>Sub-Saharan Africa</v>
      </c>
      <c r="E1594" s="113" t="s">
        <v>107</v>
      </c>
      <c r="F1594" s="113" t="str">
        <f>_xlfn.XLOOKUP(E1594,'Allocated Transactions'!D:D,'Allocated Transactions'!E:E,"")</f>
        <v>Software and Subscriptions</v>
      </c>
      <c r="G1594" s="113" t="s">
        <v>97</v>
      </c>
      <c r="H1594" s="113"/>
      <c r="I1594" s="113" t="str">
        <f>_xlfn.XLOOKUP($C1594,'Cost Centers'!$A$2:$A$11,'Cost Centers'!$C$2:$C$11,"")</f>
        <v>Programs</v>
      </c>
      <c r="J1594" s="23">
        <f>MROUND(SUMIFS('Allocated Transactions'!$J:$J,'Allocated Transactions'!$D:$D,$E1594,'Allocated Transactions'!$C:$C,$C1594,'Allocated Transactions'!$A:$A,"&gt;="&amp;$A1594,'Allocated Transactions'!$A:$A,"&lt;="&amp;EOMONTH($A1594,0))*0.99,100)</f>
        <v>0</v>
      </c>
      <c r="K1594" s="113" t="s">
        <v>637</v>
      </c>
    </row>
    <row r="1595" spans="1:11" ht="15" customHeight="1">
      <c r="A1595" s="112">
        <f t="shared" si="102"/>
        <v>45962</v>
      </c>
      <c r="B1595" s="113">
        <v>8</v>
      </c>
      <c r="C1595" s="18" t="str">
        <f t="shared" si="104"/>
        <v>2030</v>
      </c>
      <c r="D1595" s="113" t="str">
        <f>_xlfn.XLOOKUP($C1595,'Cost Centers'!$A$2:$A$11,'Cost Centers'!$B$2:$B$11,"")</f>
        <v>Sub-Saharan Africa</v>
      </c>
      <c r="E1595" s="113" t="s">
        <v>109</v>
      </c>
      <c r="F1595" s="113" t="str">
        <f>_xlfn.XLOOKUP(E1595,'Allocated Transactions'!D:D,'Allocated Transactions'!E:E,"")</f>
        <v>Travel</v>
      </c>
      <c r="G1595" s="113" t="s">
        <v>97</v>
      </c>
      <c r="H1595" s="113"/>
      <c r="I1595" s="113" t="str">
        <f>_xlfn.XLOOKUP($C1595,'Cost Centers'!$A$2:$A$11,'Cost Centers'!$C$2:$C$11,"")</f>
        <v>Programs</v>
      </c>
      <c r="J1595" s="23">
        <f>MROUND(SUMIFS('Allocated Transactions'!$J:$J,'Allocated Transactions'!$D:$D,$E1595,'Allocated Transactions'!$C:$C,$C1595,'Allocated Transactions'!$A:$A,"&gt;="&amp;$A1595,'Allocated Transactions'!$A:$A,"&lt;="&amp;EOMONTH($A1595,0))*0.99,100)</f>
        <v>0</v>
      </c>
      <c r="K1595" s="113" t="s">
        <v>637</v>
      </c>
    </row>
    <row r="1596" spans="1:11" ht="15" customHeight="1">
      <c r="A1596" s="112">
        <f t="shared" si="102"/>
        <v>45962</v>
      </c>
      <c r="B1596" s="113">
        <v>8</v>
      </c>
      <c r="C1596" s="18" t="str">
        <f t="shared" si="104"/>
        <v>2030</v>
      </c>
      <c r="D1596" s="113" t="str">
        <f>_xlfn.XLOOKUP($C1596,'Cost Centers'!$A$2:$A$11,'Cost Centers'!$B$2:$B$11,"")</f>
        <v>Sub-Saharan Africa</v>
      </c>
      <c r="E1596" s="113" t="s">
        <v>111</v>
      </c>
      <c r="F1596" s="113" t="str">
        <f>_xlfn.XLOOKUP(E1596,'Allocated Transactions'!D:D,'Allocated Transactions'!E:E,"")</f>
        <v>Meals and Entertainment</v>
      </c>
      <c r="G1596" s="113" t="s">
        <v>97</v>
      </c>
      <c r="H1596" s="113"/>
      <c r="I1596" s="113" t="str">
        <f>_xlfn.XLOOKUP($C1596,'Cost Centers'!$A$2:$A$11,'Cost Centers'!$C$2:$C$11,"")</f>
        <v>Programs</v>
      </c>
      <c r="J1596" s="23">
        <f>MROUND(SUMIFS('Allocated Transactions'!$J:$J,'Allocated Transactions'!$D:$D,$E1596,'Allocated Transactions'!$C:$C,$C1596,'Allocated Transactions'!$A:$A,"&gt;="&amp;$A1596,'Allocated Transactions'!$A:$A,"&lt;="&amp;EOMONTH($A1596,0))*0.99,100)</f>
        <v>0</v>
      </c>
      <c r="K1596" s="113" t="s">
        <v>637</v>
      </c>
    </row>
    <row r="1597" spans="1:11" ht="15" customHeight="1">
      <c r="A1597" s="112">
        <f t="shared" si="102"/>
        <v>45962</v>
      </c>
      <c r="B1597" s="113">
        <v>8</v>
      </c>
      <c r="C1597" s="18" t="str">
        <f t="shared" si="104"/>
        <v>2030</v>
      </c>
      <c r="D1597" s="113" t="str">
        <f>_xlfn.XLOOKUP($C1597,'Cost Centers'!$A$2:$A$11,'Cost Centers'!$B$2:$B$11,"")</f>
        <v>Sub-Saharan Africa</v>
      </c>
      <c r="E1597" s="113" t="s">
        <v>113</v>
      </c>
      <c r="F1597" s="113" t="str">
        <f>_xlfn.XLOOKUP(E1597,'Allocated Transactions'!D:D,'Allocated Transactions'!E:E,"")</f>
        <v>Professional Fees - Legal</v>
      </c>
      <c r="G1597" s="113" t="s">
        <v>97</v>
      </c>
      <c r="H1597" s="113"/>
      <c r="I1597" s="113" t="str">
        <f>_xlfn.XLOOKUP($C1597,'Cost Centers'!$A$2:$A$11,'Cost Centers'!$C$2:$C$11,"")</f>
        <v>Programs</v>
      </c>
      <c r="J1597" s="23">
        <f>MROUND(SUMIFS('Allocated Transactions'!$J:$J,'Allocated Transactions'!$D:$D,$E1597,'Allocated Transactions'!$C:$C,$C1597,'Allocated Transactions'!$A:$A,"&gt;="&amp;$A1597,'Allocated Transactions'!$A:$A,"&lt;="&amp;EOMONTH($A1597,0))*0.99,100)</f>
        <v>0</v>
      </c>
      <c r="K1597" s="113" t="s">
        <v>637</v>
      </c>
    </row>
    <row r="1598" spans="1:11" ht="15" customHeight="1">
      <c r="A1598" s="112">
        <f t="shared" si="102"/>
        <v>45962</v>
      </c>
      <c r="B1598" s="113">
        <v>8</v>
      </c>
      <c r="C1598" s="18" t="str">
        <f t="shared" si="104"/>
        <v>2030</v>
      </c>
      <c r="D1598" s="113" t="str">
        <f>_xlfn.XLOOKUP($C1598,'Cost Centers'!$A$2:$A$11,'Cost Centers'!$B$2:$B$11,"")</f>
        <v>Sub-Saharan Africa</v>
      </c>
      <c r="E1598" s="113" t="s">
        <v>115</v>
      </c>
      <c r="F1598" s="113" t="str">
        <f>_xlfn.XLOOKUP(E1598,'Allocated Transactions'!D:D,'Allocated Transactions'!E:E,"")</f>
        <v>Professional Fees - Accounting/Audit</v>
      </c>
      <c r="G1598" s="113" t="s">
        <v>97</v>
      </c>
      <c r="H1598" s="113"/>
      <c r="I1598" s="113" t="str">
        <f>_xlfn.XLOOKUP($C1598,'Cost Centers'!$A$2:$A$11,'Cost Centers'!$C$2:$C$11,"")</f>
        <v>Programs</v>
      </c>
      <c r="J1598" s="23">
        <f>MROUND(SUMIFS('Allocated Transactions'!$J:$J,'Allocated Transactions'!$D:$D,$E1598,'Allocated Transactions'!$C:$C,$C1598,'Allocated Transactions'!$A:$A,"&gt;="&amp;$A1598,'Allocated Transactions'!$A:$A,"&lt;="&amp;EOMONTH($A1598,0))*0.99,100)</f>
        <v>0</v>
      </c>
      <c r="K1598" s="113" t="s">
        <v>637</v>
      </c>
    </row>
    <row r="1599" spans="1:11" ht="15" customHeight="1">
      <c r="A1599" s="112">
        <f t="shared" si="102"/>
        <v>45962</v>
      </c>
      <c r="B1599" s="113">
        <v>8</v>
      </c>
      <c r="C1599" s="18" t="str">
        <f t="shared" si="104"/>
        <v>2030</v>
      </c>
      <c r="D1599" s="113" t="str">
        <f>_xlfn.XLOOKUP($C1599,'Cost Centers'!$A$2:$A$11,'Cost Centers'!$B$2:$B$11,"")</f>
        <v>Sub-Saharan Africa</v>
      </c>
      <c r="E1599" s="113" t="s">
        <v>117</v>
      </c>
      <c r="F1599" s="113" t="str">
        <f>_xlfn.XLOOKUP(E1599,'Allocated Transactions'!D:D,'Allocated Transactions'!E:E,"")</f>
        <v>Insurance</v>
      </c>
      <c r="G1599" s="113" t="s">
        <v>97</v>
      </c>
      <c r="H1599" s="113"/>
      <c r="I1599" s="113" t="str">
        <f>_xlfn.XLOOKUP($C1599,'Cost Centers'!$A$2:$A$11,'Cost Centers'!$C$2:$C$11,"")</f>
        <v>Programs</v>
      </c>
      <c r="J1599" s="23">
        <f>MROUND(SUMIFS('Allocated Transactions'!$J:$J,'Allocated Transactions'!$D:$D,$E1599,'Allocated Transactions'!$C:$C,$C1599,'Allocated Transactions'!$A:$A,"&gt;="&amp;$A1599,'Allocated Transactions'!$A:$A,"&lt;="&amp;EOMONTH($A1599,0))*0.99,100)</f>
        <v>100</v>
      </c>
      <c r="K1599" s="113" t="s">
        <v>637</v>
      </c>
    </row>
    <row r="1600" spans="1:11" ht="15" customHeight="1">
      <c r="A1600" s="112">
        <f t="shared" si="102"/>
        <v>45962</v>
      </c>
      <c r="B1600" s="113">
        <v>8</v>
      </c>
      <c r="C1600" s="18" t="str">
        <f t="shared" si="104"/>
        <v>2030</v>
      </c>
      <c r="D1600" s="113" t="str">
        <f>_xlfn.XLOOKUP($C1600,'Cost Centers'!$A$2:$A$11,'Cost Centers'!$B$2:$B$11,"")</f>
        <v>Sub-Saharan Africa</v>
      </c>
      <c r="E1600" s="113" t="s">
        <v>119</v>
      </c>
      <c r="F1600" s="113" t="str">
        <f>_xlfn.XLOOKUP(E1600,'Allocated Transactions'!D:D,'Allocated Transactions'!E:E,"")</f>
        <v>Depreciation Expense</v>
      </c>
      <c r="G1600" s="113" t="s">
        <v>97</v>
      </c>
      <c r="H1600" s="113"/>
      <c r="I1600" s="113" t="str">
        <f>_xlfn.XLOOKUP($C1600,'Cost Centers'!$A$2:$A$11,'Cost Centers'!$C$2:$C$11,"")</f>
        <v>Programs</v>
      </c>
      <c r="J1600" s="23">
        <f>MROUND(SUMIFS('Allocated Transactions'!$J:$J,'Allocated Transactions'!$D:$D,$E1600,'Allocated Transactions'!$C:$C,$C1600,'Allocated Transactions'!$A:$A,"&gt;="&amp;$A1600,'Allocated Transactions'!$A:$A,"&lt;="&amp;EOMONTH($A1600,0))*0.99,100)</f>
        <v>0</v>
      </c>
      <c r="K1600" s="113" t="s">
        <v>637</v>
      </c>
    </row>
    <row r="1601" spans="1:11" ht="15" customHeight="1">
      <c r="A1601" s="112">
        <f t="shared" si="102"/>
        <v>45962</v>
      </c>
      <c r="B1601" s="113">
        <v>8</v>
      </c>
      <c r="C1601" s="18" t="str">
        <f t="shared" si="104"/>
        <v>2030</v>
      </c>
      <c r="D1601" s="113" t="str">
        <f>_xlfn.XLOOKUP($C1601,'Cost Centers'!$A$2:$A$11,'Cost Centers'!$B$2:$B$11,"")</f>
        <v>Sub-Saharan Africa</v>
      </c>
      <c r="E1601" s="113" t="s">
        <v>121</v>
      </c>
      <c r="F1601" s="113" t="str">
        <f>_xlfn.XLOOKUP(E1601,'Allocated Transactions'!D:D,'Allocated Transactions'!E:E,"")</f>
        <v>Bank Fees</v>
      </c>
      <c r="G1601" s="113" t="s">
        <v>97</v>
      </c>
      <c r="H1601" s="113"/>
      <c r="I1601" s="113" t="str">
        <f>_xlfn.XLOOKUP($C1601,'Cost Centers'!$A$2:$A$11,'Cost Centers'!$C$2:$C$11,"")</f>
        <v>Programs</v>
      </c>
      <c r="J1601" s="23">
        <f>MROUND(SUMIFS('Allocated Transactions'!$J:$J,'Allocated Transactions'!$D:$D,$E1601,'Allocated Transactions'!$C:$C,$C1601,'Allocated Transactions'!$A:$A,"&gt;="&amp;$A1601,'Allocated Transactions'!$A:$A,"&lt;="&amp;EOMONTH($A1601,0))*0.99,100)</f>
        <v>0</v>
      </c>
      <c r="K1601" s="113" t="s">
        <v>637</v>
      </c>
    </row>
    <row r="1602" spans="1:11" ht="15" customHeight="1">
      <c r="A1602" s="112">
        <f t="shared" si="102"/>
        <v>45962</v>
      </c>
      <c r="B1602" s="113">
        <v>8</v>
      </c>
      <c r="C1602" s="18" t="str">
        <f t="shared" si="104"/>
        <v>2030</v>
      </c>
      <c r="D1602" s="113" t="str">
        <f>_xlfn.XLOOKUP($C1602,'Cost Centers'!$A$2:$A$11,'Cost Centers'!$B$2:$B$11,"")</f>
        <v>Sub-Saharan Africa</v>
      </c>
      <c r="E1602" s="113" t="s">
        <v>123</v>
      </c>
      <c r="F1602" s="113" t="str">
        <f>_xlfn.XLOOKUP(E1602,'Allocated Transactions'!D:D,'Allocated Transactions'!E:E,"")</f>
        <v>Interest Expense</v>
      </c>
      <c r="G1602" s="113" t="s">
        <v>97</v>
      </c>
      <c r="H1602" s="113"/>
      <c r="I1602" s="113" t="str">
        <f>_xlfn.XLOOKUP($C1602,'Cost Centers'!$A$2:$A$11,'Cost Centers'!$C$2:$C$11,"")</f>
        <v>Programs</v>
      </c>
      <c r="J1602" s="23">
        <f>MROUND(SUMIFS('Allocated Transactions'!$J:$J,'Allocated Transactions'!$D:$D,$E1602,'Allocated Transactions'!$C:$C,$C1602,'Allocated Transactions'!$A:$A,"&gt;="&amp;$A1602,'Allocated Transactions'!$A:$A,"&lt;="&amp;EOMONTH($A1602,0))*0.99,100)</f>
        <v>0</v>
      </c>
      <c r="K1602" s="113" t="s">
        <v>637</v>
      </c>
    </row>
    <row r="1603" spans="1:11" ht="15" customHeight="1">
      <c r="A1603" s="112">
        <f t="shared" si="102"/>
        <v>45962</v>
      </c>
      <c r="B1603" s="113">
        <v>8</v>
      </c>
      <c r="C1603" s="18" t="str">
        <f t="shared" si="104"/>
        <v>2030</v>
      </c>
      <c r="D1603" s="113" t="str">
        <f>_xlfn.XLOOKUP($C1603,'Cost Centers'!$A$2:$A$11,'Cost Centers'!$B$2:$B$11,"")</f>
        <v>Sub-Saharan Africa</v>
      </c>
      <c r="E1603" s="113" t="s">
        <v>125</v>
      </c>
      <c r="F1603" s="113" t="str">
        <f>_xlfn.XLOOKUP(E1603,'Allocated Transactions'!D:D,'Allocated Transactions'!E:E,"")</f>
        <v>Miscellaneous Expense</v>
      </c>
      <c r="G1603" s="113" t="s">
        <v>97</v>
      </c>
      <c r="H1603" s="113"/>
      <c r="I1603" s="113" t="str">
        <f>_xlfn.XLOOKUP($C1603,'Cost Centers'!$A$2:$A$11,'Cost Centers'!$C$2:$C$11,"")</f>
        <v>Programs</v>
      </c>
      <c r="J1603" s="23">
        <f>MROUND(SUMIFS('Allocated Transactions'!$J:$J,'Allocated Transactions'!$D:$D,$E1603,'Allocated Transactions'!$C:$C,$C1603,'Allocated Transactions'!$A:$A,"&gt;="&amp;$A1603,'Allocated Transactions'!$A:$A,"&lt;="&amp;EOMONTH($A1603,0))*0.99,100)</f>
        <v>0</v>
      </c>
      <c r="K1603" s="113" t="s">
        <v>637</v>
      </c>
    </row>
    <row r="1604" spans="1:11" ht="15" customHeight="1">
      <c r="A1604" s="112">
        <f t="shared" si="102"/>
        <v>45992</v>
      </c>
      <c r="B1604" s="113">
        <v>8</v>
      </c>
      <c r="C1604" s="18" t="s">
        <v>16</v>
      </c>
      <c r="D1604" s="113" t="str">
        <f>_xlfn.XLOOKUP($C1604,'Cost Centers'!$A$2:$A$11,'Cost Centers'!$B$2:$B$11,"")</f>
        <v>Sub-Saharan Africa</v>
      </c>
      <c r="E1604" s="113" t="s">
        <v>28</v>
      </c>
      <c r="F1604" s="113" t="str">
        <f>_xlfn.XLOOKUP(E1604,'Allocated Transactions'!D:D,'Allocated Transactions'!E:E,"")</f>
        <v>Salaries and Wages</v>
      </c>
      <c r="G1604" s="113" t="s">
        <v>97</v>
      </c>
      <c r="H1604" s="113"/>
      <c r="I1604" s="113" t="str">
        <f>_xlfn.XLOOKUP($C1604,'Cost Centers'!$A$2:$A$11,'Cost Centers'!$C$2:$C$11,"")</f>
        <v>Programs</v>
      </c>
      <c r="J1604" s="23">
        <f>MROUND(SUMIFS('Allocated Transactions'!$J:$J,'Allocated Transactions'!$D:$D,$E1604,'Allocated Transactions'!$C:$C,$C1604,'Allocated Transactions'!$A:$A,"&gt;="&amp;$A1604,'Allocated Transactions'!$A:$A,"&lt;="&amp;EOMONTH($A1604,0))*0.99,100)</f>
        <v>14500</v>
      </c>
      <c r="K1604" s="113" t="s">
        <v>637</v>
      </c>
    </row>
    <row r="1605" spans="1:11" ht="15" customHeight="1">
      <c r="A1605" s="112">
        <f t="shared" si="102"/>
        <v>45992</v>
      </c>
      <c r="B1605" s="113">
        <v>8</v>
      </c>
      <c r="C1605" s="18" t="str">
        <f t="shared" ref="C1605:C1621" si="105">C1604</f>
        <v>2030</v>
      </c>
      <c r="D1605" s="113" t="str">
        <f>_xlfn.XLOOKUP($C1605,'Cost Centers'!$A$2:$A$11,'Cost Centers'!$B$2:$B$11,"")</f>
        <v>Sub-Saharan Africa</v>
      </c>
      <c r="E1605" s="113" t="s">
        <v>29</v>
      </c>
      <c r="F1605" s="113" t="str">
        <f>_xlfn.XLOOKUP(E1605,'Allocated Transactions'!D:D,'Allocated Transactions'!E:E,"")</f>
        <v>Payroll Taxes</v>
      </c>
      <c r="G1605" s="113" t="s">
        <v>97</v>
      </c>
      <c r="H1605" s="113"/>
      <c r="I1605" s="113" t="str">
        <f>_xlfn.XLOOKUP($C1605,'Cost Centers'!$A$2:$A$11,'Cost Centers'!$C$2:$C$11,"")</f>
        <v>Programs</v>
      </c>
      <c r="J1605" s="23">
        <f>MROUND(SUMIFS('Allocated Transactions'!$J:$J,'Allocated Transactions'!$D:$D,$E1605,'Allocated Transactions'!$C:$C,$C1605,'Allocated Transactions'!$A:$A,"&gt;="&amp;$A1605,'Allocated Transactions'!$A:$A,"&lt;="&amp;EOMONTH($A1605,0))*0.99,100)</f>
        <v>1100</v>
      </c>
      <c r="K1605" s="113" t="s">
        <v>637</v>
      </c>
    </row>
    <row r="1606" spans="1:11" ht="15" customHeight="1">
      <c r="A1606" s="112">
        <f t="shared" si="102"/>
        <v>45992</v>
      </c>
      <c r="B1606" s="113">
        <v>8</v>
      </c>
      <c r="C1606" s="18" t="str">
        <f t="shared" si="105"/>
        <v>2030</v>
      </c>
      <c r="D1606" s="113" t="str">
        <f>_xlfn.XLOOKUP($C1606,'Cost Centers'!$A$2:$A$11,'Cost Centers'!$B$2:$B$11,"")</f>
        <v>Sub-Saharan Africa</v>
      </c>
      <c r="E1606" s="113" t="s">
        <v>30</v>
      </c>
      <c r="F1606" s="113" t="str">
        <f>_xlfn.XLOOKUP(E1606,'Allocated Transactions'!D:D,'Allocated Transactions'!E:E,"")</f>
        <v>Employee Benefits</v>
      </c>
      <c r="G1606" s="113" t="s">
        <v>97</v>
      </c>
      <c r="H1606" s="113"/>
      <c r="I1606" s="113" t="str">
        <f>_xlfn.XLOOKUP($C1606,'Cost Centers'!$A$2:$A$11,'Cost Centers'!$C$2:$C$11,"")</f>
        <v>Programs</v>
      </c>
      <c r="J1606" s="23">
        <f>MROUND(SUMIFS('Allocated Transactions'!$J:$J,'Allocated Transactions'!$D:$D,$E1606,'Allocated Transactions'!$C:$C,$C1606,'Allocated Transactions'!$A:$A,"&gt;="&amp;$A1606,'Allocated Transactions'!$A:$A,"&lt;="&amp;EOMONTH($A1606,0))*0.99,100)</f>
        <v>4100</v>
      </c>
      <c r="K1606" s="113" t="s">
        <v>637</v>
      </c>
    </row>
    <row r="1607" spans="1:11" ht="15" customHeight="1">
      <c r="A1607" s="112">
        <f t="shared" si="102"/>
        <v>45992</v>
      </c>
      <c r="B1607" s="113">
        <v>8</v>
      </c>
      <c r="C1607" s="18" t="str">
        <f t="shared" si="105"/>
        <v>2030</v>
      </c>
      <c r="D1607" s="113" t="str">
        <f>_xlfn.XLOOKUP($C1607,'Cost Centers'!$A$2:$A$11,'Cost Centers'!$B$2:$B$11,"")</f>
        <v>Sub-Saharan Africa</v>
      </c>
      <c r="E1607" s="113" t="s">
        <v>31</v>
      </c>
      <c r="F1607" s="113" t="str">
        <f>_xlfn.XLOOKUP(E1607,'Allocated Transactions'!D:D,'Allocated Transactions'!E:E,"")</f>
        <v>Retirement Contributions</v>
      </c>
      <c r="G1607" s="113" t="s">
        <v>97</v>
      </c>
      <c r="H1607" s="113"/>
      <c r="I1607" s="113" t="str">
        <f>_xlfn.XLOOKUP($C1607,'Cost Centers'!$A$2:$A$11,'Cost Centers'!$C$2:$C$11,"")</f>
        <v>Programs</v>
      </c>
      <c r="J1607" s="23">
        <f>MROUND(SUMIFS('Allocated Transactions'!$J:$J,'Allocated Transactions'!$D:$D,$E1607,'Allocated Transactions'!$C:$C,$C1607,'Allocated Transactions'!$A:$A,"&gt;="&amp;$A1607,'Allocated Transactions'!$A:$A,"&lt;="&amp;EOMONTH($A1607,0))*0.99,100)</f>
        <v>400</v>
      </c>
      <c r="K1607" s="113" t="s">
        <v>637</v>
      </c>
    </row>
    <row r="1608" spans="1:11" ht="15" customHeight="1">
      <c r="A1608" s="112">
        <f t="shared" si="102"/>
        <v>45992</v>
      </c>
      <c r="B1608" s="113">
        <v>8</v>
      </c>
      <c r="C1608" s="18" t="str">
        <f t="shared" si="105"/>
        <v>2030</v>
      </c>
      <c r="D1608" s="113" t="str">
        <f>_xlfn.XLOOKUP($C1608,'Cost Centers'!$A$2:$A$11,'Cost Centers'!$B$2:$B$11,"")</f>
        <v>Sub-Saharan Africa</v>
      </c>
      <c r="E1608" s="113" t="s">
        <v>101</v>
      </c>
      <c r="F1608" s="113" t="str">
        <f>_xlfn.XLOOKUP(E1608,'Allocated Transactions'!D:D,'Allocated Transactions'!E:E,"")</f>
        <v>Contract Labor / Consultants</v>
      </c>
      <c r="G1608" s="113" t="s">
        <v>97</v>
      </c>
      <c r="H1608" s="113"/>
      <c r="I1608" s="113" t="str">
        <f>_xlfn.XLOOKUP($C1608,'Cost Centers'!$A$2:$A$11,'Cost Centers'!$C$2:$C$11,"")</f>
        <v>Programs</v>
      </c>
      <c r="J1608" s="23">
        <f>MROUND(SUMIFS('Allocated Transactions'!$J:$J,'Allocated Transactions'!$D:$D,$E1608,'Allocated Transactions'!$C:$C,$C1608,'Allocated Transactions'!$A:$A,"&gt;="&amp;$A1608,'Allocated Transactions'!$A:$A,"&lt;="&amp;EOMONTH($A1608,0))*0.99,100)</f>
        <v>0</v>
      </c>
      <c r="K1608" s="113" t="s">
        <v>637</v>
      </c>
    </row>
    <row r="1609" spans="1:11" ht="15" customHeight="1">
      <c r="A1609" s="112">
        <f t="shared" si="102"/>
        <v>45992</v>
      </c>
      <c r="B1609" s="113">
        <v>8</v>
      </c>
      <c r="C1609" s="18" t="str">
        <f t="shared" si="105"/>
        <v>2030</v>
      </c>
      <c r="D1609" s="113" t="str">
        <f>_xlfn.XLOOKUP($C1609,'Cost Centers'!$A$2:$A$11,'Cost Centers'!$B$2:$B$11,"")</f>
        <v>Sub-Saharan Africa</v>
      </c>
      <c r="E1609" s="113" t="s">
        <v>32</v>
      </c>
      <c r="F1609" s="113" t="str">
        <f>_xlfn.XLOOKUP(E1609,'Allocated Transactions'!D:D,'Allocated Transactions'!E:E,"")</f>
        <v>Rent</v>
      </c>
      <c r="G1609" s="113" t="s">
        <v>97</v>
      </c>
      <c r="H1609" s="113"/>
      <c r="I1609" s="113" t="str">
        <f>_xlfn.XLOOKUP($C1609,'Cost Centers'!$A$2:$A$11,'Cost Centers'!$C$2:$C$11,"")</f>
        <v>Programs</v>
      </c>
      <c r="J1609" s="23">
        <f>MROUND(SUMIFS('Allocated Transactions'!$J:$J,'Allocated Transactions'!$D:$D,$E1609,'Allocated Transactions'!$C:$C,$C1609,'Allocated Transactions'!$A:$A,"&gt;="&amp;$A1609,'Allocated Transactions'!$A:$A,"&lt;="&amp;EOMONTH($A1609,0))*0.99,100)</f>
        <v>1100</v>
      </c>
      <c r="K1609" s="113" t="s">
        <v>637</v>
      </c>
    </row>
    <row r="1610" spans="1:11" ht="15" customHeight="1">
      <c r="A1610" s="112">
        <f t="shared" si="102"/>
        <v>45992</v>
      </c>
      <c r="B1610" s="113">
        <v>8</v>
      </c>
      <c r="C1610" s="18" t="str">
        <f t="shared" si="105"/>
        <v>2030</v>
      </c>
      <c r="D1610" s="113" t="str">
        <f>_xlfn.XLOOKUP($C1610,'Cost Centers'!$A$2:$A$11,'Cost Centers'!$B$2:$B$11,"")</f>
        <v>Sub-Saharan Africa</v>
      </c>
      <c r="E1610" s="113" t="s">
        <v>33</v>
      </c>
      <c r="F1610" s="113" t="str">
        <f>_xlfn.XLOOKUP(E1610,'Allocated Transactions'!D:D,'Allocated Transactions'!E:E,"")</f>
        <v>Utilities</v>
      </c>
      <c r="G1610" s="113" t="s">
        <v>97</v>
      </c>
      <c r="H1610" s="113"/>
      <c r="I1610" s="113" t="str">
        <f>_xlfn.XLOOKUP($C1610,'Cost Centers'!$A$2:$A$11,'Cost Centers'!$C$2:$C$11,"")</f>
        <v>Programs</v>
      </c>
      <c r="J1610" s="23">
        <f>MROUND(SUMIFS('Allocated Transactions'!$J:$J,'Allocated Transactions'!$D:$D,$E1610,'Allocated Transactions'!$C:$C,$C1610,'Allocated Transactions'!$A:$A,"&gt;="&amp;$A1610,'Allocated Transactions'!$A:$A,"&lt;="&amp;EOMONTH($A1610,0))*0.99,100)</f>
        <v>200</v>
      </c>
      <c r="K1610" s="113" t="s">
        <v>637</v>
      </c>
    </row>
    <row r="1611" spans="1:11" ht="15" customHeight="1">
      <c r="A1611" s="112">
        <f t="shared" si="102"/>
        <v>45992</v>
      </c>
      <c r="B1611" s="113">
        <v>8</v>
      </c>
      <c r="C1611" s="18" t="str">
        <f t="shared" si="105"/>
        <v>2030</v>
      </c>
      <c r="D1611" s="113" t="str">
        <f>_xlfn.XLOOKUP($C1611,'Cost Centers'!$A$2:$A$11,'Cost Centers'!$B$2:$B$11,"")</f>
        <v>Sub-Saharan Africa</v>
      </c>
      <c r="E1611" s="113" t="s">
        <v>105</v>
      </c>
      <c r="F1611" s="113" t="str">
        <f>_xlfn.XLOOKUP(E1611,'Allocated Transactions'!D:D,'Allocated Transactions'!E:E,"")</f>
        <v>Office Supplies</v>
      </c>
      <c r="G1611" s="113" t="s">
        <v>97</v>
      </c>
      <c r="H1611" s="113"/>
      <c r="I1611" s="113" t="str">
        <f>_xlfn.XLOOKUP($C1611,'Cost Centers'!$A$2:$A$11,'Cost Centers'!$C$2:$C$11,"")</f>
        <v>Programs</v>
      </c>
      <c r="J1611" s="23">
        <f>MROUND(SUMIFS('Allocated Transactions'!$J:$J,'Allocated Transactions'!$D:$D,$E1611,'Allocated Transactions'!$C:$C,$C1611,'Allocated Transactions'!$A:$A,"&gt;="&amp;$A1611,'Allocated Transactions'!$A:$A,"&lt;="&amp;EOMONTH($A1611,0))*0.99,100)</f>
        <v>0</v>
      </c>
      <c r="K1611" s="113" t="s">
        <v>637</v>
      </c>
    </row>
    <row r="1612" spans="1:11" ht="15" customHeight="1">
      <c r="A1612" s="112">
        <f t="shared" si="102"/>
        <v>45992</v>
      </c>
      <c r="B1612" s="113">
        <v>8</v>
      </c>
      <c r="C1612" s="18" t="str">
        <f t="shared" si="105"/>
        <v>2030</v>
      </c>
      <c r="D1612" s="113" t="str">
        <f>_xlfn.XLOOKUP($C1612,'Cost Centers'!$A$2:$A$11,'Cost Centers'!$B$2:$B$11,"")</f>
        <v>Sub-Saharan Africa</v>
      </c>
      <c r="E1612" s="113" t="s">
        <v>107</v>
      </c>
      <c r="F1612" s="113" t="str">
        <f>_xlfn.XLOOKUP(E1612,'Allocated Transactions'!D:D,'Allocated Transactions'!E:E,"")</f>
        <v>Software and Subscriptions</v>
      </c>
      <c r="G1612" s="113" t="s">
        <v>97</v>
      </c>
      <c r="H1612" s="113"/>
      <c r="I1612" s="113" t="str">
        <f>_xlfn.XLOOKUP($C1612,'Cost Centers'!$A$2:$A$11,'Cost Centers'!$C$2:$C$11,"")</f>
        <v>Programs</v>
      </c>
      <c r="J1612" s="23">
        <f>MROUND(SUMIFS('Allocated Transactions'!$J:$J,'Allocated Transactions'!$D:$D,$E1612,'Allocated Transactions'!$C:$C,$C1612,'Allocated Transactions'!$A:$A,"&gt;="&amp;$A1612,'Allocated Transactions'!$A:$A,"&lt;="&amp;EOMONTH($A1612,0))*0.99,100)</f>
        <v>0</v>
      </c>
      <c r="K1612" s="113" t="s">
        <v>637</v>
      </c>
    </row>
    <row r="1613" spans="1:11" ht="15" customHeight="1">
      <c r="A1613" s="112">
        <f t="shared" si="102"/>
        <v>45992</v>
      </c>
      <c r="B1613" s="113">
        <v>8</v>
      </c>
      <c r="C1613" s="18" t="str">
        <f t="shared" si="105"/>
        <v>2030</v>
      </c>
      <c r="D1613" s="113" t="str">
        <f>_xlfn.XLOOKUP($C1613,'Cost Centers'!$A$2:$A$11,'Cost Centers'!$B$2:$B$11,"")</f>
        <v>Sub-Saharan Africa</v>
      </c>
      <c r="E1613" s="113" t="s">
        <v>109</v>
      </c>
      <c r="F1613" s="113" t="str">
        <f>_xlfn.XLOOKUP(E1613,'Allocated Transactions'!D:D,'Allocated Transactions'!E:E,"")</f>
        <v>Travel</v>
      </c>
      <c r="G1613" s="113" t="s">
        <v>97</v>
      </c>
      <c r="H1613" s="113"/>
      <c r="I1613" s="113" t="str">
        <f>_xlfn.XLOOKUP($C1613,'Cost Centers'!$A$2:$A$11,'Cost Centers'!$C$2:$C$11,"")</f>
        <v>Programs</v>
      </c>
      <c r="J1613" s="23">
        <f>MROUND(SUMIFS('Allocated Transactions'!$J:$J,'Allocated Transactions'!$D:$D,$E1613,'Allocated Transactions'!$C:$C,$C1613,'Allocated Transactions'!$A:$A,"&gt;="&amp;$A1613,'Allocated Transactions'!$A:$A,"&lt;="&amp;EOMONTH($A1613,0))*0.99,100)</f>
        <v>0</v>
      </c>
      <c r="K1613" s="113" t="s">
        <v>637</v>
      </c>
    </row>
    <row r="1614" spans="1:11" ht="15" customHeight="1">
      <c r="A1614" s="112">
        <f t="shared" si="102"/>
        <v>45992</v>
      </c>
      <c r="B1614" s="113">
        <v>8</v>
      </c>
      <c r="C1614" s="18" t="str">
        <f t="shared" si="105"/>
        <v>2030</v>
      </c>
      <c r="D1614" s="113" t="str">
        <f>_xlfn.XLOOKUP($C1614,'Cost Centers'!$A$2:$A$11,'Cost Centers'!$B$2:$B$11,"")</f>
        <v>Sub-Saharan Africa</v>
      </c>
      <c r="E1614" s="113" t="s">
        <v>111</v>
      </c>
      <c r="F1614" s="113" t="str">
        <f>_xlfn.XLOOKUP(E1614,'Allocated Transactions'!D:D,'Allocated Transactions'!E:E,"")</f>
        <v>Meals and Entertainment</v>
      </c>
      <c r="G1614" s="113" t="s">
        <v>97</v>
      </c>
      <c r="H1614" s="113"/>
      <c r="I1614" s="113" t="str">
        <f>_xlfn.XLOOKUP($C1614,'Cost Centers'!$A$2:$A$11,'Cost Centers'!$C$2:$C$11,"")</f>
        <v>Programs</v>
      </c>
      <c r="J1614" s="23">
        <f>MROUND(SUMIFS('Allocated Transactions'!$J:$J,'Allocated Transactions'!$D:$D,$E1614,'Allocated Transactions'!$C:$C,$C1614,'Allocated Transactions'!$A:$A,"&gt;="&amp;$A1614,'Allocated Transactions'!$A:$A,"&lt;="&amp;EOMONTH($A1614,0))*0.99,100)</f>
        <v>0</v>
      </c>
      <c r="K1614" s="113" t="s">
        <v>637</v>
      </c>
    </row>
    <row r="1615" spans="1:11" ht="15" customHeight="1">
      <c r="A1615" s="112">
        <f t="shared" si="102"/>
        <v>45992</v>
      </c>
      <c r="B1615" s="113">
        <v>8</v>
      </c>
      <c r="C1615" s="18" t="str">
        <f t="shared" si="105"/>
        <v>2030</v>
      </c>
      <c r="D1615" s="113" t="str">
        <f>_xlfn.XLOOKUP($C1615,'Cost Centers'!$A$2:$A$11,'Cost Centers'!$B$2:$B$11,"")</f>
        <v>Sub-Saharan Africa</v>
      </c>
      <c r="E1615" s="113" t="s">
        <v>113</v>
      </c>
      <c r="F1615" s="113" t="str">
        <f>_xlfn.XLOOKUP(E1615,'Allocated Transactions'!D:D,'Allocated Transactions'!E:E,"")</f>
        <v>Professional Fees - Legal</v>
      </c>
      <c r="G1615" s="113" t="s">
        <v>97</v>
      </c>
      <c r="H1615" s="113"/>
      <c r="I1615" s="113" t="str">
        <f>_xlfn.XLOOKUP($C1615,'Cost Centers'!$A$2:$A$11,'Cost Centers'!$C$2:$C$11,"")</f>
        <v>Programs</v>
      </c>
      <c r="J1615" s="23">
        <f>MROUND(SUMIFS('Allocated Transactions'!$J:$J,'Allocated Transactions'!$D:$D,$E1615,'Allocated Transactions'!$C:$C,$C1615,'Allocated Transactions'!$A:$A,"&gt;="&amp;$A1615,'Allocated Transactions'!$A:$A,"&lt;="&amp;EOMONTH($A1615,0))*0.99,100)</f>
        <v>0</v>
      </c>
      <c r="K1615" s="113" t="s">
        <v>637</v>
      </c>
    </row>
    <row r="1616" spans="1:11" ht="15" customHeight="1">
      <c r="A1616" s="112">
        <f t="shared" si="102"/>
        <v>45992</v>
      </c>
      <c r="B1616" s="113">
        <v>8</v>
      </c>
      <c r="C1616" s="18" t="str">
        <f t="shared" si="105"/>
        <v>2030</v>
      </c>
      <c r="D1616" s="113" t="str">
        <f>_xlfn.XLOOKUP($C1616,'Cost Centers'!$A$2:$A$11,'Cost Centers'!$B$2:$B$11,"")</f>
        <v>Sub-Saharan Africa</v>
      </c>
      <c r="E1616" s="113" t="s">
        <v>115</v>
      </c>
      <c r="F1616" s="113" t="str">
        <f>_xlfn.XLOOKUP(E1616,'Allocated Transactions'!D:D,'Allocated Transactions'!E:E,"")</f>
        <v>Professional Fees - Accounting/Audit</v>
      </c>
      <c r="G1616" s="113" t="s">
        <v>97</v>
      </c>
      <c r="H1616" s="113"/>
      <c r="I1616" s="113" t="str">
        <f>_xlfn.XLOOKUP($C1616,'Cost Centers'!$A$2:$A$11,'Cost Centers'!$C$2:$C$11,"")</f>
        <v>Programs</v>
      </c>
      <c r="J1616" s="23">
        <f>MROUND(SUMIFS('Allocated Transactions'!$J:$J,'Allocated Transactions'!$D:$D,$E1616,'Allocated Transactions'!$C:$C,$C1616,'Allocated Transactions'!$A:$A,"&gt;="&amp;$A1616,'Allocated Transactions'!$A:$A,"&lt;="&amp;EOMONTH($A1616,0))*0.99,100)</f>
        <v>0</v>
      </c>
      <c r="K1616" s="113" t="s">
        <v>637</v>
      </c>
    </row>
    <row r="1617" spans="1:11" ht="15" customHeight="1">
      <c r="A1617" s="112">
        <f t="shared" si="102"/>
        <v>45992</v>
      </c>
      <c r="B1617" s="113">
        <v>8</v>
      </c>
      <c r="C1617" s="18" t="str">
        <f t="shared" si="105"/>
        <v>2030</v>
      </c>
      <c r="D1617" s="113" t="str">
        <f>_xlfn.XLOOKUP($C1617,'Cost Centers'!$A$2:$A$11,'Cost Centers'!$B$2:$B$11,"")</f>
        <v>Sub-Saharan Africa</v>
      </c>
      <c r="E1617" s="113" t="s">
        <v>117</v>
      </c>
      <c r="F1617" s="113" t="str">
        <f>_xlfn.XLOOKUP(E1617,'Allocated Transactions'!D:D,'Allocated Transactions'!E:E,"")</f>
        <v>Insurance</v>
      </c>
      <c r="G1617" s="113" t="s">
        <v>97</v>
      </c>
      <c r="H1617" s="113"/>
      <c r="I1617" s="113" t="str">
        <f>_xlfn.XLOOKUP($C1617,'Cost Centers'!$A$2:$A$11,'Cost Centers'!$C$2:$C$11,"")</f>
        <v>Programs</v>
      </c>
      <c r="J1617" s="23">
        <f>MROUND(SUMIFS('Allocated Transactions'!$J:$J,'Allocated Transactions'!$D:$D,$E1617,'Allocated Transactions'!$C:$C,$C1617,'Allocated Transactions'!$A:$A,"&gt;="&amp;$A1617,'Allocated Transactions'!$A:$A,"&lt;="&amp;EOMONTH($A1617,0))*0.99,100)</f>
        <v>100</v>
      </c>
      <c r="K1617" s="113" t="s">
        <v>637</v>
      </c>
    </row>
    <row r="1618" spans="1:11" ht="15" customHeight="1">
      <c r="A1618" s="112">
        <f t="shared" si="102"/>
        <v>45992</v>
      </c>
      <c r="B1618" s="113">
        <v>8</v>
      </c>
      <c r="C1618" s="18" t="str">
        <f t="shared" si="105"/>
        <v>2030</v>
      </c>
      <c r="D1618" s="113" t="str">
        <f>_xlfn.XLOOKUP($C1618,'Cost Centers'!$A$2:$A$11,'Cost Centers'!$B$2:$B$11,"")</f>
        <v>Sub-Saharan Africa</v>
      </c>
      <c r="E1618" s="113" t="s">
        <v>119</v>
      </c>
      <c r="F1618" s="113" t="str">
        <f>_xlfn.XLOOKUP(E1618,'Allocated Transactions'!D:D,'Allocated Transactions'!E:E,"")</f>
        <v>Depreciation Expense</v>
      </c>
      <c r="G1618" s="113" t="s">
        <v>97</v>
      </c>
      <c r="H1618" s="113"/>
      <c r="I1618" s="113" t="str">
        <f>_xlfn.XLOOKUP($C1618,'Cost Centers'!$A$2:$A$11,'Cost Centers'!$C$2:$C$11,"")</f>
        <v>Programs</v>
      </c>
      <c r="J1618" s="23">
        <f>MROUND(SUMIFS('Allocated Transactions'!$J:$J,'Allocated Transactions'!$D:$D,$E1618,'Allocated Transactions'!$C:$C,$C1618,'Allocated Transactions'!$A:$A,"&gt;="&amp;$A1618,'Allocated Transactions'!$A:$A,"&lt;="&amp;EOMONTH($A1618,0))*0.99,100)</f>
        <v>0</v>
      </c>
      <c r="K1618" s="113" t="s">
        <v>637</v>
      </c>
    </row>
    <row r="1619" spans="1:11" ht="15" customHeight="1">
      <c r="A1619" s="112">
        <f t="shared" si="102"/>
        <v>45992</v>
      </c>
      <c r="B1619" s="113">
        <v>8</v>
      </c>
      <c r="C1619" s="18" t="str">
        <f t="shared" si="105"/>
        <v>2030</v>
      </c>
      <c r="D1619" s="113" t="str">
        <f>_xlfn.XLOOKUP($C1619,'Cost Centers'!$A$2:$A$11,'Cost Centers'!$B$2:$B$11,"")</f>
        <v>Sub-Saharan Africa</v>
      </c>
      <c r="E1619" s="113" t="s">
        <v>121</v>
      </c>
      <c r="F1619" s="113" t="str">
        <f>_xlfn.XLOOKUP(E1619,'Allocated Transactions'!D:D,'Allocated Transactions'!E:E,"")</f>
        <v>Bank Fees</v>
      </c>
      <c r="G1619" s="113" t="s">
        <v>97</v>
      </c>
      <c r="H1619" s="113"/>
      <c r="I1619" s="113" t="str">
        <f>_xlfn.XLOOKUP($C1619,'Cost Centers'!$A$2:$A$11,'Cost Centers'!$C$2:$C$11,"")</f>
        <v>Programs</v>
      </c>
      <c r="J1619" s="23">
        <f>MROUND(SUMIFS('Allocated Transactions'!$J:$J,'Allocated Transactions'!$D:$D,$E1619,'Allocated Transactions'!$C:$C,$C1619,'Allocated Transactions'!$A:$A,"&gt;="&amp;$A1619,'Allocated Transactions'!$A:$A,"&lt;="&amp;EOMONTH($A1619,0))*0.99,100)</f>
        <v>0</v>
      </c>
      <c r="K1619" s="113" t="s">
        <v>637</v>
      </c>
    </row>
    <row r="1620" spans="1:11" ht="15" customHeight="1">
      <c r="A1620" s="112">
        <f t="shared" si="102"/>
        <v>45992</v>
      </c>
      <c r="B1620" s="113">
        <v>8</v>
      </c>
      <c r="C1620" s="18" t="str">
        <f t="shared" si="105"/>
        <v>2030</v>
      </c>
      <c r="D1620" s="113" t="str">
        <f>_xlfn.XLOOKUP($C1620,'Cost Centers'!$A$2:$A$11,'Cost Centers'!$B$2:$B$11,"")</f>
        <v>Sub-Saharan Africa</v>
      </c>
      <c r="E1620" s="113" t="s">
        <v>123</v>
      </c>
      <c r="F1620" s="113" t="str">
        <f>_xlfn.XLOOKUP(E1620,'Allocated Transactions'!D:D,'Allocated Transactions'!E:E,"")</f>
        <v>Interest Expense</v>
      </c>
      <c r="G1620" s="113" t="s">
        <v>97</v>
      </c>
      <c r="H1620" s="113"/>
      <c r="I1620" s="113" t="str">
        <f>_xlfn.XLOOKUP($C1620,'Cost Centers'!$A$2:$A$11,'Cost Centers'!$C$2:$C$11,"")</f>
        <v>Programs</v>
      </c>
      <c r="J1620" s="23">
        <f>MROUND(SUMIFS('Allocated Transactions'!$J:$J,'Allocated Transactions'!$D:$D,$E1620,'Allocated Transactions'!$C:$C,$C1620,'Allocated Transactions'!$A:$A,"&gt;="&amp;$A1620,'Allocated Transactions'!$A:$A,"&lt;="&amp;EOMONTH($A1620,0))*0.99,100)</f>
        <v>0</v>
      </c>
      <c r="K1620" s="113" t="s">
        <v>637</v>
      </c>
    </row>
    <row r="1621" spans="1:11" ht="15" customHeight="1">
      <c r="A1621" s="112">
        <f t="shared" si="102"/>
        <v>45992</v>
      </c>
      <c r="B1621" s="113">
        <v>8</v>
      </c>
      <c r="C1621" s="18" t="str">
        <f t="shared" si="105"/>
        <v>2030</v>
      </c>
      <c r="D1621" s="113" t="str">
        <f>_xlfn.XLOOKUP($C1621,'Cost Centers'!$A$2:$A$11,'Cost Centers'!$B$2:$B$11,"")</f>
        <v>Sub-Saharan Africa</v>
      </c>
      <c r="E1621" s="113" t="s">
        <v>125</v>
      </c>
      <c r="F1621" s="113" t="str">
        <f>_xlfn.XLOOKUP(E1621,'Allocated Transactions'!D:D,'Allocated Transactions'!E:E,"")</f>
        <v>Miscellaneous Expense</v>
      </c>
      <c r="G1621" s="113" t="s">
        <v>97</v>
      </c>
      <c r="H1621" s="113"/>
      <c r="I1621" s="113" t="str">
        <f>_xlfn.XLOOKUP($C1621,'Cost Centers'!$A$2:$A$11,'Cost Centers'!$C$2:$C$11,"")</f>
        <v>Programs</v>
      </c>
      <c r="J1621" s="23">
        <f>MROUND(SUMIFS('Allocated Transactions'!$J:$J,'Allocated Transactions'!$D:$D,$E1621,'Allocated Transactions'!$C:$C,$C1621,'Allocated Transactions'!$A:$A,"&gt;="&amp;$A1621,'Allocated Transactions'!$A:$A,"&lt;="&amp;EOMONTH($A1621,0))*0.99,100)</f>
        <v>0</v>
      </c>
      <c r="K1621" s="113" t="s">
        <v>637</v>
      </c>
    </row>
    <row r="1622" spans="1:11" ht="15" customHeight="1">
      <c r="A1622" s="112">
        <f t="shared" si="102"/>
        <v>46023</v>
      </c>
      <c r="B1622" s="113">
        <v>8</v>
      </c>
      <c r="C1622" s="18" t="s">
        <v>16</v>
      </c>
      <c r="D1622" s="113" t="str">
        <f>_xlfn.XLOOKUP($C1622,'Cost Centers'!$A$2:$A$11,'Cost Centers'!$B$2:$B$11,"")</f>
        <v>Sub-Saharan Africa</v>
      </c>
      <c r="E1622" s="113" t="s">
        <v>28</v>
      </c>
      <c r="F1622" s="113" t="str">
        <f>_xlfn.XLOOKUP(E1622,'Allocated Transactions'!D:D,'Allocated Transactions'!E:E,"")</f>
        <v>Salaries and Wages</v>
      </c>
      <c r="G1622" s="113" t="s">
        <v>97</v>
      </c>
      <c r="H1622" s="113"/>
      <c r="I1622" s="113" t="str">
        <f>_xlfn.XLOOKUP($C1622,'Cost Centers'!$A$2:$A$11,'Cost Centers'!$C$2:$C$11,"")</f>
        <v>Programs</v>
      </c>
      <c r="J1622" s="23">
        <f>MROUND(SUMIFS('Allocated Transactions'!$J:$J,'Allocated Transactions'!$D:$D,$E1622,'Allocated Transactions'!$C:$C,$C1622,'Allocated Transactions'!$A:$A,"&gt;="&amp;$A1622,'Allocated Transactions'!$A:$A,"&lt;="&amp;EOMONTH($A1622,0))*0.99,100)</f>
        <v>14900</v>
      </c>
      <c r="K1622" s="113" t="s">
        <v>637</v>
      </c>
    </row>
    <row r="1623" spans="1:11" ht="15" customHeight="1">
      <c r="A1623" s="112">
        <f t="shared" si="102"/>
        <v>46023</v>
      </c>
      <c r="B1623" s="113">
        <v>8</v>
      </c>
      <c r="C1623" s="18" t="str">
        <f t="shared" ref="C1623:C1639" si="106">C1622</f>
        <v>2030</v>
      </c>
      <c r="D1623" s="113" t="str">
        <f>_xlfn.XLOOKUP($C1623,'Cost Centers'!$A$2:$A$11,'Cost Centers'!$B$2:$B$11,"")</f>
        <v>Sub-Saharan Africa</v>
      </c>
      <c r="E1623" s="113" t="s">
        <v>29</v>
      </c>
      <c r="F1623" s="113" t="str">
        <f>_xlfn.XLOOKUP(E1623,'Allocated Transactions'!D:D,'Allocated Transactions'!E:E,"")</f>
        <v>Payroll Taxes</v>
      </c>
      <c r="G1623" s="113" t="s">
        <v>97</v>
      </c>
      <c r="H1623" s="113"/>
      <c r="I1623" s="113" t="str">
        <f>_xlfn.XLOOKUP($C1623,'Cost Centers'!$A$2:$A$11,'Cost Centers'!$C$2:$C$11,"")</f>
        <v>Programs</v>
      </c>
      <c r="J1623" s="23">
        <f>MROUND(SUMIFS('Allocated Transactions'!$J:$J,'Allocated Transactions'!$D:$D,$E1623,'Allocated Transactions'!$C:$C,$C1623,'Allocated Transactions'!$A:$A,"&gt;="&amp;$A1623,'Allocated Transactions'!$A:$A,"&lt;="&amp;EOMONTH($A1623,0))*0.99,100)</f>
        <v>1100</v>
      </c>
      <c r="K1623" s="113" t="s">
        <v>637</v>
      </c>
    </row>
    <row r="1624" spans="1:11" ht="15" customHeight="1">
      <c r="A1624" s="112">
        <f t="shared" si="102"/>
        <v>46023</v>
      </c>
      <c r="B1624" s="113">
        <v>8</v>
      </c>
      <c r="C1624" s="18" t="str">
        <f t="shared" si="106"/>
        <v>2030</v>
      </c>
      <c r="D1624" s="113" t="str">
        <f>_xlfn.XLOOKUP($C1624,'Cost Centers'!$A$2:$A$11,'Cost Centers'!$B$2:$B$11,"")</f>
        <v>Sub-Saharan Africa</v>
      </c>
      <c r="E1624" s="113" t="s">
        <v>30</v>
      </c>
      <c r="F1624" s="113" t="str">
        <f>_xlfn.XLOOKUP(E1624,'Allocated Transactions'!D:D,'Allocated Transactions'!E:E,"")</f>
        <v>Employee Benefits</v>
      </c>
      <c r="G1624" s="113" t="s">
        <v>97</v>
      </c>
      <c r="H1624" s="113"/>
      <c r="I1624" s="113" t="str">
        <f>_xlfn.XLOOKUP($C1624,'Cost Centers'!$A$2:$A$11,'Cost Centers'!$C$2:$C$11,"")</f>
        <v>Programs</v>
      </c>
      <c r="J1624" s="23">
        <f>MROUND(SUMIFS('Allocated Transactions'!$J:$J,'Allocated Transactions'!$D:$D,$E1624,'Allocated Transactions'!$C:$C,$C1624,'Allocated Transactions'!$A:$A,"&gt;="&amp;$A1624,'Allocated Transactions'!$A:$A,"&lt;="&amp;EOMONTH($A1624,0))*0.99,100)</f>
        <v>5000</v>
      </c>
      <c r="K1624" s="113" t="s">
        <v>637</v>
      </c>
    </row>
    <row r="1625" spans="1:11" ht="15" customHeight="1">
      <c r="A1625" s="112">
        <f t="shared" ref="A1625:A1688" si="107">IF(C1625&lt;&gt;C1624,DATE(2025,7,1),IF(E1625="5000",EOMONTH(A1624,0)+1,A1624))</f>
        <v>46023</v>
      </c>
      <c r="B1625" s="113">
        <v>8</v>
      </c>
      <c r="C1625" s="18" t="str">
        <f t="shared" si="106"/>
        <v>2030</v>
      </c>
      <c r="D1625" s="113" t="str">
        <f>_xlfn.XLOOKUP($C1625,'Cost Centers'!$A$2:$A$11,'Cost Centers'!$B$2:$B$11,"")</f>
        <v>Sub-Saharan Africa</v>
      </c>
      <c r="E1625" s="113" t="s">
        <v>31</v>
      </c>
      <c r="F1625" s="113" t="str">
        <f>_xlfn.XLOOKUP(E1625,'Allocated Transactions'!D:D,'Allocated Transactions'!E:E,"")</f>
        <v>Retirement Contributions</v>
      </c>
      <c r="G1625" s="113" t="s">
        <v>97</v>
      </c>
      <c r="H1625" s="113"/>
      <c r="I1625" s="113" t="str">
        <f>_xlfn.XLOOKUP($C1625,'Cost Centers'!$A$2:$A$11,'Cost Centers'!$C$2:$C$11,"")</f>
        <v>Programs</v>
      </c>
      <c r="J1625" s="23">
        <f>MROUND(SUMIFS('Allocated Transactions'!$J:$J,'Allocated Transactions'!$D:$D,$E1625,'Allocated Transactions'!$C:$C,$C1625,'Allocated Transactions'!$A:$A,"&gt;="&amp;$A1625,'Allocated Transactions'!$A:$A,"&lt;="&amp;EOMONTH($A1625,0))*0.99,100)</f>
        <v>400</v>
      </c>
      <c r="K1625" s="113" t="s">
        <v>637</v>
      </c>
    </row>
    <row r="1626" spans="1:11" ht="15" customHeight="1">
      <c r="A1626" s="112">
        <f t="shared" si="107"/>
        <v>46023</v>
      </c>
      <c r="B1626" s="113">
        <v>8</v>
      </c>
      <c r="C1626" s="18" t="str">
        <f t="shared" si="106"/>
        <v>2030</v>
      </c>
      <c r="D1626" s="113" t="str">
        <f>_xlfn.XLOOKUP($C1626,'Cost Centers'!$A$2:$A$11,'Cost Centers'!$B$2:$B$11,"")</f>
        <v>Sub-Saharan Africa</v>
      </c>
      <c r="E1626" s="113" t="s">
        <v>101</v>
      </c>
      <c r="F1626" s="113" t="str">
        <f>_xlfn.XLOOKUP(E1626,'Allocated Transactions'!D:D,'Allocated Transactions'!E:E,"")</f>
        <v>Contract Labor / Consultants</v>
      </c>
      <c r="G1626" s="113" t="s">
        <v>97</v>
      </c>
      <c r="H1626" s="113"/>
      <c r="I1626" s="113" t="str">
        <f>_xlfn.XLOOKUP($C1626,'Cost Centers'!$A$2:$A$11,'Cost Centers'!$C$2:$C$11,"")</f>
        <v>Programs</v>
      </c>
      <c r="J1626" s="23">
        <f>MROUND(SUMIFS('Allocated Transactions'!$J:$J,'Allocated Transactions'!$D:$D,$E1626,'Allocated Transactions'!$C:$C,$C1626,'Allocated Transactions'!$A:$A,"&gt;="&amp;$A1626,'Allocated Transactions'!$A:$A,"&lt;="&amp;EOMONTH($A1626,0))*0.99,100)</f>
        <v>0</v>
      </c>
      <c r="K1626" s="113" t="s">
        <v>637</v>
      </c>
    </row>
    <row r="1627" spans="1:11" ht="15" customHeight="1">
      <c r="A1627" s="112">
        <f t="shared" si="107"/>
        <v>46023</v>
      </c>
      <c r="B1627" s="113">
        <v>8</v>
      </c>
      <c r="C1627" s="18" t="str">
        <f t="shared" si="106"/>
        <v>2030</v>
      </c>
      <c r="D1627" s="113" t="str">
        <f>_xlfn.XLOOKUP($C1627,'Cost Centers'!$A$2:$A$11,'Cost Centers'!$B$2:$B$11,"")</f>
        <v>Sub-Saharan Africa</v>
      </c>
      <c r="E1627" s="113" t="s">
        <v>32</v>
      </c>
      <c r="F1627" s="113" t="str">
        <f>_xlfn.XLOOKUP(E1627,'Allocated Transactions'!D:D,'Allocated Transactions'!E:E,"")</f>
        <v>Rent</v>
      </c>
      <c r="G1627" s="113" t="s">
        <v>97</v>
      </c>
      <c r="H1627" s="113"/>
      <c r="I1627" s="113" t="str">
        <f>_xlfn.XLOOKUP($C1627,'Cost Centers'!$A$2:$A$11,'Cost Centers'!$C$2:$C$11,"")</f>
        <v>Programs</v>
      </c>
      <c r="J1627" s="23">
        <f>MROUND(SUMIFS('Allocated Transactions'!$J:$J,'Allocated Transactions'!$D:$D,$E1627,'Allocated Transactions'!$C:$C,$C1627,'Allocated Transactions'!$A:$A,"&gt;="&amp;$A1627,'Allocated Transactions'!$A:$A,"&lt;="&amp;EOMONTH($A1627,0))*0.99,100)</f>
        <v>1200</v>
      </c>
      <c r="K1627" s="113" t="s">
        <v>637</v>
      </c>
    </row>
    <row r="1628" spans="1:11" ht="15" customHeight="1">
      <c r="A1628" s="112">
        <f t="shared" si="107"/>
        <v>46023</v>
      </c>
      <c r="B1628" s="113">
        <v>8</v>
      </c>
      <c r="C1628" s="18" t="str">
        <f t="shared" si="106"/>
        <v>2030</v>
      </c>
      <c r="D1628" s="113" t="str">
        <f>_xlfn.XLOOKUP($C1628,'Cost Centers'!$A$2:$A$11,'Cost Centers'!$B$2:$B$11,"")</f>
        <v>Sub-Saharan Africa</v>
      </c>
      <c r="E1628" s="113" t="s">
        <v>33</v>
      </c>
      <c r="F1628" s="113" t="str">
        <f>_xlfn.XLOOKUP(E1628,'Allocated Transactions'!D:D,'Allocated Transactions'!E:E,"")</f>
        <v>Utilities</v>
      </c>
      <c r="G1628" s="113" t="s">
        <v>97</v>
      </c>
      <c r="H1628" s="113"/>
      <c r="I1628" s="113" t="str">
        <f>_xlfn.XLOOKUP($C1628,'Cost Centers'!$A$2:$A$11,'Cost Centers'!$C$2:$C$11,"")</f>
        <v>Programs</v>
      </c>
      <c r="J1628" s="23">
        <f>MROUND(SUMIFS('Allocated Transactions'!$J:$J,'Allocated Transactions'!$D:$D,$E1628,'Allocated Transactions'!$C:$C,$C1628,'Allocated Transactions'!$A:$A,"&gt;="&amp;$A1628,'Allocated Transactions'!$A:$A,"&lt;="&amp;EOMONTH($A1628,0))*0.99,100)</f>
        <v>200</v>
      </c>
      <c r="K1628" s="113" t="s">
        <v>637</v>
      </c>
    </row>
    <row r="1629" spans="1:11" ht="15" customHeight="1">
      <c r="A1629" s="112">
        <f t="shared" si="107"/>
        <v>46023</v>
      </c>
      <c r="B1629" s="113">
        <v>8</v>
      </c>
      <c r="C1629" s="18" t="str">
        <f t="shared" si="106"/>
        <v>2030</v>
      </c>
      <c r="D1629" s="113" t="str">
        <f>_xlfn.XLOOKUP($C1629,'Cost Centers'!$A$2:$A$11,'Cost Centers'!$B$2:$B$11,"")</f>
        <v>Sub-Saharan Africa</v>
      </c>
      <c r="E1629" s="113" t="s">
        <v>105</v>
      </c>
      <c r="F1629" s="113" t="str">
        <f>_xlfn.XLOOKUP(E1629,'Allocated Transactions'!D:D,'Allocated Transactions'!E:E,"")</f>
        <v>Office Supplies</v>
      </c>
      <c r="G1629" s="113" t="s">
        <v>97</v>
      </c>
      <c r="H1629" s="113"/>
      <c r="I1629" s="113" t="str">
        <f>_xlfn.XLOOKUP($C1629,'Cost Centers'!$A$2:$A$11,'Cost Centers'!$C$2:$C$11,"")</f>
        <v>Programs</v>
      </c>
      <c r="J1629" s="23">
        <f>MROUND(SUMIFS('Allocated Transactions'!$J:$J,'Allocated Transactions'!$D:$D,$E1629,'Allocated Transactions'!$C:$C,$C1629,'Allocated Transactions'!$A:$A,"&gt;="&amp;$A1629,'Allocated Transactions'!$A:$A,"&lt;="&amp;EOMONTH($A1629,0))*0.99,100)</f>
        <v>1400</v>
      </c>
      <c r="K1629" s="113" t="s">
        <v>637</v>
      </c>
    </row>
    <row r="1630" spans="1:11" ht="15" customHeight="1">
      <c r="A1630" s="112">
        <f t="shared" si="107"/>
        <v>46023</v>
      </c>
      <c r="B1630" s="113">
        <v>8</v>
      </c>
      <c r="C1630" s="18" t="str">
        <f t="shared" si="106"/>
        <v>2030</v>
      </c>
      <c r="D1630" s="113" t="str">
        <f>_xlfn.XLOOKUP($C1630,'Cost Centers'!$A$2:$A$11,'Cost Centers'!$B$2:$B$11,"")</f>
        <v>Sub-Saharan Africa</v>
      </c>
      <c r="E1630" s="113" t="s">
        <v>107</v>
      </c>
      <c r="F1630" s="113" t="str">
        <f>_xlfn.XLOOKUP(E1630,'Allocated Transactions'!D:D,'Allocated Transactions'!E:E,"")</f>
        <v>Software and Subscriptions</v>
      </c>
      <c r="G1630" s="113" t="s">
        <v>97</v>
      </c>
      <c r="H1630" s="113"/>
      <c r="I1630" s="113" t="str">
        <f>_xlfn.XLOOKUP($C1630,'Cost Centers'!$A$2:$A$11,'Cost Centers'!$C$2:$C$11,"")</f>
        <v>Programs</v>
      </c>
      <c r="J1630" s="23">
        <f>MROUND(SUMIFS('Allocated Transactions'!$J:$J,'Allocated Transactions'!$D:$D,$E1630,'Allocated Transactions'!$C:$C,$C1630,'Allocated Transactions'!$A:$A,"&gt;="&amp;$A1630,'Allocated Transactions'!$A:$A,"&lt;="&amp;EOMONTH($A1630,0))*0.99,100)</f>
        <v>0</v>
      </c>
      <c r="K1630" s="113" t="s">
        <v>637</v>
      </c>
    </row>
    <row r="1631" spans="1:11" ht="15" customHeight="1">
      <c r="A1631" s="112">
        <f t="shared" si="107"/>
        <v>46023</v>
      </c>
      <c r="B1631" s="113">
        <v>8</v>
      </c>
      <c r="C1631" s="18" t="str">
        <f t="shared" si="106"/>
        <v>2030</v>
      </c>
      <c r="D1631" s="113" t="str">
        <f>_xlfn.XLOOKUP($C1631,'Cost Centers'!$A$2:$A$11,'Cost Centers'!$B$2:$B$11,"")</f>
        <v>Sub-Saharan Africa</v>
      </c>
      <c r="E1631" s="113" t="s">
        <v>109</v>
      </c>
      <c r="F1631" s="113" t="str">
        <f>_xlfn.XLOOKUP(E1631,'Allocated Transactions'!D:D,'Allocated Transactions'!E:E,"")</f>
        <v>Travel</v>
      </c>
      <c r="G1631" s="113" t="s">
        <v>97</v>
      </c>
      <c r="H1631" s="113"/>
      <c r="I1631" s="113" t="str">
        <f>_xlfn.XLOOKUP($C1631,'Cost Centers'!$A$2:$A$11,'Cost Centers'!$C$2:$C$11,"")</f>
        <v>Programs</v>
      </c>
      <c r="J1631" s="23">
        <f>MROUND(SUMIFS('Allocated Transactions'!$J:$J,'Allocated Transactions'!$D:$D,$E1631,'Allocated Transactions'!$C:$C,$C1631,'Allocated Transactions'!$A:$A,"&gt;="&amp;$A1631,'Allocated Transactions'!$A:$A,"&lt;="&amp;EOMONTH($A1631,0))*0.99,100)</f>
        <v>3100</v>
      </c>
      <c r="K1631" s="113" t="s">
        <v>637</v>
      </c>
    </row>
    <row r="1632" spans="1:11" ht="15" customHeight="1">
      <c r="A1632" s="112">
        <f t="shared" si="107"/>
        <v>46023</v>
      </c>
      <c r="B1632" s="113">
        <v>8</v>
      </c>
      <c r="C1632" s="18" t="str">
        <f t="shared" si="106"/>
        <v>2030</v>
      </c>
      <c r="D1632" s="113" t="str">
        <f>_xlfn.XLOOKUP($C1632,'Cost Centers'!$A$2:$A$11,'Cost Centers'!$B$2:$B$11,"")</f>
        <v>Sub-Saharan Africa</v>
      </c>
      <c r="E1632" s="113" t="s">
        <v>111</v>
      </c>
      <c r="F1632" s="113" t="str">
        <f>_xlfn.XLOOKUP(E1632,'Allocated Transactions'!D:D,'Allocated Transactions'!E:E,"")</f>
        <v>Meals and Entertainment</v>
      </c>
      <c r="G1632" s="113" t="s">
        <v>97</v>
      </c>
      <c r="H1632" s="113"/>
      <c r="I1632" s="113" t="str">
        <f>_xlfn.XLOOKUP($C1632,'Cost Centers'!$A$2:$A$11,'Cost Centers'!$C$2:$C$11,"")</f>
        <v>Programs</v>
      </c>
      <c r="J1632" s="23">
        <f>MROUND(SUMIFS('Allocated Transactions'!$J:$J,'Allocated Transactions'!$D:$D,$E1632,'Allocated Transactions'!$C:$C,$C1632,'Allocated Transactions'!$A:$A,"&gt;="&amp;$A1632,'Allocated Transactions'!$A:$A,"&lt;="&amp;EOMONTH($A1632,0))*0.99,100)</f>
        <v>600</v>
      </c>
      <c r="K1632" s="113" t="s">
        <v>637</v>
      </c>
    </row>
    <row r="1633" spans="1:11" ht="15" customHeight="1">
      <c r="A1633" s="112">
        <f t="shared" si="107"/>
        <v>46023</v>
      </c>
      <c r="B1633" s="113">
        <v>8</v>
      </c>
      <c r="C1633" s="18" t="str">
        <f t="shared" si="106"/>
        <v>2030</v>
      </c>
      <c r="D1633" s="113" t="str">
        <f>_xlfn.XLOOKUP($C1633,'Cost Centers'!$A$2:$A$11,'Cost Centers'!$B$2:$B$11,"")</f>
        <v>Sub-Saharan Africa</v>
      </c>
      <c r="E1633" s="113" t="s">
        <v>113</v>
      </c>
      <c r="F1633" s="113" t="str">
        <f>_xlfn.XLOOKUP(E1633,'Allocated Transactions'!D:D,'Allocated Transactions'!E:E,"")</f>
        <v>Professional Fees - Legal</v>
      </c>
      <c r="G1633" s="113" t="s">
        <v>97</v>
      </c>
      <c r="H1633" s="113"/>
      <c r="I1633" s="113" t="str">
        <f>_xlfn.XLOOKUP($C1633,'Cost Centers'!$A$2:$A$11,'Cost Centers'!$C$2:$C$11,"")</f>
        <v>Programs</v>
      </c>
      <c r="J1633" s="23">
        <f>MROUND(SUMIFS('Allocated Transactions'!$J:$J,'Allocated Transactions'!$D:$D,$E1633,'Allocated Transactions'!$C:$C,$C1633,'Allocated Transactions'!$A:$A,"&gt;="&amp;$A1633,'Allocated Transactions'!$A:$A,"&lt;="&amp;EOMONTH($A1633,0))*0.99,100)</f>
        <v>0</v>
      </c>
      <c r="K1633" s="113" t="s">
        <v>637</v>
      </c>
    </row>
    <row r="1634" spans="1:11" ht="15" customHeight="1">
      <c r="A1634" s="112">
        <f t="shared" si="107"/>
        <v>46023</v>
      </c>
      <c r="B1634" s="113">
        <v>8</v>
      </c>
      <c r="C1634" s="18" t="str">
        <f t="shared" si="106"/>
        <v>2030</v>
      </c>
      <c r="D1634" s="113" t="str">
        <f>_xlfn.XLOOKUP($C1634,'Cost Centers'!$A$2:$A$11,'Cost Centers'!$B$2:$B$11,"")</f>
        <v>Sub-Saharan Africa</v>
      </c>
      <c r="E1634" s="113" t="s">
        <v>115</v>
      </c>
      <c r="F1634" s="113" t="str">
        <f>_xlfn.XLOOKUP(E1634,'Allocated Transactions'!D:D,'Allocated Transactions'!E:E,"")</f>
        <v>Professional Fees - Accounting/Audit</v>
      </c>
      <c r="G1634" s="113" t="s">
        <v>97</v>
      </c>
      <c r="H1634" s="113"/>
      <c r="I1634" s="113" t="str">
        <f>_xlfn.XLOOKUP($C1634,'Cost Centers'!$A$2:$A$11,'Cost Centers'!$C$2:$C$11,"")</f>
        <v>Programs</v>
      </c>
      <c r="J1634" s="23">
        <f>MROUND(SUMIFS('Allocated Transactions'!$J:$J,'Allocated Transactions'!$D:$D,$E1634,'Allocated Transactions'!$C:$C,$C1634,'Allocated Transactions'!$A:$A,"&gt;="&amp;$A1634,'Allocated Transactions'!$A:$A,"&lt;="&amp;EOMONTH($A1634,0))*0.99,100)</f>
        <v>0</v>
      </c>
      <c r="K1634" s="113" t="s">
        <v>637</v>
      </c>
    </row>
    <row r="1635" spans="1:11" ht="15" customHeight="1">
      <c r="A1635" s="112">
        <f t="shared" si="107"/>
        <v>46023</v>
      </c>
      <c r="B1635" s="113">
        <v>8</v>
      </c>
      <c r="C1635" s="18" t="str">
        <f t="shared" si="106"/>
        <v>2030</v>
      </c>
      <c r="D1635" s="113" t="str">
        <f>_xlfn.XLOOKUP($C1635,'Cost Centers'!$A$2:$A$11,'Cost Centers'!$B$2:$B$11,"")</f>
        <v>Sub-Saharan Africa</v>
      </c>
      <c r="E1635" s="113" t="s">
        <v>117</v>
      </c>
      <c r="F1635" s="113" t="str">
        <f>_xlfn.XLOOKUP(E1635,'Allocated Transactions'!D:D,'Allocated Transactions'!E:E,"")</f>
        <v>Insurance</v>
      </c>
      <c r="G1635" s="113" t="s">
        <v>97</v>
      </c>
      <c r="H1635" s="113"/>
      <c r="I1635" s="113" t="str">
        <f>_xlfn.XLOOKUP($C1635,'Cost Centers'!$A$2:$A$11,'Cost Centers'!$C$2:$C$11,"")</f>
        <v>Programs</v>
      </c>
      <c r="J1635" s="23">
        <f>MROUND(SUMIFS('Allocated Transactions'!$J:$J,'Allocated Transactions'!$D:$D,$E1635,'Allocated Transactions'!$C:$C,$C1635,'Allocated Transactions'!$A:$A,"&gt;="&amp;$A1635,'Allocated Transactions'!$A:$A,"&lt;="&amp;EOMONTH($A1635,0))*0.99,100)</f>
        <v>100</v>
      </c>
      <c r="K1635" s="113" t="s">
        <v>637</v>
      </c>
    </row>
    <row r="1636" spans="1:11" ht="15" customHeight="1">
      <c r="A1636" s="112">
        <f t="shared" si="107"/>
        <v>46023</v>
      </c>
      <c r="B1636" s="113">
        <v>8</v>
      </c>
      <c r="C1636" s="18" t="str">
        <f t="shared" si="106"/>
        <v>2030</v>
      </c>
      <c r="D1636" s="113" t="str">
        <f>_xlfn.XLOOKUP($C1636,'Cost Centers'!$A$2:$A$11,'Cost Centers'!$B$2:$B$11,"")</f>
        <v>Sub-Saharan Africa</v>
      </c>
      <c r="E1636" s="113" t="s">
        <v>119</v>
      </c>
      <c r="F1636" s="113" t="str">
        <f>_xlfn.XLOOKUP(E1636,'Allocated Transactions'!D:D,'Allocated Transactions'!E:E,"")</f>
        <v>Depreciation Expense</v>
      </c>
      <c r="G1636" s="113" t="s">
        <v>97</v>
      </c>
      <c r="H1636" s="113"/>
      <c r="I1636" s="113" t="str">
        <f>_xlfn.XLOOKUP($C1636,'Cost Centers'!$A$2:$A$11,'Cost Centers'!$C$2:$C$11,"")</f>
        <v>Programs</v>
      </c>
      <c r="J1636" s="23">
        <f>MROUND(SUMIFS('Allocated Transactions'!$J:$J,'Allocated Transactions'!$D:$D,$E1636,'Allocated Transactions'!$C:$C,$C1636,'Allocated Transactions'!$A:$A,"&gt;="&amp;$A1636,'Allocated Transactions'!$A:$A,"&lt;="&amp;EOMONTH($A1636,0))*0.99,100)</f>
        <v>0</v>
      </c>
      <c r="K1636" s="113" t="s">
        <v>637</v>
      </c>
    </row>
    <row r="1637" spans="1:11" ht="15" customHeight="1">
      <c r="A1637" s="112">
        <f t="shared" si="107"/>
        <v>46023</v>
      </c>
      <c r="B1637" s="113">
        <v>8</v>
      </c>
      <c r="C1637" s="18" t="str">
        <f t="shared" si="106"/>
        <v>2030</v>
      </c>
      <c r="D1637" s="113" t="str">
        <f>_xlfn.XLOOKUP($C1637,'Cost Centers'!$A$2:$A$11,'Cost Centers'!$B$2:$B$11,"")</f>
        <v>Sub-Saharan Africa</v>
      </c>
      <c r="E1637" s="113" t="s">
        <v>121</v>
      </c>
      <c r="F1637" s="113" t="str">
        <f>_xlfn.XLOOKUP(E1637,'Allocated Transactions'!D:D,'Allocated Transactions'!E:E,"")</f>
        <v>Bank Fees</v>
      </c>
      <c r="G1637" s="113" t="s">
        <v>97</v>
      </c>
      <c r="H1637" s="113"/>
      <c r="I1637" s="113" t="str">
        <f>_xlfn.XLOOKUP($C1637,'Cost Centers'!$A$2:$A$11,'Cost Centers'!$C$2:$C$11,"")</f>
        <v>Programs</v>
      </c>
      <c r="J1637" s="23">
        <f>MROUND(SUMIFS('Allocated Transactions'!$J:$J,'Allocated Transactions'!$D:$D,$E1637,'Allocated Transactions'!$C:$C,$C1637,'Allocated Transactions'!$A:$A,"&gt;="&amp;$A1637,'Allocated Transactions'!$A:$A,"&lt;="&amp;EOMONTH($A1637,0))*0.99,100)</f>
        <v>0</v>
      </c>
      <c r="K1637" s="113" t="s">
        <v>637</v>
      </c>
    </row>
    <row r="1638" spans="1:11" ht="15" customHeight="1">
      <c r="A1638" s="112">
        <f t="shared" si="107"/>
        <v>46023</v>
      </c>
      <c r="B1638" s="113">
        <v>8</v>
      </c>
      <c r="C1638" s="18" t="str">
        <f t="shared" si="106"/>
        <v>2030</v>
      </c>
      <c r="D1638" s="113" t="str">
        <f>_xlfn.XLOOKUP($C1638,'Cost Centers'!$A$2:$A$11,'Cost Centers'!$B$2:$B$11,"")</f>
        <v>Sub-Saharan Africa</v>
      </c>
      <c r="E1638" s="113" t="s">
        <v>123</v>
      </c>
      <c r="F1638" s="113" t="str">
        <f>_xlfn.XLOOKUP(E1638,'Allocated Transactions'!D:D,'Allocated Transactions'!E:E,"")</f>
        <v>Interest Expense</v>
      </c>
      <c r="G1638" s="113" t="s">
        <v>97</v>
      </c>
      <c r="H1638" s="113"/>
      <c r="I1638" s="113" t="str">
        <f>_xlfn.XLOOKUP($C1638,'Cost Centers'!$A$2:$A$11,'Cost Centers'!$C$2:$C$11,"")</f>
        <v>Programs</v>
      </c>
      <c r="J1638" s="23">
        <f>MROUND(SUMIFS('Allocated Transactions'!$J:$J,'Allocated Transactions'!$D:$D,$E1638,'Allocated Transactions'!$C:$C,$C1638,'Allocated Transactions'!$A:$A,"&gt;="&amp;$A1638,'Allocated Transactions'!$A:$A,"&lt;="&amp;EOMONTH($A1638,0))*0.99,100)</f>
        <v>0</v>
      </c>
      <c r="K1638" s="113" t="s">
        <v>637</v>
      </c>
    </row>
    <row r="1639" spans="1:11" ht="15" customHeight="1">
      <c r="A1639" s="112">
        <f t="shared" si="107"/>
        <v>46023</v>
      </c>
      <c r="B1639" s="113">
        <v>8</v>
      </c>
      <c r="C1639" s="18" t="str">
        <f t="shared" si="106"/>
        <v>2030</v>
      </c>
      <c r="D1639" s="113" t="str">
        <f>_xlfn.XLOOKUP($C1639,'Cost Centers'!$A$2:$A$11,'Cost Centers'!$B$2:$B$11,"")</f>
        <v>Sub-Saharan Africa</v>
      </c>
      <c r="E1639" s="113" t="s">
        <v>125</v>
      </c>
      <c r="F1639" s="113" t="str">
        <f>_xlfn.XLOOKUP(E1639,'Allocated Transactions'!D:D,'Allocated Transactions'!E:E,"")</f>
        <v>Miscellaneous Expense</v>
      </c>
      <c r="G1639" s="113" t="s">
        <v>97</v>
      </c>
      <c r="H1639" s="113"/>
      <c r="I1639" s="113" t="str">
        <f>_xlfn.XLOOKUP($C1639,'Cost Centers'!$A$2:$A$11,'Cost Centers'!$C$2:$C$11,"")</f>
        <v>Programs</v>
      </c>
      <c r="J1639" s="23">
        <f>MROUND(SUMIFS('Allocated Transactions'!$J:$J,'Allocated Transactions'!$D:$D,$E1639,'Allocated Transactions'!$C:$C,$C1639,'Allocated Transactions'!$A:$A,"&gt;="&amp;$A1639,'Allocated Transactions'!$A:$A,"&lt;="&amp;EOMONTH($A1639,0))*0.99,100)</f>
        <v>0</v>
      </c>
      <c r="K1639" s="113" t="s">
        <v>637</v>
      </c>
    </row>
    <row r="1640" spans="1:11" ht="15" customHeight="1">
      <c r="A1640" s="112">
        <f t="shared" si="107"/>
        <v>46054</v>
      </c>
      <c r="B1640" s="113">
        <v>8</v>
      </c>
      <c r="C1640" s="18" t="s">
        <v>16</v>
      </c>
      <c r="D1640" s="113" t="str">
        <f>_xlfn.XLOOKUP($C1640,'Cost Centers'!$A$2:$A$11,'Cost Centers'!$B$2:$B$11,"")</f>
        <v>Sub-Saharan Africa</v>
      </c>
      <c r="E1640" s="113" t="s">
        <v>28</v>
      </c>
      <c r="F1640" s="113" t="str">
        <f>_xlfn.XLOOKUP(E1640,'Allocated Transactions'!D:D,'Allocated Transactions'!E:E,"")</f>
        <v>Salaries and Wages</v>
      </c>
      <c r="G1640" s="113" t="s">
        <v>97</v>
      </c>
      <c r="H1640" s="113"/>
      <c r="I1640" s="113" t="str">
        <f>_xlfn.XLOOKUP($C1640,'Cost Centers'!$A$2:$A$11,'Cost Centers'!$C$2:$C$11,"")</f>
        <v>Programs</v>
      </c>
      <c r="J1640" s="23">
        <f>MROUND(SUMIFS('Allocated Transactions'!$J:$J,'Allocated Transactions'!$D:$D,$E1640,'Allocated Transactions'!$C:$C,$C1640,'Allocated Transactions'!$A:$A,"&gt;="&amp;$A1640,'Allocated Transactions'!$A:$A,"&lt;="&amp;EOMONTH($A1640,0))*0.99,100)</f>
        <v>14700</v>
      </c>
      <c r="K1640" s="113" t="s">
        <v>637</v>
      </c>
    </row>
    <row r="1641" spans="1:11" ht="15" customHeight="1">
      <c r="A1641" s="112">
        <f t="shared" si="107"/>
        <v>46054</v>
      </c>
      <c r="B1641" s="113">
        <v>8</v>
      </c>
      <c r="C1641" s="18" t="str">
        <f t="shared" ref="C1641:C1657" si="108">C1640</f>
        <v>2030</v>
      </c>
      <c r="D1641" s="113" t="str">
        <f>_xlfn.XLOOKUP($C1641,'Cost Centers'!$A$2:$A$11,'Cost Centers'!$B$2:$B$11,"")</f>
        <v>Sub-Saharan Africa</v>
      </c>
      <c r="E1641" s="113" t="s">
        <v>29</v>
      </c>
      <c r="F1641" s="113" t="str">
        <f>_xlfn.XLOOKUP(E1641,'Allocated Transactions'!D:D,'Allocated Transactions'!E:E,"")</f>
        <v>Payroll Taxes</v>
      </c>
      <c r="G1641" s="113" t="s">
        <v>97</v>
      </c>
      <c r="H1641" s="113"/>
      <c r="I1641" s="113" t="str">
        <f>_xlfn.XLOOKUP($C1641,'Cost Centers'!$A$2:$A$11,'Cost Centers'!$C$2:$C$11,"")</f>
        <v>Programs</v>
      </c>
      <c r="J1641" s="23">
        <f>MROUND(SUMIFS('Allocated Transactions'!$J:$J,'Allocated Transactions'!$D:$D,$E1641,'Allocated Transactions'!$C:$C,$C1641,'Allocated Transactions'!$A:$A,"&gt;="&amp;$A1641,'Allocated Transactions'!$A:$A,"&lt;="&amp;EOMONTH($A1641,0))*0.99,100)</f>
        <v>1100</v>
      </c>
      <c r="K1641" s="113" t="s">
        <v>637</v>
      </c>
    </row>
    <row r="1642" spans="1:11" ht="15" customHeight="1">
      <c r="A1642" s="112">
        <f t="shared" si="107"/>
        <v>46054</v>
      </c>
      <c r="B1642" s="113">
        <v>8</v>
      </c>
      <c r="C1642" s="18" t="str">
        <f t="shared" si="108"/>
        <v>2030</v>
      </c>
      <c r="D1642" s="113" t="str">
        <f>_xlfn.XLOOKUP($C1642,'Cost Centers'!$A$2:$A$11,'Cost Centers'!$B$2:$B$11,"")</f>
        <v>Sub-Saharan Africa</v>
      </c>
      <c r="E1642" s="113" t="s">
        <v>30</v>
      </c>
      <c r="F1642" s="113" t="str">
        <f>_xlfn.XLOOKUP(E1642,'Allocated Transactions'!D:D,'Allocated Transactions'!E:E,"")</f>
        <v>Employee Benefits</v>
      </c>
      <c r="G1642" s="113" t="s">
        <v>97</v>
      </c>
      <c r="H1642" s="113"/>
      <c r="I1642" s="113" t="str">
        <f>_xlfn.XLOOKUP($C1642,'Cost Centers'!$A$2:$A$11,'Cost Centers'!$C$2:$C$11,"")</f>
        <v>Programs</v>
      </c>
      <c r="J1642" s="23">
        <f>MROUND(SUMIFS('Allocated Transactions'!$J:$J,'Allocated Transactions'!$D:$D,$E1642,'Allocated Transactions'!$C:$C,$C1642,'Allocated Transactions'!$A:$A,"&gt;="&amp;$A1642,'Allocated Transactions'!$A:$A,"&lt;="&amp;EOMONTH($A1642,0))*0.99,100)</f>
        <v>4900</v>
      </c>
      <c r="K1642" s="113" t="s">
        <v>637</v>
      </c>
    </row>
    <row r="1643" spans="1:11" ht="15" customHeight="1">
      <c r="A1643" s="112">
        <f t="shared" si="107"/>
        <v>46054</v>
      </c>
      <c r="B1643" s="113">
        <v>8</v>
      </c>
      <c r="C1643" s="18" t="str">
        <f t="shared" si="108"/>
        <v>2030</v>
      </c>
      <c r="D1643" s="113" t="str">
        <f>_xlfn.XLOOKUP($C1643,'Cost Centers'!$A$2:$A$11,'Cost Centers'!$B$2:$B$11,"")</f>
        <v>Sub-Saharan Africa</v>
      </c>
      <c r="E1643" s="113" t="s">
        <v>31</v>
      </c>
      <c r="F1643" s="113" t="str">
        <f>_xlfn.XLOOKUP(E1643,'Allocated Transactions'!D:D,'Allocated Transactions'!E:E,"")</f>
        <v>Retirement Contributions</v>
      </c>
      <c r="G1643" s="113" t="s">
        <v>97</v>
      </c>
      <c r="H1643" s="113"/>
      <c r="I1643" s="113" t="str">
        <f>_xlfn.XLOOKUP($C1643,'Cost Centers'!$A$2:$A$11,'Cost Centers'!$C$2:$C$11,"")</f>
        <v>Programs</v>
      </c>
      <c r="J1643" s="23">
        <f>MROUND(SUMIFS('Allocated Transactions'!$J:$J,'Allocated Transactions'!$D:$D,$E1643,'Allocated Transactions'!$C:$C,$C1643,'Allocated Transactions'!$A:$A,"&gt;="&amp;$A1643,'Allocated Transactions'!$A:$A,"&lt;="&amp;EOMONTH($A1643,0))*0.99,100)</f>
        <v>400</v>
      </c>
      <c r="K1643" s="113" t="s">
        <v>637</v>
      </c>
    </row>
    <row r="1644" spans="1:11" ht="15" customHeight="1">
      <c r="A1644" s="112">
        <f t="shared" si="107"/>
        <v>46054</v>
      </c>
      <c r="B1644" s="113">
        <v>8</v>
      </c>
      <c r="C1644" s="18" t="str">
        <f t="shared" si="108"/>
        <v>2030</v>
      </c>
      <c r="D1644" s="113" t="str">
        <f>_xlfn.XLOOKUP($C1644,'Cost Centers'!$A$2:$A$11,'Cost Centers'!$B$2:$B$11,"")</f>
        <v>Sub-Saharan Africa</v>
      </c>
      <c r="E1644" s="113" t="s">
        <v>101</v>
      </c>
      <c r="F1644" s="113" t="str">
        <f>_xlfn.XLOOKUP(E1644,'Allocated Transactions'!D:D,'Allocated Transactions'!E:E,"")</f>
        <v>Contract Labor / Consultants</v>
      </c>
      <c r="G1644" s="113" t="s">
        <v>97</v>
      </c>
      <c r="H1644" s="113"/>
      <c r="I1644" s="113" t="str">
        <f>_xlfn.XLOOKUP($C1644,'Cost Centers'!$A$2:$A$11,'Cost Centers'!$C$2:$C$11,"")</f>
        <v>Programs</v>
      </c>
      <c r="J1644" s="23">
        <f>MROUND(SUMIFS('Allocated Transactions'!$J:$J,'Allocated Transactions'!$D:$D,$E1644,'Allocated Transactions'!$C:$C,$C1644,'Allocated Transactions'!$A:$A,"&gt;="&amp;$A1644,'Allocated Transactions'!$A:$A,"&lt;="&amp;EOMONTH($A1644,0))*0.99,100)</f>
        <v>0</v>
      </c>
      <c r="K1644" s="113" t="s">
        <v>637</v>
      </c>
    </row>
    <row r="1645" spans="1:11" ht="15" customHeight="1">
      <c r="A1645" s="112">
        <f t="shared" si="107"/>
        <v>46054</v>
      </c>
      <c r="B1645" s="113">
        <v>8</v>
      </c>
      <c r="C1645" s="18" t="str">
        <f t="shared" si="108"/>
        <v>2030</v>
      </c>
      <c r="D1645" s="113" t="str">
        <f>_xlfn.XLOOKUP($C1645,'Cost Centers'!$A$2:$A$11,'Cost Centers'!$B$2:$B$11,"")</f>
        <v>Sub-Saharan Africa</v>
      </c>
      <c r="E1645" s="113" t="s">
        <v>32</v>
      </c>
      <c r="F1645" s="113" t="str">
        <f>_xlfn.XLOOKUP(E1645,'Allocated Transactions'!D:D,'Allocated Transactions'!E:E,"")</f>
        <v>Rent</v>
      </c>
      <c r="G1645" s="113" t="s">
        <v>97</v>
      </c>
      <c r="H1645" s="113"/>
      <c r="I1645" s="113" t="str">
        <f>_xlfn.XLOOKUP($C1645,'Cost Centers'!$A$2:$A$11,'Cost Centers'!$C$2:$C$11,"")</f>
        <v>Programs</v>
      </c>
      <c r="J1645" s="23">
        <f>MROUND(SUMIFS('Allocated Transactions'!$J:$J,'Allocated Transactions'!$D:$D,$E1645,'Allocated Transactions'!$C:$C,$C1645,'Allocated Transactions'!$A:$A,"&gt;="&amp;$A1645,'Allocated Transactions'!$A:$A,"&lt;="&amp;EOMONTH($A1645,0))*0.99,100)</f>
        <v>1100</v>
      </c>
      <c r="K1645" s="113" t="s">
        <v>637</v>
      </c>
    </row>
    <row r="1646" spans="1:11" ht="15" customHeight="1">
      <c r="A1646" s="112">
        <f t="shared" si="107"/>
        <v>46054</v>
      </c>
      <c r="B1646" s="113">
        <v>8</v>
      </c>
      <c r="C1646" s="18" t="str">
        <f t="shared" si="108"/>
        <v>2030</v>
      </c>
      <c r="D1646" s="113" t="str">
        <f>_xlfn.XLOOKUP($C1646,'Cost Centers'!$A$2:$A$11,'Cost Centers'!$B$2:$B$11,"")</f>
        <v>Sub-Saharan Africa</v>
      </c>
      <c r="E1646" s="113" t="s">
        <v>33</v>
      </c>
      <c r="F1646" s="113" t="str">
        <f>_xlfn.XLOOKUP(E1646,'Allocated Transactions'!D:D,'Allocated Transactions'!E:E,"")</f>
        <v>Utilities</v>
      </c>
      <c r="G1646" s="113" t="s">
        <v>97</v>
      </c>
      <c r="H1646" s="113"/>
      <c r="I1646" s="113" t="str">
        <f>_xlfn.XLOOKUP($C1646,'Cost Centers'!$A$2:$A$11,'Cost Centers'!$C$2:$C$11,"")</f>
        <v>Programs</v>
      </c>
      <c r="J1646" s="23">
        <f>MROUND(SUMIFS('Allocated Transactions'!$J:$J,'Allocated Transactions'!$D:$D,$E1646,'Allocated Transactions'!$C:$C,$C1646,'Allocated Transactions'!$A:$A,"&gt;="&amp;$A1646,'Allocated Transactions'!$A:$A,"&lt;="&amp;EOMONTH($A1646,0))*0.99,100)</f>
        <v>200</v>
      </c>
      <c r="K1646" s="113" t="s">
        <v>637</v>
      </c>
    </row>
    <row r="1647" spans="1:11" ht="15" customHeight="1">
      <c r="A1647" s="112">
        <f t="shared" si="107"/>
        <v>46054</v>
      </c>
      <c r="B1647" s="113">
        <v>8</v>
      </c>
      <c r="C1647" s="18" t="str">
        <f t="shared" si="108"/>
        <v>2030</v>
      </c>
      <c r="D1647" s="113" t="str">
        <f>_xlfn.XLOOKUP($C1647,'Cost Centers'!$A$2:$A$11,'Cost Centers'!$B$2:$B$11,"")</f>
        <v>Sub-Saharan Africa</v>
      </c>
      <c r="E1647" s="113" t="s">
        <v>105</v>
      </c>
      <c r="F1647" s="113" t="str">
        <f>_xlfn.XLOOKUP(E1647,'Allocated Transactions'!D:D,'Allocated Transactions'!E:E,"")</f>
        <v>Office Supplies</v>
      </c>
      <c r="G1647" s="113" t="s">
        <v>97</v>
      </c>
      <c r="H1647" s="113"/>
      <c r="I1647" s="113" t="str">
        <f>_xlfn.XLOOKUP($C1647,'Cost Centers'!$A$2:$A$11,'Cost Centers'!$C$2:$C$11,"")</f>
        <v>Programs</v>
      </c>
      <c r="J1647" s="23">
        <f>MROUND(SUMIFS('Allocated Transactions'!$J:$J,'Allocated Transactions'!$D:$D,$E1647,'Allocated Transactions'!$C:$C,$C1647,'Allocated Transactions'!$A:$A,"&gt;="&amp;$A1647,'Allocated Transactions'!$A:$A,"&lt;="&amp;EOMONTH($A1647,0))*0.99,100)</f>
        <v>0</v>
      </c>
      <c r="K1647" s="113" t="s">
        <v>637</v>
      </c>
    </row>
    <row r="1648" spans="1:11" ht="15" customHeight="1">
      <c r="A1648" s="112">
        <f t="shared" si="107"/>
        <v>46054</v>
      </c>
      <c r="B1648" s="113">
        <v>8</v>
      </c>
      <c r="C1648" s="18" t="str">
        <f t="shared" si="108"/>
        <v>2030</v>
      </c>
      <c r="D1648" s="113" t="str">
        <f>_xlfn.XLOOKUP($C1648,'Cost Centers'!$A$2:$A$11,'Cost Centers'!$B$2:$B$11,"")</f>
        <v>Sub-Saharan Africa</v>
      </c>
      <c r="E1648" s="113" t="s">
        <v>107</v>
      </c>
      <c r="F1648" s="113" t="str">
        <f>_xlfn.XLOOKUP(E1648,'Allocated Transactions'!D:D,'Allocated Transactions'!E:E,"")</f>
        <v>Software and Subscriptions</v>
      </c>
      <c r="G1648" s="113" t="s">
        <v>97</v>
      </c>
      <c r="H1648" s="113"/>
      <c r="I1648" s="113" t="str">
        <f>_xlfn.XLOOKUP($C1648,'Cost Centers'!$A$2:$A$11,'Cost Centers'!$C$2:$C$11,"")</f>
        <v>Programs</v>
      </c>
      <c r="J1648" s="23">
        <f>MROUND(SUMIFS('Allocated Transactions'!$J:$J,'Allocated Transactions'!$D:$D,$E1648,'Allocated Transactions'!$C:$C,$C1648,'Allocated Transactions'!$A:$A,"&gt;="&amp;$A1648,'Allocated Transactions'!$A:$A,"&lt;="&amp;EOMONTH($A1648,0))*0.99,100)</f>
        <v>0</v>
      </c>
      <c r="K1648" s="113" t="s">
        <v>637</v>
      </c>
    </row>
    <row r="1649" spans="1:11" ht="15" customHeight="1">
      <c r="A1649" s="112">
        <f t="shared" si="107"/>
        <v>46054</v>
      </c>
      <c r="B1649" s="113">
        <v>8</v>
      </c>
      <c r="C1649" s="18" t="str">
        <f t="shared" si="108"/>
        <v>2030</v>
      </c>
      <c r="D1649" s="113" t="str">
        <f>_xlfn.XLOOKUP($C1649,'Cost Centers'!$A$2:$A$11,'Cost Centers'!$B$2:$B$11,"")</f>
        <v>Sub-Saharan Africa</v>
      </c>
      <c r="E1649" s="113" t="s">
        <v>109</v>
      </c>
      <c r="F1649" s="113" t="str">
        <f>_xlfn.XLOOKUP(E1649,'Allocated Transactions'!D:D,'Allocated Transactions'!E:E,"")</f>
        <v>Travel</v>
      </c>
      <c r="G1649" s="113" t="s">
        <v>97</v>
      </c>
      <c r="H1649" s="113"/>
      <c r="I1649" s="113" t="str">
        <f>_xlfn.XLOOKUP($C1649,'Cost Centers'!$A$2:$A$11,'Cost Centers'!$C$2:$C$11,"")</f>
        <v>Programs</v>
      </c>
      <c r="J1649" s="23">
        <f>MROUND(SUMIFS('Allocated Transactions'!$J:$J,'Allocated Transactions'!$D:$D,$E1649,'Allocated Transactions'!$C:$C,$C1649,'Allocated Transactions'!$A:$A,"&gt;="&amp;$A1649,'Allocated Transactions'!$A:$A,"&lt;="&amp;EOMONTH($A1649,0))*0.99,100)</f>
        <v>0</v>
      </c>
      <c r="K1649" s="113" t="s">
        <v>637</v>
      </c>
    </row>
    <row r="1650" spans="1:11" ht="15" customHeight="1">
      <c r="A1650" s="112">
        <f t="shared" si="107"/>
        <v>46054</v>
      </c>
      <c r="B1650" s="113">
        <v>8</v>
      </c>
      <c r="C1650" s="18" t="str">
        <f t="shared" si="108"/>
        <v>2030</v>
      </c>
      <c r="D1650" s="113" t="str">
        <f>_xlfn.XLOOKUP($C1650,'Cost Centers'!$A$2:$A$11,'Cost Centers'!$B$2:$B$11,"")</f>
        <v>Sub-Saharan Africa</v>
      </c>
      <c r="E1650" s="113" t="s">
        <v>111</v>
      </c>
      <c r="F1650" s="113" t="str">
        <f>_xlfn.XLOOKUP(E1650,'Allocated Transactions'!D:D,'Allocated Transactions'!E:E,"")</f>
        <v>Meals and Entertainment</v>
      </c>
      <c r="G1650" s="113" t="s">
        <v>97</v>
      </c>
      <c r="H1650" s="113"/>
      <c r="I1650" s="113" t="str">
        <f>_xlfn.XLOOKUP($C1650,'Cost Centers'!$A$2:$A$11,'Cost Centers'!$C$2:$C$11,"")</f>
        <v>Programs</v>
      </c>
      <c r="J1650" s="23">
        <f>MROUND(SUMIFS('Allocated Transactions'!$J:$J,'Allocated Transactions'!$D:$D,$E1650,'Allocated Transactions'!$C:$C,$C1650,'Allocated Transactions'!$A:$A,"&gt;="&amp;$A1650,'Allocated Transactions'!$A:$A,"&lt;="&amp;EOMONTH($A1650,0))*0.99,100)</f>
        <v>0</v>
      </c>
      <c r="K1650" s="113" t="s">
        <v>637</v>
      </c>
    </row>
    <row r="1651" spans="1:11" ht="15" customHeight="1">
      <c r="A1651" s="112">
        <f t="shared" si="107"/>
        <v>46054</v>
      </c>
      <c r="B1651" s="113">
        <v>8</v>
      </c>
      <c r="C1651" s="18" t="str">
        <f t="shared" si="108"/>
        <v>2030</v>
      </c>
      <c r="D1651" s="113" t="str">
        <f>_xlfn.XLOOKUP($C1651,'Cost Centers'!$A$2:$A$11,'Cost Centers'!$B$2:$B$11,"")</f>
        <v>Sub-Saharan Africa</v>
      </c>
      <c r="E1651" s="113" t="s">
        <v>113</v>
      </c>
      <c r="F1651" s="113" t="str">
        <f>_xlfn.XLOOKUP(E1651,'Allocated Transactions'!D:D,'Allocated Transactions'!E:E,"")</f>
        <v>Professional Fees - Legal</v>
      </c>
      <c r="G1651" s="113" t="s">
        <v>97</v>
      </c>
      <c r="H1651" s="113"/>
      <c r="I1651" s="113" t="str">
        <f>_xlfn.XLOOKUP($C1651,'Cost Centers'!$A$2:$A$11,'Cost Centers'!$C$2:$C$11,"")</f>
        <v>Programs</v>
      </c>
      <c r="J1651" s="23">
        <f>MROUND(SUMIFS('Allocated Transactions'!$J:$J,'Allocated Transactions'!$D:$D,$E1651,'Allocated Transactions'!$C:$C,$C1651,'Allocated Transactions'!$A:$A,"&gt;="&amp;$A1651,'Allocated Transactions'!$A:$A,"&lt;="&amp;EOMONTH($A1651,0))*0.99,100)</f>
        <v>0</v>
      </c>
      <c r="K1651" s="113" t="s">
        <v>637</v>
      </c>
    </row>
    <row r="1652" spans="1:11" ht="15" customHeight="1">
      <c r="A1652" s="112">
        <f t="shared" si="107"/>
        <v>46054</v>
      </c>
      <c r="B1652" s="113">
        <v>8</v>
      </c>
      <c r="C1652" s="18" t="str">
        <f t="shared" si="108"/>
        <v>2030</v>
      </c>
      <c r="D1652" s="113" t="str">
        <f>_xlfn.XLOOKUP($C1652,'Cost Centers'!$A$2:$A$11,'Cost Centers'!$B$2:$B$11,"")</f>
        <v>Sub-Saharan Africa</v>
      </c>
      <c r="E1652" s="113" t="s">
        <v>115</v>
      </c>
      <c r="F1652" s="113" t="str">
        <f>_xlfn.XLOOKUP(E1652,'Allocated Transactions'!D:D,'Allocated Transactions'!E:E,"")</f>
        <v>Professional Fees - Accounting/Audit</v>
      </c>
      <c r="G1652" s="113" t="s">
        <v>97</v>
      </c>
      <c r="H1652" s="113"/>
      <c r="I1652" s="113" t="str">
        <f>_xlfn.XLOOKUP($C1652,'Cost Centers'!$A$2:$A$11,'Cost Centers'!$C$2:$C$11,"")</f>
        <v>Programs</v>
      </c>
      <c r="J1652" s="23">
        <f>MROUND(SUMIFS('Allocated Transactions'!$J:$J,'Allocated Transactions'!$D:$D,$E1652,'Allocated Transactions'!$C:$C,$C1652,'Allocated Transactions'!$A:$A,"&gt;="&amp;$A1652,'Allocated Transactions'!$A:$A,"&lt;="&amp;EOMONTH($A1652,0))*0.99,100)</f>
        <v>0</v>
      </c>
      <c r="K1652" s="113" t="s">
        <v>637</v>
      </c>
    </row>
    <row r="1653" spans="1:11" ht="15" customHeight="1">
      <c r="A1653" s="112">
        <f t="shared" si="107"/>
        <v>46054</v>
      </c>
      <c r="B1653" s="113">
        <v>8</v>
      </c>
      <c r="C1653" s="18" t="str">
        <f t="shared" si="108"/>
        <v>2030</v>
      </c>
      <c r="D1653" s="113" t="str">
        <f>_xlfn.XLOOKUP($C1653,'Cost Centers'!$A$2:$A$11,'Cost Centers'!$B$2:$B$11,"")</f>
        <v>Sub-Saharan Africa</v>
      </c>
      <c r="E1653" s="113" t="s">
        <v>117</v>
      </c>
      <c r="F1653" s="113" t="str">
        <f>_xlfn.XLOOKUP(E1653,'Allocated Transactions'!D:D,'Allocated Transactions'!E:E,"")</f>
        <v>Insurance</v>
      </c>
      <c r="G1653" s="113" t="s">
        <v>97</v>
      </c>
      <c r="H1653" s="113"/>
      <c r="I1653" s="113" t="str">
        <f>_xlfn.XLOOKUP($C1653,'Cost Centers'!$A$2:$A$11,'Cost Centers'!$C$2:$C$11,"")</f>
        <v>Programs</v>
      </c>
      <c r="J1653" s="23">
        <f>MROUND(SUMIFS('Allocated Transactions'!$J:$J,'Allocated Transactions'!$D:$D,$E1653,'Allocated Transactions'!$C:$C,$C1653,'Allocated Transactions'!$A:$A,"&gt;="&amp;$A1653,'Allocated Transactions'!$A:$A,"&lt;="&amp;EOMONTH($A1653,0))*0.99,100)</f>
        <v>100</v>
      </c>
      <c r="K1653" s="113" t="s">
        <v>637</v>
      </c>
    </row>
    <row r="1654" spans="1:11" ht="15" customHeight="1">
      <c r="A1654" s="112">
        <f t="shared" si="107"/>
        <v>46054</v>
      </c>
      <c r="B1654" s="113">
        <v>8</v>
      </c>
      <c r="C1654" s="18" t="str">
        <f t="shared" si="108"/>
        <v>2030</v>
      </c>
      <c r="D1654" s="113" t="str">
        <f>_xlfn.XLOOKUP($C1654,'Cost Centers'!$A$2:$A$11,'Cost Centers'!$B$2:$B$11,"")</f>
        <v>Sub-Saharan Africa</v>
      </c>
      <c r="E1654" s="113" t="s">
        <v>119</v>
      </c>
      <c r="F1654" s="113" t="str">
        <f>_xlfn.XLOOKUP(E1654,'Allocated Transactions'!D:D,'Allocated Transactions'!E:E,"")</f>
        <v>Depreciation Expense</v>
      </c>
      <c r="G1654" s="113" t="s">
        <v>97</v>
      </c>
      <c r="H1654" s="113"/>
      <c r="I1654" s="113" t="str">
        <f>_xlfn.XLOOKUP($C1654,'Cost Centers'!$A$2:$A$11,'Cost Centers'!$C$2:$C$11,"")</f>
        <v>Programs</v>
      </c>
      <c r="J1654" s="23">
        <f>MROUND(SUMIFS('Allocated Transactions'!$J:$J,'Allocated Transactions'!$D:$D,$E1654,'Allocated Transactions'!$C:$C,$C1654,'Allocated Transactions'!$A:$A,"&gt;="&amp;$A1654,'Allocated Transactions'!$A:$A,"&lt;="&amp;EOMONTH($A1654,0))*0.99,100)</f>
        <v>0</v>
      </c>
      <c r="K1654" s="113" t="s">
        <v>637</v>
      </c>
    </row>
    <row r="1655" spans="1:11" ht="15" customHeight="1">
      <c r="A1655" s="112">
        <f t="shared" si="107"/>
        <v>46054</v>
      </c>
      <c r="B1655" s="113">
        <v>8</v>
      </c>
      <c r="C1655" s="18" t="str">
        <f t="shared" si="108"/>
        <v>2030</v>
      </c>
      <c r="D1655" s="113" t="str">
        <f>_xlfn.XLOOKUP($C1655,'Cost Centers'!$A$2:$A$11,'Cost Centers'!$B$2:$B$11,"")</f>
        <v>Sub-Saharan Africa</v>
      </c>
      <c r="E1655" s="113" t="s">
        <v>121</v>
      </c>
      <c r="F1655" s="113" t="str">
        <f>_xlfn.XLOOKUP(E1655,'Allocated Transactions'!D:D,'Allocated Transactions'!E:E,"")</f>
        <v>Bank Fees</v>
      </c>
      <c r="G1655" s="113" t="s">
        <v>97</v>
      </c>
      <c r="H1655" s="113"/>
      <c r="I1655" s="113" t="str">
        <f>_xlfn.XLOOKUP($C1655,'Cost Centers'!$A$2:$A$11,'Cost Centers'!$C$2:$C$11,"")</f>
        <v>Programs</v>
      </c>
      <c r="J1655" s="23">
        <f>MROUND(SUMIFS('Allocated Transactions'!$J:$J,'Allocated Transactions'!$D:$D,$E1655,'Allocated Transactions'!$C:$C,$C1655,'Allocated Transactions'!$A:$A,"&gt;="&amp;$A1655,'Allocated Transactions'!$A:$A,"&lt;="&amp;EOMONTH($A1655,0))*0.99,100)</f>
        <v>0</v>
      </c>
      <c r="K1655" s="113" t="s">
        <v>637</v>
      </c>
    </row>
    <row r="1656" spans="1:11" ht="15" customHeight="1">
      <c r="A1656" s="112">
        <f t="shared" si="107"/>
        <v>46054</v>
      </c>
      <c r="B1656" s="113">
        <v>8</v>
      </c>
      <c r="C1656" s="18" t="str">
        <f t="shared" si="108"/>
        <v>2030</v>
      </c>
      <c r="D1656" s="113" t="str">
        <f>_xlfn.XLOOKUP($C1656,'Cost Centers'!$A$2:$A$11,'Cost Centers'!$B$2:$B$11,"")</f>
        <v>Sub-Saharan Africa</v>
      </c>
      <c r="E1656" s="113" t="s">
        <v>123</v>
      </c>
      <c r="F1656" s="113" t="str">
        <f>_xlfn.XLOOKUP(E1656,'Allocated Transactions'!D:D,'Allocated Transactions'!E:E,"")</f>
        <v>Interest Expense</v>
      </c>
      <c r="G1656" s="113" t="s">
        <v>97</v>
      </c>
      <c r="H1656" s="113"/>
      <c r="I1656" s="113" t="str">
        <f>_xlfn.XLOOKUP($C1656,'Cost Centers'!$A$2:$A$11,'Cost Centers'!$C$2:$C$11,"")</f>
        <v>Programs</v>
      </c>
      <c r="J1656" s="23">
        <f>MROUND(SUMIFS('Allocated Transactions'!$J:$J,'Allocated Transactions'!$D:$D,$E1656,'Allocated Transactions'!$C:$C,$C1656,'Allocated Transactions'!$A:$A,"&gt;="&amp;$A1656,'Allocated Transactions'!$A:$A,"&lt;="&amp;EOMONTH($A1656,0))*0.99,100)</f>
        <v>0</v>
      </c>
      <c r="K1656" s="113" t="s">
        <v>637</v>
      </c>
    </row>
    <row r="1657" spans="1:11" ht="15" customHeight="1">
      <c r="A1657" s="112">
        <f t="shared" si="107"/>
        <v>46054</v>
      </c>
      <c r="B1657" s="113">
        <v>8</v>
      </c>
      <c r="C1657" s="18" t="str">
        <f t="shared" si="108"/>
        <v>2030</v>
      </c>
      <c r="D1657" s="113" t="str">
        <f>_xlfn.XLOOKUP($C1657,'Cost Centers'!$A$2:$A$11,'Cost Centers'!$B$2:$B$11,"")</f>
        <v>Sub-Saharan Africa</v>
      </c>
      <c r="E1657" s="113" t="s">
        <v>125</v>
      </c>
      <c r="F1657" s="113" t="str">
        <f>_xlfn.XLOOKUP(E1657,'Allocated Transactions'!D:D,'Allocated Transactions'!E:E,"")</f>
        <v>Miscellaneous Expense</v>
      </c>
      <c r="G1657" s="113" t="s">
        <v>97</v>
      </c>
      <c r="H1657" s="113"/>
      <c r="I1657" s="113" t="str">
        <f>_xlfn.XLOOKUP($C1657,'Cost Centers'!$A$2:$A$11,'Cost Centers'!$C$2:$C$11,"")</f>
        <v>Programs</v>
      </c>
      <c r="J1657" s="23">
        <f>MROUND(SUMIFS('Allocated Transactions'!$J:$J,'Allocated Transactions'!$D:$D,$E1657,'Allocated Transactions'!$C:$C,$C1657,'Allocated Transactions'!$A:$A,"&gt;="&amp;$A1657,'Allocated Transactions'!$A:$A,"&lt;="&amp;EOMONTH($A1657,0))*0.99,100)</f>
        <v>0</v>
      </c>
      <c r="K1657" s="113" t="s">
        <v>637</v>
      </c>
    </row>
    <row r="1658" spans="1:11" ht="15" customHeight="1">
      <c r="A1658" s="112">
        <f t="shared" si="107"/>
        <v>46082</v>
      </c>
      <c r="B1658" s="113">
        <v>8</v>
      </c>
      <c r="C1658" s="18" t="s">
        <v>16</v>
      </c>
      <c r="D1658" s="113" t="str">
        <f>_xlfn.XLOOKUP($C1658,'Cost Centers'!$A$2:$A$11,'Cost Centers'!$B$2:$B$11,"")</f>
        <v>Sub-Saharan Africa</v>
      </c>
      <c r="E1658" s="113" t="s">
        <v>28</v>
      </c>
      <c r="F1658" s="113" t="str">
        <f>_xlfn.XLOOKUP(E1658,'Allocated Transactions'!D:D,'Allocated Transactions'!E:E,"")</f>
        <v>Salaries and Wages</v>
      </c>
      <c r="G1658" s="113" t="s">
        <v>97</v>
      </c>
      <c r="H1658" s="113"/>
      <c r="I1658" s="113" t="str">
        <f>_xlfn.XLOOKUP($C1658,'Cost Centers'!$A$2:$A$11,'Cost Centers'!$C$2:$C$11,"")</f>
        <v>Programs</v>
      </c>
      <c r="J1658" s="23">
        <f>MROUND(SUMIFS('Allocated Transactions'!$J:$J,'Allocated Transactions'!$D:$D,$E1658,'Allocated Transactions'!$C:$C,$C1658,'Allocated Transactions'!$A:$A,"&gt;="&amp;$A1658,'Allocated Transactions'!$A:$A,"&lt;="&amp;EOMONTH($A1658,0))*0.99,100)</f>
        <v>14400</v>
      </c>
      <c r="K1658" s="113" t="s">
        <v>637</v>
      </c>
    </row>
    <row r="1659" spans="1:11" ht="15" customHeight="1">
      <c r="A1659" s="112">
        <f t="shared" si="107"/>
        <v>46082</v>
      </c>
      <c r="B1659" s="113">
        <v>8</v>
      </c>
      <c r="C1659" s="18" t="str">
        <f t="shared" ref="C1659:C1675" si="109">C1658</f>
        <v>2030</v>
      </c>
      <c r="D1659" s="113" t="str">
        <f>_xlfn.XLOOKUP($C1659,'Cost Centers'!$A$2:$A$11,'Cost Centers'!$B$2:$B$11,"")</f>
        <v>Sub-Saharan Africa</v>
      </c>
      <c r="E1659" s="113" t="s">
        <v>29</v>
      </c>
      <c r="F1659" s="113" t="str">
        <f>_xlfn.XLOOKUP(E1659,'Allocated Transactions'!D:D,'Allocated Transactions'!E:E,"")</f>
        <v>Payroll Taxes</v>
      </c>
      <c r="G1659" s="113" t="s">
        <v>97</v>
      </c>
      <c r="H1659" s="113"/>
      <c r="I1659" s="113" t="str">
        <f>_xlfn.XLOOKUP($C1659,'Cost Centers'!$A$2:$A$11,'Cost Centers'!$C$2:$C$11,"")</f>
        <v>Programs</v>
      </c>
      <c r="J1659" s="23">
        <f>MROUND(SUMIFS('Allocated Transactions'!$J:$J,'Allocated Transactions'!$D:$D,$E1659,'Allocated Transactions'!$C:$C,$C1659,'Allocated Transactions'!$A:$A,"&gt;="&amp;$A1659,'Allocated Transactions'!$A:$A,"&lt;="&amp;EOMONTH($A1659,0))*0.99,100)</f>
        <v>1100</v>
      </c>
      <c r="K1659" s="113" t="s">
        <v>637</v>
      </c>
    </row>
    <row r="1660" spans="1:11" ht="15" customHeight="1">
      <c r="A1660" s="112">
        <f t="shared" si="107"/>
        <v>46082</v>
      </c>
      <c r="B1660" s="113">
        <v>8</v>
      </c>
      <c r="C1660" s="18" t="str">
        <f t="shared" si="109"/>
        <v>2030</v>
      </c>
      <c r="D1660" s="113" t="str">
        <f>_xlfn.XLOOKUP($C1660,'Cost Centers'!$A$2:$A$11,'Cost Centers'!$B$2:$B$11,"")</f>
        <v>Sub-Saharan Africa</v>
      </c>
      <c r="E1660" s="113" t="s">
        <v>30</v>
      </c>
      <c r="F1660" s="113" t="str">
        <f>_xlfn.XLOOKUP(E1660,'Allocated Transactions'!D:D,'Allocated Transactions'!E:E,"")</f>
        <v>Employee Benefits</v>
      </c>
      <c r="G1660" s="113" t="s">
        <v>97</v>
      </c>
      <c r="H1660" s="113"/>
      <c r="I1660" s="113" t="str">
        <f>_xlfn.XLOOKUP($C1660,'Cost Centers'!$A$2:$A$11,'Cost Centers'!$C$2:$C$11,"")</f>
        <v>Programs</v>
      </c>
      <c r="J1660" s="23">
        <f>MROUND(SUMIFS('Allocated Transactions'!$J:$J,'Allocated Transactions'!$D:$D,$E1660,'Allocated Transactions'!$C:$C,$C1660,'Allocated Transactions'!$A:$A,"&gt;="&amp;$A1660,'Allocated Transactions'!$A:$A,"&lt;="&amp;EOMONTH($A1660,0))*0.99,100)</f>
        <v>4900</v>
      </c>
      <c r="K1660" s="113" t="s">
        <v>637</v>
      </c>
    </row>
    <row r="1661" spans="1:11" ht="15" customHeight="1">
      <c r="A1661" s="112">
        <f t="shared" si="107"/>
        <v>46082</v>
      </c>
      <c r="B1661" s="113">
        <v>8</v>
      </c>
      <c r="C1661" s="18" t="str">
        <f t="shared" si="109"/>
        <v>2030</v>
      </c>
      <c r="D1661" s="113" t="str">
        <f>_xlfn.XLOOKUP($C1661,'Cost Centers'!$A$2:$A$11,'Cost Centers'!$B$2:$B$11,"")</f>
        <v>Sub-Saharan Africa</v>
      </c>
      <c r="E1661" s="113" t="s">
        <v>31</v>
      </c>
      <c r="F1661" s="113" t="str">
        <f>_xlfn.XLOOKUP(E1661,'Allocated Transactions'!D:D,'Allocated Transactions'!E:E,"")</f>
        <v>Retirement Contributions</v>
      </c>
      <c r="G1661" s="113" t="s">
        <v>97</v>
      </c>
      <c r="H1661" s="113"/>
      <c r="I1661" s="113" t="str">
        <f>_xlfn.XLOOKUP($C1661,'Cost Centers'!$A$2:$A$11,'Cost Centers'!$C$2:$C$11,"")</f>
        <v>Programs</v>
      </c>
      <c r="J1661" s="23">
        <f>MROUND(SUMIFS('Allocated Transactions'!$J:$J,'Allocated Transactions'!$D:$D,$E1661,'Allocated Transactions'!$C:$C,$C1661,'Allocated Transactions'!$A:$A,"&gt;="&amp;$A1661,'Allocated Transactions'!$A:$A,"&lt;="&amp;EOMONTH($A1661,0))*0.99,100)</f>
        <v>400</v>
      </c>
      <c r="K1661" s="113" t="s">
        <v>637</v>
      </c>
    </row>
    <row r="1662" spans="1:11" ht="15" customHeight="1">
      <c r="A1662" s="112">
        <f t="shared" si="107"/>
        <v>46082</v>
      </c>
      <c r="B1662" s="113">
        <v>8</v>
      </c>
      <c r="C1662" s="18" t="str">
        <f t="shared" si="109"/>
        <v>2030</v>
      </c>
      <c r="D1662" s="113" t="str">
        <f>_xlfn.XLOOKUP($C1662,'Cost Centers'!$A$2:$A$11,'Cost Centers'!$B$2:$B$11,"")</f>
        <v>Sub-Saharan Africa</v>
      </c>
      <c r="E1662" s="113" t="s">
        <v>101</v>
      </c>
      <c r="F1662" s="113" t="str">
        <f>_xlfn.XLOOKUP(E1662,'Allocated Transactions'!D:D,'Allocated Transactions'!E:E,"")</f>
        <v>Contract Labor / Consultants</v>
      </c>
      <c r="G1662" s="113" t="s">
        <v>97</v>
      </c>
      <c r="H1662" s="113"/>
      <c r="I1662" s="113" t="str">
        <f>_xlfn.XLOOKUP($C1662,'Cost Centers'!$A$2:$A$11,'Cost Centers'!$C$2:$C$11,"")</f>
        <v>Programs</v>
      </c>
      <c r="J1662" s="23">
        <f>MROUND(SUMIFS('Allocated Transactions'!$J:$J,'Allocated Transactions'!$D:$D,$E1662,'Allocated Transactions'!$C:$C,$C1662,'Allocated Transactions'!$A:$A,"&gt;="&amp;$A1662,'Allocated Transactions'!$A:$A,"&lt;="&amp;EOMONTH($A1662,0))*0.99,100)</f>
        <v>0</v>
      </c>
      <c r="K1662" s="113" t="s">
        <v>637</v>
      </c>
    </row>
    <row r="1663" spans="1:11" ht="15" customHeight="1">
      <c r="A1663" s="112">
        <f t="shared" si="107"/>
        <v>46082</v>
      </c>
      <c r="B1663" s="113">
        <v>8</v>
      </c>
      <c r="C1663" s="18" t="str">
        <f t="shared" si="109"/>
        <v>2030</v>
      </c>
      <c r="D1663" s="113" t="str">
        <f>_xlfn.XLOOKUP($C1663,'Cost Centers'!$A$2:$A$11,'Cost Centers'!$B$2:$B$11,"")</f>
        <v>Sub-Saharan Africa</v>
      </c>
      <c r="E1663" s="113" t="s">
        <v>32</v>
      </c>
      <c r="F1663" s="113" t="str">
        <f>_xlfn.XLOOKUP(E1663,'Allocated Transactions'!D:D,'Allocated Transactions'!E:E,"")</f>
        <v>Rent</v>
      </c>
      <c r="G1663" s="113" t="s">
        <v>97</v>
      </c>
      <c r="H1663" s="113"/>
      <c r="I1663" s="113" t="str">
        <f>_xlfn.XLOOKUP($C1663,'Cost Centers'!$A$2:$A$11,'Cost Centers'!$C$2:$C$11,"")</f>
        <v>Programs</v>
      </c>
      <c r="J1663" s="23">
        <f>MROUND(SUMIFS('Allocated Transactions'!$J:$J,'Allocated Transactions'!$D:$D,$E1663,'Allocated Transactions'!$C:$C,$C1663,'Allocated Transactions'!$A:$A,"&gt;="&amp;$A1663,'Allocated Transactions'!$A:$A,"&lt;="&amp;EOMONTH($A1663,0))*0.99,100)</f>
        <v>1100</v>
      </c>
      <c r="K1663" s="113" t="s">
        <v>637</v>
      </c>
    </row>
    <row r="1664" spans="1:11" ht="15" customHeight="1">
      <c r="A1664" s="112">
        <f t="shared" si="107"/>
        <v>46082</v>
      </c>
      <c r="B1664" s="113">
        <v>8</v>
      </c>
      <c r="C1664" s="18" t="str">
        <f t="shared" si="109"/>
        <v>2030</v>
      </c>
      <c r="D1664" s="113" t="str">
        <f>_xlfn.XLOOKUP($C1664,'Cost Centers'!$A$2:$A$11,'Cost Centers'!$B$2:$B$11,"")</f>
        <v>Sub-Saharan Africa</v>
      </c>
      <c r="E1664" s="113" t="s">
        <v>33</v>
      </c>
      <c r="F1664" s="113" t="str">
        <f>_xlfn.XLOOKUP(E1664,'Allocated Transactions'!D:D,'Allocated Transactions'!E:E,"")</f>
        <v>Utilities</v>
      </c>
      <c r="G1664" s="113" t="s">
        <v>97</v>
      </c>
      <c r="H1664" s="113"/>
      <c r="I1664" s="113" t="str">
        <f>_xlfn.XLOOKUP($C1664,'Cost Centers'!$A$2:$A$11,'Cost Centers'!$C$2:$C$11,"")</f>
        <v>Programs</v>
      </c>
      <c r="J1664" s="23">
        <f>MROUND(SUMIFS('Allocated Transactions'!$J:$J,'Allocated Transactions'!$D:$D,$E1664,'Allocated Transactions'!$C:$C,$C1664,'Allocated Transactions'!$A:$A,"&gt;="&amp;$A1664,'Allocated Transactions'!$A:$A,"&lt;="&amp;EOMONTH($A1664,0))*0.99,100)</f>
        <v>100</v>
      </c>
      <c r="K1664" s="113" t="s">
        <v>637</v>
      </c>
    </row>
    <row r="1665" spans="1:11" ht="15" customHeight="1">
      <c r="A1665" s="112">
        <f t="shared" si="107"/>
        <v>46082</v>
      </c>
      <c r="B1665" s="113">
        <v>8</v>
      </c>
      <c r="C1665" s="18" t="str">
        <f t="shared" si="109"/>
        <v>2030</v>
      </c>
      <c r="D1665" s="113" t="str">
        <f>_xlfn.XLOOKUP($C1665,'Cost Centers'!$A$2:$A$11,'Cost Centers'!$B$2:$B$11,"")</f>
        <v>Sub-Saharan Africa</v>
      </c>
      <c r="E1665" s="113" t="s">
        <v>105</v>
      </c>
      <c r="F1665" s="113" t="str">
        <f>_xlfn.XLOOKUP(E1665,'Allocated Transactions'!D:D,'Allocated Transactions'!E:E,"")</f>
        <v>Office Supplies</v>
      </c>
      <c r="G1665" s="113" t="s">
        <v>97</v>
      </c>
      <c r="H1665" s="113"/>
      <c r="I1665" s="113" t="str">
        <f>_xlfn.XLOOKUP($C1665,'Cost Centers'!$A$2:$A$11,'Cost Centers'!$C$2:$C$11,"")</f>
        <v>Programs</v>
      </c>
      <c r="J1665" s="23">
        <f>MROUND(SUMIFS('Allocated Transactions'!$J:$J,'Allocated Transactions'!$D:$D,$E1665,'Allocated Transactions'!$C:$C,$C1665,'Allocated Transactions'!$A:$A,"&gt;="&amp;$A1665,'Allocated Transactions'!$A:$A,"&lt;="&amp;EOMONTH($A1665,0))*0.99,100)</f>
        <v>0</v>
      </c>
      <c r="K1665" s="113" t="s">
        <v>637</v>
      </c>
    </row>
    <row r="1666" spans="1:11" ht="15" customHeight="1">
      <c r="A1666" s="112">
        <f t="shared" si="107"/>
        <v>46082</v>
      </c>
      <c r="B1666" s="113">
        <v>8</v>
      </c>
      <c r="C1666" s="18" t="str">
        <f t="shared" si="109"/>
        <v>2030</v>
      </c>
      <c r="D1666" s="113" t="str">
        <f>_xlfn.XLOOKUP($C1666,'Cost Centers'!$A$2:$A$11,'Cost Centers'!$B$2:$B$11,"")</f>
        <v>Sub-Saharan Africa</v>
      </c>
      <c r="E1666" s="113" t="s">
        <v>107</v>
      </c>
      <c r="F1666" s="113" t="str">
        <f>_xlfn.XLOOKUP(E1666,'Allocated Transactions'!D:D,'Allocated Transactions'!E:E,"")</f>
        <v>Software and Subscriptions</v>
      </c>
      <c r="G1666" s="113" t="s">
        <v>97</v>
      </c>
      <c r="H1666" s="113"/>
      <c r="I1666" s="113" t="str">
        <f>_xlfn.XLOOKUP($C1666,'Cost Centers'!$A$2:$A$11,'Cost Centers'!$C$2:$C$11,"")</f>
        <v>Programs</v>
      </c>
      <c r="J1666" s="23">
        <f>MROUND(SUMIFS('Allocated Transactions'!$J:$J,'Allocated Transactions'!$D:$D,$E1666,'Allocated Transactions'!$C:$C,$C1666,'Allocated Transactions'!$A:$A,"&gt;="&amp;$A1666,'Allocated Transactions'!$A:$A,"&lt;="&amp;EOMONTH($A1666,0))*0.99,100)</f>
        <v>2400</v>
      </c>
      <c r="K1666" s="113" t="s">
        <v>637</v>
      </c>
    </row>
    <row r="1667" spans="1:11" ht="15" customHeight="1">
      <c r="A1667" s="112">
        <f t="shared" si="107"/>
        <v>46082</v>
      </c>
      <c r="B1667" s="113">
        <v>8</v>
      </c>
      <c r="C1667" s="18" t="str">
        <f t="shared" si="109"/>
        <v>2030</v>
      </c>
      <c r="D1667" s="113" t="str">
        <f>_xlfn.XLOOKUP($C1667,'Cost Centers'!$A$2:$A$11,'Cost Centers'!$B$2:$B$11,"")</f>
        <v>Sub-Saharan Africa</v>
      </c>
      <c r="E1667" s="113" t="s">
        <v>109</v>
      </c>
      <c r="F1667" s="113" t="str">
        <f>_xlfn.XLOOKUP(E1667,'Allocated Transactions'!D:D,'Allocated Transactions'!E:E,"")</f>
        <v>Travel</v>
      </c>
      <c r="G1667" s="113" t="s">
        <v>97</v>
      </c>
      <c r="H1667" s="113"/>
      <c r="I1667" s="113" t="str">
        <f>_xlfn.XLOOKUP($C1667,'Cost Centers'!$A$2:$A$11,'Cost Centers'!$C$2:$C$11,"")</f>
        <v>Programs</v>
      </c>
      <c r="J1667" s="23">
        <f>MROUND(SUMIFS('Allocated Transactions'!$J:$J,'Allocated Transactions'!$D:$D,$E1667,'Allocated Transactions'!$C:$C,$C1667,'Allocated Transactions'!$A:$A,"&gt;="&amp;$A1667,'Allocated Transactions'!$A:$A,"&lt;="&amp;EOMONTH($A1667,0))*0.99,100)</f>
        <v>3400</v>
      </c>
      <c r="K1667" s="113" t="s">
        <v>637</v>
      </c>
    </row>
    <row r="1668" spans="1:11" ht="15" customHeight="1">
      <c r="A1668" s="112">
        <f t="shared" si="107"/>
        <v>46082</v>
      </c>
      <c r="B1668" s="113">
        <v>8</v>
      </c>
      <c r="C1668" s="18" t="str">
        <f t="shared" si="109"/>
        <v>2030</v>
      </c>
      <c r="D1668" s="113" t="str">
        <f>_xlfn.XLOOKUP($C1668,'Cost Centers'!$A$2:$A$11,'Cost Centers'!$B$2:$B$11,"")</f>
        <v>Sub-Saharan Africa</v>
      </c>
      <c r="E1668" s="113" t="s">
        <v>111</v>
      </c>
      <c r="F1668" s="113" t="str">
        <f>_xlfn.XLOOKUP(E1668,'Allocated Transactions'!D:D,'Allocated Transactions'!E:E,"")</f>
        <v>Meals and Entertainment</v>
      </c>
      <c r="G1668" s="113" t="s">
        <v>97</v>
      </c>
      <c r="H1668" s="113"/>
      <c r="I1668" s="113" t="str">
        <f>_xlfn.XLOOKUP($C1668,'Cost Centers'!$A$2:$A$11,'Cost Centers'!$C$2:$C$11,"")</f>
        <v>Programs</v>
      </c>
      <c r="J1668" s="23">
        <f>MROUND(SUMIFS('Allocated Transactions'!$J:$J,'Allocated Transactions'!$D:$D,$E1668,'Allocated Transactions'!$C:$C,$C1668,'Allocated Transactions'!$A:$A,"&gt;="&amp;$A1668,'Allocated Transactions'!$A:$A,"&lt;="&amp;EOMONTH($A1668,0))*0.99,100)</f>
        <v>0</v>
      </c>
      <c r="K1668" s="113" t="s">
        <v>637</v>
      </c>
    </row>
    <row r="1669" spans="1:11" ht="15" customHeight="1">
      <c r="A1669" s="112">
        <f t="shared" si="107"/>
        <v>46082</v>
      </c>
      <c r="B1669" s="113">
        <v>8</v>
      </c>
      <c r="C1669" s="18" t="str">
        <f t="shared" si="109"/>
        <v>2030</v>
      </c>
      <c r="D1669" s="113" t="str">
        <f>_xlfn.XLOOKUP($C1669,'Cost Centers'!$A$2:$A$11,'Cost Centers'!$B$2:$B$11,"")</f>
        <v>Sub-Saharan Africa</v>
      </c>
      <c r="E1669" s="113" t="s">
        <v>113</v>
      </c>
      <c r="F1669" s="113" t="str">
        <f>_xlfn.XLOOKUP(E1669,'Allocated Transactions'!D:D,'Allocated Transactions'!E:E,"")</f>
        <v>Professional Fees - Legal</v>
      </c>
      <c r="G1669" s="113" t="s">
        <v>97</v>
      </c>
      <c r="H1669" s="113"/>
      <c r="I1669" s="113" t="str">
        <f>_xlfn.XLOOKUP($C1669,'Cost Centers'!$A$2:$A$11,'Cost Centers'!$C$2:$C$11,"")</f>
        <v>Programs</v>
      </c>
      <c r="J1669" s="23">
        <f>MROUND(SUMIFS('Allocated Transactions'!$J:$J,'Allocated Transactions'!$D:$D,$E1669,'Allocated Transactions'!$C:$C,$C1669,'Allocated Transactions'!$A:$A,"&gt;="&amp;$A1669,'Allocated Transactions'!$A:$A,"&lt;="&amp;EOMONTH($A1669,0))*0.99,100)</f>
        <v>0</v>
      </c>
      <c r="K1669" s="113" t="s">
        <v>637</v>
      </c>
    </row>
    <row r="1670" spans="1:11" ht="15" customHeight="1">
      <c r="A1670" s="112">
        <f t="shared" si="107"/>
        <v>46082</v>
      </c>
      <c r="B1670" s="113">
        <v>8</v>
      </c>
      <c r="C1670" s="18" t="str">
        <f t="shared" si="109"/>
        <v>2030</v>
      </c>
      <c r="D1670" s="113" t="str">
        <f>_xlfn.XLOOKUP($C1670,'Cost Centers'!$A$2:$A$11,'Cost Centers'!$B$2:$B$11,"")</f>
        <v>Sub-Saharan Africa</v>
      </c>
      <c r="E1670" s="113" t="s">
        <v>115</v>
      </c>
      <c r="F1670" s="113" t="str">
        <f>_xlfn.XLOOKUP(E1670,'Allocated Transactions'!D:D,'Allocated Transactions'!E:E,"")</f>
        <v>Professional Fees - Accounting/Audit</v>
      </c>
      <c r="G1670" s="113" t="s">
        <v>97</v>
      </c>
      <c r="H1670" s="113"/>
      <c r="I1670" s="113" t="str">
        <f>_xlfn.XLOOKUP($C1670,'Cost Centers'!$A$2:$A$11,'Cost Centers'!$C$2:$C$11,"")</f>
        <v>Programs</v>
      </c>
      <c r="J1670" s="23">
        <f>MROUND(SUMIFS('Allocated Transactions'!$J:$J,'Allocated Transactions'!$D:$D,$E1670,'Allocated Transactions'!$C:$C,$C1670,'Allocated Transactions'!$A:$A,"&gt;="&amp;$A1670,'Allocated Transactions'!$A:$A,"&lt;="&amp;EOMONTH($A1670,0))*0.99,100)</f>
        <v>6800</v>
      </c>
      <c r="K1670" s="113" t="s">
        <v>637</v>
      </c>
    </row>
    <row r="1671" spans="1:11" ht="15" customHeight="1">
      <c r="A1671" s="112">
        <f t="shared" si="107"/>
        <v>46082</v>
      </c>
      <c r="B1671" s="113">
        <v>8</v>
      </c>
      <c r="C1671" s="18" t="str">
        <f t="shared" si="109"/>
        <v>2030</v>
      </c>
      <c r="D1671" s="113" t="str">
        <f>_xlfn.XLOOKUP($C1671,'Cost Centers'!$A$2:$A$11,'Cost Centers'!$B$2:$B$11,"")</f>
        <v>Sub-Saharan Africa</v>
      </c>
      <c r="E1671" s="113" t="s">
        <v>117</v>
      </c>
      <c r="F1671" s="113" t="str">
        <f>_xlfn.XLOOKUP(E1671,'Allocated Transactions'!D:D,'Allocated Transactions'!E:E,"")</f>
        <v>Insurance</v>
      </c>
      <c r="G1671" s="113" t="s">
        <v>97</v>
      </c>
      <c r="H1671" s="113"/>
      <c r="I1671" s="113" t="str">
        <f>_xlfn.XLOOKUP($C1671,'Cost Centers'!$A$2:$A$11,'Cost Centers'!$C$2:$C$11,"")</f>
        <v>Programs</v>
      </c>
      <c r="J1671" s="23">
        <f>MROUND(SUMIFS('Allocated Transactions'!$J:$J,'Allocated Transactions'!$D:$D,$E1671,'Allocated Transactions'!$C:$C,$C1671,'Allocated Transactions'!$A:$A,"&gt;="&amp;$A1671,'Allocated Transactions'!$A:$A,"&lt;="&amp;EOMONTH($A1671,0))*0.99,100)</f>
        <v>100</v>
      </c>
      <c r="K1671" s="113" t="s">
        <v>637</v>
      </c>
    </row>
    <row r="1672" spans="1:11" ht="15" customHeight="1">
      <c r="A1672" s="112">
        <f t="shared" si="107"/>
        <v>46082</v>
      </c>
      <c r="B1672" s="113">
        <v>8</v>
      </c>
      <c r="C1672" s="18" t="str">
        <f t="shared" si="109"/>
        <v>2030</v>
      </c>
      <c r="D1672" s="113" t="str">
        <f>_xlfn.XLOOKUP($C1672,'Cost Centers'!$A$2:$A$11,'Cost Centers'!$B$2:$B$11,"")</f>
        <v>Sub-Saharan Africa</v>
      </c>
      <c r="E1672" s="113" t="s">
        <v>119</v>
      </c>
      <c r="F1672" s="113" t="str">
        <f>_xlfn.XLOOKUP(E1672,'Allocated Transactions'!D:D,'Allocated Transactions'!E:E,"")</f>
        <v>Depreciation Expense</v>
      </c>
      <c r="G1672" s="113" t="s">
        <v>97</v>
      </c>
      <c r="H1672" s="113"/>
      <c r="I1672" s="113" t="str">
        <f>_xlfn.XLOOKUP($C1672,'Cost Centers'!$A$2:$A$11,'Cost Centers'!$C$2:$C$11,"")</f>
        <v>Programs</v>
      </c>
      <c r="J1672" s="23">
        <f>MROUND(SUMIFS('Allocated Transactions'!$J:$J,'Allocated Transactions'!$D:$D,$E1672,'Allocated Transactions'!$C:$C,$C1672,'Allocated Transactions'!$A:$A,"&gt;="&amp;$A1672,'Allocated Transactions'!$A:$A,"&lt;="&amp;EOMONTH($A1672,0))*0.99,100)</f>
        <v>0</v>
      </c>
      <c r="K1672" s="113" t="s">
        <v>637</v>
      </c>
    </row>
    <row r="1673" spans="1:11" ht="15" customHeight="1">
      <c r="A1673" s="112">
        <f t="shared" si="107"/>
        <v>46082</v>
      </c>
      <c r="B1673" s="113">
        <v>8</v>
      </c>
      <c r="C1673" s="18" t="str">
        <f t="shared" si="109"/>
        <v>2030</v>
      </c>
      <c r="D1673" s="113" t="str">
        <f>_xlfn.XLOOKUP($C1673,'Cost Centers'!$A$2:$A$11,'Cost Centers'!$B$2:$B$11,"")</f>
        <v>Sub-Saharan Africa</v>
      </c>
      <c r="E1673" s="113" t="s">
        <v>121</v>
      </c>
      <c r="F1673" s="113" t="str">
        <f>_xlfn.XLOOKUP(E1673,'Allocated Transactions'!D:D,'Allocated Transactions'!E:E,"")</f>
        <v>Bank Fees</v>
      </c>
      <c r="G1673" s="113" t="s">
        <v>97</v>
      </c>
      <c r="H1673" s="113"/>
      <c r="I1673" s="113" t="str">
        <f>_xlfn.XLOOKUP($C1673,'Cost Centers'!$A$2:$A$11,'Cost Centers'!$C$2:$C$11,"")</f>
        <v>Programs</v>
      </c>
      <c r="J1673" s="23">
        <f>MROUND(SUMIFS('Allocated Transactions'!$J:$J,'Allocated Transactions'!$D:$D,$E1673,'Allocated Transactions'!$C:$C,$C1673,'Allocated Transactions'!$A:$A,"&gt;="&amp;$A1673,'Allocated Transactions'!$A:$A,"&lt;="&amp;EOMONTH($A1673,0))*0.99,100)</f>
        <v>0</v>
      </c>
      <c r="K1673" s="113" t="s">
        <v>637</v>
      </c>
    </row>
    <row r="1674" spans="1:11" ht="15" customHeight="1">
      <c r="A1674" s="112">
        <f t="shared" si="107"/>
        <v>46082</v>
      </c>
      <c r="B1674" s="113">
        <v>8</v>
      </c>
      <c r="C1674" s="18" t="str">
        <f t="shared" si="109"/>
        <v>2030</v>
      </c>
      <c r="D1674" s="113" t="str">
        <f>_xlfn.XLOOKUP($C1674,'Cost Centers'!$A$2:$A$11,'Cost Centers'!$B$2:$B$11,"")</f>
        <v>Sub-Saharan Africa</v>
      </c>
      <c r="E1674" s="113" t="s">
        <v>123</v>
      </c>
      <c r="F1674" s="113" t="str">
        <f>_xlfn.XLOOKUP(E1674,'Allocated Transactions'!D:D,'Allocated Transactions'!E:E,"")</f>
        <v>Interest Expense</v>
      </c>
      <c r="G1674" s="113" t="s">
        <v>97</v>
      </c>
      <c r="H1674" s="113"/>
      <c r="I1674" s="113" t="str">
        <f>_xlfn.XLOOKUP($C1674,'Cost Centers'!$A$2:$A$11,'Cost Centers'!$C$2:$C$11,"")</f>
        <v>Programs</v>
      </c>
      <c r="J1674" s="23">
        <f>MROUND(SUMIFS('Allocated Transactions'!$J:$J,'Allocated Transactions'!$D:$D,$E1674,'Allocated Transactions'!$C:$C,$C1674,'Allocated Transactions'!$A:$A,"&gt;="&amp;$A1674,'Allocated Transactions'!$A:$A,"&lt;="&amp;EOMONTH($A1674,0))*0.99,100)</f>
        <v>0</v>
      </c>
      <c r="K1674" s="113" t="s">
        <v>637</v>
      </c>
    </row>
    <row r="1675" spans="1:11" ht="15" customHeight="1">
      <c r="A1675" s="112">
        <f t="shared" si="107"/>
        <v>46082</v>
      </c>
      <c r="B1675" s="113">
        <v>8</v>
      </c>
      <c r="C1675" s="18" t="str">
        <f t="shared" si="109"/>
        <v>2030</v>
      </c>
      <c r="D1675" s="113" t="str">
        <f>_xlfn.XLOOKUP($C1675,'Cost Centers'!$A$2:$A$11,'Cost Centers'!$B$2:$B$11,"")</f>
        <v>Sub-Saharan Africa</v>
      </c>
      <c r="E1675" s="113" t="s">
        <v>125</v>
      </c>
      <c r="F1675" s="113" t="str">
        <f>_xlfn.XLOOKUP(E1675,'Allocated Transactions'!D:D,'Allocated Transactions'!E:E,"")</f>
        <v>Miscellaneous Expense</v>
      </c>
      <c r="G1675" s="113" t="s">
        <v>97</v>
      </c>
      <c r="H1675" s="113"/>
      <c r="I1675" s="113" t="str">
        <f>_xlfn.XLOOKUP($C1675,'Cost Centers'!$A$2:$A$11,'Cost Centers'!$C$2:$C$11,"")</f>
        <v>Programs</v>
      </c>
      <c r="J1675" s="23">
        <f>MROUND(SUMIFS('Allocated Transactions'!$J:$J,'Allocated Transactions'!$D:$D,$E1675,'Allocated Transactions'!$C:$C,$C1675,'Allocated Transactions'!$A:$A,"&gt;="&amp;$A1675,'Allocated Transactions'!$A:$A,"&lt;="&amp;EOMONTH($A1675,0))*0.99,100)</f>
        <v>0</v>
      </c>
      <c r="K1675" s="113" t="s">
        <v>637</v>
      </c>
    </row>
    <row r="1676" spans="1:11" ht="15" customHeight="1">
      <c r="A1676" s="112">
        <f t="shared" si="107"/>
        <v>46113</v>
      </c>
      <c r="B1676" s="113">
        <v>8</v>
      </c>
      <c r="C1676" s="18" t="s">
        <v>16</v>
      </c>
      <c r="D1676" s="113" t="str">
        <f>_xlfn.XLOOKUP($C1676,'Cost Centers'!$A$2:$A$11,'Cost Centers'!$B$2:$B$11,"")</f>
        <v>Sub-Saharan Africa</v>
      </c>
      <c r="E1676" s="113" t="s">
        <v>28</v>
      </c>
      <c r="F1676" s="113" t="str">
        <f>_xlfn.XLOOKUP(E1676,'Allocated Transactions'!D:D,'Allocated Transactions'!E:E,"")</f>
        <v>Salaries and Wages</v>
      </c>
      <c r="G1676" s="113" t="s">
        <v>97</v>
      </c>
      <c r="H1676" s="113"/>
      <c r="I1676" s="113" t="str">
        <f>_xlfn.XLOOKUP($C1676,'Cost Centers'!$A$2:$A$11,'Cost Centers'!$C$2:$C$11,"")</f>
        <v>Programs</v>
      </c>
      <c r="J1676" s="23">
        <f>MROUND(SUMIFS('Allocated Transactions'!$J:$J,'Allocated Transactions'!$D:$D,$E1676,'Allocated Transactions'!$C:$C,$C1676,'Allocated Transactions'!$A:$A,"&gt;="&amp;$A1676,'Allocated Transactions'!$A:$A,"&lt;="&amp;EOMONTH($A1676,0))*0.99,100)</f>
        <v>14500</v>
      </c>
      <c r="K1676" s="113" t="s">
        <v>637</v>
      </c>
    </row>
    <row r="1677" spans="1:11" ht="15" customHeight="1">
      <c r="A1677" s="112">
        <f t="shared" si="107"/>
        <v>46113</v>
      </c>
      <c r="B1677" s="113">
        <v>8</v>
      </c>
      <c r="C1677" s="18" t="str">
        <f t="shared" ref="C1677:C1693" si="110">C1676</f>
        <v>2030</v>
      </c>
      <c r="D1677" s="113" t="str">
        <f>_xlfn.XLOOKUP($C1677,'Cost Centers'!$A$2:$A$11,'Cost Centers'!$B$2:$B$11,"")</f>
        <v>Sub-Saharan Africa</v>
      </c>
      <c r="E1677" s="113" t="s">
        <v>29</v>
      </c>
      <c r="F1677" s="113" t="str">
        <f>_xlfn.XLOOKUP(E1677,'Allocated Transactions'!D:D,'Allocated Transactions'!E:E,"")</f>
        <v>Payroll Taxes</v>
      </c>
      <c r="G1677" s="113" t="s">
        <v>97</v>
      </c>
      <c r="H1677" s="113"/>
      <c r="I1677" s="113" t="str">
        <f>_xlfn.XLOOKUP($C1677,'Cost Centers'!$A$2:$A$11,'Cost Centers'!$C$2:$C$11,"")</f>
        <v>Programs</v>
      </c>
      <c r="J1677" s="23">
        <f>MROUND(SUMIFS('Allocated Transactions'!$J:$J,'Allocated Transactions'!$D:$D,$E1677,'Allocated Transactions'!$C:$C,$C1677,'Allocated Transactions'!$A:$A,"&gt;="&amp;$A1677,'Allocated Transactions'!$A:$A,"&lt;="&amp;EOMONTH($A1677,0))*0.99,100)</f>
        <v>1100</v>
      </c>
      <c r="K1677" s="113" t="s">
        <v>637</v>
      </c>
    </row>
    <row r="1678" spans="1:11" ht="15" customHeight="1">
      <c r="A1678" s="112">
        <f t="shared" si="107"/>
        <v>46113</v>
      </c>
      <c r="B1678" s="113">
        <v>8</v>
      </c>
      <c r="C1678" s="18" t="str">
        <f t="shared" si="110"/>
        <v>2030</v>
      </c>
      <c r="D1678" s="113" t="str">
        <f>_xlfn.XLOOKUP($C1678,'Cost Centers'!$A$2:$A$11,'Cost Centers'!$B$2:$B$11,"")</f>
        <v>Sub-Saharan Africa</v>
      </c>
      <c r="E1678" s="113" t="s">
        <v>30</v>
      </c>
      <c r="F1678" s="113" t="str">
        <f>_xlfn.XLOOKUP(E1678,'Allocated Transactions'!D:D,'Allocated Transactions'!E:E,"")</f>
        <v>Employee Benefits</v>
      </c>
      <c r="G1678" s="113" t="s">
        <v>97</v>
      </c>
      <c r="H1678" s="113"/>
      <c r="I1678" s="113" t="str">
        <f>_xlfn.XLOOKUP($C1678,'Cost Centers'!$A$2:$A$11,'Cost Centers'!$C$2:$C$11,"")</f>
        <v>Programs</v>
      </c>
      <c r="J1678" s="23">
        <f>MROUND(SUMIFS('Allocated Transactions'!$J:$J,'Allocated Transactions'!$D:$D,$E1678,'Allocated Transactions'!$C:$C,$C1678,'Allocated Transactions'!$A:$A,"&gt;="&amp;$A1678,'Allocated Transactions'!$A:$A,"&lt;="&amp;EOMONTH($A1678,0))*0.99,100)</f>
        <v>2700</v>
      </c>
      <c r="K1678" s="113" t="s">
        <v>637</v>
      </c>
    </row>
    <row r="1679" spans="1:11" ht="15" customHeight="1">
      <c r="A1679" s="112">
        <f t="shared" si="107"/>
        <v>46113</v>
      </c>
      <c r="B1679" s="113">
        <v>8</v>
      </c>
      <c r="C1679" s="18" t="str">
        <f t="shared" si="110"/>
        <v>2030</v>
      </c>
      <c r="D1679" s="113" t="str">
        <f>_xlfn.XLOOKUP($C1679,'Cost Centers'!$A$2:$A$11,'Cost Centers'!$B$2:$B$11,"")</f>
        <v>Sub-Saharan Africa</v>
      </c>
      <c r="E1679" s="113" t="s">
        <v>31</v>
      </c>
      <c r="F1679" s="113" t="str">
        <f>_xlfn.XLOOKUP(E1679,'Allocated Transactions'!D:D,'Allocated Transactions'!E:E,"")</f>
        <v>Retirement Contributions</v>
      </c>
      <c r="G1679" s="113" t="s">
        <v>97</v>
      </c>
      <c r="H1679" s="113"/>
      <c r="I1679" s="113" t="str">
        <f>_xlfn.XLOOKUP($C1679,'Cost Centers'!$A$2:$A$11,'Cost Centers'!$C$2:$C$11,"")</f>
        <v>Programs</v>
      </c>
      <c r="J1679" s="23">
        <f>MROUND(SUMIFS('Allocated Transactions'!$J:$J,'Allocated Transactions'!$D:$D,$E1679,'Allocated Transactions'!$C:$C,$C1679,'Allocated Transactions'!$A:$A,"&gt;="&amp;$A1679,'Allocated Transactions'!$A:$A,"&lt;="&amp;EOMONTH($A1679,0))*0.99,100)</f>
        <v>400</v>
      </c>
      <c r="K1679" s="113" t="s">
        <v>637</v>
      </c>
    </row>
    <row r="1680" spans="1:11" ht="15" customHeight="1">
      <c r="A1680" s="112">
        <f t="shared" si="107"/>
        <v>46113</v>
      </c>
      <c r="B1680" s="113">
        <v>8</v>
      </c>
      <c r="C1680" s="18" t="str">
        <f t="shared" si="110"/>
        <v>2030</v>
      </c>
      <c r="D1680" s="113" t="str">
        <f>_xlfn.XLOOKUP($C1680,'Cost Centers'!$A$2:$A$11,'Cost Centers'!$B$2:$B$11,"")</f>
        <v>Sub-Saharan Africa</v>
      </c>
      <c r="E1680" s="113" t="s">
        <v>101</v>
      </c>
      <c r="F1680" s="113" t="str">
        <f>_xlfn.XLOOKUP(E1680,'Allocated Transactions'!D:D,'Allocated Transactions'!E:E,"")</f>
        <v>Contract Labor / Consultants</v>
      </c>
      <c r="G1680" s="113" t="s">
        <v>97</v>
      </c>
      <c r="H1680" s="113"/>
      <c r="I1680" s="113" t="str">
        <f>_xlfn.XLOOKUP($C1680,'Cost Centers'!$A$2:$A$11,'Cost Centers'!$C$2:$C$11,"")</f>
        <v>Programs</v>
      </c>
      <c r="J1680" s="23">
        <f>MROUND(SUMIFS('Allocated Transactions'!$J:$J,'Allocated Transactions'!$D:$D,$E1680,'Allocated Transactions'!$C:$C,$C1680,'Allocated Transactions'!$A:$A,"&gt;="&amp;$A1680,'Allocated Transactions'!$A:$A,"&lt;="&amp;EOMONTH($A1680,0))*0.99,100)</f>
        <v>0</v>
      </c>
      <c r="K1680" s="113" t="s">
        <v>637</v>
      </c>
    </row>
    <row r="1681" spans="1:11" ht="15" customHeight="1">
      <c r="A1681" s="112">
        <f t="shared" si="107"/>
        <v>46113</v>
      </c>
      <c r="B1681" s="113">
        <v>8</v>
      </c>
      <c r="C1681" s="18" t="str">
        <f t="shared" si="110"/>
        <v>2030</v>
      </c>
      <c r="D1681" s="113" t="str">
        <f>_xlfn.XLOOKUP($C1681,'Cost Centers'!$A$2:$A$11,'Cost Centers'!$B$2:$B$11,"")</f>
        <v>Sub-Saharan Africa</v>
      </c>
      <c r="E1681" s="113" t="s">
        <v>32</v>
      </c>
      <c r="F1681" s="113" t="str">
        <f>_xlfn.XLOOKUP(E1681,'Allocated Transactions'!D:D,'Allocated Transactions'!E:E,"")</f>
        <v>Rent</v>
      </c>
      <c r="G1681" s="113" t="s">
        <v>97</v>
      </c>
      <c r="H1681" s="113"/>
      <c r="I1681" s="113" t="str">
        <f>_xlfn.XLOOKUP($C1681,'Cost Centers'!$A$2:$A$11,'Cost Centers'!$C$2:$C$11,"")</f>
        <v>Programs</v>
      </c>
      <c r="J1681" s="23">
        <f>MROUND(SUMIFS('Allocated Transactions'!$J:$J,'Allocated Transactions'!$D:$D,$E1681,'Allocated Transactions'!$C:$C,$C1681,'Allocated Transactions'!$A:$A,"&gt;="&amp;$A1681,'Allocated Transactions'!$A:$A,"&lt;="&amp;EOMONTH($A1681,0))*0.99,100)</f>
        <v>1100</v>
      </c>
      <c r="K1681" s="113" t="s">
        <v>637</v>
      </c>
    </row>
    <row r="1682" spans="1:11" ht="15" customHeight="1">
      <c r="A1682" s="112">
        <f t="shared" si="107"/>
        <v>46113</v>
      </c>
      <c r="B1682" s="113">
        <v>8</v>
      </c>
      <c r="C1682" s="18" t="str">
        <f t="shared" si="110"/>
        <v>2030</v>
      </c>
      <c r="D1682" s="113" t="str">
        <f>_xlfn.XLOOKUP($C1682,'Cost Centers'!$A$2:$A$11,'Cost Centers'!$B$2:$B$11,"")</f>
        <v>Sub-Saharan Africa</v>
      </c>
      <c r="E1682" s="113" t="s">
        <v>33</v>
      </c>
      <c r="F1682" s="113" t="str">
        <f>_xlfn.XLOOKUP(E1682,'Allocated Transactions'!D:D,'Allocated Transactions'!E:E,"")</f>
        <v>Utilities</v>
      </c>
      <c r="G1682" s="113" t="s">
        <v>97</v>
      </c>
      <c r="H1682" s="113"/>
      <c r="I1682" s="113" t="str">
        <f>_xlfn.XLOOKUP($C1682,'Cost Centers'!$A$2:$A$11,'Cost Centers'!$C$2:$C$11,"")</f>
        <v>Programs</v>
      </c>
      <c r="J1682" s="23">
        <f>MROUND(SUMIFS('Allocated Transactions'!$J:$J,'Allocated Transactions'!$D:$D,$E1682,'Allocated Transactions'!$C:$C,$C1682,'Allocated Transactions'!$A:$A,"&gt;="&amp;$A1682,'Allocated Transactions'!$A:$A,"&lt;="&amp;EOMONTH($A1682,0))*0.99,100)</f>
        <v>100</v>
      </c>
      <c r="K1682" s="113" t="s">
        <v>637</v>
      </c>
    </row>
    <row r="1683" spans="1:11" ht="15" customHeight="1">
      <c r="A1683" s="112">
        <f t="shared" si="107"/>
        <v>46113</v>
      </c>
      <c r="B1683" s="113">
        <v>8</v>
      </c>
      <c r="C1683" s="18" t="str">
        <f t="shared" si="110"/>
        <v>2030</v>
      </c>
      <c r="D1683" s="113" t="str">
        <f>_xlfn.XLOOKUP($C1683,'Cost Centers'!$A$2:$A$11,'Cost Centers'!$B$2:$B$11,"")</f>
        <v>Sub-Saharan Africa</v>
      </c>
      <c r="E1683" s="113" t="s">
        <v>105</v>
      </c>
      <c r="F1683" s="113" t="str">
        <f>_xlfn.XLOOKUP(E1683,'Allocated Transactions'!D:D,'Allocated Transactions'!E:E,"")</f>
        <v>Office Supplies</v>
      </c>
      <c r="G1683" s="113" t="s">
        <v>97</v>
      </c>
      <c r="H1683" s="113"/>
      <c r="I1683" s="113" t="str">
        <f>_xlfn.XLOOKUP($C1683,'Cost Centers'!$A$2:$A$11,'Cost Centers'!$C$2:$C$11,"")</f>
        <v>Programs</v>
      </c>
      <c r="J1683" s="23">
        <f>MROUND(SUMIFS('Allocated Transactions'!$J:$J,'Allocated Transactions'!$D:$D,$E1683,'Allocated Transactions'!$C:$C,$C1683,'Allocated Transactions'!$A:$A,"&gt;="&amp;$A1683,'Allocated Transactions'!$A:$A,"&lt;="&amp;EOMONTH($A1683,0))*0.99,100)</f>
        <v>0</v>
      </c>
      <c r="K1683" s="113" t="s">
        <v>637</v>
      </c>
    </row>
    <row r="1684" spans="1:11" ht="15" customHeight="1">
      <c r="A1684" s="112">
        <f t="shared" si="107"/>
        <v>46113</v>
      </c>
      <c r="B1684" s="113">
        <v>8</v>
      </c>
      <c r="C1684" s="18" t="str">
        <f t="shared" si="110"/>
        <v>2030</v>
      </c>
      <c r="D1684" s="113" t="str">
        <f>_xlfn.XLOOKUP($C1684,'Cost Centers'!$A$2:$A$11,'Cost Centers'!$B$2:$B$11,"")</f>
        <v>Sub-Saharan Africa</v>
      </c>
      <c r="E1684" s="113" t="s">
        <v>107</v>
      </c>
      <c r="F1684" s="113" t="str">
        <f>_xlfn.XLOOKUP(E1684,'Allocated Transactions'!D:D,'Allocated Transactions'!E:E,"")</f>
        <v>Software and Subscriptions</v>
      </c>
      <c r="G1684" s="113" t="s">
        <v>97</v>
      </c>
      <c r="H1684" s="113"/>
      <c r="I1684" s="113" t="str">
        <f>_xlfn.XLOOKUP($C1684,'Cost Centers'!$A$2:$A$11,'Cost Centers'!$C$2:$C$11,"")</f>
        <v>Programs</v>
      </c>
      <c r="J1684" s="23">
        <f>MROUND(SUMIFS('Allocated Transactions'!$J:$J,'Allocated Transactions'!$D:$D,$E1684,'Allocated Transactions'!$C:$C,$C1684,'Allocated Transactions'!$A:$A,"&gt;="&amp;$A1684,'Allocated Transactions'!$A:$A,"&lt;="&amp;EOMONTH($A1684,0))*0.99,100)</f>
        <v>0</v>
      </c>
      <c r="K1684" s="113" t="s">
        <v>637</v>
      </c>
    </row>
    <row r="1685" spans="1:11" ht="15" customHeight="1">
      <c r="A1685" s="112">
        <f t="shared" si="107"/>
        <v>46113</v>
      </c>
      <c r="B1685" s="113">
        <v>8</v>
      </c>
      <c r="C1685" s="18" t="str">
        <f t="shared" si="110"/>
        <v>2030</v>
      </c>
      <c r="D1685" s="113" t="str">
        <f>_xlfn.XLOOKUP($C1685,'Cost Centers'!$A$2:$A$11,'Cost Centers'!$B$2:$B$11,"")</f>
        <v>Sub-Saharan Africa</v>
      </c>
      <c r="E1685" s="113" t="s">
        <v>109</v>
      </c>
      <c r="F1685" s="113" t="str">
        <f>_xlfn.XLOOKUP(E1685,'Allocated Transactions'!D:D,'Allocated Transactions'!E:E,"")</f>
        <v>Travel</v>
      </c>
      <c r="G1685" s="113" t="s">
        <v>97</v>
      </c>
      <c r="H1685" s="113"/>
      <c r="I1685" s="113" t="str">
        <f>_xlfn.XLOOKUP($C1685,'Cost Centers'!$A$2:$A$11,'Cost Centers'!$C$2:$C$11,"")</f>
        <v>Programs</v>
      </c>
      <c r="J1685" s="23">
        <f>MROUND(SUMIFS('Allocated Transactions'!$J:$J,'Allocated Transactions'!$D:$D,$E1685,'Allocated Transactions'!$C:$C,$C1685,'Allocated Transactions'!$A:$A,"&gt;="&amp;$A1685,'Allocated Transactions'!$A:$A,"&lt;="&amp;EOMONTH($A1685,0))*0.99,100)</f>
        <v>0</v>
      </c>
      <c r="K1685" s="113" t="s">
        <v>637</v>
      </c>
    </row>
    <row r="1686" spans="1:11" ht="15" customHeight="1">
      <c r="A1686" s="112">
        <f t="shared" si="107"/>
        <v>46113</v>
      </c>
      <c r="B1686" s="113">
        <v>8</v>
      </c>
      <c r="C1686" s="18" t="str">
        <f t="shared" si="110"/>
        <v>2030</v>
      </c>
      <c r="D1686" s="113" t="str">
        <f>_xlfn.XLOOKUP($C1686,'Cost Centers'!$A$2:$A$11,'Cost Centers'!$B$2:$B$11,"")</f>
        <v>Sub-Saharan Africa</v>
      </c>
      <c r="E1686" s="113" t="s">
        <v>111</v>
      </c>
      <c r="F1686" s="113" t="str">
        <f>_xlfn.XLOOKUP(E1686,'Allocated Transactions'!D:D,'Allocated Transactions'!E:E,"")</f>
        <v>Meals and Entertainment</v>
      </c>
      <c r="G1686" s="113" t="s">
        <v>97</v>
      </c>
      <c r="H1686" s="113"/>
      <c r="I1686" s="113" t="str">
        <f>_xlfn.XLOOKUP($C1686,'Cost Centers'!$A$2:$A$11,'Cost Centers'!$C$2:$C$11,"")</f>
        <v>Programs</v>
      </c>
      <c r="J1686" s="23">
        <f>MROUND(SUMIFS('Allocated Transactions'!$J:$J,'Allocated Transactions'!$D:$D,$E1686,'Allocated Transactions'!$C:$C,$C1686,'Allocated Transactions'!$A:$A,"&gt;="&amp;$A1686,'Allocated Transactions'!$A:$A,"&lt;="&amp;EOMONTH($A1686,0))*0.99,100)</f>
        <v>400</v>
      </c>
      <c r="K1686" s="113" t="s">
        <v>637</v>
      </c>
    </row>
    <row r="1687" spans="1:11" ht="15" customHeight="1">
      <c r="A1687" s="112">
        <f t="shared" si="107"/>
        <v>46113</v>
      </c>
      <c r="B1687" s="113">
        <v>8</v>
      </c>
      <c r="C1687" s="18" t="str">
        <f t="shared" si="110"/>
        <v>2030</v>
      </c>
      <c r="D1687" s="113" t="str">
        <f>_xlfn.XLOOKUP($C1687,'Cost Centers'!$A$2:$A$11,'Cost Centers'!$B$2:$B$11,"")</f>
        <v>Sub-Saharan Africa</v>
      </c>
      <c r="E1687" s="113" t="s">
        <v>113</v>
      </c>
      <c r="F1687" s="113" t="str">
        <f>_xlfn.XLOOKUP(E1687,'Allocated Transactions'!D:D,'Allocated Transactions'!E:E,"")</f>
        <v>Professional Fees - Legal</v>
      </c>
      <c r="G1687" s="113" t="s">
        <v>97</v>
      </c>
      <c r="H1687" s="113"/>
      <c r="I1687" s="113" t="str">
        <f>_xlfn.XLOOKUP($C1687,'Cost Centers'!$A$2:$A$11,'Cost Centers'!$C$2:$C$11,"")</f>
        <v>Programs</v>
      </c>
      <c r="J1687" s="23">
        <f>MROUND(SUMIFS('Allocated Transactions'!$J:$J,'Allocated Transactions'!$D:$D,$E1687,'Allocated Transactions'!$C:$C,$C1687,'Allocated Transactions'!$A:$A,"&gt;="&amp;$A1687,'Allocated Transactions'!$A:$A,"&lt;="&amp;EOMONTH($A1687,0))*0.99,100)</f>
        <v>0</v>
      </c>
      <c r="K1687" s="113" t="s">
        <v>637</v>
      </c>
    </row>
    <row r="1688" spans="1:11" ht="15" customHeight="1">
      <c r="A1688" s="112">
        <f t="shared" si="107"/>
        <v>46113</v>
      </c>
      <c r="B1688" s="113">
        <v>8</v>
      </c>
      <c r="C1688" s="18" t="str">
        <f t="shared" si="110"/>
        <v>2030</v>
      </c>
      <c r="D1688" s="113" t="str">
        <f>_xlfn.XLOOKUP($C1688,'Cost Centers'!$A$2:$A$11,'Cost Centers'!$B$2:$B$11,"")</f>
        <v>Sub-Saharan Africa</v>
      </c>
      <c r="E1688" s="113" t="s">
        <v>115</v>
      </c>
      <c r="F1688" s="113" t="str">
        <f>_xlfn.XLOOKUP(E1688,'Allocated Transactions'!D:D,'Allocated Transactions'!E:E,"")</f>
        <v>Professional Fees - Accounting/Audit</v>
      </c>
      <c r="G1688" s="113" t="s">
        <v>97</v>
      </c>
      <c r="H1688" s="113"/>
      <c r="I1688" s="113" t="str">
        <f>_xlfn.XLOOKUP($C1688,'Cost Centers'!$A$2:$A$11,'Cost Centers'!$C$2:$C$11,"")</f>
        <v>Programs</v>
      </c>
      <c r="J1688" s="23">
        <f>MROUND(SUMIFS('Allocated Transactions'!$J:$J,'Allocated Transactions'!$D:$D,$E1688,'Allocated Transactions'!$C:$C,$C1688,'Allocated Transactions'!$A:$A,"&gt;="&amp;$A1688,'Allocated Transactions'!$A:$A,"&lt;="&amp;EOMONTH($A1688,0))*0.99,100)</f>
        <v>0</v>
      </c>
      <c r="K1688" s="113" t="s">
        <v>637</v>
      </c>
    </row>
    <row r="1689" spans="1:11" ht="15" customHeight="1">
      <c r="A1689" s="112">
        <f t="shared" ref="A1689:A1752" si="111">IF(C1689&lt;&gt;C1688,DATE(2025,7,1),IF(E1689="5000",EOMONTH(A1688,0)+1,A1688))</f>
        <v>46113</v>
      </c>
      <c r="B1689" s="113">
        <v>8</v>
      </c>
      <c r="C1689" s="18" t="str">
        <f t="shared" si="110"/>
        <v>2030</v>
      </c>
      <c r="D1689" s="113" t="str">
        <f>_xlfn.XLOOKUP($C1689,'Cost Centers'!$A$2:$A$11,'Cost Centers'!$B$2:$B$11,"")</f>
        <v>Sub-Saharan Africa</v>
      </c>
      <c r="E1689" s="113" t="s">
        <v>117</v>
      </c>
      <c r="F1689" s="113" t="str">
        <f>_xlfn.XLOOKUP(E1689,'Allocated Transactions'!D:D,'Allocated Transactions'!E:E,"")</f>
        <v>Insurance</v>
      </c>
      <c r="G1689" s="113" t="s">
        <v>97</v>
      </c>
      <c r="H1689" s="113"/>
      <c r="I1689" s="113" t="str">
        <f>_xlfn.XLOOKUP($C1689,'Cost Centers'!$A$2:$A$11,'Cost Centers'!$C$2:$C$11,"")</f>
        <v>Programs</v>
      </c>
      <c r="J1689" s="23">
        <f>MROUND(SUMIFS('Allocated Transactions'!$J:$J,'Allocated Transactions'!$D:$D,$E1689,'Allocated Transactions'!$C:$C,$C1689,'Allocated Transactions'!$A:$A,"&gt;="&amp;$A1689,'Allocated Transactions'!$A:$A,"&lt;="&amp;EOMONTH($A1689,0))*0.99,100)</f>
        <v>100</v>
      </c>
      <c r="K1689" s="113" t="s">
        <v>637</v>
      </c>
    </row>
    <row r="1690" spans="1:11" ht="15" customHeight="1">
      <c r="A1690" s="112">
        <f t="shared" si="111"/>
        <v>46113</v>
      </c>
      <c r="B1690" s="113">
        <v>8</v>
      </c>
      <c r="C1690" s="18" t="str">
        <f t="shared" si="110"/>
        <v>2030</v>
      </c>
      <c r="D1690" s="113" t="str">
        <f>_xlfn.XLOOKUP($C1690,'Cost Centers'!$A$2:$A$11,'Cost Centers'!$B$2:$B$11,"")</f>
        <v>Sub-Saharan Africa</v>
      </c>
      <c r="E1690" s="113" t="s">
        <v>119</v>
      </c>
      <c r="F1690" s="113" t="str">
        <f>_xlfn.XLOOKUP(E1690,'Allocated Transactions'!D:D,'Allocated Transactions'!E:E,"")</f>
        <v>Depreciation Expense</v>
      </c>
      <c r="G1690" s="113" t="s">
        <v>97</v>
      </c>
      <c r="H1690" s="113"/>
      <c r="I1690" s="113" t="str">
        <f>_xlfn.XLOOKUP($C1690,'Cost Centers'!$A$2:$A$11,'Cost Centers'!$C$2:$C$11,"")</f>
        <v>Programs</v>
      </c>
      <c r="J1690" s="23">
        <f>MROUND(SUMIFS('Allocated Transactions'!$J:$J,'Allocated Transactions'!$D:$D,$E1690,'Allocated Transactions'!$C:$C,$C1690,'Allocated Transactions'!$A:$A,"&gt;="&amp;$A1690,'Allocated Transactions'!$A:$A,"&lt;="&amp;EOMONTH($A1690,0))*0.99,100)</f>
        <v>0</v>
      </c>
      <c r="K1690" s="113" t="s">
        <v>637</v>
      </c>
    </row>
    <row r="1691" spans="1:11" ht="15" customHeight="1">
      <c r="A1691" s="112">
        <f t="shared" si="111"/>
        <v>46113</v>
      </c>
      <c r="B1691" s="113">
        <v>8</v>
      </c>
      <c r="C1691" s="18" t="str">
        <f t="shared" si="110"/>
        <v>2030</v>
      </c>
      <c r="D1691" s="113" t="str">
        <f>_xlfn.XLOOKUP($C1691,'Cost Centers'!$A$2:$A$11,'Cost Centers'!$B$2:$B$11,"")</f>
        <v>Sub-Saharan Africa</v>
      </c>
      <c r="E1691" s="113" t="s">
        <v>121</v>
      </c>
      <c r="F1691" s="113" t="str">
        <f>_xlfn.XLOOKUP(E1691,'Allocated Transactions'!D:D,'Allocated Transactions'!E:E,"")</f>
        <v>Bank Fees</v>
      </c>
      <c r="G1691" s="113" t="s">
        <v>97</v>
      </c>
      <c r="H1691" s="113"/>
      <c r="I1691" s="113" t="str">
        <f>_xlfn.XLOOKUP($C1691,'Cost Centers'!$A$2:$A$11,'Cost Centers'!$C$2:$C$11,"")</f>
        <v>Programs</v>
      </c>
      <c r="J1691" s="23">
        <f>MROUND(SUMIFS('Allocated Transactions'!$J:$J,'Allocated Transactions'!$D:$D,$E1691,'Allocated Transactions'!$C:$C,$C1691,'Allocated Transactions'!$A:$A,"&gt;="&amp;$A1691,'Allocated Transactions'!$A:$A,"&lt;="&amp;EOMONTH($A1691,0))*0.99,100)</f>
        <v>0</v>
      </c>
      <c r="K1691" s="113" t="s">
        <v>637</v>
      </c>
    </row>
    <row r="1692" spans="1:11" ht="15" customHeight="1">
      <c r="A1692" s="112">
        <f t="shared" si="111"/>
        <v>46113</v>
      </c>
      <c r="B1692" s="113">
        <v>8</v>
      </c>
      <c r="C1692" s="18" t="str">
        <f t="shared" si="110"/>
        <v>2030</v>
      </c>
      <c r="D1692" s="113" t="str">
        <f>_xlfn.XLOOKUP($C1692,'Cost Centers'!$A$2:$A$11,'Cost Centers'!$B$2:$B$11,"")</f>
        <v>Sub-Saharan Africa</v>
      </c>
      <c r="E1692" s="113" t="s">
        <v>123</v>
      </c>
      <c r="F1692" s="113" t="str">
        <f>_xlfn.XLOOKUP(E1692,'Allocated Transactions'!D:D,'Allocated Transactions'!E:E,"")</f>
        <v>Interest Expense</v>
      </c>
      <c r="G1692" s="113" t="s">
        <v>97</v>
      </c>
      <c r="H1692" s="113"/>
      <c r="I1692" s="113" t="str">
        <f>_xlfn.XLOOKUP($C1692,'Cost Centers'!$A$2:$A$11,'Cost Centers'!$C$2:$C$11,"")</f>
        <v>Programs</v>
      </c>
      <c r="J1692" s="23">
        <f>MROUND(SUMIFS('Allocated Transactions'!$J:$J,'Allocated Transactions'!$D:$D,$E1692,'Allocated Transactions'!$C:$C,$C1692,'Allocated Transactions'!$A:$A,"&gt;="&amp;$A1692,'Allocated Transactions'!$A:$A,"&lt;="&amp;EOMONTH($A1692,0))*0.99,100)</f>
        <v>0</v>
      </c>
      <c r="K1692" s="113" t="s">
        <v>637</v>
      </c>
    </row>
    <row r="1693" spans="1:11" ht="15" customHeight="1">
      <c r="A1693" s="112">
        <f t="shared" si="111"/>
        <v>46113</v>
      </c>
      <c r="B1693" s="113">
        <v>8</v>
      </c>
      <c r="C1693" s="18" t="str">
        <f t="shared" si="110"/>
        <v>2030</v>
      </c>
      <c r="D1693" s="113" t="str">
        <f>_xlfn.XLOOKUP($C1693,'Cost Centers'!$A$2:$A$11,'Cost Centers'!$B$2:$B$11,"")</f>
        <v>Sub-Saharan Africa</v>
      </c>
      <c r="E1693" s="113" t="s">
        <v>125</v>
      </c>
      <c r="F1693" s="113" t="str">
        <f>_xlfn.XLOOKUP(E1693,'Allocated Transactions'!D:D,'Allocated Transactions'!E:E,"")</f>
        <v>Miscellaneous Expense</v>
      </c>
      <c r="G1693" s="113" t="s">
        <v>97</v>
      </c>
      <c r="H1693" s="113"/>
      <c r="I1693" s="113" t="str">
        <f>_xlfn.XLOOKUP($C1693,'Cost Centers'!$A$2:$A$11,'Cost Centers'!$C$2:$C$11,"")</f>
        <v>Programs</v>
      </c>
      <c r="J1693" s="23">
        <f>MROUND(SUMIFS('Allocated Transactions'!$J:$J,'Allocated Transactions'!$D:$D,$E1693,'Allocated Transactions'!$C:$C,$C1693,'Allocated Transactions'!$A:$A,"&gt;="&amp;$A1693,'Allocated Transactions'!$A:$A,"&lt;="&amp;EOMONTH($A1693,0))*0.99,100)</f>
        <v>0</v>
      </c>
      <c r="K1693" s="113" t="s">
        <v>637</v>
      </c>
    </row>
    <row r="1694" spans="1:11" ht="15" customHeight="1">
      <c r="A1694" s="112">
        <f t="shared" si="111"/>
        <v>46143</v>
      </c>
      <c r="B1694" s="113">
        <v>8</v>
      </c>
      <c r="C1694" s="18" t="s">
        <v>16</v>
      </c>
      <c r="D1694" s="113" t="str">
        <f>_xlfn.XLOOKUP($C1694,'Cost Centers'!$A$2:$A$11,'Cost Centers'!$B$2:$B$11,"")</f>
        <v>Sub-Saharan Africa</v>
      </c>
      <c r="E1694" s="113" t="s">
        <v>28</v>
      </c>
      <c r="F1694" s="113" t="str">
        <f>_xlfn.XLOOKUP(E1694,'Allocated Transactions'!D:D,'Allocated Transactions'!E:E,"")</f>
        <v>Salaries and Wages</v>
      </c>
      <c r="G1694" s="113" t="s">
        <v>97</v>
      </c>
      <c r="H1694" s="113"/>
      <c r="I1694" s="113" t="str">
        <f>_xlfn.XLOOKUP($C1694,'Cost Centers'!$A$2:$A$11,'Cost Centers'!$C$2:$C$11,"")</f>
        <v>Programs</v>
      </c>
      <c r="J1694" s="23">
        <f>MROUND(SUMIFS('Allocated Transactions'!$J:$J,'Allocated Transactions'!$D:$D,$E1694,'Allocated Transactions'!$C:$C,$C1694,'Allocated Transactions'!$A:$A,"&gt;="&amp;$A1694,'Allocated Transactions'!$A:$A,"&lt;="&amp;EOMONTH($A1694,0))*0.99,100)</f>
        <v>9100</v>
      </c>
      <c r="K1694" s="113" t="s">
        <v>637</v>
      </c>
    </row>
    <row r="1695" spans="1:11" ht="15" customHeight="1">
      <c r="A1695" s="112">
        <f t="shared" si="111"/>
        <v>46143</v>
      </c>
      <c r="B1695" s="113">
        <v>8</v>
      </c>
      <c r="C1695" s="18" t="str">
        <f t="shared" ref="C1695:C1711" si="112">C1694</f>
        <v>2030</v>
      </c>
      <c r="D1695" s="113" t="str">
        <f>_xlfn.XLOOKUP($C1695,'Cost Centers'!$A$2:$A$11,'Cost Centers'!$B$2:$B$11,"")</f>
        <v>Sub-Saharan Africa</v>
      </c>
      <c r="E1695" s="113" t="s">
        <v>29</v>
      </c>
      <c r="F1695" s="113" t="str">
        <f>_xlfn.XLOOKUP(E1695,'Allocated Transactions'!D:D,'Allocated Transactions'!E:E,"")</f>
        <v>Payroll Taxes</v>
      </c>
      <c r="G1695" s="113" t="s">
        <v>97</v>
      </c>
      <c r="H1695" s="113"/>
      <c r="I1695" s="113" t="str">
        <f>_xlfn.XLOOKUP($C1695,'Cost Centers'!$A$2:$A$11,'Cost Centers'!$C$2:$C$11,"")</f>
        <v>Programs</v>
      </c>
      <c r="J1695" s="23">
        <f>MROUND(SUMIFS('Allocated Transactions'!$J:$J,'Allocated Transactions'!$D:$D,$E1695,'Allocated Transactions'!$C:$C,$C1695,'Allocated Transactions'!$A:$A,"&gt;="&amp;$A1695,'Allocated Transactions'!$A:$A,"&lt;="&amp;EOMONTH($A1695,0))*0.99,100)</f>
        <v>700</v>
      </c>
      <c r="K1695" s="113" t="s">
        <v>637</v>
      </c>
    </row>
    <row r="1696" spans="1:11" ht="15" customHeight="1">
      <c r="A1696" s="112">
        <f t="shared" si="111"/>
        <v>46143</v>
      </c>
      <c r="B1696" s="113">
        <v>8</v>
      </c>
      <c r="C1696" s="18" t="str">
        <f t="shared" si="112"/>
        <v>2030</v>
      </c>
      <c r="D1696" s="113" t="str">
        <f>_xlfn.XLOOKUP($C1696,'Cost Centers'!$A$2:$A$11,'Cost Centers'!$B$2:$B$11,"")</f>
        <v>Sub-Saharan Africa</v>
      </c>
      <c r="E1696" s="113" t="s">
        <v>30</v>
      </c>
      <c r="F1696" s="113" t="str">
        <f>_xlfn.XLOOKUP(E1696,'Allocated Transactions'!D:D,'Allocated Transactions'!E:E,"")</f>
        <v>Employee Benefits</v>
      </c>
      <c r="G1696" s="113" t="s">
        <v>97</v>
      </c>
      <c r="H1696" s="113"/>
      <c r="I1696" s="113" t="str">
        <f>_xlfn.XLOOKUP($C1696,'Cost Centers'!$A$2:$A$11,'Cost Centers'!$C$2:$C$11,"")</f>
        <v>Programs</v>
      </c>
      <c r="J1696" s="23">
        <f>MROUND(SUMIFS('Allocated Transactions'!$J:$J,'Allocated Transactions'!$D:$D,$E1696,'Allocated Transactions'!$C:$C,$C1696,'Allocated Transactions'!$A:$A,"&gt;="&amp;$A1696,'Allocated Transactions'!$A:$A,"&lt;="&amp;EOMONTH($A1696,0))*0.99,100)</f>
        <v>2100</v>
      </c>
      <c r="K1696" s="113" t="s">
        <v>637</v>
      </c>
    </row>
    <row r="1697" spans="1:11" ht="15" customHeight="1">
      <c r="A1697" s="112">
        <f t="shared" si="111"/>
        <v>46143</v>
      </c>
      <c r="B1697" s="113">
        <v>8</v>
      </c>
      <c r="C1697" s="18" t="str">
        <f t="shared" si="112"/>
        <v>2030</v>
      </c>
      <c r="D1697" s="113" t="str">
        <f>_xlfn.XLOOKUP($C1697,'Cost Centers'!$A$2:$A$11,'Cost Centers'!$B$2:$B$11,"")</f>
        <v>Sub-Saharan Africa</v>
      </c>
      <c r="E1697" s="113" t="s">
        <v>31</v>
      </c>
      <c r="F1697" s="113" t="str">
        <f>_xlfn.XLOOKUP(E1697,'Allocated Transactions'!D:D,'Allocated Transactions'!E:E,"")</f>
        <v>Retirement Contributions</v>
      </c>
      <c r="G1697" s="113" t="s">
        <v>97</v>
      </c>
      <c r="H1697" s="113"/>
      <c r="I1697" s="113" t="str">
        <f>_xlfn.XLOOKUP($C1697,'Cost Centers'!$A$2:$A$11,'Cost Centers'!$C$2:$C$11,"")</f>
        <v>Programs</v>
      </c>
      <c r="J1697" s="23">
        <f>MROUND(SUMIFS('Allocated Transactions'!$J:$J,'Allocated Transactions'!$D:$D,$E1697,'Allocated Transactions'!$C:$C,$C1697,'Allocated Transactions'!$A:$A,"&gt;="&amp;$A1697,'Allocated Transactions'!$A:$A,"&lt;="&amp;EOMONTH($A1697,0))*0.99,100)</f>
        <v>300</v>
      </c>
      <c r="K1697" s="113" t="s">
        <v>637</v>
      </c>
    </row>
    <row r="1698" spans="1:11" ht="15" customHeight="1">
      <c r="A1698" s="112">
        <f t="shared" si="111"/>
        <v>46143</v>
      </c>
      <c r="B1698" s="113">
        <v>8</v>
      </c>
      <c r="C1698" s="18" t="str">
        <f t="shared" si="112"/>
        <v>2030</v>
      </c>
      <c r="D1698" s="113" t="str">
        <f>_xlfn.XLOOKUP($C1698,'Cost Centers'!$A$2:$A$11,'Cost Centers'!$B$2:$B$11,"")</f>
        <v>Sub-Saharan Africa</v>
      </c>
      <c r="E1698" s="113" t="s">
        <v>101</v>
      </c>
      <c r="F1698" s="113" t="str">
        <f>_xlfn.XLOOKUP(E1698,'Allocated Transactions'!D:D,'Allocated Transactions'!E:E,"")</f>
        <v>Contract Labor / Consultants</v>
      </c>
      <c r="G1698" s="113" t="s">
        <v>97</v>
      </c>
      <c r="H1698" s="113"/>
      <c r="I1698" s="113" t="str">
        <f>_xlfn.XLOOKUP($C1698,'Cost Centers'!$A$2:$A$11,'Cost Centers'!$C$2:$C$11,"")</f>
        <v>Programs</v>
      </c>
      <c r="J1698" s="23">
        <f>MROUND(SUMIFS('Allocated Transactions'!$J:$J,'Allocated Transactions'!$D:$D,$E1698,'Allocated Transactions'!$C:$C,$C1698,'Allocated Transactions'!$A:$A,"&gt;="&amp;$A1698,'Allocated Transactions'!$A:$A,"&lt;="&amp;EOMONTH($A1698,0))*0.99,100)</f>
        <v>0</v>
      </c>
      <c r="K1698" s="113" t="s">
        <v>637</v>
      </c>
    </row>
    <row r="1699" spans="1:11" ht="15" customHeight="1">
      <c r="A1699" s="112">
        <f t="shared" si="111"/>
        <v>46143</v>
      </c>
      <c r="B1699" s="113">
        <v>8</v>
      </c>
      <c r="C1699" s="18" t="str">
        <f t="shared" si="112"/>
        <v>2030</v>
      </c>
      <c r="D1699" s="113" t="str">
        <f>_xlfn.XLOOKUP($C1699,'Cost Centers'!$A$2:$A$11,'Cost Centers'!$B$2:$B$11,"")</f>
        <v>Sub-Saharan Africa</v>
      </c>
      <c r="E1699" s="113" t="s">
        <v>32</v>
      </c>
      <c r="F1699" s="113" t="str">
        <f>_xlfn.XLOOKUP(E1699,'Allocated Transactions'!D:D,'Allocated Transactions'!E:E,"")</f>
        <v>Rent</v>
      </c>
      <c r="G1699" s="113" t="s">
        <v>97</v>
      </c>
      <c r="H1699" s="113"/>
      <c r="I1699" s="113" t="str">
        <f>_xlfn.XLOOKUP($C1699,'Cost Centers'!$A$2:$A$11,'Cost Centers'!$C$2:$C$11,"")</f>
        <v>Programs</v>
      </c>
      <c r="J1699" s="23">
        <f>MROUND(SUMIFS('Allocated Transactions'!$J:$J,'Allocated Transactions'!$D:$D,$E1699,'Allocated Transactions'!$C:$C,$C1699,'Allocated Transactions'!$A:$A,"&gt;="&amp;$A1699,'Allocated Transactions'!$A:$A,"&lt;="&amp;EOMONTH($A1699,0))*0.99,100)</f>
        <v>700</v>
      </c>
      <c r="K1699" s="113" t="s">
        <v>637</v>
      </c>
    </row>
    <row r="1700" spans="1:11" ht="15" customHeight="1">
      <c r="A1700" s="112">
        <f t="shared" si="111"/>
        <v>46143</v>
      </c>
      <c r="B1700" s="113">
        <v>8</v>
      </c>
      <c r="C1700" s="18" t="str">
        <f t="shared" si="112"/>
        <v>2030</v>
      </c>
      <c r="D1700" s="113" t="str">
        <f>_xlfn.XLOOKUP($C1700,'Cost Centers'!$A$2:$A$11,'Cost Centers'!$B$2:$B$11,"")</f>
        <v>Sub-Saharan Africa</v>
      </c>
      <c r="E1700" s="113" t="s">
        <v>33</v>
      </c>
      <c r="F1700" s="113" t="str">
        <f>_xlfn.XLOOKUP(E1700,'Allocated Transactions'!D:D,'Allocated Transactions'!E:E,"")</f>
        <v>Utilities</v>
      </c>
      <c r="G1700" s="113" t="s">
        <v>97</v>
      </c>
      <c r="H1700" s="113"/>
      <c r="I1700" s="113" t="str">
        <f>_xlfn.XLOOKUP($C1700,'Cost Centers'!$A$2:$A$11,'Cost Centers'!$C$2:$C$11,"")</f>
        <v>Programs</v>
      </c>
      <c r="J1700" s="23">
        <f>MROUND(SUMIFS('Allocated Transactions'!$J:$J,'Allocated Transactions'!$D:$D,$E1700,'Allocated Transactions'!$C:$C,$C1700,'Allocated Transactions'!$A:$A,"&gt;="&amp;$A1700,'Allocated Transactions'!$A:$A,"&lt;="&amp;EOMONTH($A1700,0))*0.99,100)</f>
        <v>100</v>
      </c>
      <c r="K1700" s="113" t="s">
        <v>637</v>
      </c>
    </row>
    <row r="1701" spans="1:11" ht="15" customHeight="1">
      <c r="A1701" s="112">
        <f t="shared" si="111"/>
        <v>46143</v>
      </c>
      <c r="B1701" s="113">
        <v>8</v>
      </c>
      <c r="C1701" s="18" t="str">
        <f t="shared" si="112"/>
        <v>2030</v>
      </c>
      <c r="D1701" s="113" t="str">
        <f>_xlfn.XLOOKUP($C1701,'Cost Centers'!$A$2:$A$11,'Cost Centers'!$B$2:$B$11,"")</f>
        <v>Sub-Saharan Africa</v>
      </c>
      <c r="E1701" s="113" t="s">
        <v>105</v>
      </c>
      <c r="F1701" s="113" t="str">
        <f>_xlfn.XLOOKUP(E1701,'Allocated Transactions'!D:D,'Allocated Transactions'!E:E,"")</f>
        <v>Office Supplies</v>
      </c>
      <c r="G1701" s="113" t="s">
        <v>97</v>
      </c>
      <c r="H1701" s="113"/>
      <c r="I1701" s="113" t="str">
        <f>_xlfn.XLOOKUP($C1701,'Cost Centers'!$A$2:$A$11,'Cost Centers'!$C$2:$C$11,"")</f>
        <v>Programs</v>
      </c>
      <c r="J1701" s="23">
        <f>MROUND(SUMIFS('Allocated Transactions'!$J:$J,'Allocated Transactions'!$D:$D,$E1701,'Allocated Transactions'!$C:$C,$C1701,'Allocated Transactions'!$A:$A,"&gt;="&amp;$A1701,'Allocated Transactions'!$A:$A,"&lt;="&amp;EOMONTH($A1701,0))*0.99,100)</f>
        <v>0</v>
      </c>
      <c r="K1701" s="113" t="s">
        <v>637</v>
      </c>
    </row>
    <row r="1702" spans="1:11" ht="15" customHeight="1">
      <c r="A1702" s="112">
        <f t="shared" si="111"/>
        <v>46143</v>
      </c>
      <c r="B1702" s="113">
        <v>8</v>
      </c>
      <c r="C1702" s="18" t="str">
        <f t="shared" si="112"/>
        <v>2030</v>
      </c>
      <c r="D1702" s="113" t="str">
        <f>_xlfn.XLOOKUP($C1702,'Cost Centers'!$A$2:$A$11,'Cost Centers'!$B$2:$B$11,"")</f>
        <v>Sub-Saharan Africa</v>
      </c>
      <c r="E1702" s="113" t="s">
        <v>107</v>
      </c>
      <c r="F1702" s="113" t="str">
        <f>_xlfn.XLOOKUP(E1702,'Allocated Transactions'!D:D,'Allocated Transactions'!E:E,"")</f>
        <v>Software and Subscriptions</v>
      </c>
      <c r="G1702" s="113" t="s">
        <v>97</v>
      </c>
      <c r="H1702" s="113"/>
      <c r="I1702" s="113" t="str">
        <f>_xlfn.XLOOKUP($C1702,'Cost Centers'!$A$2:$A$11,'Cost Centers'!$C$2:$C$11,"")</f>
        <v>Programs</v>
      </c>
      <c r="J1702" s="23">
        <f>MROUND(SUMIFS('Allocated Transactions'!$J:$J,'Allocated Transactions'!$D:$D,$E1702,'Allocated Transactions'!$C:$C,$C1702,'Allocated Transactions'!$A:$A,"&gt;="&amp;$A1702,'Allocated Transactions'!$A:$A,"&lt;="&amp;EOMONTH($A1702,0))*0.99,100)</f>
        <v>0</v>
      </c>
      <c r="K1702" s="113" t="s">
        <v>637</v>
      </c>
    </row>
    <row r="1703" spans="1:11" ht="15" customHeight="1">
      <c r="A1703" s="112">
        <f t="shared" si="111"/>
        <v>46143</v>
      </c>
      <c r="B1703" s="113">
        <v>8</v>
      </c>
      <c r="C1703" s="18" t="str">
        <f t="shared" si="112"/>
        <v>2030</v>
      </c>
      <c r="D1703" s="113" t="str">
        <f>_xlfn.XLOOKUP($C1703,'Cost Centers'!$A$2:$A$11,'Cost Centers'!$B$2:$B$11,"")</f>
        <v>Sub-Saharan Africa</v>
      </c>
      <c r="E1703" s="113" t="s">
        <v>109</v>
      </c>
      <c r="F1703" s="113" t="str">
        <f>_xlfn.XLOOKUP(E1703,'Allocated Transactions'!D:D,'Allocated Transactions'!E:E,"")</f>
        <v>Travel</v>
      </c>
      <c r="G1703" s="113" t="s">
        <v>97</v>
      </c>
      <c r="H1703" s="113"/>
      <c r="I1703" s="113" t="str">
        <f>_xlfn.XLOOKUP($C1703,'Cost Centers'!$A$2:$A$11,'Cost Centers'!$C$2:$C$11,"")</f>
        <v>Programs</v>
      </c>
      <c r="J1703" s="23">
        <f>MROUND(SUMIFS('Allocated Transactions'!$J:$J,'Allocated Transactions'!$D:$D,$E1703,'Allocated Transactions'!$C:$C,$C1703,'Allocated Transactions'!$A:$A,"&gt;="&amp;$A1703,'Allocated Transactions'!$A:$A,"&lt;="&amp;EOMONTH($A1703,0))*0.99,100)</f>
        <v>0</v>
      </c>
      <c r="K1703" s="113" t="s">
        <v>637</v>
      </c>
    </row>
    <row r="1704" spans="1:11" ht="15" customHeight="1">
      <c r="A1704" s="112">
        <f t="shared" si="111"/>
        <v>46143</v>
      </c>
      <c r="B1704" s="113">
        <v>8</v>
      </c>
      <c r="C1704" s="18" t="str">
        <f t="shared" si="112"/>
        <v>2030</v>
      </c>
      <c r="D1704" s="113" t="str">
        <f>_xlfn.XLOOKUP($C1704,'Cost Centers'!$A$2:$A$11,'Cost Centers'!$B$2:$B$11,"")</f>
        <v>Sub-Saharan Africa</v>
      </c>
      <c r="E1704" s="113" t="s">
        <v>111</v>
      </c>
      <c r="F1704" s="113" t="str">
        <f>_xlfn.XLOOKUP(E1704,'Allocated Transactions'!D:D,'Allocated Transactions'!E:E,"")</f>
        <v>Meals and Entertainment</v>
      </c>
      <c r="G1704" s="113" t="s">
        <v>97</v>
      </c>
      <c r="H1704" s="113"/>
      <c r="I1704" s="113" t="str">
        <f>_xlfn.XLOOKUP($C1704,'Cost Centers'!$A$2:$A$11,'Cost Centers'!$C$2:$C$11,"")</f>
        <v>Programs</v>
      </c>
      <c r="J1704" s="23">
        <f>MROUND(SUMIFS('Allocated Transactions'!$J:$J,'Allocated Transactions'!$D:$D,$E1704,'Allocated Transactions'!$C:$C,$C1704,'Allocated Transactions'!$A:$A,"&gt;="&amp;$A1704,'Allocated Transactions'!$A:$A,"&lt;="&amp;EOMONTH($A1704,0))*0.99,100)</f>
        <v>0</v>
      </c>
      <c r="K1704" s="113" t="s">
        <v>637</v>
      </c>
    </row>
    <row r="1705" spans="1:11" ht="15" customHeight="1">
      <c r="A1705" s="112">
        <f t="shared" si="111"/>
        <v>46143</v>
      </c>
      <c r="B1705" s="113">
        <v>8</v>
      </c>
      <c r="C1705" s="18" t="str">
        <f t="shared" si="112"/>
        <v>2030</v>
      </c>
      <c r="D1705" s="113" t="str">
        <f>_xlfn.XLOOKUP($C1705,'Cost Centers'!$A$2:$A$11,'Cost Centers'!$B$2:$B$11,"")</f>
        <v>Sub-Saharan Africa</v>
      </c>
      <c r="E1705" s="113" t="s">
        <v>113</v>
      </c>
      <c r="F1705" s="113" t="str">
        <f>_xlfn.XLOOKUP(E1705,'Allocated Transactions'!D:D,'Allocated Transactions'!E:E,"")</f>
        <v>Professional Fees - Legal</v>
      </c>
      <c r="G1705" s="113" t="s">
        <v>97</v>
      </c>
      <c r="H1705" s="113"/>
      <c r="I1705" s="113" t="str">
        <f>_xlfn.XLOOKUP($C1705,'Cost Centers'!$A$2:$A$11,'Cost Centers'!$C$2:$C$11,"")</f>
        <v>Programs</v>
      </c>
      <c r="J1705" s="23">
        <f>MROUND(SUMIFS('Allocated Transactions'!$J:$J,'Allocated Transactions'!$D:$D,$E1705,'Allocated Transactions'!$C:$C,$C1705,'Allocated Transactions'!$A:$A,"&gt;="&amp;$A1705,'Allocated Transactions'!$A:$A,"&lt;="&amp;EOMONTH($A1705,0))*0.99,100)</f>
        <v>0</v>
      </c>
      <c r="K1705" s="113" t="s">
        <v>637</v>
      </c>
    </row>
    <row r="1706" spans="1:11" ht="15" customHeight="1">
      <c r="A1706" s="112">
        <f t="shared" si="111"/>
        <v>46143</v>
      </c>
      <c r="B1706" s="113">
        <v>8</v>
      </c>
      <c r="C1706" s="18" t="str">
        <f t="shared" si="112"/>
        <v>2030</v>
      </c>
      <c r="D1706" s="113" t="str">
        <f>_xlfn.XLOOKUP($C1706,'Cost Centers'!$A$2:$A$11,'Cost Centers'!$B$2:$B$11,"")</f>
        <v>Sub-Saharan Africa</v>
      </c>
      <c r="E1706" s="113" t="s">
        <v>115</v>
      </c>
      <c r="F1706" s="113" t="str">
        <f>_xlfn.XLOOKUP(E1706,'Allocated Transactions'!D:D,'Allocated Transactions'!E:E,"")</f>
        <v>Professional Fees - Accounting/Audit</v>
      </c>
      <c r="G1706" s="113" t="s">
        <v>97</v>
      </c>
      <c r="H1706" s="113"/>
      <c r="I1706" s="113" t="str">
        <f>_xlfn.XLOOKUP($C1706,'Cost Centers'!$A$2:$A$11,'Cost Centers'!$C$2:$C$11,"")</f>
        <v>Programs</v>
      </c>
      <c r="J1706" s="23">
        <f>MROUND(SUMIFS('Allocated Transactions'!$J:$J,'Allocated Transactions'!$D:$D,$E1706,'Allocated Transactions'!$C:$C,$C1706,'Allocated Transactions'!$A:$A,"&gt;="&amp;$A1706,'Allocated Transactions'!$A:$A,"&lt;="&amp;EOMONTH($A1706,0))*0.99,100)</f>
        <v>0</v>
      </c>
      <c r="K1706" s="113" t="s">
        <v>637</v>
      </c>
    </row>
    <row r="1707" spans="1:11" ht="15" customHeight="1">
      <c r="A1707" s="112">
        <f t="shared" si="111"/>
        <v>46143</v>
      </c>
      <c r="B1707" s="113">
        <v>8</v>
      </c>
      <c r="C1707" s="18" t="str">
        <f t="shared" si="112"/>
        <v>2030</v>
      </c>
      <c r="D1707" s="113" t="str">
        <f>_xlfn.XLOOKUP($C1707,'Cost Centers'!$A$2:$A$11,'Cost Centers'!$B$2:$B$11,"")</f>
        <v>Sub-Saharan Africa</v>
      </c>
      <c r="E1707" s="113" t="s">
        <v>117</v>
      </c>
      <c r="F1707" s="113" t="str">
        <f>_xlfn.XLOOKUP(E1707,'Allocated Transactions'!D:D,'Allocated Transactions'!E:E,"")</f>
        <v>Insurance</v>
      </c>
      <c r="G1707" s="113" t="s">
        <v>97</v>
      </c>
      <c r="H1707" s="113"/>
      <c r="I1707" s="113" t="str">
        <f>_xlfn.XLOOKUP($C1707,'Cost Centers'!$A$2:$A$11,'Cost Centers'!$C$2:$C$11,"")</f>
        <v>Programs</v>
      </c>
      <c r="J1707" s="23">
        <f>MROUND(SUMIFS('Allocated Transactions'!$J:$J,'Allocated Transactions'!$D:$D,$E1707,'Allocated Transactions'!$C:$C,$C1707,'Allocated Transactions'!$A:$A,"&gt;="&amp;$A1707,'Allocated Transactions'!$A:$A,"&lt;="&amp;EOMONTH($A1707,0))*0.99,100)</f>
        <v>100</v>
      </c>
      <c r="K1707" s="113" t="s">
        <v>637</v>
      </c>
    </row>
    <row r="1708" spans="1:11" ht="15" customHeight="1">
      <c r="A1708" s="112">
        <f t="shared" si="111"/>
        <v>46143</v>
      </c>
      <c r="B1708" s="113">
        <v>8</v>
      </c>
      <c r="C1708" s="18" t="str">
        <f t="shared" si="112"/>
        <v>2030</v>
      </c>
      <c r="D1708" s="113" t="str">
        <f>_xlfn.XLOOKUP($C1708,'Cost Centers'!$A$2:$A$11,'Cost Centers'!$B$2:$B$11,"")</f>
        <v>Sub-Saharan Africa</v>
      </c>
      <c r="E1708" s="113" t="s">
        <v>119</v>
      </c>
      <c r="F1708" s="113" t="str">
        <f>_xlfn.XLOOKUP(E1708,'Allocated Transactions'!D:D,'Allocated Transactions'!E:E,"")</f>
        <v>Depreciation Expense</v>
      </c>
      <c r="G1708" s="113" t="s">
        <v>97</v>
      </c>
      <c r="H1708" s="113"/>
      <c r="I1708" s="113" t="str">
        <f>_xlfn.XLOOKUP($C1708,'Cost Centers'!$A$2:$A$11,'Cost Centers'!$C$2:$C$11,"")</f>
        <v>Programs</v>
      </c>
      <c r="J1708" s="23">
        <f>MROUND(SUMIFS('Allocated Transactions'!$J:$J,'Allocated Transactions'!$D:$D,$E1708,'Allocated Transactions'!$C:$C,$C1708,'Allocated Transactions'!$A:$A,"&gt;="&amp;$A1708,'Allocated Transactions'!$A:$A,"&lt;="&amp;EOMONTH($A1708,0))*0.99,100)</f>
        <v>0</v>
      </c>
      <c r="K1708" s="113" t="s">
        <v>637</v>
      </c>
    </row>
    <row r="1709" spans="1:11" ht="15" customHeight="1">
      <c r="A1709" s="112">
        <f t="shared" si="111"/>
        <v>46143</v>
      </c>
      <c r="B1709" s="113">
        <v>8</v>
      </c>
      <c r="C1709" s="18" t="str">
        <f t="shared" si="112"/>
        <v>2030</v>
      </c>
      <c r="D1709" s="113" t="str">
        <f>_xlfn.XLOOKUP($C1709,'Cost Centers'!$A$2:$A$11,'Cost Centers'!$B$2:$B$11,"")</f>
        <v>Sub-Saharan Africa</v>
      </c>
      <c r="E1709" s="113" t="s">
        <v>121</v>
      </c>
      <c r="F1709" s="113" t="str">
        <f>_xlfn.XLOOKUP(E1709,'Allocated Transactions'!D:D,'Allocated Transactions'!E:E,"")</f>
        <v>Bank Fees</v>
      </c>
      <c r="G1709" s="113" t="s">
        <v>97</v>
      </c>
      <c r="H1709" s="113"/>
      <c r="I1709" s="113" t="str">
        <f>_xlfn.XLOOKUP($C1709,'Cost Centers'!$A$2:$A$11,'Cost Centers'!$C$2:$C$11,"")</f>
        <v>Programs</v>
      </c>
      <c r="J1709" s="23">
        <f>MROUND(SUMIFS('Allocated Transactions'!$J:$J,'Allocated Transactions'!$D:$D,$E1709,'Allocated Transactions'!$C:$C,$C1709,'Allocated Transactions'!$A:$A,"&gt;="&amp;$A1709,'Allocated Transactions'!$A:$A,"&lt;="&amp;EOMONTH($A1709,0))*0.99,100)</f>
        <v>0</v>
      </c>
      <c r="K1709" s="113" t="s">
        <v>637</v>
      </c>
    </row>
    <row r="1710" spans="1:11" ht="15" customHeight="1">
      <c r="A1710" s="112">
        <f t="shared" si="111"/>
        <v>46143</v>
      </c>
      <c r="B1710" s="113">
        <v>8</v>
      </c>
      <c r="C1710" s="18" t="str">
        <f t="shared" si="112"/>
        <v>2030</v>
      </c>
      <c r="D1710" s="113" t="str">
        <f>_xlfn.XLOOKUP($C1710,'Cost Centers'!$A$2:$A$11,'Cost Centers'!$B$2:$B$11,"")</f>
        <v>Sub-Saharan Africa</v>
      </c>
      <c r="E1710" s="113" t="s">
        <v>123</v>
      </c>
      <c r="F1710" s="113" t="str">
        <f>_xlfn.XLOOKUP(E1710,'Allocated Transactions'!D:D,'Allocated Transactions'!E:E,"")</f>
        <v>Interest Expense</v>
      </c>
      <c r="G1710" s="113" t="s">
        <v>97</v>
      </c>
      <c r="H1710" s="113"/>
      <c r="I1710" s="113" t="str">
        <f>_xlfn.XLOOKUP($C1710,'Cost Centers'!$A$2:$A$11,'Cost Centers'!$C$2:$C$11,"")</f>
        <v>Programs</v>
      </c>
      <c r="J1710" s="23">
        <f>MROUND(SUMIFS('Allocated Transactions'!$J:$J,'Allocated Transactions'!$D:$D,$E1710,'Allocated Transactions'!$C:$C,$C1710,'Allocated Transactions'!$A:$A,"&gt;="&amp;$A1710,'Allocated Transactions'!$A:$A,"&lt;="&amp;EOMONTH($A1710,0))*0.99,100)</f>
        <v>0</v>
      </c>
      <c r="K1710" s="113" t="s">
        <v>637</v>
      </c>
    </row>
    <row r="1711" spans="1:11" ht="15" customHeight="1">
      <c r="A1711" s="112">
        <f t="shared" si="111"/>
        <v>46143</v>
      </c>
      <c r="B1711" s="113">
        <v>8</v>
      </c>
      <c r="C1711" s="18" t="str">
        <f t="shared" si="112"/>
        <v>2030</v>
      </c>
      <c r="D1711" s="113" t="str">
        <f>_xlfn.XLOOKUP($C1711,'Cost Centers'!$A$2:$A$11,'Cost Centers'!$B$2:$B$11,"")</f>
        <v>Sub-Saharan Africa</v>
      </c>
      <c r="E1711" s="113" t="s">
        <v>125</v>
      </c>
      <c r="F1711" s="113" t="str">
        <f>_xlfn.XLOOKUP(E1711,'Allocated Transactions'!D:D,'Allocated Transactions'!E:E,"")</f>
        <v>Miscellaneous Expense</v>
      </c>
      <c r="G1711" s="113" t="s">
        <v>97</v>
      </c>
      <c r="H1711" s="113"/>
      <c r="I1711" s="113" t="str">
        <f>_xlfn.XLOOKUP($C1711,'Cost Centers'!$A$2:$A$11,'Cost Centers'!$C$2:$C$11,"")</f>
        <v>Programs</v>
      </c>
      <c r="J1711" s="23">
        <f>MROUND(SUMIFS('Allocated Transactions'!$J:$J,'Allocated Transactions'!$D:$D,$E1711,'Allocated Transactions'!$C:$C,$C1711,'Allocated Transactions'!$A:$A,"&gt;="&amp;$A1711,'Allocated Transactions'!$A:$A,"&lt;="&amp;EOMONTH($A1711,0))*0.99,100)</f>
        <v>0</v>
      </c>
      <c r="K1711" s="113" t="s">
        <v>637</v>
      </c>
    </row>
    <row r="1712" spans="1:11" ht="15" customHeight="1">
      <c r="A1712" s="112">
        <f t="shared" si="111"/>
        <v>46174</v>
      </c>
      <c r="B1712" s="113">
        <v>8</v>
      </c>
      <c r="C1712" s="18" t="s">
        <v>16</v>
      </c>
      <c r="D1712" s="113" t="str">
        <f>_xlfn.XLOOKUP($C1712,'Cost Centers'!$A$2:$A$11,'Cost Centers'!$B$2:$B$11,"")</f>
        <v>Sub-Saharan Africa</v>
      </c>
      <c r="E1712" s="113" t="s">
        <v>28</v>
      </c>
      <c r="F1712" s="113" t="str">
        <f>_xlfn.XLOOKUP(E1712,'Allocated Transactions'!D:D,'Allocated Transactions'!E:E,"")</f>
        <v>Salaries and Wages</v>
      </c>
      <c r="G1712" s="113" t="s">
        <v>97</v>
      </c>
      <c r="H1712" s="113"/>
      <c r="I1712" s="113" t="str">
        <f>_xlfn.XLOOKUP($C1712,'Cost Centers'!$A$2:$A$11,'Cost Centers'!$C$2:$C$11,"")</f>
        <v>Programs</v>
      </c>
      <c r="J1712" s="23">
        <f>MROUND(SUMIFS('Allocated Transactions'!$J:$J,'Allocated Transactions'!$D:$D,$E1712,'Allocated Transactions'!$C:$C,$C1712,'Allocated Transactions'!$A:$A,"&gt;="&amp;$A1712,'Allocated Transactions'!$A:$A,"&lt;="&amp;EOMONTH($A1712,0))*0.99,100)</f>
        <v>9500</v>
      </c>
      <c r="K1712" s="113" t="s">
        <v>637</v>
      </c>
    </row>
    <row r="1713" spans="1:11" ht="15" customHeight="1">
      <c r="A1713" s="112">
        <f t="shared" si="111"/>
        <v>46174</v>
      </c>
      <c r="B1713" s="113">
        <v>8</v>
      </c>
      <c r="C1713" s="18" t="str">
        <f t="shared" ref="C1713:C1729" si="113">C1712</f>
        <v>2030</v>
      </c>
      <c r="D1713" s="113" t="str">
        <f>_xlfn.XLOOKUP($C1713,'Cost Centers'!$A$2:$A$11,'Cost Centers'!$B$2:$B$11,"")</f>
        <v>Sub-Saharan Africa</v>
      </c>
      <c r="E1713" s="113" t="s">
        <v>29</v>
      </c>
      <c r="F1713" s="113" t="str">
        <f>_xlfn.XLOOKUP(E1713,'Allocated Transactions'!D:D,'Allocated Transactions'!E:E,"")</f>
        <v>Payroll Taxes</v>
      </c>
      <c r="G1713" s="113" t="s">
        <v>97</v>
      </c>
      <c r="H1713" s="113"/>
      <c r="I1713" s="113" t="str">
        <f>_xlfn.XLOOKUP($C1713,'Cost Centers'!$A$2:$A$11,'Cost Centers'!$C$2:$C$11,"")</f>
        <v>Programs</v>
      </c>
      <c r="J1713" s="23">
        <f>MROUND(SUMIFS('Allocated Transactions'!$J:$J,'Allocated Transactions'!$D:$D,$E1713,'Allocated Transactions'!$C:$C,$C1713,'Allocated Transactions'!$A:$A,"&gt;="&amp;$A1713,'Allocated Transactions'!$A:$A,"&lt;="&amp;EOMONTH($A1713,0))*0.99,100)</f>
        <v>700</v>
      </c>
      <c r="K1713" s="113" t="s">
        <v>637</v>
      </c>
    </row>
    <row r="1714" spans="1:11" ht="15" customHeight="1">
      <c r="A1714" s="112">
        <f t="shared" si="111"/>
        <v>46174</v>
      </c>
      <c r="B1714" s="113">
        <v>8</v>
      </c>
      <c r="C1714" s="18" t="str">
        <f t="shared" si="113"/>
        <v>2030</v>
      </c>
      <c r="D1714" s="113" t="str">
        <f>_xlfn.XLOOKUP($C1714,'Cost Centers'!$A$2:$A$11,'Cost Centers'!$B$2:$B$11,"")</f>
        <v>Sub-Saharan Africa</v>
      </c>
      <c r="E1714" s="113" t="s">
        <v>30</v>
      </c>
      <c r="F1714" s="113" t="str">
        <f>_xlfn.XLOOKUP(E1714,'Allocated Transactions'!D:D,'Allocated Transactions'!E:E,"")</f>
        <v>Employee Benefits</v>
      </c>
      <c r="G1714" s="113" t="s">
        <v>97</v>
      </c>
      <c r="H1714" s="113"/>
      <c r="I1714" s="113" t="str">
        <f>_xlfn.XLOOKUP($C1714,'Cost Centers'!$A$2:$A$11,'Cost Centers'!$C$2:$C$11,"")</f>
        <v>Programs</v>
      </c>
      <c r="J1714" s="23">
        <f>MROUND(SUMIFS('Allocated Transactions'!$J:$J,'Allocated Transactions'!$D:$D,$E1714,'Allocated Transactions'!$C:$C,$C1714,'Allocated Transactions'!$A:$A,"&gt;="&amp;$A1714,'Allocated Transactions'!$A:$A,"&lt;="&amp;EOMONTH($A1714,0))*0.99,100)</f>
        <v>2700</v>
      </c>
      <c r="K1714" s="113" t="s">
        <v>637</v>
      </c>
    </row>
    <row r="1715" spans="1:11" ht="15" customHeight="1">
      <c r="A1715" s="112">
        <f t="shared" si="111"/>
        <v>46174</v>
      </c>
      <c r="B1715" s="113">
        <v>8</v>
      </c>
      <c r="C1715" s="18" t="str">
        <f t="shared" si="113"/>
        <v>2030</v>
      </c>
      <c r="D1715" s="113" t="str">
        <f>_xlfn.XLOOKUP($C1715,'Cost Centers'!$A$2:$A$11,'Cost Centers'!$B$2:$B$11,"")</f>
        <v>Sub-Saharan Africa</v>
      </c>
      <c r="E1715" s="113" t="s">
        <v>31</v>
      </c>
      <c r="F1715" s="113" t="str">
        <f>_xlfn.XLOOKUP(E1715,'Allocated Transactions'!D:D,'Allocated Transactions'!E:E,"")</f>
        <v>Retirement Contributions</v>
      </c>
      <c r="G1715" s="113" t="s">
        <v>97</v>
      </c>
      <c r="H1715" s="113"/>
      <c r="I1715" s="113" t="str">
        <f>_xlfn.XLOOKUP($C1715,'Cost Centers'!$A$2:$A$11,'Cost Centers'!$C$2:$C$11,"")</f>
        <v>Programs</v>
      </c>
      <c r="J1715" s="23">
        <f>MROUND(SUMIFS('Allocated Transactions'!$J:$J,'Allocated Transactions'!$D:$D,$E1715,'Allocated Transactions'!$C:$C,$C1715,'Allocated Transactions'!$A:$A,"&gt;="&amp;$A1715,'Allocated Transactions'!$A:$A,"&lt;="&amp;EOMONTH($A1715,0))*0.99,100)</f>
        <v>300</v>
      </c>
      <c r="K1715" s="113" t="s">
        <v>637</v>
      </c>
    </row>
    <row r="1716" spans="1:11" ht="15" customHeight="1">
      <c r="A1716" s="112">
        <f t="shared" si="111"/>
        <v>46174</v>
      </c>
      <c r="B1716" s="113">
        <v>8</v>
      </c>
      <c r="C1716" s="18" t="str">
        <f t="shared" si="113"/>
        <v>2030</v>
      </c>
      <c r="D1716" s="113" t="str">
        <f>_xlfn.XLOOKUP($C1716,'Cost Centers'!$A$2:$A$11,'Cost Centers'!$B$2:$B$11,"")</f>
        <v>Sub-Saharan Africa</v>
      </c>
      <c r="E1716" s="113" t="s">
        <v>101</v>
      </c>
      <c r="F1716" s="113" t="str">
        <f>_xlfn.XLOOKUP(E1716,'Allocated Transactions'!D:D,'Allocated Transactions'!E:E,"")</f>
        <v>Contract Labor / Consultants</v>
      </c>
      <c r="G1716" s="113" t="s">
        <v>97</v>
      </c>
      <c r="H1716" s="113"/>
      <c r="I1716" s="113" t="str">
        <f>_xlfn.XLOOKUP($C1716,'Cost Centers'!$A$2:$A$11,'Cost Centers'!$C$2:$C$11,"")</f>
        <v>Programs</v>
      </c>
      <c r="J1716" s="23">
        <f>MROUND(SUMIFS('Allocated Transactions'!$J:$J,'Allocated Transactions'!$D:$D,$E1716,'Allocated Transactions'!$C:$C,$C1716,'Allocated Transactions'!$A:$A,"&gt;="&amp;$A1716,'Allocated Transactions'!$A:$A,"&lt;="&amp;EOMONTH($A1716,0))*0.99,100)</f>
        <v>0</v>
      </c>
      <c r="K1716" s="113" t="s">
        <v>637</v>
      </c>
    </row>
    <row r="1717" spans="1:11" ht="15" customHeight="1">
      <c r="A1717" s="112">
        <f t="shared" si="111"/>
        <v>46174</v>
      </c>
      <c r="B1717" s="113">
        <v>8</v>
      </c>
      <c r="C1717" s="18" t="str">
        <f t="shared" si="113"/>
        <v>2030</v>
      </c>
      <c r="D1717" s="113" t="str">
        <f>_xlfn.XLOOKUP($C1717,'Cost Centers'!$A$2:$A$11,'Cost Centers'!$B$2:$B$11,"")</f>
        <v>Sub-Saharan Africa</v>
      </c>
      <c r="E1717" s="113" t="s">
        <v>32</v>
      </c>
      <c r="F1717" s="113" t="str">
        <f>_xlfn.XLOOKUP(E1717,'Allocated Transactions'!D:D,'Allocated Transactions'!E:E,"")</f>
        <v>Rent</v>
      </c>
      <c r="G1717" s="113" t="s">
        <v>97</v>
      </c>
      <c r="H1717" s="113"/>
      <c r="I1717" s="113" t="str">
        <f>_xlfn.XLOOKUP($C1717,'Cost Centers'!$A$2:$A$11,'Cost Centers'!$C$2:$C$11,"")</f>
        <v>Programs</v>
      </c>
      <c r="J1717" s="23">
        <f>MROUND(SUMIFS('Allocated Transactions'!$J:$J,'Allocated Transactions'!$D:$D,$E1717,'Allocated Transactions'!$C:$C,$C1717,'Allocated Transactions'!$A:$A,"&gt;="&amp;$A1717,'Allocated Transactions'!$A:$A,"&lt;="&amp;EOMONTH($A1717,0))*0.99,100)</f>
        <v>700</v>
      </c>
      <c r="K1717" s="113" t="s">
        <v>637</v>
      </c>
    </row>
    <row r="1718" spans="1:11" ht="15" customHeight="1">
      <c r="A1718" s="112">
        <f t="shared" si="111"/>
        <v>46174</v>
      </c>
      <c r="B1718" s="113">
        <v>8</v>
      </c>
      <c r="C1718" s="18" t="str">
        <f t="shared" si="113"/>
        <v>2030</v>
      </c>
      <c r="D1718" s="113" t="str">
        <f>_xlfn.XLOOKUP($C1718,'Cost Centers'!$A$2:$A$11,'Cost Centers'!$B$2:$B$11,"")</f>
        <v>Sub-Saharan Africa</v>
      </c>
      <c r="E1718" s="113" t="s">
        <v>33</v>
      </c>
      <c r="F1718" s="113" t="str">
        <f>_xlfn.XLOOKUP(E1718,'Allocated Transactions'!D:D,'Allocated Transactions'!E:E,"")</f>
        <v>Utilities</v>
      </c>
      <c r="G1718" s="113" t="s">
        <v>97</v>
      </c>
      <c r="H1718" s="113"/>
      <c r="I1718" s="113" t="str">
        <f>_xlfn.XLOOKUP($C1718,'Cost Centers'!$A$2:$A$11,'Cost Centers'!$C$2:$C$11,"")</f>
        <v>Programs</v>
      </c>
      <c r="J1718" s="23">
        <f>MROUND(SUMIFS('Allocated Transactions'!$J:$J,'Allocated Transactions'!$D:$D,$E1718,'Allocated Transactions'!$C:$C,$C1718,'Allocated Transactions'!$A:$A,"&gt;="&amp;$A1718,'Allocated Transactions'!$A:$A,"&lt;="&amp;EOMONTH($A1718,0))*0.99,100)</f>
        <v>100</v>
      </c>
      <c r="K1718" s="113" t="s">
        <v>637</v>
      </c>
    </row>
    <row r="1719" spans="1:11" ht="15" customHeight="1">
      <c r="A1719" s="112">
        <f t="shared" si="111"/>
        <v>46174</v>
      </c>
      <c r="B1719" s="113">
        <v>8</v>
      </c>
      <c r="C1719" s="18" t="str">
        <f t="shared" si="113"/>
        <v>2030</v>
      </c>
      <c r="D1719" s="113" t="str">
        <f>_xlfn.XLOOKUP($C1719,'Cost Centers'!$A$2:$A$11,'Cost Centers'!$B$2:$B$11,"")</f>
        <v>Sub-Saharan Africa</v>
      </c>
      <c r="E1719" s="113" t="s">
        <v>105</v>
      </c>
      <c r="F1719" s="113" t="str">
        <f>_xlfn.XLOOKUP(E1719,'Allocated Transactions'!D:D,'Allocated Transactions'!E:E,"")</f>
        <v>Office Supplies</v>
      </c>
      <c r="G1719" s="113" t="s">
        <v>97</v>
      </c>
      <c r="H1719" s="113"/>
      <c r="I1719" s="113" t="str">
        <f>_xlfn.XLOOKUP($C1719,'Cost Centers'!$A$2:$A$11,'Cost Centers'!$C$2:$C$11,"")</f>
        <v>Programs</v>
      </c>
      <c r="J1719" s="23">
        <f>MROUND(SUMIFS('Allocated Transactions'!$J:$J,'Allocated Transactions'!$D:$D,$E1719,'Allocated Transactions'!$C:$C,$C1719,'Allocated Transactions'!$A:$A,"&gt;="&amp;$A1719,'Allocated Transactions'!$A:$A,"&lt;="&amp;EOMONTH($A1719,0))*0.99,100)</f>
        <v>200</v>
      </c>
      <c r="K1719" s="113" t="s">
        <v>637</v>
      </c>
    </row>
    <row r="1720" spans="1:11" ht="15" customHeight="1">
      <c r="A1720" s="112">
        <f t="shared" si="111"/>
        <v>46174</v>
      </c>
      <c r="B1720" s="113">
        <v>8</v>
      </c>
      <c r="C1720" s="18" t="str">
        <f t="shared" si="113"/>
        <v>2030</v>
      </c>
      <c r="D1720" s="113" t="str">
        <f>_xlfn.XLOOKUP($C1720,'Cost Centers'!$A$2:$A$11,'Cost Centers'!$B$2:$B$11,"")</f>
        <v>Sub-Saharan Africa</v>
      </c>
      <c r="E1720" s="113" t="s">
        <v>107</v>
      </c>
      <c r="F1720" s="113" t="str">
        <f>_xlfn.XLOOKUP(E1720,'Allocated Transactions'!D:D,'Allocated Transactions'!E:E,"")</f>
        <v>Software and Subscriptions</v>
      </c>
      <c r="G1720" s="113" t="s">
        <v>97</v>
      </c>
      <c r="H1720" s="113"/>
      <c r="I1720" s="113" t="str">
        <f>_xlfn.XLOOKUP($C1720,'Cost Centers'!$A$2:$A$11,'Cost Centers'!$C$2:$C$11,"")</f>
        <v>Programs</v>
      </c>
      <c r="J1720" s="23">
        <f>MROUND(SUMIFS('Allocated Transactions'!$J:$J,'Allocated Transactions'!$D:$D,$E1720,'Allocated Transactions'!$C:$C,$C1720,'Allocated Transactions'!$A:$A,"&gt;="&amp;$A1720,'Allocated Transactions'!$A:$A,"&lt;="&amp;EOMONTH($A1720,0))*0.99,100)</f>
        <v>2800</v>
      </c>
      <c r="K1720" s="113" t="s">
        <v>637</v>
      </c>
    </row>
    <row r="1721" spans="1:11" ht="15" customHeight="1">
      <c r="A1721" s="112">
        <f t="shared" si="111"/>
        <v>46174</v>
      </c>
      <c r="B1721" s="113">
        <v>8</v>
      </c>
      <c r="C1721" s="18" t="str">
        <f t="shared" si="113"/>
        <v>2030</v>
      </c>
      <c r="D1721" s="113" t="str">
        <f>_xlfn.XLOOKUP($C1721,'Cost Centers'!$A$2:$A$11,'Cost Centers'!$B$2:$B$11,"")</f>
        <v>Sub-Saharan Africa</v>
      </c>
      <c r="E1721" s="113" t="s">
        <v>109</v>
      </c>
      <c r="F1721" s="113" t="str">
        <f>_xlfn.XLOOKUP(E1721,'Allocated Transactions'!D:D,'Allocated Transactions'!E:E,"")</f>
        <v>Travel</v>
      </c>
      <c r="G1721" s="113" t="s">
        <v>97</v>
      </c>
      <c r="H1721" s="113"/>
      <c r="I1721" s="113" t="str">
        <f>_xlfn.XLOOKUP($C1721,'Cost Centers'!$A$2:$A$11,'Cost Centers'!$C$2:$C$11,"")</f>
        <v>Programs</v>
      </c>
      <c r="J1721" s="23">
        <f>MROUND(SUMIFS('Allocated Transactions'!$J:$J,'Allocated Transactions'!$D:$D,$E1721,'Allocated Transactions'!$C:$C,$C1721,'Allocated Transactions'!$A:$A,"&gt;="&amp;$A1721,'Allocated Transactions'!$A:$A,"&lt;="&amp;EOMONTH($A1721,0))*0.99,100)</f>
        <v>0</v>
      </c>
      <c r="K1721" s="113" t="s">
        <v>637</v>
      </c>
    </row>
    <row r="1722" spans="1:11" ht="15" customHeight="1">
      <c r="A1722" s="112">
        <f t="shared" si="111"/>
        <v>46174</v>
      </c>
      <c r="B1722" s="113">
        <v>8</v>
      </c>
      <c r="C1722" s="18" t="str">
        <f t="shared" si="113"/>
        <v>2030</v>
      </c>
      <c r="D1722" s="113" t="str">
        <f>_xlfn.XLOOKUP($C1722,'Cost Centers'!$A$2:$A$11,'Cost Centers'!$B$2:$B$11,"")</f>
        <v>Sub-Saharan Africa</v>
      </c>
      <c r="E1722" s="113" t="s">
        <v>111</v>
      </c>
      <c r="F1722" s="113" t="str">
        <f>_xlfn.XLOOKUP(E1722,'Allocated Transactions'!D:D,'Allocated Transactions'!E:E,"")</f>
        <v>Meals and Entertainment</v>
      </c>
      <c r="G1722" s="113" t="s">
        <v>97</v>
      </c>
      <c r="H1722" s="113"/>
      <c r="I1722" s="113" t="str">
        <f>_xlfn.XLOOKUP($C1722,'Cost Centers'!$A$2:$A$11,'Cost Centers'!$C$2:$C$11,"")</f>
        <v>Programs</v>
      </c>
      <c r="J1722" s="23">
        <f>MROUND(SUMIFS('Allocated Transactions'!$J:$J,'Allocated Transactions'!$D:$D,$E1722,'Allocated Transactions'!$C:$C,$C1722,'Allocated Transactions'!$A:$A,"&gt;="&amp;$A1722,'Allocated Transactions'!$A:$A,"&lt;="&amp;EOMONTH($A1722,0))*0.99,100)</f>
        <v>0</v>
      </c>
      <c r="K1722" s="113" t="s">
        <v>637</v>
      </c>
    </row>
    <row r="1723" spans="1:11" ht="15" customHeight="1">
      <c r="A1723" s="112">
        <f t="shared" si="111"/>
        <v>46174</v>
      </c>
      <c r="B1723" s="113">
        <v>8</v>
      </c>
      <c r="C1723" s="18" t="str">
        <f t="shared" si="113"/>
        <v>2030</v>
      </c>
      <c r="D1723" s="113" t="str">
        <f>_xlfn.XLOOKUP($C1723,'Cost Centers'!$A$2:$A$11,'Cost Centers'!$B$2:$B$11,"")</f>
        <v>Sub-Saharan Africa</v>
      </c>
      <c r="E1723" s="113" t="s">
        <v>113</v>
      </c>
      <c r="F1723" s="113" t="str">
        <f>_xlfn.XLOOKUP(E1723,'Allocated Transactions'!D:D,'Allocated Transactions'!E:E,"")</f>
        <v>Professional Fees - Legal</v>
      </c>
      <c r="G1723" s="113" t="s">
        <v>97</v>
      </c>
      <c r="H1723" s="113"/>
      <c r="I1723" s="113" t="str">
        <f>_xlfn.XLOOKUP($C1723,'Cost Centers'!$A$2:$A$11,'Cost Centers'!$C$2:$C$11,"")</f>
        <v>Programs</v>
      </c>
      <c r="J1723" s="23">
        <f>MROUND(SUMIFS('Allocated Transactions'!$J:$J,'Allocated Transactions'!$D:$D,$E1723,'Allocated Transactions'!$C:$C,$C1723,'Allocated Transactions'!$A:$A,"&gt;="&amp;$A1723,'Allocated Transactions'!$A:$A,"&lt;="&amp;EOMONTH($A1723,0))*0.99,100)</f>
        <v>0</v>
      </c>
      <c r="K1723" s="113" t="s">
        <v>637</v>
      </c>
    </row>
    <row r="1724" spans="1:11" ht="15" customHeight="1">
      <c r="A1724" s="112">
        <f t="shared" si="111"/>
        <v>46174</v>
      </c>
      <c r="B1724" s="113">
        <v>8</v>
      </c>
      <c r="C1724" s="18" t="str">
        <f t="shared" si="113"/>
        <v>2030</v>
      </c>
      <c r="D1724" s="113" t="str">
        <f>_xlfn.XLOOKUP($C1724,'Cost Centers'!$A$2:$A$11,'Cost Centers'!$B$2:$B$11,"")</f>
        <v>Sub-Saharan Africa</v>
      </c>
      <c r="E1724" s="113" t="s">
        <v>115</v>
      </c>
      <c r="F1724" s="113" t="str">
        <f>_xlfn.XLOOKUP(E1724,'Allocated Transactions'!D:D,'Allocated Transactions'!E:E,"")</f>
        <v>Professional Fees - Accounting/Audit</v>
      </c>
      <c r="G1724" s="113" t="s">
        <v>97</v>
      </c>
      <c r="H1724" s="113"/>
      <c r="I1724" s="113" t="str">
        <f>_xlfn.XLOOKUP($C1724,'Cost Centers'!$A$2:$A$11,'Cost Centers'!$C$2:$C$11,"")</f>
        <v>Programs</v>
      </c>
      <c r="J1724" s="23">
        <f>MROUND(SUMIFS('Allocated Transactions'!$J:$J,'Allocated Transactions'!$D:$D,$E1724,'Allocated Transactions'!$C:$C,$C1724,'Allocated Transactions'!$A:$A,"&gt;="&amp;$A1724,'Allocated Transactions'!$A:$A,"&lt;="&amp;EOMONTH($A1724,0))*0.99,100)</f>
        <v>0</v>
      </c>
      <c r="K1724" s="113" t="s">
        <v>637</v>
      </c>
    </row>
    <row r="1725" spans="1:11" ht="15" customHeight="1">
      <c r="A1725" s="112">
        <f t="shared" si="111"/>
        <v>46174</v>
      </c>
      <c r="B1725" s="113">
        <v>8</v>
      </c>
      <c r="C1725" s="18" t="str">
        <f t="shared" si="113"/>
        <v>2030</v>
      </c>
      <c r="D1725" s="113" t="str">
        <f>_xlfn.XLOOKUP($C1725,'Cost Centers'!$A$2:$A$11,'Cost Centers'!$B$2:$B$11,"")</f>
        <v>Sub-Saharan Africa</v>
      </c>
      <c r="E1725" s="113" t="s">
        <v>117</v>
      </c>
      <c r="F1725" s="113" t="str">
        <f>_xlfn.XLOOKUP(E1725,'Allocated Transactions'!D:D,'Allocated Transactions'!E:E,"")</f>
        <v>Insurance</v>
      </c>
      <c r="G1725" s="113" t="s">
        <v>97</v>
      </c>
      <c r="H1725" s="113"/>
      <c r="I1725" s="113" t="str">
        <f>_xlfn.XLOOKUP($C1725,'Cost Centers'!$A$2:$A$11,'Cost Centers'!$C$2:$C$11,"")</f>
        <v>Programs</v>
      </c>
      <c r="J1725" s="23">
        <f>MROUND(SUMIFS('Allocated Transactions'!$J:$J,'Allocated Transactions'!$D:$D,$E1725,'Allocated Transactions'!$C:$C,$C1725,'Allocated Transactions'!$A:$A,"&gt;="&amp;$A1725,'Allocated Transactions'!$A:$A,"&lt;="&amp;EOMONTH($A1725,0))*0.99,100)</f>
        <v>100</v>
      </c>
      <c r="K1725" s="113" t="s">
        <v>637</v>
      </c>
    </row>
    <row r="1726" spans="1:11" ht="15" customHeight="1">
      <c r="A1726" s="112">
        <f t="shared" si="111"/>
        <v>46174</v>
      </c>
      <c r="B1726" s="113">
        <v>8</v>
      </c>
      <c r="C1726" s="18" t="str">
        <f t="shared" si="113"/>
        <v>2030</v>
      </c>
      <c r="D1726" s="113" t="str">
        <f>_xlfn.XLOOKUP($C1726,'Cost Centers'!$A$2:$A$11,'Cost Centers'!$B$2:$B$11,"")</f>
        <v>Sub-Saharan Africa</v>
      </c>
      <c r="E1726" s="113" t="s">
        <v>119</v>
      </c>
      <c r="F1726" s="113" t="str">
        <f>_xlfn.XLOOKUP(E1726,'Allocated Transactions'!D:D,'Allocated Transactions'!E:E,"")</f>
        <v>Depreciation Expense</v>
      </c>
      <c r="G1726" s="113" t="s">
        <v>97</v>
      </c>
      <c r="H1726" s="113"/>
      <c r="I1726" s="113" t="str">
        <f>_xlfn.XLOOKUP($C1726,'Cost Centers'!$A$2:$A$11,'Cost Centers'!$C$2:$C$11,"")</f>
        <v>Programs</v>
      </c>
      <c r="J1726" s="23">
        <f>MROUND(SUMIFS('Allocated Transactions'!$J:$J,'Allocated Transactions'!$D:$D,$E1726,'Allocated Transactions'!$C:$C,$C1726,'Allocated Transactions'!$A:$A,"&gt;="&amp;$A1726,'Allocated Transactions'!$A:$A,"&lt;="&amp;EOMONTH($A1726,0))*0.99,100)</f>
        <v>0</v>
      </c>
      <c r="K1726" s="113" t="s">
        <v>637</v>
      </c>
    </row>
    <row r="1727" spans="1:11" ht="15" customHeight="1">
      <c r="A1727" s="112">
        <f t="shared" si="111"/>
        <v>46174</v>
      </c>
      <c r="B1727" s="113">
        <v>8</v>
      </c>
      <c r="C1727" s="18" t="str">
        <f t="shared" si="113"/>
        <v>2030</v>
      </c>
      <c r="D1727" s="113" t="str">
        <f>_xlfn.XLOOKUP($C1727,'Cost Centers'!$A$2:$A$11,'Cost Centers'!$B$2:$B$11,"")</f>
        <v>Sub-Saharan Africa</v>
      </c>
      <c r="E1727" s="113" t="s">
        <v>121</v>
      </c>
      <c r="F1727" s="113" t="str">
        <f>_xlfn.XLOOKUP(E1727,'Allocated Transactions'!D:D,'Allocated Transactions'!E:E,"")</f>
        <v>Bank Fees</v>
      </c>
      <c r="G1727" s="113" t="s">
        <v>97</v>
      </c>
      <c r="H1727" s="113"/>
      <c r="I1727" s="113" t="str">
        <f>_xlfn.XLOOKUP($C1727,'Cost Centers'!$A$2:$A$11,'Cost Centers'!$C$2:$C$11,"")</f>
        <v>Programs</v>
      </c>
      <c r="J1727" s="23">
        <f>MROUND(SUMIFS('Allocated Transactions'!$J:$J,'Allocated Transactions'!$D:$D,$E1727,'Allocated Transactions'!$C:$C,$C1727,'Allocated Transactions'!$A:$A,"&gt;="&amp;$A1727,'Allocated Transactions'!$A:$A,"&lt;="&amp;EOMONTH($A1727,0))*0.99,100)</f>
        <v>0</v>
      </c>
      <c r="K1727" s="113" t="s">
        <v>637</v>
      </c>
    </row>
    <row r="1728" spans="1:11" ht="15" customHeight="1">
      <c r="A1728" s="112">
        <f t="shared" si="111"/>
        <v>46174</v>
      </c>
      <c r="B1728" s="113">
        <v>8</v>
      </c>
      <c r="C1728" s="18" t="str">
        <f t="shared" si="113"/>
        <v>2030</v>
      </c>
      <c r="D1728" s="113" t="str">
        <f>_xlfn.XLOOKUP($C1728,'Cost Centers'!$A$2:$A$11,'Cost Centers'!$B$2:$B$11,"")</f>
        <v>Sub-Saharan Africa</v>
      </c>
      <c r="E1728" s="113" t="s">
        <v>123</v>
      </c>
      <c r="F1728" s="113" t="str">
        <f>_xlfn.XLOOKUP(E1728,'Allocated Transactions'!D:D,'Allocated Transactions'!E:E,"")</f>
        <v>Interest Expense</v>
      </c>
      <c r="G1728" s="113" t="s">
        <v>97</v>
      </c>
      <c r="H1728" s="113"/>
      <c r="I1728" s="113" t="str">
        <f>_xlfn.XLOOKUP($C1728,'Cost Centers'!$A$2:$A$11,'Cost Centers'!$C$2:$C$11,"")</f>
        <v>Programs</v>
      </c>
      <c r="J1728" s="23">
        <f>MROUND(SUMIFS('Allocated Transactions'!$J:$J,'Allocated Transactions'!$D:$D,$E1728,'Allocated Transactions'!$C:$C,$C1728,'Allocated Transactions'!$A:$A,"&gt;="&amp;$A1728,'Allocated Transactions'!$A:$A,"&lt;="&amp;EOMONTH($A1728,0))*0.99,100)</f>
        <v>0</v>
      </c>
      <c r="K1728" s="113" t="s">
        <v>637</v>
      </c>
    </row>
    <row r="1729" spans="1:11" ht="15" customHeight="1">
      <c r="A1729" s="112">
        <f t="shared" si="111"/>
        <v>46174</v>
      </c>
      <c r="B1729" s="113">
        <v>8</v>
      </c>
      <c r="C1729" s="18" t="str">
        <f t="shared" si="113"/>
        <v>2030</v>
      </c>
      <c r="D1729" s="113" t="str">
        <f>_xlfn.XLOOKUP($C1729,'Cost Centers'!$A$2:$A$11,'Cost Centers'!$B$2:$B$11,"")</f>
        <v>Sub-Saharan Africa</v>
      </c>
      <c r="E1729" s="113" t="s">
        <v>125</v>
      </c>
      <c r="F1729" s="113" t="str">
        <f>_xlfn.XLOOKUP(E1729,'Allocated Transactions'!D:D,'Allocated Transactions'!E:E,"")</f>
        <v>Miscellaneous Expense</v>
      </c>
      <c r="G1729" s="113" t="s">
        <v>97</v>
      </c>
      <c r="H1729" s="113"/>
      <c r="I1729" s="113" t="str">
        <f>_xlfn.XLOOKUP($C1729,'Cost Centers'!$A$2:$A$11,'Cost Centers'!$C$2:$C$11,"")</f>
        <v>Programs</v>
      </c>
      <c r="J1729" s="23">
        <f>MROUND(SUMIFS('Allocated Transactions'!$J:$J,'Allocated Transactions'!$D:$D,$E1729,'Allocated Transactions'!$C:$C,$C1729,'Allocated Transactions'!$A:$A,"&gt;="&amp;$A1729,'Allocated Transactions'!$A:$A,"&lt;="&amp;EOMONTH($A1729,0))*0.99,100)</f>
        <v>0</v>
      </c>
      <c r="K1729" s="113" t="s">
        <v>637</v>
      </c>
    </row>
    <row r="1730" spans="1:11" ht="15" customHeight="1">
      <c r="A1730" s="112">
        <f t="shared" si="111"/>
        <v>45839</v>
      </c>
      <c r="B1730" s="113">
        <v>9</v>
      </c>
      <c r="C1730" s="18" t="s">
        <v>18</v>
      </c>
      <c r="D1730" s="113" t="str">
        <f>_xlfn.XLOOKUP($C1730,'Cost Centers'!$A$2:$A$11,'Cost Centers'!$B$2:$B$11,"")</f>
        <v>Europe</v>
      </c>
      <c r="E1730" s="113" t="s">
        <v>28</v>
      </c>
      <c r="F1730" s="113" t="str">
        <f>_xlfn.XLOOKUP(E1730,'Allocated Transactions'!D:D,'Allocated Transactions'!E:E,"")</f>
        <v>Salaries and Wages</v>
      </c>
      <c r="G1730" s="113" t="s">
        <v>97</v>
      </c>
      <c r="H1730" s="113"/>
      <c r="I1730" s="113" t="str">
        <f>_xlfn.XLOOKUP($C1730,'Cost Centers'!$A$2:$A$11,'Cost Centers'!$C$2:$C$11,"")</f>
        <v>Programs</v>
      </c>
      <c r="J1730" s="23">
        <f>MROUND(SUMIFS('Allocated Transactions'!$J:$J,'Allocated Transactions'!$D:$D,$E1730,'Allocated Transactions'!$C:$C,$C1730,'Allocated Transactions'!$A:$A,"&gt;="&amp;$A1730,'Allocated Transactions'!$A:$A,"&lt;="&amp;EOMONTH($A1730,0))*0.99,100)</f>
        <v>19400</v>
      </c>
      <c r="K1730" s="113" t="s">
        <v>637</v>
      </c>
    </row>
    <row r="1731" spans="1:11" ht="15" customHeight="1">
      <c r="A1731" s="112">
        <f t="shared" si="111"/>
        <v>45839</v>
      </c>
      <c r="B1731" s="113">
        <v>9</v>
      </c>
      <c r="C1731" s="18" t="str">
        <f t="shared" ref="C1731:C1747" si="114">C1730</f>
        <v>2040</v>
      </c>
      <c r="D1731" s="113" t="str">
        <f>_xlfn.XLOOKUP($C1731,'Cost Centers'!$A$2:$A$11,'Cost Centers'!$B$2:$B$11,"")</f>
        <v>Europe</v>
      </c>
      <c r="E1731" s="113" t="s">
        <v>29</v>
      </c>
      <c r="F1731" s="113" t="str">
        <f>_xlfn.XLOOKUP(E1731,'Allocated Transactions'!D:D,'Allocated Transactions'!E:E,"")</f>
        <v>Payroll Taxes</v>
      </c>
      <c r="G1731" s="113" t="s">
        <v>97</v>
      </c>
      <c r="H1731" s="113"/>
      <c r="I1731" s="113" t="str">
        <f>_xlfn.XLOOKUP($C1731,'Cost Centers'!$A$2:$A$11,'Cost Centers'!$C$2:$C$11,"")</f>
        <v>Programs</v>
      </c>
      <c r="J1731" s="23">
        <f>MROUND(SUMIFS('Allocated Transactions'!$J:$J,'Allocated Transactions'!$D:$D,$E1731,'Allocated Transactions'!$C:$C,$C1731,'Allocated Transactions'!$A:$A,"&gt;="&amp;$A1731,'Allocated Transactions'!$A:$A,"&lt;="&amp;EOMONTH($A1731,0))*0.99,100)</f>
        <v>1500</v>
      </c>
      <c r="K1731" s="113" t="s">
        <v>637</v>
      </c>
    </row>
    <row r="1732" spans="1:11" ht="15" customHeight="1">
      <c r="A1732" s="112">
        <f t="shared" si="111"/>
        <v>45839</v>
      </c>
      <c r="B1732" s="113">
        <v>9</v>
      </c>
      <c r="C1732" s="18" t="str">
        <f t="shared" si="114"/>
        <v>2040</v>
      </c>
      <c r="D1732" s="113" t="str">
        <f>_xlfn.XLOOKUP($C1732,'Cost Centers'!$A$2:$A$11,'Cost Centers'!$B$2:$B$11,"")</f>
        <v>Europe</v>
      </c>
      <c r="E1732" s="113" t="s">
        <v>30</v>
      </c>
      <c r="F1732" s="113" t="str">
        <f>_xlfn.XLOOKUP(E1732,'Allocated Transactions'!D:D,'Allocated Transactions'!E:E,"")</f>
        <v>Employee Benefits</v>
      </c>
      <c r="G1732" s="113" t="s">
        <v>97</v>
      </c>
      <c r="H1732" s="113"/>
      <c r="I1732" s="113" t="str">
        <f>_xlfn.XLOOKUP($C1732,'Cost Centers'!$A$2:$A$11,'Cost Centers'!$C$2:$C$11,"")</f>
        <v>Programs</v>
      </c>
      <c r="J1732" s="23">
        <f>MROUND(SUMIFS('Allocated Transactions'!$J:$J,'Allocated Transactions'!$D:$D,$E1732,'Allocated Transactions'!$C:$C,$C1732,'Allocated Transactions'!$A:$A,"&gt;="&amp;$A1732,'Allocated Transactions'!$A:$A,"&lt;="&amp;EOMONTH($A1732,0))*0.99,100)</f>
        <v>6300</v>
      </c>
      <c r="K1732" s="113" t="s">
        <v>637</v>
      </c>
    </row>
    <row r="1733" spans="1:11" ht="15" customHeight="1">
      <c r="A1733" s="112">
        <f t="shared" si="111"/>
        <v>45839</v>
      </c>
      <c r="B1733" s="113">
        <v>9</v>
      </c>
      <c r="C1733" s="18" t="str">
        <f t="shared" si="114"/>
        <v>2040</v>
      </c>
      <c r="D1733" s="113" t="str">
        <f>_xlfn.XLOOKUP($C1733,'Cost Centers'!$A$2:$A$11,'Cost Centers'!$B$2:$B$11,"")</f>
        <v>Europe</v>
      </c>
      <c r="E1733" s="113" t="s">
        <v>31</v>
      </c>
      <c r="F1733" s="113" t="str">
        <f>_xlfn.XLOOKUP(E1733,'Allocated Transactions'!D:D,'Allocated Transactions'!E:E,"")</f>
        <v>Retirement Contributions</v>
      </c>
      <c r="G1733" s="113" t="s">
        <v>97</v>
      </c>
      <c r="H1733" s="113"/>
      <c r="I1733" s="113" t="str">
        <f>_xlfn.XLOOKUP($C1733,'Cost Centers'!$A$2:$A$11,'Cost Centers'!$C$2:$C$11,"")</f>
        <v>Programs</v>
      </c>
      <c r="J1733" s="23">
        <f>MROUND(SUMIFS('Allocated Transactions'!$J:$J,'Allocated Transactions'!$D:$D,$E1733,'Allocated Transactions'!$C:$C,$C1733,'Allocated Transactions'!$A:$A,"&gt;="&amp;$A1733,'Allocated Transactions'!$A:$A,"&lt;="&amp;EOMONTH($A1733,0))*0.99,100)</f>
        <v>600</v>
      </c>
      <c r="K1733" s="113" t="s">
        <v>637</v>
      </c>
    </row>
    <row r="1734" spans="1:11" ht="15" customHeight="1">
      <c r="A1734" s="112">
        <f t="shared" si="111"/>
        <v>45839</v>
      </c>
      <c r="B1734" s="113">
        <v>9</v>
      </c>
      <c r="C1734" s="18" t="str">
        <f t="shared" si="114"/>
        <v>2040</v>
      </c>
      <c r="D1734" s="113" t="str">
        <f>_xlfn.XLOOKUP($C1734,'Cost Centers'!$A$2:$A$11,'Cost Centers'!$B$2:$B$11,"")</f>
        <v>Europe</v>
      </c>
      <c r="E1734" s="113" t="s">
        <v>101</v>
      </c>
      <c r="F1734" s="113" t="str">
        <f>_xlfn.XLOOKUP(E1734,'Allocated Transactions'!D:D,'Allocated Transactions'!E:E,"")</f>
        <v>Contract Labor / Consultants</v>
      </c>
      <c r="G1734" s="113" t="s">
        <v>97</v>
      </c>
      <c r="H1734" s="113"/>
      <c r="I1734" s="113" t="str">
        <f>_xlfn.XLOOKUP($C1734,'Cost Centers'!$A$2:$A$11,'Cost Centers'!$C$2:$C$11,"")</f>
        <v>Programs</v>
      </c>
      <c r="J1734" s="23">
        <f>MROUND(SUMIFS('Allocated Transactions'!$J:$J,'Allocated Transactions'!$D:$D,$E1734,'Allocated Transactions'!$C:$C,$C1734,'Allocated Transactions'!$A:$A,"&gt;="&amp;$A1734,'Allocated Transactions'!$A:$A,"&lt;="&amp;EOMONTH($A1734,0))*0.99,100)</f>
        <v>0</v>
      </c>
      <c r="K1734" s="113" t="s">
        <v>637</v>
      </c>
    </row>
    <row r="1735" spans="1:11" ht="15" customHeight="1">
      <c r="A1735" s="112">
        <f t="shared" si="111"/>
        <v>45839</v>
      </c>
      <c r="B1735" s="113">
        <v>9</v>
      </c>
      <c r="C1735" s="18" t="str">
        <f t="shared" si="114"/>
        <v>2040</v>
      </c>
      <c r="D1735" s="113" t="str">
        <f>_xlfn.XLOOKUP($C1735,'Cost Centers'!$A$2:$A$11,'Cost Centers'!$B$2:$B$11,"")</f>
        <v>Europe</v>
      </c>
      <c r="E1735" s="113" t="s">
        <v>32</v>
      </c>
      <c r="F1735" s="113" t="str">
        <f>_xlfn.XLOOKUP(E1735,'Allocated Transactions'!D:D,'Allocated Transactions'!E:E,"")</f>
        <v>Rent</v>
      </c>
      <c r="G1735" s="113" t="s">
        <v>97</v>
      </c>
      <c r="H1735" s="113"/>
      <c r="I1735" s="113" t="str">
        <f>_xlfn.XLOOKUP($C1735,'Cost Centers'!$A$2:$A$11,'Cost Centers'!$C$2:$C$11,"")</f>
        <v>Programs</v>
      </c>
      <c r="J1735" s="23">
        <f>MROUND(SUMIFS('Allocated Transactions'!$J:$J,'Allocated Transactions'!$D:$D,$E1735,'Allocated Transactions'!$C:$C,$C1735,'Allocated Transactions'!$A:$A,"&gt;="&amp;$A1735,'Allocated Transactions'!$A:$A,"&lt;="&amp;EOMONTH($A1735,0))*0.99,100)</f>
        <v>1600</v>
      </c>
      <c r="K1735" s="113" t="s">
        <v>637</v>
      </c>
    </row>
    <row r="1736" spans="1:11" ht="15" customHeight="1">
      <c r="A1736" s="112">
        <f t="shared" si="111"/>
        <v>45839</v>
      </c>
      <c r="B1736" s="113">
        <v>9</v>
      </c>
      <c r="C1736" s="18" t="str">
        <f t="shared" si="114"/>
        <v>2040</v>
      </c>
      <c r="D1736" s="113" t="str">
        <f>_xlfn.XLOOKUP($C1736,'Cost Centers'!$A$2:$A$11,'Cost Centers'!$B$2:$B$11,"")</f>
        <v>Europe</v>
      </c>
      <c r="E1736" s="113" t="s">
        <v>33</v>
      </c>
      <c r="F1736" s="113" t="str">
        <f>_xlfn.XLOOKUP(E1736,'Allocated Transactions'!D:D,'Allocated Transactions'!E:E,"")</f>
        <v>Utilities</v>
      </c>
      <c r="G1736" s="113" t="s">
        <v>97</v>
      </c>
      <c r="H1736" s="113"/>
      <c r="I1736" s="113" t="str">
        <f>_xlfn.XLOOKUP($C1736,'Cost Centers'!$A$2:$A$11,'Cost Centers'!$C$2:$C$11,"")</f>
        <v>Programs</v>
      </c>
      <c r="J1736" s="23">
        <f>MROUND(SUMIFS('Allocated Transactions'!$J:$J,'Allocated Transactions'!$D:$D,$E1736,'Allocated Transactions'!$C:$C,$C1736,'Allocated Transactions'!$A:$A,"&gt;="&amp;$A1736,'Allocated Transactions'!$A:$A,"&lt;="&amp;EOMONTH($A1736,0))*0.99,100)</f>
        <v>200</v>
      </c>
      <c r="K1736" s="113" t="s">
        <v>637</v>
      </c>
    </row>
    <row r="1737" spans="1:11" ht="15" customHeight="1">
      <c r="A1737" s="112">
        <f t="shared" si="111"/>
        <v>45839</v>
      </c>
      <c r="B1737" s="113">
        <v>9</v>
      </c>
      <c r="C1737" s="18" t="str">
        <f t="shared" si="114"/>
        <v>2040</v>
      </c>
      <c r="D1737" s="113" t="str">
        <f>_xlfn.XLOOKUP($C1737,'Cost Centers'!$A$2:$A$11,'Cost Centers'!$B$2:$B$11,"")</f>
        <v>Europe</v>
      </c>
      <c r="E1737" s="113" t="s">
        <v>105</v>
      </c>
      <c r="F1737" s="113" t="str">
        <f>_xlfn.XLOOKUP(E1737,'Allocated Transactions'!D:D,'Allocated Transactions'!E:E,"")</f>
        <v>Office Supplies</v>
      </c>
      <c r="G1737" s="113" t="s">
        <v>97</v>
      </c>
      <c r="H1737" s="113"/>
      <c r="I1737" s="113" t="str">
        <f>_xlfn.XLOOKUP($C1737,'Cost Centers'!$A$2:$A$11,'Cost Centers'!$C$2:$C$11,"")</f>
        <v>Programs</v>
      </c>
      <c r="J1737" s="23">
        <f>MROUND(SUMIFS('Allocated Transactions'!$J:$J,'Allocated Transactions'!$D:$D,$E1737,'Allocated Transactions'!$C:$C,$C1737,'Allocated Transactions'!$A:$A,"&gt;="&amp;$A1737,'Allocated Transactions'!$A:$A,"&lt;="&amp;EOMONTH($A1737,0))*0.99,100)</f>
        <v>0</v>
      </c>
      <c r="K1737" s="113" t="s">
        <v>637</v>
      </c>
    </row>
    <row r="1738" spans="1:11" ht="15" customHeight="1">
      <c r="A1738" s="112">
        <f t="shared" si="111"/>
        <v>45839</v>
      </c>
      <c r="B1738" s="113">
        <v>9</v>
      </c>
      <c r="C1738" s="18" t="str">
        <f t="shared" si="114"/>
        <v>2040</v>
      </c>
      <c r="D1738" s="113" t="str">
        <f>_xlfn.XLOOKUP($C1738,'Cost Centers'!$A$2:$A$11,'Cost Centers'!$B$2:$B$11,"")</f>
        <v>Europe</v>
      </c>
      <c r="E1738" s="113" t="s">
        <v>107</v>
      </c>
      <c r="F1738" s="113" t="str">
        <f>_xlfn.XLOOKUP(E1738,'Allocated Transactions'!D:D,'Allocated Transactions'!E:E,"")</f>
        <v>Software and Subscriptions</v>
      </c>
      <c r="G1738" s="113" t="s">
        <v>97</v>
      </c>
      <c r="H1738" s="113"/>
      <c r="I1738" s="113" t="str">
        <f>_xlfn.XLOOKUP($C1738,'Cost Centers'!$A$2:$A$11,'Cost Centers'!$C$2:$C$11,"")</f>
        <v>Programs</v>
      </c>
      <c r="J1738" s="23">
        <f>MROUND(SUMIFS('Allocated Transactions'!$J:$J,'Allocated Transactions'!$D:$D,$E1738,'Allocated Transactions'!$C:$C,$C1738,'Allocated Transactions'!$A:$A,"&gt;="&amp;$A1738,'Allocated Transactions'!$A:$A,"&lt;="&amp;EOMONTH($A1738,0))*0.99,100)</f>
        <v>0</v>
      </c>
      <c r="K1738" s="113" t="s">
        <v>637</v>
      </c>
    </row>
    <row r="1739" spans="1:11" ht="15" customHeight="1">
      <c r="A1739" s="112">
        <f t="shared" si="111"/>
        <v>45839</v>
      </c>
      <c r="B1739" s="113">
        <v>9</v>
      </c>
      <c r="C1739" s="18" t="str">
        <f t="shared" si="114"/>
        <v>2040</v>
      </c>
      <c r="D1739" s="113" t="str">
        <f>_xlfn.XLOOKUP($C1739,'Cost Centers'!$A$2:$A$11,'Cost Centers'!$B$2:$B$11,"")</f>
        <v>Europe</v>
      </c>
      <c r="E1739" s="113" t="s">
        <v>109</v>
      </c>
      <c r="F1739" s="113" t="str">
        <f>_xlfn.XLOOKUP(E1739,'Allocated Transactions'!D:D,'Allocated Transactions'!E:E,"")</f>
        <v>Travel</v>
      </c>
      <c r="G1739" s="113" t="s">
        <v>97</v>
      </c>
      <c r="H1739" s="113"/>
      <c r="I1739" s="113" t="str">
        <f>_xlfn.XLOOKUP($C1739,'Cost Centers'!$A$2:$A$11,'Cost Centers'!$C$2:$C$11,"")</f>
        <v>Programs</v>
      </c>
      <c r="J1739" s="23">
        <f>MROUND(SUMIFS('Allocated Transactions'!$J:$J,'Allocated Transactions'!$D:$D,$E1739,'Allocated Transactions'!$C:$C,$C1739,'Allocated Transactions'!$A:$A,"&gt;="&amp;$A1739,'Allocated Transactions'!$A:$A,"&lt;="&amp;EOMONTH($A1739,0))*0.99,100)</f>
        <v>0</v>
      </c>
      <c r="K1739" s="113" t="s">
        <v>637</v>
      </c>
    </row>
    <row r="1740" spans="1:11" ht="15" customHeight="1">
      <c r="A1740" s="112">
        <f t="shared" si="111"/>
        <v>45839</v>
      </c>
      <c r="B1740" s="113">
        <v>9</v>
      </c>
      <c r="C1740" s="18" t="str">
        <f t="shared" si="114"/>
        <v>2040</v>
      </c>
      <c r="D1740" s="113" t="str">
        <f>_xlfn.XLOOKUP($C1740,'Cost Centers'!$A$2:$A$11,'Cost Centers'!$B$2:$B$11,"")</f>
        <v>Europe</v>
      </c>
      <c r="E1740" s="113" t="s">
        <v>111</v>
      </c>
      <c r="F1740" s="113" t="str">
        <f>_xlfn.XLOOKUP(E1740,'Allocated Transactions'!D:D,'Allocated Transactions'!E:E,"")</f>
        <v>Meals and Entertainment</v>
      </c>
      <c r="G1740" s="113" t="s">
        <v>97</v>
      </c>
      <c r="H1740" s="113"/>
      <c r="I1740" s="113" t="str">
        <f>_xlfn.XLOOKUP($C1740,'Cost Centers'!$A$2:$A$11,'Cost Centers'!$C$2:$C$11,"")</f>
        <v>Programs</v>
      </c>
      <c r="J1740" s="23">
        <f>MROUND(SUMIFS('Allocated Transactions'!$J:$J,'Allocated Transactions'!$D:$D,$E1740,'Allocated Transactions'!$C:$C,$C1740,'Allocated Transactions'!$A:$A,"&gt;="&amp;$A1740,'Allocated Transactions'!$A:$A,"&lt;="&amp;EOMONTH($A1740,0))*0.99,100)</f>
        <v>0</v>
      </c>
      <c r="K1740" s="113" t="s">
        <v>637</v>
      </c>
    </row>
    <row r="1741" spans="1:11" ht="15" customHeight="1">
      <c r="A1741" s="112">
        <f t="shared" si="111"/>
        <v>45839</v>
      </c>
      <c r="B1741" s="113">
        <v>9</v>
      </c>
      <c r="C1741" s="18" t="str">
        <f t="shared" si="114"/>
        <v>2040</v>
      </c>
      <c r="D1741" s="113" t="str">
        <f>_xlfn.XLOOKUP($C1741,'Cost Centers'!$A$2:$A$11,'Cost Centers'!$B$2:$B$11,"")</f>
        <v>Europe</v>
      </c>
      <c r="E1741" s="113" t="s">
        <v>113</v>
      </c>
      <c r="F1741" s="113" t="str">
        <f>_xlfn.XLOOKUP(E1741,'Allocated Transactions'!D:D,'Allocated Transactions'!E:E,"")</f>
        <v>Professional Fees - Legal</v>
      </c>
      <c r="G1741" s="113" t="s">
        <v>97</v>
      </c>
      <c r="H1741" s="113"/>
      <c r="I1741" s="113" t="str">
        <f>_xlfn.XLOOKUP($C1741,'Cost Centers'!$A$2:$A$11,'Cost Centers'!$C$2:$C$11,"")</f>
        <v>Programs</v>
      </c>
      <c r="J1741" s="23">
        <f>MROUND(SUMIFS('Allocated Transactions'!$J:$J,'Allocated Transactions'!$D:$D,$E1741,'Allocated Transactions'!$C:$C,$C1741,'Allocated Transactions'!$A:$A,"&gt;="&amp;$A1741,'Allocated Transactions'!$A:$A,"&lt;="&amp;EOMONTH($A1741,0))*0.99,100)</f>
        <v>0</v>
      </c>
      <c r="K1741" s="113" t="s">
        <v>637</v>
      </c>
    </row>
    <row r="1742" spans="1:11" ht="15" customHeight="1">
      <c r="A1742" s="112">
        <f t="shared" si="111"/>
        <v>45839</v>
      </c>
      <c r="B1742" s="113">
        <v>9</v>
      </c>
      <c r="C1742" s="18" t="str">
        <f t="shared" si="114"/>
        <v>2040</v>
      </c>
      <c r="D1742" s="113" t="str">
        <f>_xlfn.XLOOKUP($C1742,'Cost Centers'!$A$2:$A$11,'Cost Centers'!$B$2:$B$11,"")</f>
        <v>Europe</v>
      </c>
      <c r="E1742" s="113" t="s">
        <v>115</v>
      </c>
      <c r="F1742" s="113" t="str">
        <f>_xlfn.XLOOKUP(E1742,'Allocated Transactions'!D:D,'Allocated Transactions'!E:E,"")</f>
        <v>Professional Fees - Accounting/Audit</v>
      </c>
      <c r="G1742" s="113" t="s">
        <v>97</v>
      </c>
      <c r="H1742" s="113"/>
      <c r="I1742" s="113" t="str">
        <f>_xlfn.XLOOKUP($C1742,'Cost Centers'!$A$2:$A$11,'Cost Centers'!$C$2:$C$11,"")</f>
        <v>Programs</v>
      </c>
      <c r="J1742" s="23">
        <f>MROUND(SUMIFS('Allocated Transactions'!$J:$J,'Allocated Transactions'!$D:$D,$E1742,'Allocated Transactions'!$C:$C,$C1742,'Allocated Transactions'!$A:$A,"&gt;="&amp;$A1742,'Allocated Transactions'!$A:$A,"&lt;="&amp;EOMONTH($A1742,0))*0.99,100)</f>
        <v>0</v>
      </c>
      <c r="K1742" s="113" t="s">
        <v>637</v>
      </c>
    </row>
    <row r="1743" spans="1:11" ht="15" customHeight="1">
      <c r="A1743" s="112">
        <f t="shared" si="111"/>
        <v>45839</v>
      </c>
      <c r="B1743" s="113">
        <v>9</v>
      </c>
      <c r="C1743" s="18" t="str">
        <f t="shared" si="114"/>
        <v>2040</v>
      </c>
      <c r="D1743" s="113" t="str">
        <f>_xlfn.XLOOKUP($C1743,'Cost Centers'!$A$2:$A$11,'Cost Centers'!$B$2:$B$11,"")</f>
        <v>Europe</v>
      </c>
      <c r="E1743" s="113" t="s">
        <v>117</v>
      </c>
      <c r="F1743" s="113" t="str">
        <f>_xlfn.XLOOKUP(E1743,'Allocated Transactions'!D:D,'Allocated Transactions'!E:E,"")</f>
        <v>Insurance</v>
      </c>
      <c r="G1743" s="113" t="s">
        <v>97</v>
      </c>
      <c r="H1743" s="113"/>
      <c r="I1743" s="113" t="str">
        <f>_xlfn.XLOOKUP($C1743,'Cost Centers'!$A$2:$A$11,'Cost Centers'!$C$2:$C$11,"")</f>
        <v>Programs</v>
      </c>
      <c r="J1743" s="23">
        <f>MROUND(SUMIFS('Allocated Transactions'!$J:$J,'Allocated Transactions'!$D:$D,$E1743,'Allocated Transactions'!$C:$C,$C1743,'Allocated Transactions'!$A:$A,"&gt;="&amp;$A1743,'Allocated Transactions'!$A:$A,"&lt;="&amp;EOMONTH($A1743,0))*0.99,100)</f>
        <v>100</v>
      </c>
      <c r="K1743" s="113" t="s">
        <v>637</v>
      </c>
    </row>
    <row r="1744" spans="1:11" ht="15" customHeight="1">
      <c r="A1744" s="112">
        <f t="shared" si="111"/>
        <v>45839</v>
      </c>
      <c r="B1744" s="113">
        <v>9</v>
      </c>
      <c r="C1744" s="18" t="str">
        <f t="shared" si="114"/>
        <v>2040</v>
      </c>
      <c r="D1744" s="113" t="str">
        <f>_xlfn.XLOOKUP($C1744,'Cost Centers'!$A$2:$A$11,'Cost Centers'!$B$2:$B$11,"")</f>
        <v>Europe</v>
      </c>
      <c r="E1744" s="113" t="s">
        <v>119</v>
      </c>
      <c r="F1744" s="113" t="str">
        <f>_xlfn.XLOOKUP(E1744,'Allocated Transactions'!D:D,'Allocated Transactions'!E:E,"")</f>
        <v>Depreciation Expense</v>
      </c>
      <c r="G1744" s="113" t="s">
        <v>97</v>
      </c>
      <c r="H1744" s="113"/>
      <c r="I1744" s="113" t="str">
        <f>_xlfn.XLOOKUP($C1744,'Cost Centers'!$A$2:$A$11,'Cost Centers'!$C$2:$C$11,"")</f>
        <v>Programs</v>
      </c>
      <c r="J1744" s="23">
        <f>MROUND(SUMIFS('Allocated Transactions'!$J:$J,'Allocated Transactions'!$D:$D,$E1744,'Allocated Transactions'!$C:$C,$C1744,'Allocated Transactions'!$A:$A,"&gt;="&amp;$A1744,'Allocated Transactions'!$A:$A,"&lt;="&amp;EOMONTH($A1744,0))*0.99,100)</f>
        <v>0</v>
      </c>
      <c r="K1744" s="113" t="s">
        <v>637</v>
      </c>
    </row>
    <row r="1745" spans="1:11" ht="15" customHeight="1">
      <c r="A1745" s="112">
        <f t="shared" si="111"/>
        <v>45839</v>
      </c>
      <c r="B1745" s="113">
        <v>9</v>
      </c>
      <c r="C1745" s="18" t="str">
        <f t="shared" si="114"/>
        <v>2040</v>
      </c>
      <c r="D1745" s="113" t="str">
        <f>_xlfn.XLOOKUP($C1745,'Cost Centers'!$A$2:$A$11,'Cost Centers'!$B$2:$B$11,"")</f>
        <v>Europe</v>
      </c>
      <c r="E1745" s="113" t="s">
        <v>121</v>
      </c>
      <c r="F1745" s="113" t="str">
        <f>_xlfn.XLOOKUP(E1745,'Allocated Transactions'!D:D,'Allocated Transactions'!E:E,"")</f>
        <v>Bank Fees</v>
      </c>
      <c r="G1745" s="113" t="s">
        <v>97</v>
      </c>
      <c r="H1745" s="113"/>
      <c r="I1745" s="113" t="str">
        <f>_xlfn.XLOOKUP($C1745,'Cost Centers'!$A$2:$A$11,'Cost Centers'!$C$2:$C$11,"")</f>
        <v>Programs</v>
      </c>
      <c r="J1745" s="23">
        <f>MROUND(SUMIFS('Allocated Transactions'!$J:$J,'Allocated Transactions'!$D:$D,$E1745,'Allocated Transactions'!$C:$C,$C1745,'Allocated Transactions'!$A:$A,"&gt;="&amp;$A1745,'Allocated Transactions'!$A:$A,"&lt;="&amp;EOMONTH($A1745,0))*0.99,100)</f>
        <v>0</v>
      </c>
      <c r="K1745" s="113" t="s">
        <v>637</v>
      </c>
    </row>
    <row r="1746" spans="1:11" ht="15" customHeight="1">
      <c r="A1746" s="112">
        <f t="shared" si="111"/>
        <v>45839</v>
      </c>
      <c r="B1746" s="113">
        <v>9</v>
      </c>
      <c r="C1746" s="18" t="str">
        <f t="shared" si="114"/>
        <v>2040</v>
      </c>
      <c r="D1746" s="113" t="str">
        <f>_xlfn.XLOOKUP($C1746,'Cost Centers'!$A$2:$A$11,'Cost Centers'!$B$2:$B$11,"")</f>
        <v>Europe</v>
      </c>
      <c r="E1746" s="113" t="s">
        <v>123</v>
      </c>
      <c r="F1746" s="113" t="str">
        <f>_xlfn.XLOOKUP(E1746,'Allocated Transactions'!D:D,'Allocated Transactions'!E:E,"")</f>
        <v>Interest Expense</v>
      </c>
      <c r="G1746" s="113" t="s">
        <v>97</v>
      </c>
      <c r="H1746" s="113"/>
      <c r="I1746" s="113" t="str">
        <f>_xlfn.XLOOKUP($C1746,'Cost Centers'!$A$2:$A$11,'Cost Centers'!$C$2:$C$11,"")</f>
        <v>Programs</v>
      </c>
      <c r="J1746" s="23">
        <f>MROUND(SUMIFS('Allocated Transactions'!$J:$J,'Allocated Transactions'!$D:$D,$E1746,'Allocated Transactions'!$C:$C,$C1746,'Allocated Transactions'!$A:$A,"&gt;="&amp;$A1746,'Allocated Transactions'!$A:$A,"&lt;="&amp;EOMONTH($A1746,0))*0.99,100)</f>
        <v>0</v>
      </c>
      <c r="K1746" s="113" t="s">
        <v>637</v>
      </c>
    </row>
    <row r="1747" spans="1:11" ht="15" customHeight="1">
      <c r="A1747" s="112">
        <f t="shared" si="111"/>
        <v>45839</v>
      </c>
      <c r="B1747" s="113">
        <v>9</v>
      </c>
      <c r="C1747" s="18" t="str">
        <f t="shared" si="114"/>
        <v>2040</v>
      </c>
      <c r="D1747" s="113" t="str">
        <f>_xlfn.XLOOKUP($C1747,'Cost Centers'!$A$2:$A$11,'Cost Centers'!$B$2:$B$11,"")</f>
        <v>Europe</v>
      </c>
      <c r="E1747" s="113" t="s">
        <v>125</v>
      </c>
      <c r="F1747" s="113" t="str">
        <f>_xlfn.XLOOKUP(E1747,'Allocated Transactions'!D:D,'Allocated Transactions'!E:E,"")</f>
        <v>Miscellaneous Expense</v>
      </c>
      <c r="G1747" s="113" t="s">
        <v>97</v>
      </c>
      <c r="H1747" s="113"/>
      <c r="I1747" s="113" t="str">
        <f>_xlfn.XLOOKUP($C1747,'Cost Centers'!$A$2:$A$11,'Cost Centers'!$C$2:$C$11,"")</f>
        <v>Programs</v>
      </c>
      <c r="J1747" s="23">
        <f>MROUND(SUMIFS('Allocated Transactions'!$J:$J,'Allocated Transactions'!$D:$D,$E1747,'Allocated Transactions'!$C:$C,$C1747,'Allocated Transactions'!$A:$A,"&gt;="&amp;$A1747,'Allocated Transactions'!$A:$A,"&lt;="&amp;EOMONTH($A1747,0))*0.99,100)</f>
        <v>0</v>
      </c>
      <c r="K1747" s="113" t="s">
        <v>637</v>
      </c>
    </row>
    <row r="1748" spans="1:11" ht="15" customHeight="1">
      <c r="A1748" s="112">
        <f t="shared" si="111"/>
        <v>45870</v>
      </c>
      <c r="B1748" s="113">
        <v>9</v>
      </c>
      <c r="C1748" s="18" t="s">
        <v>18</v>
      </c>
      <c r="D1748" s="113" t="str">
        <f>_xlfn.XLOOKUP($C1748,'Cost Centers'!$A$2:$A$11,'Cost Centers'!$B$2:$B$11,"")</f>
        <v>Europe</v>
      </c>
      <c r="E1748" s="113" t="s">
        <v>28</v>
      </c>
      <c r="F1748" s="113" t="str">
        <f>_xlfn.XLOOKUP(E1748,'Allocated Transactions'!D:D,'Allocated Transactions'!E:E,"")</f>
        <v>Salaries and Wages</v>
      </c>
      <c r="G1748" s="113" t="s">
        <v>97</v>
      </c>
      <c r="H1748" s="113"/>
      <c r="I1748" s="113" t="str">
        <f>_xlfn.XLOOKUP($C1748,'Cost Centers'!$A$2:$A$11,'Cost Centers'!$C$2:$C$11,"")</f>
        <v>Programs</v>
      </c>
      <c r="J1748" s="23">
        <f>MROUND(SUMIFS('Allocated Transactions'!$J:$J,'Allocated Transactions'!$D:$D,$E1748,'Allocated Transactions'!$C:$C,$C1748,'Allocated Transactions'!$A:$A,"&gt;="&amp;$A1748,'Allocated Transactions'!$A:$A,"&lt;="&amp;EOMONTH($A1748,0))*0.99,100)</f>
        <v>19700</v>
      </c>
      <c r="K1748" s="113" t="s">
        <v>637</v>
      </c>
    </row>
    <row r="1749" spans="1:11" ht="15" customHeight="1">
      <c r="A1749" s="112">
        <f t="shared" si="111"/>
        <v>45870</v>
      </c>
      <c r="B1749" s="113">
        <v>9</v>
      </c>
      <c r="C1749" s="18" t="str">
        <f t="shared" ref="C1749:C1765" si="115">C1748</f>
        <v>2040</v>
      </c>
      <c r="D1749" s="113" t="str">
        <f>_xlfn.XLOOKUP($C1749,'Cost Centers'!$A$2:$A$11,'Cost Centers'!$B$2:$B$11,"")</f>
        <v>Europe</v>
      </c>
      <c r="E1749" s="113" t="s">
        <v>29</v>
      </c>
      <c r="F1749" s="113" t="str">
        <f>_xlfn.XLOOKUP(E1749,'Allocated Transactions'!D:D,'Allocated Transactions'!E:E,"")</f>
        <v>Payroll Taxes</v>
      </c>
      <c r="G1749" s="113" t="s">
        <v>97</v>
      </c>
      <c r="H1749" s="113"/>
      <c r="I1749" s="113" t="str">
        <f>_xlfn.XLOOKUP($C1749,'Cost Centers'!$A$2:$A$11,'Cost Centers'!$C$2:$C$11,"")</f>
        <v>Programs</v>
      </c>
      <c r="J1749" s="23">
        <f>MROUND(SUMIFS('Allocated Transactions'!$J:$J,'Allocated Transactions'!$D:$D,$E1749,'Allocated Transactions'!$C:$C,$C1749,'Allocated Transactions'!$A:$A,"&gt;="&amp;$A1749,'Allocated Transactions'!$A:$A,"&lt;="&amp;EOMONTH($A1749,0))*0.99,100)</f>
        <v>1500</v>
      </c>
      <c r="K1749" s="113" t="s">
        <v>637</v>
      </c>
    </row>
    <row r="1750" spans="1:11" ht="15" customHeight="1">
      <c r="A1750" s="112">
        <f t="shared" si="111"/>
        <v>45870</v>
      </c>
      <c r="B1750" s="113">
        <v>9</v>
      </c>
      <c r="C1750" s="18" t="str">
        <f t="shared" si="115"/>
        <v>2040</v>
      </c>
      <c r="D1750" s="113" t="str">
        <f>_xlfn.XLOOKUP($C1750,'Cost Centers'!$A$2:$A$11,'Cost Centers'!$B$2:$B$11,"")</f>
        <v>Europe</v>
      </c>
      <c r="E1750" s="113" t="s">
        <v>30</v>
      </c>
      <c r="F1750" s="113" t="str">
        <f>_xlfn.XLOOKUP(E1750,'Allocated Transactions'!D:D,'Allocated Transactions'!E:E,"")</f>
        <v>Employee Benefits</v>
      </c>
      <c r="G1750" s="113" t="s">
        <v>97</v>
      </c>
      <c r="H1750" s="113"/>
      <c r="I1750" s="113" t="str">
        <f>_xlfn.XLOOKUP($C1750,'Cost Centers'!$A$2:$A$11,'Cost Centers'!$C$2:$C$11,"")</f>
        <v>Programs</v>
      </c>
      <c r="J1750" s="23">
        <f>MROUND(SUMIFS('Allocated Transactions'!$J:$J,'Allocated Transactions'!$D:$D,$E1750,'Allocated Transactions'!$C:$C,$C1750,'Allocated Transactions'!$A:$A,"&gt;="&amp;$A1750,'Allocated Transactions'!$A:$A,"&lt;="&amp;EOMONTH($A1750,0))*0.99,100)</f>
        <v>7500</v>
      </c>
      <c r="K1750" s="113" t="s">
        <v>637</v>
      </c>
    </row>
    <row r="1751" spans="1:11" ht="15" customHeight="1">
      <c r="A1751" s="112">
        <f t="shared" si="111"/>
        <v>45870</v>
      </c>
      <c r="B1751" s="113">
        <v>9</v>
      </c>
      <c r="C1751" s="18" t="str">
        <f t="shared" si="115"/>
        <v>2040</v>
      </c>
      <c r="D1751" s="113" t="str">
        <f>_xlfn.XLOOKUP($C1751,'Cost Centers'!$A$2:$A$11,'Cost Centers'!$B$2:$B$11,"")</f>
        <v>Europe</v>
      </c>
      <c r="E1751" s="113" t="s">
        <v>31</v>
      </c>
      <c r="F1751" s="113" t="str">
        <f>_xlfn.XLOOKUP(E1751,'Allocated Transactions'!D:D,'Allocated Transactions'!E:E,"")</f>
        <v>Retirement Contributions</v>
      </c>
      <c r="G1751" s="113" t="s">
        <v>97</v>
      </c>
      <c r="H1751" s="113"/>
      <c r="I1751" s="113" t="str">
        <f>_xlfn.XLOOKUP($C1751,'Cost Centers'!$A$2:$A$11,'Cost Centers'!$C$2:$C$11,"")</f>
        <v>Programs</v>
      </c>
      <c r="J1751" s="23">
        <f>MROUND(SUMIFS('Allocated Transactions'!$J:$J,'Allocated Transactions'!$D:$D,$E1751,'Allocated Transactions'!$C:$C,$C1751,'Allocated Transactions'!$A:$A,"&gt;="&amp;$A1751,'Allocated Transactions'!$A:$A,"&lt;="&amp;EOMONTH($A1751,0))*0.99,100)</f>
        <v>600</v>
      </c>
      <c r="K1751" s="113" t="s">
        <v>637</v>
      </c>
    </row>
    <row r="1752" spans="1:11" ht="15" customHeight="1">
      <c r="A1752" s="112">
        <f t="shared" si="111"/>
        <v>45870</v>
      </c>
      <c r="B1752" s="113">
        <v>9</v>
      </c>
      <c r="C1752" s="18" t="str">
        <f t="shared" si="115"/>
        <v>2040</v>
      </c>
      <c r="D1752" s="113" t="str">
        <f>_xlfn.XLOOKUP($C1752,'Cost Centers'!$A$2:$A$11,'Cost Centers'!$B$2:$B$11,"")</f>
        <v>Europe</v>
      </c>
      <c r="E1752" s="113" t="s">
        <v>101</v>
      </c>
      <c r="F1752" s="113" t="str">
        <f>_xlfn.XLOOKUP(E1752,'Allocated Transactions'!D:D,'Allocated Transactions'!E:E,"")</f>
        <v>Contract Labor / Consultants</v>
      </c>
      <c r="G1752" s="113" t="s">
        <v>97</v>
      </c>
      <c r="H1752" s="113"/>
      <c r="I1752" s="113" t="str">
        <f>_xlfn.XLOOKUP($C1752,'Cost Centers'!$A$2:$A$11,'Cost Centers'!$C$2:$C$11,"")</f>
        <v>Programs</v>
      </c>
      <c r="J1752" s="23">
        <f>MROUND(SUMIFS('Allocated Transactions'!$J:$J,'Allocated Transactions'!$D:$D,$E1752,'Allocated Transactions'!$C:$C,$C1752,'Allocated Transactions'!$A:$A,"&gt;="&amp;$A1752,'Allocated Transactions'!$A:$A,"&lt;="&amp;EOMONTH($A1752,0))*0.99,100)</f>
        <v>0</v>
      </c>
      <c r="K1752" s="113" t="s">
        <v>637</v>
      </c>
    </row>
    <row r="1753" spans="1:11" ht="15" customHeight="1">
      <c r="A1753" s="112">
        <f t="shared" ref="A1753:A1816" si="116">IF(C1753&lt;&gt;C1752,DATE(2025,7,1),IF(E1753="5000",EOMONTH(A1752,0)+1,A1752))</f>
        <v>45870</v>
      </c>
      <c r="B1753" s="113">
        <v>9</v>
      </c>
      <c r="C1753" s="18" t="str">
        <f t="shared" si="115"/>
        <v>2040</v>
      </c>
      <c r="D1753" s="113" t="str">
        <f>_xlfn.XLOOKUP($C1753,'Cost Centers'!$A$2:$A$11,'Cost Centers'!$B$2:$B$11,"")</f>
        <v>Europe</v>
      </c>
      <c r="E1753" s="113" t="s">
        <v>32</v>
      </c>
      <c r="F1753" s="113" t="str">
        <f>_xlfn.XLOOKUP(E1753,'Allocated Transactions'!D:D,'Allocated Transactions'!E:E,"")</f>
        <v>Rent</v>
      </c>
      <c r="G1753" s="113" t="s">
        <v>97</v>
      </c>
      <c r="H1753" s="113"/>
      <c r="I1753" s="113" t="str">
        <f>_xlfn.XLOOKUP($C1753,'Cost Centers'!$A$2:$A$11,'Cost Centers'!$C$2:$C$11,"")</f>
        <v>Programs</v>
      </c>
      <c r="J1753" s="23">
        <f>MROUND(SUMIFS('Allocated Transactions'!$J:$J,'Allocated Transactions'!$D:$D,$E1753,'Allocated Transactions'!$C:$C,$C1753,'Allocated Transactions'!$A:$A,"&gt;="&amp;$A1753,'Allocated Transactions'!$A:$A,"&lt;="&amp;EOMONTH($A1753,0))*0.99,100)</f>
        <v>1600</v>
      </c>
      <c r="K1753" s="113" t="s">
        <v>637</v>
      </c>
    </row>
    <row r="1754" spans="1:11" ht="15" customHeight="1">
      <c r="A1754" s="112">
        <f t="shared" si="116"/>
        <v>45870</v>
      </c>
      <c r="B1754" s="113">
        <v>9</v>
      </c>
      <c r="C1754" s="18" t="str">
        <f t="shared" si="115"/>
        <v>2040</v>
      </c>
      <c r="D1754" s="113" t="str">
        <f>_xlfn.XLOOKUP($C1754,'Cost Centers'!$A$2:$A$11,'Cost Centers'!$B$2:$B$11,"")</f>
        <v>Europe</v>
      </c>
      <c r="E1754" s="113" t="s">
        <v>33</v>
      </c>
      <c r="F1754" s="113" t="str">
        <f>_xlfn.XLOOKUP(E1754,'Allocated Transactions'!D:D,'Allocated Transactions'!E:E,"")</f>
        <v>Utilities</v>
      </c>
      <c r="G1754" s="113" t="s">
        <v>97</v>
      </c>
      <c r="H1754" s="113"/>
      <c r="I1754" s="113" t="str">
        <f>_xlfn.XLOOKUP($C1754,'Cost Centers'!$A$2:$A$11,'Cost Centers'!$C$2:$C$11,"")</f>
        <v>Programs</v>
      </c>
      <c r="J1754" s="23">
        <f>MROUND(SUMIFS('Allocated Transactions'!$J:$J,'Allocated Transactions'!$D:$D,$E1754,'Allocated Transactions'!$C:$C,$C1754,'Allocated Transactions'!$A:$A,"&gt;="&amp;$A1754,'Allocated Transactions'!$A:$A,"&lt;="&amp;EOMONTH($A1754,0))*0.99,100)</f>
        <v>200</v>
      </c>
      <c r="K1754" s="113" t="s">
        <v>637</v>
      </c>
    </row>
    <row r="1755" spans="1:11" ht="15" customHeight="1">
      <c r="A1755" s="112">
        <f t="shared" si="116"/>
        <v>45870</v>
      </c>
      <c r="B1755" s="113">
        <v>9</v>
      </c>
      <c r="C1755" s="18" t="str">
        <f t="shared" si="115"/>
        <v>2040</v>
      </c>
      <c r="D1755" s="113" t="str">
        <f>_xlfn.XLOOKUP($C1755,'Cost Centers'!$A$2:$A$11,'Cost Centers'!$B$2:$B$11,"")</f>
        <v>Europe</v>
      </c>
      <c r="E1755" s="113" t="s">
        <v>105</v>
      </c>
      <c r="F1755" s="113" t="str">
        <f>_xlfn.XLOOKUP(E1755,'Allocated Transactions'!D:D,'Allocated Transactions'!E:E,"")</f>
        <v>Office Supplies</v>
      </c>
      <c r="G1755" s="113" t="s">
        <v>97</v>
      </c>
      <c r="H1755" s="113"/>
      <c r="I1755" s="113" t="str">
        <f>_xlfn.XLOOKUP($C1755,'Cost Centers'!$A$2:$A$11,'Cost Centers'!$C$2:$C$11,"")</f>
        <v>Programs</v>
      </c>
      <c r="J1755" s="23">
        <f>MROUND(SUMIFS('Allocated Transactions'!$J:$J,'Allocated Transactions'!$D:$D,$E1755,'Allocated Transactions'!$C:$C,$C1755,'Allocated Transactions'!$A:$A,"&gt;="&amp;$A1755,'Allocated Transactions'!$A:$A,"&lt;="&amp;EOMONTH($A1755,0))*0.99,100)</f>
        <v>0</v>
      </c>
      <c r="K1755" s="113" t="s">
        <v>637</v>
      </c>
    </row>
    <row r="1756" spans="1:11" ht="15" customHeight="1">
      <c r="A1756" s="112">
        <f t="shared" si="116"/>
        <v>45870</v>
      </c>
      <c r="B1756" s="113">
        <v>9</v>
      </c>
      <c r="C1756" s="18" t="str">
        <f t="shared" si="115"/>
        <v>2040</v>
      </c>
      <c r="D1756" s="113" t="str">
        <f>_xlfn.XLOOKUP($C1756,'Cost Centers'!$A$2:$A$11,'Cost Centers'!$B$2:$B$11,"")</f>
        <v>Europe</v>
      </c>
      <c r="E1756" s="113" t="s">
        <v>107</v>
      </c>
      <c r="F1756" s="113" t="str">
        <f>_xlfn.XLOOKUP(E1756,'Allocated Transactions'!D:D,'Allocated Transactions'!E:E,"")</f>
        <v>Software and Subscriptions</v>
      </c>
      <c r="G1756" s="113" t="s">
        <v>97</v>
      </c>
      <c r="H1756" s="113"/>
      <c r="I1756" s="113" t="str">
        <f>_xlfn.XLOOKUP($C1756,'Cost Centers'!$A$2:$A$11,'Cost Centers'!$C$2:$C$11,"")</f>
        <v>Programs</v>
      </c>
      <c r="J1756" s="23">
        <f>MROUND(SUMIFS('Allocated Transactions'!$J:$J,'Allocated Transactions'!$D:$D,$E1756,'Allocated Transactions'!$C:$C,$C1756,'Allocated Transactions'!$A:$A,"&gt;="&amp;$A1756,'Allocated Transactions'!$A:$A,"&lt;="&amp;EOMONTH($A1756,0))*0.99,100)</f>
        <v>0</v>
      </c>
      <c r="K1756" s="113" t="s">
        <v>637</v>
      </c>
    </row>
    <row r="1757" spans="1:11" ht="15" customHeight="1">
      <c r="A1757" s="112">
        <f t="shared" si="116"/>
        <v>45870</v>
      </c>
      <c r="B1757" s="113">
        <v>9</v>
      </c>
      <c r="C1757" s="18" t="str">
        <f t="shared" si="115"/>
        <v>2040</v>
      </c>
      <c r="D1757" s="113" t="str">
        <f>_xlfn.XLOOKUP($C1757,'Cost Centers'!$A$2:$A$11,'Cost Centers'!$B$2:$B$11,"")</f>
        <v>Europe</v>
      </c>
      <c r="E1757" s="113" t="s">
        <v>109</v>
      </c>
      <c r="F1757" s="113" t="str">
        <f>_xlfn.XLOOKUP(E1757,'Allocated Transactions'!D:D,'Allocated Transactions'!E:E,"")</f>
        <v>Travel</v>
      </c>
      <c r="G1757" s="113" t="s">
        <v>97</v>
      </c>
      <c r="H1757" s="113"/>
      <c r="I1757" s="113" t="str">
        <f>_xlfn.XLOOKUP($C1757,'Cost Centers'!$A$2:$A$11,'Cost Centers'!$C$2:$C$11,"")</f>
        <v>Programs</v>
      </c>
      <c r="J1757" s="23">
        <f>MROUND(SUMIFS('Allocated Transactions'!$J:$J,'Allocated Transactions'!$D:$D,$E1757,'Allocated Transactions'!$C:$C,$C1757,'Allocated Transactions'!$A:$A,"&gt;="&amp;$A1757,'Allocated Transactions'!$A:$A,"&lt;="&amp;EOMONTH($A1757,0))*0.99,100)</f>
        <v>4100</v>
      </c>
      <c r="K1757" s="113" t="s">
        <v>637</v>
      </c>
    </row>
    <row r="1758" spans="1:11" ht="15" customHeight="1">
      <c r="A1758" s="112">
        <f t="shared" si="116"/>
        <v>45870</v>
      </c>
      <c r="B1758" s="113">
        <v>9</v>
      </c>
      <c r="C1758" s="18" t="str">
        <f t="shared" si="115"/>
        <v>2040</v>
      </c>
      <c r="D1758" s="113" t="str">
        <f>_xlfn.XLOOKUP($C1758,'Cost Centers'!$A$2:$A$11,'Cost Centers'!$B$2:$B$11,"")</f>
        <v>Europe</v>
      </c>
      <c r="E1758" s="113" t="s">
        <v>111</v>
      </c>
      <c r="F1758" s="113" t="str">
        <f>_xlfn.XLOOKUP(E1758,'Allocated Transactions'!D:D,'Allocated Transactions'!E:E,"")</f>
        <v>Meals and Entertainment</v>
      </c>
      <c r="G1758" s="113" t="s">
        <v>97</v>
      </c>
      <c r="H1758" s="113"/>
      <c r="I1758" s="113" t="str">
        <f>_xlfn.XLOOKUP($C1758,'Cost Centers'!$A$2:$A$11,'Cost Centers'!$C$2:$C$11,"")</f>
        <v>Programs</v>
      </c>
      <c r="J1758" s="23">
        <f>MROUND(SUMIFS('Allocated Transactions'!$J:$J,'Allocated Transactions'!$D:$D,$E1758,'Allocated Transactions'!$C:$C,$C1758,'Allocated Transactions'!$A:$A,"&gt;="&amp;$A1758,'Allocated Transactions'!$A:$A,"&lt;="&amp;EOMONTH($A1758,0))*0.99,100)</f>
        <v>200</v>
      </c>
      <c r="K1758" s="113" t="s">
        <v>637</v>
      </c>
    </row>
    <row r="1759" spans="1:11" ht="15" customHeight="1">
      <c r="A1759" s="112">
        <f t="shared" si="116"/>
        <v>45870</v>
      </c>
      <c r="B1759" s="113">
        <v>9</v>
      </c>
      <c r="C1759" s="18" t="str">
        <f t="shared" si="115"/>
        <v>2040</v>
      </c>
      <c r="D1759" s="113" t="str">
        <f>_xlfn.XLOOKUP($C1759,'Cost Centers'!$A$2:$A$11,'Cost Centers'!$B$2:$B$11,"")</f>
        <v>Europe</v>
      </c>
      <c r="E1759" s="113" t="s">
        <v>113</v>
      </c>
      <c r="F1759" s="113" t="str">
        <f>_xlfn.XLOOKUP(E1759,'Allocated Transactions'!D:D,'Allocated Transactions'!E:E,"")</f>
        <v>Professional Fees - Legal</v>
      </c>
      <c r="G1759" s="113" t="s">
        <v>97</v>
      </c>
      <c r="H1759" s="113"/>
      <c r="I1759" s="113" t="str">
        <f>_xlfn.XLOOKUP($C1759,'Cost Centers'!$A$2:$A$11,'Cost Centers'!$C$2:$C$11,"")</f>
        <v>Programs</v>
      </c>
      <c r="J1759" s="23">
        <f>MROUND(SUMIFS('Allocated Transactions'!$J:$J,'Allocated Transactions'!$D:$D,$E1759,'Allocated Transactions'!$C:$C,$C1759,'Allocated Transactions'!$A:$A,"&gt;="&amp;$A1759,'Allocated Transactions'!$A:$A,"&lt;="&amp;EOMONTH($A1759,0))*0.99,100)</f>
        <v>0</v>
      </c>
      <c r="K1759" s="113" t="s">
        <v>637</v>
      </c>
    </row>
    <row r="1760" spans="1:11" ht="15" customHeight="1">
      <c r="A1760" s="112">
        <f t="shared" si="116"/>
        <v>45870</v>
      </c>
      <c r="B1760" s="113">
        <v>9</v>
      </c>
      <c r="C1760" s="18" t="str">
        <f t="shared" si="115"/>
        <v>2040</v>
      </c>
      <c r="D1760" s="113" t="str">
        <f>_xlfn.XLOOKUP($C1760,'Cost Centers'!$A$2:$A$11,'Cost Centers'!$B$2:$B$11,"")</f>
        <v>Europe</v>
      </c>
      <c r="E1760" s="113" t="s">
        <v>115</v>
      </c>
      <c r="F1760" s="113" t="str">
        <f>_xlfn.XLOOKUP(E1760,'Allocated Transactions'!D:D,'Allocated Transactions'!E:E,"")</f>
        <v>Professional Fees - Accounting/Audit</v>
      </c>
      <c r="G1760" s="113" t="s">
        <v>97</v>
      </c>
      <c r="H1760" s="113"/>
      <c r="I1760" s="113" t="str">
        <f>_xlfn.XLOOKUP($C1760,'Cost Centers'!$A$2:$A$11,'Cost Centers'!$C$2:$C$11,"")</f>
        <v>Programs</v>
      </c>
      <c r="J1760" s="23">
        <f>MROUND(SUMIFS('Allocated Transactions'!$J:$J,'Allocated Transactions'!$D:$D,$E1760,'Allocated Transactions'!$C:$C,$C1760,'Allocated Transactions'!$A:$A,"&gt;="&amp;$A1760,'Allocated Transactions'!$A:$A,"&lt;="&amp;EOMONTH($A1760,0))*0.99,100)</f>
        <v>0</v>
      </c>
      <c r="K1760" s="113" t="s">
        <v>637</v>
      </c>
    </row>
    <row r="1761" spans="1:11" ht="15" customHeight="1">
      <c r="A1761" s="112">
        <f t="shared" si="116"/>
        <v>45870</v>
      </c>
      <c r="B1761" s="113">
        <v>9</v>
      </c>
      <c r="C1761" s="18" t="str">
        <f t="shared" si="115"/>
        <v>2040</v>
      </c>
      <c r="D1761" s="113" t="str">
        <f>_xlfn.XLOOKUP($C1761,'Cost Centers'!$A$2:$A$11,'Cost Centers'!$B$2:$B$11,"")</f>
        <v>Europe</v>
      </c>
      <c r="E1761" s="113" t="s">
        <v>117</v>
      </c>
      <c r="F1761" s="113" t="str">
        <f>_xlfn.XLOOKUP(E1761,'Allocated Transactions'!D:D,'Allocated Transactions'!E:E,"")</f>
        <v>Insurance</v>
      </c>
      <c r="G1761" s="113" t="s">
        <v>97</v>
      </c>
      <c r="H1761" s="113"/>
      <c r="I1761" s="113" t="str">
        <f>_xlfn.XLOOKUP($C1761,'Cost Centers'!$A$2:$A$11,'Cost Centers'!$C$2:$C$11,"")</f>
        <v>Programs</v>
      </c>
      <c r="J1761" s="23">
        <f>MROUND(SUMIFS('Allocated Transactions'!$J:$J,'Allocated Transactions'!$D:$D,$E1761,'Allocated Transactions'!$C:$C,$C1761,'Allocated Transactions'!$A:$A,"&gt;="&amp;$A1761,'Allocated Transactions'!$A:$A,"&lt;="&amp;EOMONTH($A1761,0))*0.99,100)</f>
        <v>100</v>
      </c>
      <c r="K1761" s="113" t="s">
        <v>637</v>
      </c>
    </row>
    <row r="1762" spans="1:11" ht="15" customHeight="1">
      <c r="A1762" s="112">
        <f t="shared" si="116"/>
        <v>45870</v>
      </c>
      <c r="B1762" s="113">
        <v>9</v>
      </c>
      <c r="C1762" s="18" t="str">
        <f t="shared" si="115"/>
        <v>2040</v>
      </c>
      <c r="D1762" s="113" t="str">
        <f>_xlfn.XLOOKUP($C1762,'Cost Centers'!$A$2:$A$11,'Cost Centers'!$B$2:$B$11,"")</f>
        <v>Europe</v>
      </c>
      <c r="E1762" s="113" t="s">
        <v>119</v>
      </c>
      <c r="F1762" s="113" t="str">
        <f>_xlfn.XLOOKUP(E1762,'Allocated Transactions'!D:D,'Allocated Transactions'!E:E,"")</f>
        <v>Depreciation Expense</v>
      </c>
      <c r="G1762" s="113" t="s">
        <v>97</v>
      </c>
      <c r="H1762" s="113"/>
      <c r="I1762" s="113" t="str">
        <f>_xlfn.XLOOKUP($C1762,'Cost Centers'!$A$2:$A$11,'Cost Centers'!$C$2:$C$11,"")</f>
        <v>Programs</v>
      </c>
      <c r="J1762" s="23">
        <f>MROUND(SUMIFS('Allocated Transactions'!$J:$J,'Allocated Transactions'!$D:$D,$E1762,'Allocated Transactions'!$C:$C,$C1762,'Allocated Transactions'!$A:$A,"&gt;="&amp;$A1762,'Allocated Transactions'!$A:$A,"&lt;="&amp;EOMONTH($A1762,0))*0.99,100)</f>
        <v>0</v>
      </c>
      <c r="K1762" s="113" t="s">
        <v>637</v>
      </c>
    </row>
    <row r="1763" spans="1:11" ht="15" customHeight="1">
      <c r="A1763" s="112">
        <f t="shared" si="116"/>
        <v>45870</v>
      </c>
      <c r="B1763" s="113">
        <v>9</v>
      </c>
      <c r="C1763" s="18" t="str">
        <f t="shared" si="115"/>
        <v>2040</v>
      </c>
      <c r="D1763" s="113" t="str">
        <f>_xlfn.XLOOKUP($C1763,'Cost Centers'!$A$2:$A$11,'Cost Centers'!$B$2:$B$11,"")</f>
        <v>Europe</v>
      </c>
      <c r="E1763" s="113" t="s">
        <v>121</v>
      </c>
      <c r="F1763" s="113" t="str">
        <f>_xlfn.XLOOKUP(E1763,'Allocated Transactions'!D:D,'Allocated Transactions'!E:E,"")</f>
        <v>Bank Fees</v>
      </c>
      <c r="G1763" s="113" t="s">
        <v>97</v>
      </c>
      <c r="H1763" s="113"/>
      <c r="I1763" s="113" t="str">
        <f>_xlfn.XLOOKUP($C1763,'Cost Centers'!$A$2:$A$11,'Cost Centers'!$C$2:$C$11,"")</f>
        <v>Programs</v>
      </c>
      <c r="J1763" s="23">
        <f>MROUND(SUMIFS('Allocated Transactions'!$J:$J,'Allocated Transactions'!$D:$D,$E1763,'Allocated Transactions'!$C:$C,$C1763,'Allocated Transactions'!$A:$A,"&gt;="&amp;$A1763,'Allocated Transactions'!$A:$A,"&lt;="&amp;EOMONTH($A1763,0))*0.99,100)</f>
        <v>0</v>
      </c>
      <c r="K1763" s="113" t="s">
        <v>637</v>
      </c>
    </row>
    <row r="1764" spans="1:11" ht="15" customHeight="1">
      <c r="A1764" s="112">
        <f t="shared" si="116"/>
        <v>45870</v>
      </c>
      <c r="B1764" s="113">
        <v>9</v>
      </c>
      <c r="C1764" s="18" t="str">
        <f t="shared" si="115"/>
        <v>2040</v>
      </c>
      <c r="D1764" s="113" t="str">
        <f>_xlfn.XLOOKUP($C1764,'Cost Centers'!$A$2:$A$11,'Cost Centers'!$B$2:$B$11,"")</f>
        <v>Europe</v>
      </c>
      <c r="E1764" s="113" t="s">
        <v>123</v>
      </c>
      <c r="F1764" s="113" t="str">
        <f>_xlfn.XLOOKUP(E1764,'Allocated Transactions'!D:D,'Allocated Transactions'!E:E,"")</f>
        <v>Interest Expense</v>
      </c>
      <c r="G1764" s="113" t="s">
        <v>97</v>
      </c>
      <c r="H1764" s="113"/>
      <c r="I1764" s="113" t="str">
        <f>_xlfn.XLOOKUP($C1764,'Cost Centers'!$A$2:$A$11,'Cost Centers'!$C$2:$C$11,"")</f>
        <v>Programs</v>
      </c>
      <c r="J1764" s="23">
        <f>MROUND(SUMIFS('Allocated Transactions'!$J:$J,'Allocated Transactions'!$D:$D,$E1764,'Allocated Transactions'!$C:$C,$C1764,'Allocated Transactions'!$A:$A,"&gt;="&amp;$A1764,'Allocated Transactions'!$A:$A,"&lt;="&amp;EOMONTH($A1764,0))*0.99,100)</f>
        <v>0</v>
      </c>
      <c r="K1764" s="113" t="s">
        <v>637</v>
      </c>
    </row>
    <row r="1765" spans="1:11" ht="15" customHeight="1">
      <c r="A1765" s="112">
        <f t="shared" si="116"/>
        <v>45870</v>
      </c>
      <c r="B1765" s="113">
        <v>9</v>
      </c>
      <c r="C1765" s="18" t="str">
        <f t="shared" si="115"/>
        <v>2040</v>
      </c>
      <c r="D1765" s="113" t="str">
        <f>_xlfn.XLOOKUP($C1765,'Cost Centers'!$A$2:$A$11,'Cost Centers'!$B$2:$B$11,"")</f>
        <v>Europe</v>
      </c>
      <c r="E1765" s="113" t="s">
        <v>125</v>
      </c>
      <c r="F1765" s="113" t="str">
        <f>_xlfn.XLOOKUP(E1765,'Allocated Transactions'!D:D,'Allocated Transactions'!E:E,"")</f>
        <v>Miscellaneous Expense</v>
      </c>
      <c r="G1765" s="113" t="s">
        <v>97</v>
      </c>
      <c r="H1765" s="113"/>
      <c r="I1765" s="113" t="str">
        <f>_xlfn.XLOOKUP($C1765,'Cost Centers'!$A$2:$A$11,'Cost Centers'!$C$2:$C$11,"")</f>
        <v>Programs</v>
      </c>
      <c r="J1765" s="23">
        <f>MROUND(SUMIFS('Allocated Transactions'!$J:$J,'Allocated Transactions'!$D:$D,$E1765,'Allocated Transactions'!$C:$C,$C1765,'Allocated Transactions'!$A:$A,"&gt;="&amp;$A1765,'Allocated Transactions'!$A:$A,"&lt;="&amp;EOMONTH($A1765,0))*0.99,100)</f>
        <v>0</v>
      </c>
      <c r="K1765" s="113" t="s">
        <v>637</v>
      </c>
    </row>
    <row r="1766" spans="1:11" ht="15" customHeight="1">
      <c r="A1766" s="112">
        <f t="shared" si="116"/>
        <v>45901</v>
      </c>
      <c r="B1766" s="113">
        <v>9</v>
      </c>
      <c r="C1766" s="18" t="s">
        <v>18</v>
      </c>
      <c r="D1766" s="113" t="str">
        <f>_xlfn.XLOOKUP($C1766,'Cost Centers'!$A$2:$A$11,'Cost Centers'!$B$2:$B$11,"")</f>
        <v>Europe</v>
      </c>
      <c r="E1766" s="113" t="s">
        <v>28</v>
      </c>
      <c r="F1766" s="113" t="str">
        <f>_xlfn.XLOOKUP(E1766,'Allocated Transactions'!D:D,'Allocated Transactions'!E:E,"")</f>
        <v>Salaries and Wages</v>
      </c>
      <c r="G1766" s="113" t="s">
        <v>97</v>
      </c>
      <c r="H1766" s="113"/>
      <c r="I1766" s="113" t="str">
        <f>_xlfn.XLOOKUP($C1766,'Cost Centers'!$A$2:$A$11,'Cost Centers'!$C$2:$C$11,"")</f>
        <v>Programs</v>
      </c>
      <c r="J1766" s="23">
        <f>MROUND(SUMIFS('Allocated Transactions'!$J:$J,'Allocated Transactions'!$D:$D,$E1766,'Allocated Transactions'!$C:$C,$C1766,'Allocated Transactions'!$A:$A,"&gt;="&amp;$A1766,'Allocated Transactions'!$A:$A,"&lt;="&amp;EOMONTH($A1766,0))*0.99,100)</f>
        <v>20300</v>
      </c>
      <c r="K1766" s="113" t="s">
        <v>637</v>
      </c>
    </row>
    <row r="1767" spans="1:11" ht="15" customHeight="1">
      <c r="A1767" s="112">
        <f t="shared" si="116"/>
        <v>45901</v>
      </c>
      <c r="B1767" s="113">
        <v>9</v>
      </c>
      <c r="C1767" s="18" t="str">
        <f t="shared" ref="C1767:C1783" si="117">C1766</f>
        <v>2040</v>
      </c>
      <c r="D1767" s="113" t="str">
        <f>_xlfn.XLOOKUP($C1767,'Cost Centers'!$A$2:$A$11,'Cost Centers'!$B$2:$B$11,"")</f>
        <v>Europe</v>
      </c>
      <c r="E1767" s="113" t="s">
        <v>29</v>
      </c>
      <c r="F1767" s="113" t="str">
        <f>_xlfn.XLOOKUP(E1767,'Allocated Transactions'!D:D,'Allocated Transactions'!E:E,"")</f>
        <v>Payroll Taxes</v>
      </c>
      <c r="G1767" s="113" t="s">
        <v>97</v>
      </c>
      <c r="H1767" s="113"/>
      <c r="I1767" s="113" t="str">
        <f>_xlfn.XLOOKUP($C1767,'Cost Centers'!$A$2:$A$11,'Cost Centers'!$C$2:$C$11,"")</f>
        <v>Programs</v>
      </c>
      <c r="J1767" s="23">
        <f>MROUND(SUMIFS('Allocated Transactions'!$J:$J,'Allocated Transactions'!$D:$D,$E1767,'Allocated Transactions'!$C:$C,$C1767,'Allocated Transactions'!$A:$A,"&gt;="&amp;$A1767,'Allocated Transactions'!$A:$A,"&lt;="&amp;EOMONTH($A1767,0))*0.99,100)</f>
        <v>1600</v>
      </c>
      <c r="K1767" s="113" t="s">
        <v>637</v>
      </c>
    </row>
    <row r="1768" spans="1:11" ht="15" customHeight="1">
      <c r="A1768" s="112">
        <f t="shared" si="116"/>
        <v>45901</v>
      </c>
      <c r="B1768" s="113">
        <v>9</v>
      </c>
      <c r="C1768" s="18" t="str">
        <f t="shared" si="117"/>
        <v>2040</v>
      </c>
      <c r="D1768" s="113" t="str">
        <f>_xlfn.XLOOKUP($C1768,'Cost Centers'!$A$2:$A$11,'Cost Centers'!$B$2:$B$11,"")</f>
        <v>Europe</v>
      </c>
      <c r="E1768" s="113" t="s">
        <v>30</v>
      </c>
      <c r="F1768" s="113" t="str">
        <f>_xlfn.XLOOKUP(E1768,'Allocated Transactions'!D:D,'Allocated Transactions'!E:E,"")</f>
        <v>Employee Benefits</v>
      </c>
      <c r="G1768" s="113" t="s">
        <v>97</v>
      </c>
      <c r="H1768" s="113"/>
      <c r="I1768" s="113" t="str">
        <f>_xlfn.XLOOKUP($C1768,'Cost Centers'!$A$2:$A$11,'Cost Centers'!$C$2:$C$11,"")</f>
        <v>Programs</v>
      </c>
      <c r="J1768" s="23">
        <f>MROUND(SUMIFS('Allocated Transactions'!$J:$J,'Allocated Transactions'!$D:$D,$E1768,'Allocated Transactions'!$C:$C,$C1768,'Allocated Transactions'!$A:$A,"&gt;="&amp;$A1768,'Allocated Transactions'!$A:$A,"&lt;="&amp;EOMONTH($A1768,0))*0.99,100)</f>
        <v>7500</v>
      </c>
      <c r="K1768" s="113" t="s">
        <v>637</v>
      </c>
    </row>
    <row r="1769" spans="1:11" ht="15" customHeight="1">
      <c r="A1769" s="112">
        <f t="shared" si="116"/>
        <v>45901</v>
      </c>
      <c r="B1769" s="113">
        <v>9</v>
      </c>
      <c r="C1769" s="18" t="str">
        <f t="shared" si="117"/>
        <v>2040</v>
      </c>
      <c r="D1769" s="113" t="str">
        <f>_xlfn.XLOOKUP($C1769,'Cost Centers'!$A$2:$A$11,'Cost Centers'!$B$2:$B$11,"")</f>
        <v>Europe</v>
      </c>
      <c r="E1769" s="113" t="s">
        <v>31</v>
      </c>
      <c r="F1769" s="113" t="str">
        <f>_xlfn.XLOOKUP(E1769,'Allocated Transactions'!D:D,'Allocated Transactions'!E:E,"")</f>
        <v>Retirement Contributions</v>
      </c>
      <c r="G1769" s="113" t="s">
        <v>97</v>
      </c>
      <c r="H1769" s="113"/>
      <c r="I1769" s="113" t="str">
        <f>_xlfn.XLOOKUP($C1769,'Cost Centers'!$A$2:$A$11,'Cost Centers'!$C$2:$C$11,"")</f>
        <v>Programs</v>
      </c>
      <c r="J1769" s="23">
        <f>MROUND(SUMIFS('Allocated Transactions'!$J:$J,'Allocated Transactions'!$D:$D,$E1769,'Allocated Transactions'!$C:$C,$C1769,'Allocated Transactions'!$A:$A,"&gt;="&amp;$A1769,'Allocated Transactions'!$A:$A,"&lt;="&amp;EOMONTH($A1769,0))*0.99,100)</f>
        <v>600</v>
      </c>
      <c r="K1769" s="113" t="s">
        <v>637</v>
      </c>
    </row>
    <row r="1770" spans="1:11" ht="15" customHeight="1">
      <c r="A1770" s="112">
        <f t="shared" si="116"/>
        <v>45901</v>
      </c>
      <c r="B1770" s="113">
        <v>9</v>
      </c>
      <c r="C1770" s="18" t="str">
        <f t="shared" si="117"/>
        <v>2040</v>
      </c>
      <c r="D1770" s="113" t="str">
        <f>_xlfn.XLOOKUP($C1770,'Cost Centers'!$A$2:$A$11,'Cost Centers'!$B$2:$B$11,"")</f>
        <v>Europe</v>
      </c>
      <c r="E1770" s="113" t="s">
        <v>101</v>
      </c>
      <c r="F1770" s="113" t="str">
        <f>_xlfn.XLOOKUP(E1770,'Allocated Transactions'!D:D,'Allocated Transactions'!E:E,"")</f>
        <v>Contract Labor / Consultants</v>
      </c>
      <c r="G1770" s="113" t="s">
        <v>97</v>
      </c>
      <c r="H1770" s="113"/>
      <c r="I1770" s="113" t="str">
        <f>_xlfn.XLOOKUP($C1770,'Cost Centers'!$A$2:$A$11,'Cost Centers'!$C$2:$C$11,"")</f>
        <v>Programs</v>
      </c>
      <c r="J1770" s="23">
        <f>MROUND(SUMIFS('Allocated Transactions'!$J:$J,'Allocated Transactions'!$D:$D,$E1770,'Allocated Transactions'!$C:$C,$C1770,'Allocated Transactions'!$A:$A,"&gt;="&amp;$A1770,'Allocated Transactions'!$A:$A,"&lt;="&amp;EOMONTH($A1770,0))*0.99,100)</f>
        <v>0</v>
      </c>
      <c r="K1770" s="113" t="s">
        <v>637</v>
      </c>
    </row>
    <row r="1771" spans="1:11" ht="15" customHeight="1">
      <c r="A1771" s="112">
        <f t="shared" si="116"/>
        <v>45901</v>
      </c>
      <c r="B1771" s="113">
        <v>9</v>
      </c>
      <c r="C1771" s="18" t="str">
        <f t="shared" si="117"/>
        <v>2040</v>
      </c>
      <c r="D1771" s="113" t="str">
        <f>_xlfn.XLOOKUP($C1771,'Cost Centers'!$A$2:$A$11,'Cost Centers'!$B$2:$B$11,"")</f>
        <v>Europe</v>
      </c>
      <c r="E1771" s="113" t="s">
        <v>32</v>
      </c>
      <c r="F1771" s="113" t="str">
        <f>_xlfn.XLOOKUP(E1771,'Allocated Transactions'!D:D,'Allocated Transactions'!E:E,"")</f>
        <v>Rent</v>
      </c>
      <c r="G1771" s="113" t="s">
        <v>97</v>
      </c>
      <c r="H1771" s="113"/>
      <c r="I1771" s="113" t="str">
        <f>_xlfn.XLOOKUP($C1771,'Cost Centers'!$A$2:$A$11,'Cost Centers'!$C$2:$C$11,"")</f>
        <v>Programs</v>
      </c>
      <c r="J1771" s="23">
        <f>MROUND(SUMIFS('Allocated Transactions'!$J:$J,'Allocated Transactions'!$D:$D,$E1771,'Allocated Transactions'!$C:$C,$C1771,'Allocated Transactions'!$A:$A,"&gt;="&amp;$A1771,'Allocated Transactions'!$A:$A,"&lt;="&amp;EOMONTH($A1771,0))*0.99,100)</f>
        <v>1600</v>
      </c>
      <c r="K1771" s="113" t="s">
        <v>637</v>
      </c>
    </row>
    <row r="1772" spans="1:11" ht="15" customHeight="1">
      <c r="A1772" s="112">
        <f t="shared" si="116"/>
        <v>45901</v>
      </c>
      <c r="B1772" s="113">
        <v>9</v>
      </c>
      <c r="C1772" s="18" t="str">
        <f t="shared" si="117"/>
        <v>2040</v>
      </c>
      <c r="D1772" s="113" t="str">
        <f>_xlfn.XLOOKUP($C1772,'Cost Centers'!$A$2:$A$11,'Cost Centers'!$B$2:$B$11,"")</f>
        <v>Europe</v>
      </c>
      <c r="E1772" s="113" t="s">
        <v>33</v>
      </c>
      <c r="F1772" s="113" t="str">
        <f>_xlfn.XLOOKUP(E1772,'Allocated Transactions'!D:D,'Allocated Transactions'!E:E,"")</f>
        <v>Utilities</v>
      </c>
      <c r="G1772" s="113" t="s">
        <v>97</v>
      </c>
      <c r="H1772" s="113"/>
      <c r="I1772" s="113" t="str">
        <f>_xlfn.XLOOKUP($C1772,'Cost Centers'!$A$2:$A$11,'Cost Centers'!$C$2:$C$11,"")</f>
        <v>Programs</v>
      </c>
      <c r="J1772" s="23">
        <f>MROUND(SUMIFS('Allocated Transactions'!$J:$J,'Allocated Transactions'!$D:$D,$E1772,'Allocated Transactions'!$C:$C,$C1772,'Allocated Transactions'!$A:$A,"&gt;="&amp;$A1772,'Allocated Transactions'!$A:$A,"&lt;="&amp;EOMONTH($A1772,0))*0.99,100)</f>
        <v>200</v>
      </c>
      <c r="K1772" s="113" t="s">
        <v>637</v>
      </c>
    </row>
    <row r="1773" spans="1:11" ht="15" customHeight="1">
      <c r="A1773" s="112">
        <f t="shared" si="116"/>
        <v>45901</v>
      </c>
      <c r="B1773" s="113">
        <v>9</v>
      </c>
      <c r="C1773" s="18" t="str">
        <f t="shared" si="117"/>
        <v>2040</v>
      </c>
      <c r="D1773" s="113" t="str">
        <f>_xlfn.XLOOKUP($C1773,'Cost Centers'!$A$2:$A$11,'Cost Centers'!$B$2:$B$11,"")</f>
        <v>Europe</v>
      </c>
      <c r="E1773" s="113" t="s">
        <v>105</v>
      </c>
      <c r="F1773" s="113" t="str">
        <f>_xlfn.XLOOKUP(E1773,'Allocated Transactions'!D:D,'Allocated Transactions'!E:E,"")</f>
        <v>Office Supplies</v>
      </c>
      <c r="G1773" s="113" t="s">
        <v>97</v>
      </c>
      <c r="H1773" s="113"/>
      <c r="I1773" s="113" t="str">
        <f>_xlfn.XLOOKUP($C1773,'Cost Centers'!$A$2:$A$11,'Cost Centers'!$C$2:$C$11,"")</f>
        <v>Programs</v>
      </c>
      <c r="J1773" s="23">
        <f>MROUND(SUMIFS('Allocated Transactions'!$J:$J,'Allocated Transactions'!$D:$D,$E1773,'Allocated Transactions'!$C:$C,$C1773,'Allocated Transactions'!$A:$A,"&gt;="&amp;$A1773,'Allocated Transactions'!$A:$A,"&lt;="&amp;EOMONTH($A1773,0))*0.99,100)</f>
        <v>0</v>
      </c>
      <c r="K1773" s="113" t="s">
        <v>637</v>
      </c>
    </row>
    <row r="1774" spans="1:11" ht="15" customHeight="1">
      <c r="A1774" s="112">
        <f t="shared" si="116"/>
        <v>45901</v>
      </c>
      <c r="B1774" s="113">
        <v>9</v>
      </c>
      <c r="C1774" s="18" t="str">
        <f t="shared" si="117"/>
        <v>2040</v>
      </c>
      <c r="D1774" s="113" t="str">
        <f>_xlfn.XLOOKUP($C1774,'Cost Centers'!$A$2:$A$11,'Cost Centers'!$B$2:$B$11,"")</f>
        <v>Europe</v>
      </c>
      <c r="E1774" s="113" t="s">
        <v>107</v>
      </c>
      <c r="F1774" s="113" t="str">
        <f>_xlfn.XLOOKUP(E1774,'Allocated Transactions'!D:D,'Allocated Transactions'!E:E,"")</f>
        <v>Software and Subscriptions</v>
      </c>
      <c r="G1774" s="113" t="s">
        <v>97</v>
      </c>
      <c r="H1774" s="113"/>
      <c r="I1774" s="113" t="str">
        <f>_xlfn.XLOOKUP($C1774,'Cost Centers'!$A$2:$A$11,'Cost Centers'!$C$2:$C$11,"")</f>
        <v>Programs</v>
      </c>
      <c r="J1774" s="23">
        <f>MROUND(SUMIFS('Allocated Transactions'!$J:$J,'Allocated Transactions'!$D:$D,$E1774,'Allocated Transactions'!$C:$C,$C1774,'Allocated Transactions'!$A:$A,"&gt;="&amp;$A1774,'Allocated Transactions'!$A:$A,"&lt;="&amp;EOMONTH($A1774,0))*0.99,100)</f>
        <v>0</v>
      </c>
      <c r="K1774" s="113" t="s">
        <v>637</v>
      </c>
    </row>
    <row r="1775" spans="1:11" ht="15" customHeight="1">
      <c r="A1775" s="112">
        <f t="shared" si="116"/>
        <v>45901</v>
      </c>
      <c r="B1775" s="113">
        <v>9</v>
      </c>
      <c r="C1775" s="18" t="str">
        <f t="shared" si="117"/>
        <v>2040</v>
      </c>
      <c r="D1775" s="113" t="str">
        <f>_xlfn.XLOOKUP($C1775,'Cost Centers'!$A$2:$A$11,'Cost Centers'!$B$2:$B$11,"")</f>
        <v>Europe</v>
      </c>
      <c r="E1775" s="113" t="s">
        <v>109</v>
      </c>
      <c r="F1775" s="113" t="str">
        <f>_xlfn.XLOOKUP(E1775,'Allocated Transactions'!D:D,'Allocated Transactions'!E:E,"")</f>
        <v>Travel</v>
      </c>
      <c r="G1775" s="113" t="s">
        <v>97</v>
      </c>
      <c r="H1775" s="113"/>
      <c r="I1775" s="113" t="str">
        <f>_xlfn.XLOOKUP($C1775,'Cost Centers'!$A$2:$A$11,'Cost Centers'!$C$2:$C$11,"")</f>
        <v>Programs</v>
      </c>
      <c r="J1775" s="23">
        <f>MROUND(SUMIFS('Allocated Transactions'!$J:$J,'Allocated Transactions'!$D:$D,$E1775,'Allocated Transactions'!$C:$C,$C1775,'Allocated Transactions'!$A:$A,"&gt;="&amp;$A1775,'Allocated Transactions'!$A:$A,"&lt;="&amp;EOMONTH($A1775,0))*0.99,100)</f>
        <v>0</v>
      </c>
      <c r="K1775" s="113" t="s">
        <v>637</v>
      </c>
    </row>
    <row r="1776" spans="1:11" ht="15" customHeight="1">
      <c r="A1776" s="112">
        <f t="shared" si="116"/>
        <v>45901</v>
      </c>
      <c r="B1776" s="113">
        <v>9</v>
      </c>
      <c r="C1776" s="18" t="str">
        <f t="shared" si="117"/>
        <v>2040</v>
      </c>
      <c r="D1776" s="113" t="str">
        <f>_xlfn.XLOOKUP($C1776,'Cost Centers'!$A$2:$A$11,'Cost Centers'!$B$2:$B$11,"")</f>
        <v>Europe</v>
      </c>
      <c r="E1776" s="113" t="s">
        <v>111</v>
      </c>
      <c r="F1776" s="113" t="str">
        <f>_xlfn.XLOOKUP(E1776,'Allocated Transactions'!D:D,'Allocated Transactions'!E:E,"")</f>
        <v>Meals and Entertainment</v>
      </c>
      <c r="G1776" s="113" t="s">
        <v>97</v>
      </c>
      <c r="H1776" s="113"/>
      <c r="I1776" s="113" t="str">
        <f>_xlfn.XLOOKUP($C1776,'Cost Centers'!$A$2:$A$11,'Cost Centers'!$C$2:$C$11,"")</f>
        <v>Programs</v>
      </c>
      <c r="J1776" s="23">
        <f>MROUND(SUMIFS('Allocated Transactions'!$J:$J,'Allocated Transactions'!$D:$D,$E1776,'Allocated Transactions'!$C:$C,$C1776,'Allocated Transactions'!$A:$A,"&gt;="&amp;$A1776,'Allocated Transactions'!$A:$A,"&lt;="&amp;EOMONTH($A1776,0))*0.99,100)</f>
        <v>0</v>
      </c>
      <c r="K1776" s="113" t="s">
        <v>637</v>
      </c>
    </row>
    <row r="1777" spans="1:11" ht="15" customHeight="1">
      <c r="A1777" s="112">
        <f t="shared" si="116"/>
        <v>45901</v>
      </c>
      <c r="B1777" s="113">
        <v>9</v>
      </c>
      <c r="C1777" s="18" t="str">
        <f t="shared" si="117"/>
        <v>2040</v>
      </c>
      <c r="D1777" s="113" t="str">
        <f>_xlfn.XLOOKUP($C1777,'Cost Centers'!$A$2:$A$11,'Cost Centers'!$B$2:$B$11,"")</f>
        <v>Europe</v>
      </c>
      <c r="E1777" s="113" t="s">
        <v>113</v>
      </c>
      <c r="F1777" s="113" t="str">
        <f>_xlfn.XLOOKUP(E1777,'Allocated Transactions'!D:D,'Allocated Transactions'!E:E,"")</f>
        <v>Professional Fees - Legal</v>
      </c>
      <c r="G1777" s="113" t="s">
        <v>97</v>
      </c>
      <c r="H1777" s="113"/>
      <c r="I1777" s="113" t="str">
        <f>_xlfn.XLOOKUP($C1777,'Cost Centers'!$A$2:$A$11,'Cost Centers'!$C$2:$C$11,"")</f>
        <v>Programs</v>
      </c>
      <c r="J1777" s="23">
        <f>MROUND(SUMIFS('Allocated Transactions'!$J:$J,'Allocated Transactions'!$D:$D,$E1777,'Allocated Transactions'!$C:$C,$C1777,'Allocated Transactions'!$A:$A,"&gt;="&amp;$A1777,'Allocated Transactions'!$A:$A,"&lt;="&amp;EOMONTH($A1777,0))*0.99,100)</f>
        <v>0</v>
      </c>
      <c r="K1777" s="113" t="s">
        <v>637</v>
      </c>
    </row>
    <row r="1778" spans="1:11" ht="15" customHeight="1">
      <c r="A1778" s="112">
        <f t="shared" si="116"/>
        <v>45901</v>
      </c>
      <c r="B1778" s="113">
        <v>9</v>
      </c>
      <c r="C1778" s="18" t="str">
        <f t="shared" si="117"/>
        <v>2040</v>
      </c>
      <c r="D1778" s="113" t="str">
        <f>_xlfn.XLOOKUP($C1778,'Cost Centers'!$A$2:$A$11,'Cost Centers'!$B$2:$B$11,"")</f>
        <v>Europe</v>
      </c>
      <c r="E1778" s="113" t="s">
        <v>115</v>
      </c>
      <c r="F1778" s="113" t="str">
        <f>_xlfn.XLOOKUP(E1778,'Allocated Transactions'!D:D,'Allocated Transactions'!E:E,"")</f>
        <v>Professional Fees - Accounting/Audit</v>
      </c>
      <c r="G1778" s="113" t="s">
        <v>97</v>
      </c>
      <c r="H1778" s="113"/>
      <c r="I1778" s="113" t="str">
        <f>_xlfn.XLOOKUP($C1778,'Cost Centers'!$A$2:$A$11,'Cost Centers'!$C$2:$C$11,"")</f>
        <v>Programs</v>
      </c>
      <c r="J1778" s="23">
        <f>MROUND(SUMIFS('Allocated Transactions'!$J:$J,'Allocated Transactions'!$D:$D,$E1778,'Allocated Transactions'!$C:$C,$C1778,'Allocated Transactions'!$A:$A,"&gt;="&amp;$A1778,'Allocated Transactions'!$A:$A,"&lt;="&amp;EOMONTH($A1778,0))*0.99,100)</f>
        <v>0</v>
      </c>
      <c r="K1778" s="113" t="s">
        <v>637</v>
      </c>
    </row>
    <row r="1779" spans="1:11" ht="15" customHeight="1">
      <c r="A1779" s="112">
        <f t="shared" si="116"/>
        <v>45901</v>
      </c>
      <c r="B1779" s="113">
        <v>9</v>
      </c>
      <c r="C1779" s="18" t="str">
        <f t="shared" si="117"/>
        <v>2040</v>
      </c>
      <c r="D1779" s="113" t="str">
        <f>_xlfn.XLOOKUP($C1779,'Cost Centers'!$A$2:$A$11,'Cost Centers'!$B$2:$B$11,"")</f>
        <v>Europe</v>
      </c>
      <c r="E1779" s="113" t="s">
        <v>117</v>
      </c>
      <c r="F1779" s="113" t="str">
        <f>_xlfn.XLOOKUP(E1779,'Allocated Transactions'!D:D,'Allocated Transactions'!E:E,"")</f>
        <v>Insurance</v>
      </c>
      <c r="G1779" s="113" t="s">
        <v>97</v>
      </c>
      <c r="H1779" s="113"/>
      <c r="I1779" s="113" t="str">
        <f>_xlfn.XLOOKUP($C1779,'Cost Centers'!$A$2:$A$11,'Cost Centers'!$C$2:$C$11,"")</f>
        <v>Programs</v>
      </c>
      <c r="J1779" s="23">
        <f>MROUND(SUMIFS('Allocated Transactions'!$J:$J,'Allocated Transactions'!$D:$D,$E1779,'Allocated Transactions'!$C:$C,$C1779,'Allocated Transactions'!$A:$A,"&gt;="&amp;$A1779,'Allocated Transactions'!$A:$A,"&lt;="&amp;EOMONTH($A1779,0))*0.99,100)</f>
        <v>100</v>
      </c>
      <c r="K1779" s="113" t="s">
        <v>637</v>
      </c>
    </row>
    <row r="1780" spans="1:11" ht="15" customHeight="1">
      <c r="A1780" s="112">
        <f t="shared" si="116"/>
        <v>45901</v>
      </c>
      <c r="B1780" s="113">
        <v>9</v>
      </c>
      <c r="C1780" s="18" t="str">
        <f t="shared" si="117"/>
        <v>2040</v>
      </c>
      <c r="D1780" s="113" t="str">
        <f>_xlfn.XLOOKUP($C1780,'Cost Centers'!$A$2:$A$11,'Cost Centers'!$B$2:$B$11,"")</f>
        <v>Europe</v>
      </c>
      <c r="E1780" s="113" t="s">
        <v>119</v>
      </c>
      <c r="F1780" s="113" t="str">
        <f>_xlfn.XLOOKUP(E1780,'Allocated Transactions'!D:D,'Allocated Transactions'!E:E,"")</f>
        <v>Depreciation Expense</v>
      </c>
      <c r="G1780" s="113" t="s">
        <v>97</v>
      </c>
      <c r="H1780" s="113"/>
      <c r="I1780" s="113" t="str">
        <f>_xlfn.XLOOKUP($C1780,'Cost Centers'!$A$2:$A$11,'Cost Centers'!$C$2:$C$11,"")</f>
        <v>Programs</v>
      </c>
      <c r="J1780" s="23">
        <f>MROUND(SUMIFS('Allocated Transactions'!$J:$J,'Allocated Transactions'!$D:$D,$E1780,'Allocated Transactions'!$C:$C,$C1780,'Allocated Transactions'!$A:$A,"&gt;="&amp;$A1780,'Allocated Transactions'!$A:$A,"&lt;="&amp;EOMONTH($A1780,0))*0.99,100)</f>
        <v>0</v>
      </c>
      <c r="K1780" s="113" t="s">
        <v>637</v>
      </c>
    </row>
    <row r="1781" spans="1:11" ht="15" customHeight="1">
      <c r="A1781" s="112">
        <f t="shared" si="116"/>
        <v>45901</v>
      </c>
      <c r="B1781" s="113">
        <v>9</v>
      </c>
      <c r="C1781" s="18" t="str">
        <f t="shared" si="117"/>
        <v>2040</v>
      </c>
      <c r="D1781" s="113" t="str">
        <f>_xlfn.XLOOKUP($C1781,'Cost Centers'!$A$2:$A$11,'Cost Centers'!$B$2:$B$11,"")</f>
        <v>Europe</v>
      </c>
      <c r="E1781" s="113" t="s">
        <v>121</v>
      </c>
      <c r="F1781" s="113" t="str">
        <f>_xlfn.XLOOKUP(E1781,'Allocated Transactions'!D:D,'Allocated Transactions'!E:E,"")</f>
        <v>Bank Fees</v>
      </c>
      <c r="G1781" s="113" t="s">
        <v>97</v>
      </c>
      <c r="H1781" s="113"/>
      <c r="I1781" s="113" t="str">
        <f>_xlfn.XLOOKUP($C1781,'Cost Centers'!$A$2:$A$11,'Cost Centers'!$C$2:$C$11,"")</f>
        <v>Programs</v>
      </c>
      <c r="J1781" s="23">
        <f>MROUND(SUMIFS('Allocated Transactions'!$J:$J,'Allocated Transactions'!$D:$D,$E1781,'Allocated Transactions'!$C:$C,$C1781,'Allocated Transactions'!$A:$A,"&gt;="&amp;$A1781,'Allocated Transactions'!$A:$A,"&lt;="&amp;EOMONTH($A1781,0))*0.99,100)</f>
        <v>0</v>
      </c>
      <c r="K1781" s="113" t="s">
        <v>637</v>
      </c>
    </row>
    <row r="1782" spans="1:11" ht="15" customHeight="1">
      <c r="A1782" s="112">
        <f t="shared" si="116"/>
        <v>45901</v>
      </c>
      <c r="B1782" s="113">
        <v>9</v>
      </c>
      <c r="C1782" s="18" t="str">
        <f t="shared" si="117"/>
        <v>2040</v>
      </c>
      <c r="D1782" s="113" t="str">
        <f>_xlfn.XLOOKUP($C1782,'Cost Centers'!$A$2:$A$11,'Cost Centers'!$B$2:$B$11,"")</f>
        <v>Europe</v>
      </c>
      <c r="E1782" s="113" t="s">
        <v>123</v>
      </c>
      <c r="F1782" s="113" t="str">
        <f>_xlfn.XLOOKUP(E1782,'Allocated Transactions'!D:D,'Allocated Transactions'!E:E,"")</f>
        <v>Interest Expense</v>
      </c>
      <c r="G1782" s="113" t="s">
        <v>97</v>
      </c>
      <c r="H1782" s="113"/>
      <c r="I1782" s="113" t="str">
        <f>_xlfn.XLOOKUP($C1782,'Cost Centers'!$A$2:$A$11,'Cost Centers'!$C$2:$C$11,"")</f>
        <v>Programs</v>
      </c>
      <c r="J1782" s="23">
        <f>MROUND(SUMIFS('Allocated Transactions'!$J:$J,'Allocated Transactions'!$D:$D,$E1782,'Allocated Transactions'!$C:$C,$C1782,'Allocated Transactions'!$A:$A,"&gt;="&amp;$A1782,'Allocated Transactions'!$A:$A,"&lt;="&amp;EOMONTH($A1782,0))*0.99,100)</f>
        <v>0</v>
      </c>
      <c r="K1782" s="113" t="s">
        <v>637</v>
      </c>
    </row>
    <row r="1783" spans="1:11" ht="15" customHeight="1">
      <c r="A1783" s="112">
        <f t="shared" si="116"/>
        <v>45901</v>
      </c>
      <c r="B1783" s="113">
        <v>9</v>
      </c>
      <c r="C1783" s="18" t="str">
        <f t="shared" si="117"/>
        <v>2040</v>
      </c>
      <c r="D1783" s="113" t="str">
        <f>_xlfn.XLOOKUP($C1783,'Cost Centers'!$A$2:$A$11,'Cost Centers'!$B$2:$B$11,"")</f>
        <v>Europe</v>
      </c>
      <c r="E1783" s="113" t="s">
        <v>125</v>
      </c>
      <c r="F1783" s="113" t="str">
        <f>_xlfn.XLOOKUP(E1783,'Allocated Transactions'!D:D,'Allocated Transactions'!E:E,"")</f>
        <v>Miscellaneous Expense</v>
      </c>
      <c r="G1783" s="113" t="s">
        <v>97</v>
      </c>
      <c r="H1783" s="113"/>
      <c r="I1783" s="113" t="str">
        <f>_xlfn.XLOOKUP($C1783,'Cost Centers'!$A$2:$A$11,'Cost Centers'!$C$2:$C$11,"")</f>
        <v>Programs</v>
      </c>
      <c r="J1783" s="23">
        <f>MROUND(SUMIFS('Allocated Transactions'!$J:$J,'Allocated Transactions'!$D:$D,$E1783,'Allocated Transactions'!$C:$C,$C1783,'Allocated Transactions'!$A:$A,"&gt;="&amp;$A1783,'Allocated Transactions'!$A:$A,"&lt;="&amp;EOMONTH($A1783,0))*0.99,100)</f>
        <v>0</v>
      </c>
      <c r="K1783" s="113" t="s">
        <v>637</v>
      </c>
    </row>
    <row r="1784" spans="1:11" ht="15" customHeight="1">
      <c r="A1784" s="112">
        <f t="shared" si="116"/>
        <v>45931</v>
      </c>
      <c r="B1784" s="113">
        <v>9</v>
      </c>
      <c r="C1784" s="18" t="s">
        <v>18</v>
      </c>
      <c r="D1784" s="113" t="str">
        <f>_xlfn.XLOOKUP($C1784,'Cost Centers'!$A$2:$A$11,'Cost Centers'!$B$2:$B$11,"")</f>
        <v>Europe</v>
      </c>
      <c r="E1784" s="113" t="s">
        <v>28</v>
      </c>
      <c r="F1784" s="113" t="str">
        <f>_xlfn.XLOOKUP(E1784,'Allocated Transactions'!D:D,'Allocated Transactions'!E:E,"")</f>
        <v>Salaries and Wages</v>
      </c>
      <c r="G1784" s="113" t="s">
        <v>97</v>
      </c>
      <c r="H1784" s="113"/>
      <c r="I1784" s="113" t="str">
        <f>_xlfn.XLOOKUP($C1784,'Cost Centers'!$A$2:$A$11,'Cost Centers'!$C$2:$C$11,"")</f>
        <v>Programs</v>
      </c>
      <c r="J1784" s="23">
        <f>MROUND(SUMIFS('Allocated Transactions'!$J:$J,'Allocated Transactions'!$D:$D,$E1784,'Allocated Transactions'!$C:$C,$C1784,'Allocated Transactions'!$A:$A,"&gt;="&amp;$A1784,'Allocated Transactions'!$A:$A,"&lt;="&amp;EOMONTH($A1784,0))*0.99,100)</f>
        <v>20400</v>
      </c>
      <c r="K1784" s="113" t="s">
        <v>637</v>
      </c>
    </row>
    <row r="1785" spans="1:11" ht="15" customHeight="1">
      <c r="A1785" s="112">
        <f t="shared" si="116"/>
        <v>45931</v>
      </c>
      <c r="B1785" s="113">
        <v>9</v>
      </c>
      <c r="C1785" s="18" t="str">
        <f t="shared" ref="C1785:C1801" si="118">C1784</f>
        <v>2040</v>
      </c>
      <c r="D1785" s="113" t="str">
        <f>_xlfn.XLOOKUP($C1785,'Cost Centers'!$A$2:$A$11,'Cost Centers'!$B$2:$B$11,"")</f>
        <v>Europe</v>
      </c>
      <c r="E1785" s="113" t="s">
        <v>29</v>
      </c>
      <c r="F1785" s="113" t="str">
        <f>_xlfn.XLOOKUP(E1785,'Allocated Transactions'!D:D,'Allocated Transactions'!E:E,"")</f>
        <v>Payroll Taxes</v>
      </c>
      <c r="G1785" s="113" t="s">
        <v>97</v>
      </c>
      <c r="H1785" s="113"/>
      <c r="I1785" s="113" t="str">
        <f>_xlfn.XLOOKUP($C1785,'Cost Centers'!$A$2:$A$11,'Cost Centers'!$C$2:$C$11,"")</f>
        <v>Programs</v>
      </c>
      <c r="J1785" s="23">
        <f>MROUND(SUMIFS('Allocated Transactions'!$J:$J,'Allocated Transactions'!$D:$D,$E1785,'Allocated Transactions'!$C:$C,$C1785,'Allocated Transactions'!$A:$A,"&gt;="&amp;$A1785,'Allocated Transactions'!$A:$A,"&lt;="&amp;EOMONTH($A1785,0))*0.99,100)</f>
        <v>1600</v>
      </c>
      <c r="K1785" s="113" t="s">
        <v>637</v>
      </c>
    </row>
    <row r="1786" spans="1:11" ht="15" customHeight="1">
      <c r="A1786" s="112">
        <f t="shared" si="116"/>
        <v>45931</v>
      </c>
      <c r="B1786" s="113">
        <v>9</v>
      </c>
      <c r="C1786" s="18" t="str">
        <f t="shared" si="118"/>
        <v>2040</v>
      </c>
      <c r="D1786" s="113" t="str">
        <f>_xlfn.XLOOKUP($C1786,'Cost Centers'!$A$2:$A$11,'Cost Centers'!$B$2:$B$11,"")</f>
        <v>Europe</v>
      </c>
      <c r="E1786" s="113" t="s">
        <v>30</v>
      </c>
      <c r="F1786" s="113" t="str">
        <f>_xlfn.XLOOKUP(E1786,'Allocated Transactions'!D:D,'Allocated Transactions'!E:E,"")</f>
        <v>Employee Benefits</v>
      </c>
      <c r="G1786" s="113" t="s">
        <v>97</v>
      </c>
      <c r="H1786" s="113"/>
      <c r="I1786" s="113" t="str">
        <f>_xlfn.XLOOKUP($C1786,'Cost Centers'!$A$2:$A$11,'Cost Centers'!$C$2:$C$11,"")</f>
        <v>Programs</v>
      </c>
      <c r="J1786" s="23">
        <f>MROUND(SUMIFS('Allocated Transactions'!$J:$J,'Allocated Transactions'!$D:$D,$E1786,'Allocated Transactions'!$C:$C,$C1786,'Allocated Transactions'!$A:$A,"&gt;="&amp;$A1786,'Allocated Transactions'!$A:$A,"&lt;="&amp;EOMONTH($A1786,0))*0.99,100)</f>
        <v>7500</v>
      </c>
      <c r="K1786" s="113" t="s">
        <v>637</v>
      </c>
    </row>
    <row r="1787" spans="1:11" ht="15" customHeight="1">
      <c r="A1787" s="112">
        <f t="shared" si="116"/>
        <v>45931</v>
      </c>
      <c r="B1787" s="113">
        <v>9</v>
      </c>
      <c r="C1787" s="18" t="str">
        <f t="shared" si="118"/>
        <v>2040</v>
      </c>
      <c r="D1787" s="113" t="str">
        <f>_xlfn.XLOOKUP($C1787,'Cost Centers'!$A$2:$A$11,'Cost Centers'!$B$2:$B$11,"")</f>
        <v>Europe</v>
      </c>
      <c r="E1787" s="113" t="s">
        <v>31</v>
      </c>
      <c r="F1787" s="113" t="str">
        <f>_xlfn.XLOOKUP(E1787,'Allocated Transactions'!D:D,'Allocated Transactions'!E:E,"")</f>
        <v>Retirement Contributions</v>
      </c>
      <c r="G1787" s="113" t="s">
        <v>97</v>
      </c>
      <c r="H1787" s="113"/>
      <c r="I1787" s="113" t="str">
        <f>_xlfn.XLOOKUP($C1787,'Cost Centers'!$A$2:$A$11,'Cost Centers'!$C$2:$C$11,"")</f>
        <v>Programs</v>
      </c>
      <c r="J1787" s="23">
        <f>MROUND(SUMIFS('Allocated Transactions'!$J:$J,'Allocated Transactions'!$D:$D,$E1787,'Allocated Transactions'!$C:$C,$C1787,'Allocated Transactions'!$A:$A,"&gt;="&amp;$A1787,'Allocated Transactions'!$A:$A,"&lt;="&amp;EOMONTH($A1787,0))*0.99,100)</f>
        <v>600</v>
      </c>
      <c r="K1787" s="113" t="s">
        <v>637</v>
      </c>
    </row>
    <row r="1788" spans="1:11" ht="15" customHeight="1">
      <c r="A1788" s="112">
        <f t="shared" si="116"/>
        <v>45931</v>
      </c>
      <c r="B1788" s="113">
        <v>9</v>
      </c>
      <c r="C1788" s="18" t="str">
        <f t="shared" si="118"/>
        <v>2040</v>
      </c>
      <c r="D1788" s="113" t="str">
        <f>_xlfn.XLOOKUP($C1788,'Cost Centers'!$A$2:$A$11,'Cost Centers'!$B$2:$B$11,"")</f>
        <v>Europe</v>
      </c>
      <c r="E1788" s="113" t="s">
        <v>101</v>
      </c>
      <c r="F1788" s="113" t="str">
        <f>_xlfn.XLOOKUP(E1788,'Allocated Transactions'!D:D,'Allocated Transactions'!E:E,"")</f>
        <v>Contract Labor / Consultants</v>
      </c>
      <c r="G1788" s="113" t="s">
        <v>97</v>
      </c>
      <c r="H1788" s="113"/>
      <c r="I1788" s="113" t="str">
        <f>_xlfn.XLOOKUP($C1788,'Cost Centers'!$A$2:$A$11,'Cost Centers'!$C$2:$C$11,"")</f>
        <v>Programs</v>
      </c>
      <c r="J1788" s="23">
        <f>MROUND(SUMIFS('Allocated Transactions'!$J:$J,'Allocated Transactions'!$D:$D,$E1788,'Allocated Transactions'!$C:$C,$C1788,'Allocated Transactions'!$A:$A,"&gt;="&amp;$A1788,'Allocated Transactions'!$A:$A,"&lt;="&amp;EOMONTH($A1788,0))*0.99,100)</f>
        <v>0</v>
      </c>
      <c r="K1788" s="113" t="s">
        <v>637</v>
      </c>
    </row>
    <row r="1789" spans="1:11" ht="15" customHeight="1">
      <c r="A1789" s="112">
        <f t="shared" si="116"/>
        <v>45931</v>
      </c>
      <c r="B1789" s="113">
        <v>9</v>
      </c>
      <c r="C1789" s="18" t="str">
        <f t="shared" si="118"/>
        <v>2040</v>
      </c>
      <c r="D1789" s="113" t="str">
        <f>_xlfn.XLOOKUP($C1789,'Cost Centers'!$A$2:$A$11,'Cost Centers'!$B$2:$B$11,"")</f>
        <v>Europe</v>
      </c>
      <c r="E1789" s="113" t="s">
        <v>32</v>
      </c>
      <c r="F1789" s="113" t="str">
        <f>_xlfn.XLOOKUP(E1789,'Allocated Transactions'!D:D,'Allocated Transactions'!E:E,"")</f>
        <v>Rent</v>
      </c>
      <c r="G1789" s="113" t="s">
        <v>97</v>
      </c>
      <c r="H1789" s="113"/>
      <c r="I1789" s="113" t="str">
        <f>_xlfn.XLOOKUP($C1789,'Cost Centers'!$A$2:$A$11,'Cost Centers'!$C$2:$C$11,"")</f>
        <v>Programs</v>
      </c>
      <c r="J1789" s="23">
        <f>MROUND(SUMIFS('Allocated Transactions'!$J:$J,'Allocated Transactions'!$D:$D,$E1789,'Allocated Transactions'!$C:$C,$C1789,'Allocated Transactions'!$A:$A,"&gt;="&amp;$A1789,'Allocated Transactions'!$A:$A,"&lt;="&amp;EOMONTH($A1789,0))*0.99,100)</f>
        <v>1600</v>
      </c>
      <c r="K1789" s="113" t="s">
        <v>637</v>
      </c>
    </row>
    <row r="1790" spans="1:11" ht="15" customHeight="1">
      <c r="A1790" s="112">
        <f t="shared" si="116"/>
        <v>45931</v>
      </c>
      <c r="B1790" s="113">
        <v>9</v>
      </c>
      <c r="C1790" s="18" t="str">
        <f t="shared" si="118"/>
        <v>2040</v>
      </c>
      <c r="D1790" s="113" t="str">
        <f>_xlfn.XLOOKUP($C1790,'Cost Centers'!$A$2:$A$11,'Cost Centers'!$B$2:$B$11,"")</f>
        <v>Europe</v>
      </c>
      <c r="E1790" s="113" t="s">
        <v>33</v>
      </c>
      <c r="F1790" s="113" t="str">
        <f>_xlfn.XLOOKUP(E1790,'Allocated Transactions'!D:D,'Allocated Transactions'!E:E,"")</f>
        <v>Utilities</v>
      </c>
      <c r="G1790" s="113" t="s">
        <v>97</v>
      </c>
      <c r="H1790" s="113"/>
      <c r="I1790" s="113" t="str">
        <f>_xlfn.XLOOKUP($C1790,'Cost Centers'!$A$2:$A$11,'Cost Centers'!$C$2:$C$11,"")</f>
        <v>Programs</v>
      </c>
      <c r="J1790" s="23">
        <f>MROUND(SUMIFS('Allocated Transactions'!$J:$J,'Allocated Transactions'!$D:$D,$E1790,'Allocated Transactions'!$C:$C,$C1790,'Allocated Transactions'!$A:$A,"&gt;="&amp;$A1790,'Allocated Transactions'!$A:$A,"&lt;="&amp;EOMONTH($A1790,0))*0.99,100)</f>
        <v>200</v>
      </c>
      <c r="K1790" s="113" t="s">
        <v>637</v>
      </c>
    </row>
    <row r="1791" spans="1:11" ht="15" customHeight="1">
      <c r="A1791" s="112">
        <f t="shared" si="116"/>
        <v>45931</v>
      </c>
      <c r="B1791" s="113">
        <v>9</v>
      </c>
      <c r="C1791" s="18" t="str">
        <f t="shared" si="118"/>
        <v>2040</v>
      </c>
      <c r="D1791" s="113" t="str">
        <f>_xlfn.XLOOKUP($C1791,'Cost Centers'!$A$2:$A$11,'Cost Centers'!$B$2:$B$11,"")</f>
        <v>Europe</v>
      </c>
      <c r="E1791" s="113" t="s">
        <v>105</v>
      </c>
      <c r="F1791" s="113" t="str">
        <f>_xlfn.XLOOKUP(E1791,'Allocated Transactions'!D:D,'Allocated Transactions'!E:E,"")</f>
        <v>Office Supplies</v>
      </c>
      <c r="G1791" s="113" t="s">
        <v>97</v>
      </c>
      <c r="H1791" s="113"/>
      <c r="I1791" s="113" t="str">
        <f>_xlfn.XLOOKUP($C1791,'Cost Centers'!$A$2:$A$11,'Cost Centers'!$C$2:$C$11,"")</f>
        <v>Programs</v>
      </c>
      <c r="J1791" s="23">
        <f>MROUND(SUMIFS('Allocated Transactions'!$J:$J,'Allocated Transactions'!$D:$D,$E1791,'Allocated Transactions'!$C:$C,$C1791,'Allocated Transactions'!$A:$A,"&gt;="&amp;$A1791,'Allocated Transactions'!$A:$A,"&lt;="&amp;EOMONTH($A1791,0))*0.99,100)</f>
        <v>1200</v>
      </c>
      <c r="K1791" s="113" t="s">
        <v>637</v>
      </c>
    </row>
    <row r="1792" spans="1:11" ht="15" customHeight="1">
      <c r="A1792" s="112">
        <f t="shared" si="116"/>
        <v>45931</v>
      </c>
      <c r="B1792" s="113">
        <v>9</v>
      </c>
      <c r="C1792" s="18" t="str">
        <f t="shared" si="118"/>
        <v>2040</v>
      </c>
      <c r="D1792" s="113" t="str">
        <f>_xlfn.XLOOKUP($C1792,'Cost Centers'!$A$2:$A$11,'Cost Centers'!$B$2:$B$11,"")</f>
        <v>Europe</v>
      </c>
      <c r="E1792" s="113" t="s">
        <v>107</v>
      </c>
      <c r="F1792" s="113" t="str">
        <f>_xlfn.XLOOKUP(E1792,'Allocated Transactions'!D:D,'Allocated Transactions'!E:E,"")</f>
        <v>Software and Subscriptions</v>
      </c>
      <c r="G1792" s="113" t="s">
        <v>97</v>
      </c>
      <c r="H1792" s="113"/>
      <c r="I1792" s="113" t="str">
        <f>_xlfn.XLOOKUP($C1792,'Cost Centers'!$A$2:$A$11,'Cost Centers'!$C$2:$C$11,"")</f>
        <v>Programs</v>
      </c>
      <c r="J1792" s="23">
        <f>MROUND(SUMIFS('Allocated Transactions'!$J:$J,'Allocated Transactions'!$D:$D,$E1792,'Allocated Transactions'!$C:$C,$C1792,'Allocated Transactions'!$A:$A,"&gt;="&amp;$A1792,'Allocated Transactions'!$A:$A,"&lt;="&amp;EOMONTH($A1792,0))*0.99,100)</f>
        <v>0</v>
      </c>
      <c r="K1792" s="113" t="s">
        <v>637</v>
      </c>
    </row>
    <row r="1793" spans="1:11" ht="15" customHeight="1">
      <c r="A1793" s="112">
        <f t="shared" si="116"/>
        <v>45931</v>
      </c>
      <c r="B1793" s="113">
        <v>9</v>
      </c>
      <c r="C1793" s="18" t="str">
        <f t="shared" si="118"/>
        <v>2040</v>
      </c>
      <c r="D1793" s="113" t="str">
        <f>_xlfn.XLOOKUP($C1793,'Cost Centers'!$A$2:$A$11,'Cost Centers'!$B$2:$B$11,"")</f>
        <v>Europe</v>
      </c>
      <c r="E1793" s="113" t="s">
        <v>109</v>
      </c>
      <c r="F1793" s="113" t="str">
        <f>_xlfn.XLOOKUP(E1793,'Allocated Transactions'!D:D,'Allocated Transactions'!E:E,"")</f>
        <v>Travel</v>
      </c>
      <c r="G1793" s="113" t="s">
        <v>97</v>
      </c>
      <c r="H1793" s="113"/>
      <c r="I1793" s="113" t="str">
        <f>_xlfn.XLOOKUP($C1793,'Cost Centers'!$A$2:$A$11,'Cost Centers'!$C$2:$C$11,"")</f>
        <v>Programs</v>
      </c>
      <c r="J1793" s="23">
        <f>MROUND(SUMIFS('Allocated Transactions'!$J:$J,'Allocated Transactions'!$D:$D,$E1793,'Allocated Transactions'!$C:$C,$C1793,'Allocated Transactions'!$A:$A,"&gt;="&amp;$A1793,'Allocated Transactions'!$A:$A,"&lt;="&amp;EOMONTH($A1793,0))*0.99,100)</f>
        <v>0</v>
      </c>
      <c r="K1793" s="113" t="s">
        <v>637</v>
      </c>
    </row>
    <row r="1794" spans="1:11" ht="15" customHeight="1">
      <c r="A1794" s="112">
        <f t="shared" si="116"/>
        <v>45931</v>
      </c>
      <c r="B1794" s="113">
        <v>9</v>
      </c>
      <c r="C1794" s="18" t="str">
        <f t="shared" si="118"/>
        <v>2040</v>
      </c>
      <c r="D1794" s="113" t="str">
        <f>_xlfn.XLOOKUP($C1794,'Cost Centers'!$A$2:$A$11,'Cost Centers'!$B$2:$B$11,"")</f>
        <v>Europe</v>
      </c>
      <c r="E1794" s="113" t="s">
        <v>111</v>
      </c>
      <c r="F1794" s="113" t="str">
        <f>_xlfn.XLOOKUP(E1794,'Allocated Transactions'!D:D,'Allocated Transactions'!E:E,"")</f>
        <v>Meals and Entertainment</v>
      </c>
      <c r="G1794" s="113" t="s">
        <v>97</v>
      </c>
      <c r="H1794" s="113"/>
      <c r="I1794" s="113" t="str">
        <f>_xlfn.XLOOKUP($C1794,'Cost Centers'!$A$2:$A$11,'Cost Centers'!$C$2:$C$11,"")</f>
        <v>Programs</v>
      </c>
      <c r="J1794" s="23">
        <f>MROUND(SUMIFS('Allocated Transactions'!$J:$J,'Allocated Transactions'!$D:$D,$E1794,'Allocated Transactions'!$C:$C,$C1794,'Allocated Transactions'!$A:$A,"&gt;="&amp;$A1794,'Allocated Transactions'!$A:$A,"&lt;="&amp;EOMONTH($A1794,0))*0.99,100)</f>
        <v>0</v>
      </c>
      <c r="K1794" s="113" t="s">
        <v>637</v>
      </c>
    </row>
    <row r="1795" spans="1:11" ht="15" customHeight="1">
      <c r="A1795" s="112">
        <f t="shared" si="116"/>
        <v>45931</v>
      </c>
      <c r="B1795" s="113">
        <v>9</v>
      </c>
      <c r="C1795" s="18" t="str">
        <f t="shared" si="118"/>
        <v>2040</v>
      </c>
      <c r="D1795" s="113" t="str">
        <f>_xlfn.XLOOKUP($C1795,'Cost Centers'!$A$2:$A$11,'Cost Centers'!$B$2:$B$11,"")</f>
        <v>Europe</v>
      </c>
      <c r="E1795" s="113" t="s">
        <v>113</v>
      </c>
      <c r="F1795" s="113" t="str">
        <f>_xlfn.XLOOKUP(E1795,'Allocated Transactions'!D:D,'Allocated Transactions'!E:E,"")</f>
        <v>Professional Fees - Legal</v>
      </c>
      <c r="G1795" s="113" t="s">
        <v>97</v>
      </c>
      <c r="H1795" s="113"/>
      <c r="I1795" s="113" t="str">
        <f>_xlfn.XLOOKUP($C1795,'Cost Centers'!$A$2:$A$11,'Cost Centers'!$C$2:$C$11,"")</f>
        <v>Programs</v>
      </c>
      <c r="J1795" s="23">
        <f>MROUND(SUMIFS('Allocated Transactions'!$J:$J,'Allocated Transactions'!$D:$D,$E1795,'Allocated Transactions'!$C:$C,$C1795,'Allocated Transactions'!$A:$A,"&gt;="&amp;$A1795,'Allocated Transactions'!$A:$A,"&lt;="&amp;EOMONTH($A1795,0))*0.99,100)</f>
        <v>0</v>
      </c>
      <c r="K1795" s="113" t="s">
        <v>637</v>
      </c>
    </row>
    <row r="1796" spans="1:11" ht="15" customHeight="1">
      <c r="A1796" s="112">
        <f t="shared" si="116"/>
        <v>45931</v>
      </c>
      <c r="B1796" s="113">
        <v>9</v>
      </c>
      <c r="C1796" s="18" t="str">
        <f t="shared" si="118"/>
        <v>2040</v>
      </c>
      <c r="D1796" s="113" t="str">
        <f>_xlfn.XLOOKUP($C1796,'Cost Centers'!$A$2:$A$11,'Cost Centers'!$B$2:$B$11,"")</f>
        <v>Europe</v>
      </c>
      <c r="E1796" s="113" t="s">
        <v>115</v>
      </c>
      <c r="F1796" s="113" t="str">
        <f>_xlfn.XLOOKUP(E1796,'Allocated Transactions'!D:D,'Allocated Transactions'!E:E,"")</f>
        <v>Professional Fees - Accounting/Audit</v>
      </c>
      <c r="G1796" s="113" t="s">
        <v>97</v>
      </c>
      <c r="H1796" s="113"/>
      <c r="I1796" s="113" t="str">
        <f>_xlfn.XLOOKUP($C1796,'Cost Centers'!$A$2:$A$11,'Cost Centers'!$C$2:$C$11,"")</f>
        <v>Programs</v>
      </c>
      <c r="J1796" s="23">
        <f>MROUND(SUMIFS('Allocated Transactions'!$J:$J,'Allocated Transactions'!$D:$D,$E1796,'Allocated Transactions'!$C:$C,$C1796,'Allocated Transactions'!$A:$A,"&gt;="&amp;$A1796,'Allocated Transactions'!$A:$A,"&lt;="&amp;EOMONTH($A1796,0))*0.99,100)</f>
        <v>0</v>
      </c>
      <c r="K1796" s="113" t="s">
        <v>637</v>
      </c>
    </row>
    <row r="1797" spans="1:11" ht="15" customHeight="1">
      <c r="A1797" s="112">
        <f t="shared" si="116"/>
        <v>45931</v>
      </c>
      <c r="B1797" s="113">
        <v>9</v>
      </c>
      <c r="C1797" s="18" t="str">
        <f t="shared" si="118"/>
        <v>2040</v>
      </c>
      <c r="D1797" s="113" t="str">
        <f>_xlfn.XLOOKUP($C1797,'Cost Centers'!$A$2:$A$11,'Cost Centers'!$B$2:$B$11,"")</f>
        <v>Europe</v>
      </c>
      <c r="E1797" s="113" t="s">
        <v>117</v>
      </c>
      <c r="F1797" s="113" t="str">
        <f>_xlfn.XLOOKUP(E1797,'Allocated Transactions'!D:D,'Allocated Transactions'!E:E,"")</f>
        <v>Insurance</v>
      </c>
      <c r="G1797" s="113" t="s">
        <v>97</v>
      </c>
      <c r="H1797" s="113"/>
      <c r="I1797" s="113" t="str">
        <f>_xlfn.XLOOKUP($C1797,'Cost Centers'!$A$2:$A$11,'Cost Centers'!$C$2:$C$11,"")</f>
        <v>Programs</v>
      </c>
      <c r="J1797" s="23">
        <f>MROUND(SUMIFS('Allocated Transactions'!$J:$J,'Allocated Transactions'!$D:$D,$E1797,'Allocated Transactions'!$C:$C,$C1797,'Allocated Transactions'!$A:$A,"&gt;="&amp;$A1797,'Allocated Transactions'!$A:$A,"&lt;="&amp;EOMONTH($A1797,0))*0.99,100)</f>
        <v>100</v>
      </c>
      <c r="K1797" s="113" t="s">
        <v>637</v>
      </c>
    </row>
    <row r="1798" spans="1:11" ht="15" customHeight="1">
      <c r="A1798" s="112">
        <f t="shared" si="116"/>
        <v>45931</v>
      </c>
      <c r="B1798" s="113">
        <v>9</v>
      </c>
      <c r="C1798" s="18" t="str">
        <f t="shared" si="118"/>
        <v>2040</v>
      </c>
      <c r="D1798" s="113" t="str">
        <f>_xlfn.XLOOKUP($C1798,'Cost Centers'!$A$2:$A$11,'Cost Centers'!$B$2:$B$11,"")</f>
        <v>Europe</v>
      </c>
      <c r="E1798" s="113" t="s">
        <v>119</v>
      </c>
      <c r="F1798" s="113" t="str">
        <f>_xlfn.XLOOKUP(E1798,'Allocated Transactions'!D:D,'Allocated Transactions'!E:E,"")</f>
        <v>Depreciation Expense</v>
      </c>
      <c r="G1798" s="113" t="s">
        <v>97</v>
      </c>
      <c r="H1798" s="113"/>
      <c r="I1798" s="113" t="str">
        <f>_xlfn.XLOOKUP($C1798,'Cost Centers'!$A$2:$A$11,'Cost Centers'!$C$2:$C$11,"")</f>
        <v>Programs</v>
      </c>
      <c r="J1798" s="23">
        <f>MROUND(SUMIFS('Allocated Transactions'!$J:$J,'Allocated Transactions'!$D:$D,$E1798,'Allocated Transactions'!$C:$C,$C1798,'Allocated Transactions'!$A:$A,"&gt;="&amp;$A1798,'Allocated Transactions'!$A:$A,"&lt;="&amp;EOMONTH($A1798,0))*0.99,100)</f>
        <v>0</v>
      </c>
      <c r="K1798" s="113" t="s">
        <v>637</v>
      </c>
    </row>
    <row r="1799" spans="1:11" ht="15" customHeight="1">
      <c r="A1799" s="112">
        <f t="shared" si="116"/>
        <v>45931</v>
      </c>
      <c r="B1799" s="113">
        <v>9</v>
      </c>
      <c r="C1799" s="18" t="str">
        <f t="shared" si="118"/>
        <v>2040</v>
      </c>
      <c r="D1799" s="113" t="str">
        <f>_xlfn.XLOOKUP($C1799,'Cost Centers'!$A$2:$A$11,'Cost Centers'!$B$2:$B$11,"")</f>
        <v>Europe</v>
      </c>
      <c r="E1799" s="113" t="s">
        <v>121</v>
      </c>
      <c r="F1799" s="113" t="str">
        <f>_xlfn.XLOOKUP(E1799,'Allocated Transactions'!D:D,'Allocated Transactions'!E:E,"")</f>
        <v>Bank Fees</v>
      </c>
      <c r="G1799" s="113" t="s">
        <v>97</v>
      </c>
      <c r="H1799" s="113"/>
      <c r="I1799" s="113" t="str">
        <f>_xlfn.XLOOKUP($C1799,'Cost Centers'!$A$2:$A$11,'Cost Centers'!$C$2:$C$11,"")</f>
        <v>Programs</v>
      </c>
      <c r="J1799" s="23">
        <f>MROUND(SUMIFS('Allocated Transactions'!$J:$J,'Allocated Transactions'!$D:$D,$E1799,'Allocated Transactions'!$C:$C,$C1799,'Allocated Transactions'!$A:$A,"&gt;="&amp;$A1799,'Allocated Transactions'!$A:$A,"&lt;="&amp;EOMONTH($A1799,0))*0.99,100)</f>
        <v>0</v>
      </c>
      <c r="K1799" s="113" t="s">
        <v>637</v>
      </c>
    </row>
    <row r="1800" spans="1:11" ht="15" customHeight="1">
      <c r="A1800" s="112">
        <f t="shared" si="116"/>
        <v>45931</v>
      </c>
      <c r="B1800" s="113">
        <v>9</v>
      </c>
      <c r="C1800" s="18" t="str">
        <f t="shared" si="118"/>
        <v>2040</v>
      </c>
      <c r="D1800" s="113" t="str">
        <f>_xlfn.XLOOKUP($C1800,'Cost Centers'!$A$2:$A$11,'Cost Centers'!$B$2:$B$11,"")</f>
        <v>Europe</v>
      </c>
      <c r="E1800" s="113" t="s">
        <v>123</v>
      </c>
      <c r="F1800" s="113" t="str">
        <f>_xlfn.XLOOKUP(E1800,'Allocated Transactions'!D:D,'Allocated Transactions'!E:E,"")</f>
        <v>Interest Expense</v>
      </c>
      <c r="G1800" s="113" t="s">
        <v>97</v>
      </c>
      <c r="H1800" s="113"/>
      <c r="I1800" s="113" t="str">
        <f>_xlfn.XLOOKUP($C1800,'Cost Centers'!$A$2:$A$11,'Cost Centers'!$C$2:$C$11,"")</f>
        <v>Programs</v>
      </c>
      <c r="J1800" s="23">
        <f>MROUND(SUMIFS('Allocated Transactions'!$J:$J,'Allocated Transactions'!$D:$D,$E1800,'Allocated Transactions'!$C:$C,$C1800,'Allocated Transactions'!$A:$A,"&gt;="&amp;$A1800,'Allocated Transactions'!$A:$A,"&lt;="&amp;EOMONTH($A1800,0))*0.99,100)</f>
        <v>0</v>
      </c>
      <c r="K1800" s="113" t="s">
        <v>637</v>
      </c>
    </row>
    <row r="1801" spans="1:11" ht="15" customHeight="1">
      <c r="A1801" s="112">
        <f t="shared" si="116"/>
        <v>45931</v>
      </c>
      <c r="B1801" s="113">
        <v>9</v>
      </c>
      <c r="C1801" s="18" t="str">
        <f t="shared" si="118"/>
        <v>2040</v>
      </c>
      <c r="D1801" s="113" t="str">
        <f>_xlfn.XLOOKUP($C1801,'Cost Centers'!$A$2:$A$11,'Cost Centers'!$B$2:$B$11,"")</f>
        <v>Europe</v>
      </c>
      <c r="E1801" s="113" t="s">
        <v>125</v>
      </c>
      <c r="F1801" s="113" t="str">
        <f>_xlfn.XLOOKUP(E1801,'Allocated Transactions'!D:D,'Allocated Transactions'!E:E,"")</f>
        <v>Miscellaneous Expense</v>
      </c>
      <c r="G1801" s="113" t="s">
        <v>97</v>
      </c>
      <c r="H1801" s="113"/>
      <c r="I1801" s="113" t="str">
        <f>_xlfn.XLOOKUP($C1801,'Cost Centers'!$A$2:$A$11,'Cost Centers'!$C$2:$C$11,"")</f>
        <v>Programs</v>
      </c>
      <c r="J1801" s="23">
        <f>MROUND(SUMIFS('Allocated Transactions'!$J:$J,'Allocated Transactions'!$D:$D,$E1801,'Allocated Transactions'!$C:$C,$C1801,'Allocated Transactions'!$A:$A,"&gt;="&amp;$A1801,'Allocated Transactions'!$A:$A,"&lt;="&amp;EOMONTH($A1801,0))*0.99,100)</f>
        <v>0</v>
      </c>
      <c r="K1801" s="113" t="s">
        <v>637</v>
      </c>
    </row>
    <row r="1802" spans="1:11" ht="15" customHeight="1">
      <c r="A1802" s="112">
        <f t="shared" si="116"/>
        <v>45962</v>
      </c>
      <c r="B1802" s="113">
        <v>9</v>
      </c>
      <c r="C1802" s="18" t="s">
        <v>18</v>
      </c>
      <c r="D1802" s="113" t="str">
        <f>_xlfn.XLOOKUP($C1802,'Cost Centers'!$A$2:$A$11,'Cost Centers'!$B$2:$B$11,"")</f>
        <v>Europe</v>
      </c>
      <c r="E1802" s="113" t="s">
        <v>28</v>
      </c>
      <c r="F1802" s="113" t="str">
        <f>_xlfn.XLOOKUP(E1802,'Allocated Transactions'!D:D,'Allocated Transactions'!E:E,"")</f>
        <v>Salaries and Wages</v>
      </c>
      <c r="G1802" s="113" t="s">
        <v>97</v>
      </c>
      <c r="H1802" s="113"/>
      <c r="I1802" s="113" t="str">
        <f>_xlfn.XLOOKUP($C1802,'Cost Centers'!$A$2:$A$11,'Cost Centers'!$C$2:$C$11,"")</f>
        <v>Programs</v>
      </c>
      <c r="J1802" s="23">
        <f>MROUND(SUMIFS('Allocated Transactions'!$J:$J,'Allocated Transactions'!$D:$D,$E1802,'Allocated Transactions'!$C:$C,$C1802,'Allocated Transactions'!$A:$A,"&gt;="&amp;$A1802,'Allocated Transactions'!$A:$A,"&lt;="&amp;EOMONTH($A1802,0))*0.99,100)</f>
        <v>19000</v>
      </c>
      <c r="K1802" s="113" t="s">
        <v>637</v>
      </c>
    </row>
    <row r="1803" spans="1:11" ht="15" customHeight="1">
      <c r="A1803" s="112">
        <f t="shared" si="116"/>
        <v>45962</v>
      </c>
      <c r="B1803" s="113">
        <v>9</v>
      </c>
      <c r="C1803" s="18" t="str">
        <f t="shared" ref="C1803:C1819" si="119">C1802</f>
        <v>2040</v>
      </c>
      <c r="D1803" s="113" t="str">
        <f>_xlfn.XLOOKUP($C1803,'Cost Centers'!$A$2:$A$11,'Cost Centers'!$B$2:$B$11,"")</f>
        <v>Europe</v>
      </c>
      <c r="E1803" s="113" t="s">
        <v>29</v>
      </c>
      <c r="F1803" s="113" t="str">
        <f>_xlfn.XLOOKUP(E1803,'Allocated Transactions'!D:D,'Allocated Transactions'!E:E,"")</f>
        <v>Payroll Taxes</v>
      </c>
      <c r="G1803" s="113" t="s">
        <v>97</v>
      </c>
      <c r="H1803" s="113"/>
      <c r="I1803" s="113" t="str">
        <f>_xlfn.XLOOKUP($C1803,'Cost Centers'!$A$2:$A$11,'Cost Centers'!$C$2:$C$11,"")</f>
        <v>Programs</v>
      </c>
      <c r="J1803" s="23">
        <f>MROUND(SUMIFS('Allocated Transactions'!$J:$J,'Allocated Transactions'!$D:$D,$E1803,'Allocated Transactions'!$C:$C,$C1803,'Allocated Transactions'!$A:$A,"&gt;="&amp;$A1803,'Allocated Transactions'!$A:$A,"&lt;="&amp;EOMONTH($A1803,0))*0.99,100)</f>
        <v>1500</v>
      </c>
      <c r="K1803" s="113" t="s">
        <v>637</v>
      </c>
    </row>
    <row r="1804" spans="1:11" ht="15" customHeight="1">
      <c r="A1804" s="112">
        <f t="shared" si="116"/>
        <v>45962</v>
      </c>
      <c r="B1804" s="113">
        <v>9</v>
      </c>
      <c r="C1804" s="18" t="str">
        <f t="shared" si="119"/>
        <v>2040</v>
      </c>
      <c r="D1804" s="113" t="str">
        <f>_xlfn.XLOOKUP($C1804,'Cost Centers'!$A$2:$A$11,'Cost Centers'!$B$2:$B$11,"")</f>
        <v>Europe</v>
      </c>
      <c r="E1804" s="113" t="s">
        <v>30</v>
      </c>
      <c r="F1804" s="113" t="str">
        <f>_xlfn.XLOOKUP(E1804,'Allocated Transactions'!D:D,'Allocated Transactions'!E:E,"")</f>
        <v>Employee Benefits</v>
      </c>
      <c r="G1804" s="113" t="s">
        <v>97</v>
      </c>
      <c r="H1804" s="113"/>
      <c r="I1804" s="113" t="str">
        <f>_xlfn.XLOOKUP($C1804,'Cost Centers'!$A$2:$A$11,'Cost Centers'!$C$2:$C$11,"")</f>
        <v>Programs</v>
      </c>
      <c r="J1804" s="23">
        <f>MROUND(SUMIFS('Allocated Transactions'!$J:$J,'Allocated Transactions'!$D:$D,$E1804,'Allocated Transactions'!$C:$C,$C1804,'Allocated Transactions'!$A:$A,"&gt;="&amp;$A1804,'Allocated Transactions'!$A:$A,"&lt;="&amp;EOMONTH($A1804,0))*0.99,100)</f>
        <v>7700</v>
      </c>
      <c r="K1804" s="113" t="s">
        <v>637</v>
      </c>
    </row>
    <row r="1805" spans="1:11" ht="15" customHeight="1">
      <c r="A1805" s="112">
        <f t="shared" si="116"/>
        <v>45962</v>
      </c>
      <c r="B1805" s="113">
        <v>9</v>
      </c>
      <c r="C1805" s="18" t="str">
        <f t="shared" si="119"/>
        <v>2040</v>
      </c>
      <c r="D1805" s="113" t="str">
        <f>_xlfn.XLOOKUP($C1805,'Cost Centers'!$A$2:$A$11,'Cost Centers'!$B$2:$B$11,"")</f>
        <v>Europe</v>
      </c>
      <c r="E1805" s="113" t="s">
        <v>31</v>
      </c>
      <c r="F1805" s="113" t="str">
        <f>_xlfn.XLOOKUP(E1805,'Allocated Transactions'!D:D,'Allocated Transactions'!E:E,"")</f>
        <v>Retirement Contributions</v>
      </c>
      <c r="G1805" s="113" t="s">
        <v>97</v>
      </c>
      <c r="H1805" s="113"/>
      <c r="I1805" s="113" t="str">
        <f>_xlfn.XLOOKUP($C1805,'Cost Centers'!$A$2:$A$11,'Cost Centers'!$C$2:$C$11,"")</f>
        <v>Programs</v>
      </c>
      <c r="J1805" s="23">
        <f>MROUND(SUMIFS('Allocated Transactions'!$J:$J,'Allocated Transactions'!$D:$D,$E1805,'Allocated Transactions'!$C:$C,$C1805,'Allocated Transactions'!$A:$A,"&gt;="&amp;$A1805,'Allocated Transactions'!$A:$A,"&lt;="&amp;EOMONTH($A1805,0))*0.99,100)</f>
        <v>600</v>
      </c>
      <c r="K1805" s="113" t="s">
        <v>637</v>
      </c>
    </row>
    <row r="1806" spans="1:11" ht="15" customHeight="1">
      <c r="A1806" s="112">
        <f t="shared" si="116"/>
        <v>45962</v>
      </c>
      <c r="B1806" s="113">
        <v>9</v>
      </c>
      <c r="C1806" s="18" t="str">
        <f t="shared" si="119"/>
        <v>2040</v>
      </c>
      <c r="D1806" s="113" t="str">
        <f>_xlfn.XLOOKUP($C1806,'Cost Centers'!$A$2:$A$11,'Cost Centers'!$B$2:$B$11,"")</f>
        <v>Europe</v>
      </c>
      <c r="E1806" s="113" t="s">
        <v>101</v>
      </c>
      <c r="F1806" s="113" t="str">
        <f>_xlfn.XLOOKUP(E1806,'Allocated Transactions'!D:D,'Allocated Transactions'!E:E,"")</f>
        <v>Contract Labor / Consultants</v>
      </c>
      <c r="G1806" s="113" t="s">
        <v>97</v>
      </c>
      <c r="H1806" s="113"/>
      <c r="I1806" s="113" t="str">
        <f>_xlfn.XLOOKUP($C1806,'Cost Centers'!$A$2:$A$11,'Cost Centers'!$C$2:$C$11,"")</f>
        <v>Programs</v>
      </c>
      <c r="J1806" s="23">
        <f>MROUND(SUMIFS('Allocated Transactions'!$J:$J,'Allocated Transactions'!$D:$D,$E1806,'Allocated Transactions'!$C:$C,$C1806,'Allocated Transactions'!$A:$A,"&gt;="&amp;$A1806,'Allocated Transactions'!$A:$A,"&lt;="&amp;EOMONTH($A1806,0))*0.99,100)</f>
        <v>0</v>
      </c>
      <c r="K1806" s="113" t="s">
        <v>637</v>
      </c>
    </row>
    <row r="1807" spans="1:11" ht="15" customHeight="1">
      <c r="A1807" s="112">
        <f t="shared" si="116"/>
        <v>45962</v>
      </c>
      <c r="B1807" s="113">
        <v>9</v>
      </c>
      <c r="C1807" s="18" t="str">
        <f t="shared" si="119"/>
        <v>2040</v>
      </c>
      <c r="D1807" s="113" t="str">
        <f>_xlfn.XLOOKUP($C1807,'Cost Centers'!$A$2:$A$11,'Cost Centers'!$B$2:$B$11,"")</f>
        <v>Europe</v>
      </c>
      <c r="E1807" s="113" t="s">
        <v>32</v>
      </c>
      <c r="F1807" s="113" t="str">
        <f>_xlfn.XLOOKUP(E1807,'Allocated Transactions'!D:D,'Allocated Transactions'!E:E,"")</f>
        <v>Rent</v>
      </c>
      <c r="G1807" s="113" t="s">
        <v>97</v>
      </c>
      <c r="H1807" s="113"/>
      <c r="I1807" s="113" t="str">
        <f>_xlfn.XLOOKUP($C1807,'Cost Centers'!$A$2:$A$11,'Cost Centers'!$C$2:$C$11,"")</f>
        <v>Programs</v>
      </c>
      <c r="J1807" s="23">
        <f>MROUND(SUMIFS('Allocated Transactions'!$J:$J,'Allocated Transactions'!$D:$D,$E1807,'Allocated Transactions'!$C:$C,$C1807,'Allocated Transactions'!$A:$A,"&gt;="&amp;$A1807,'Allocated Transactions'!$A:$A,"&lt;="&amp;EOMONTH($A1807,0))*0.99,100)</f>
        <v>1500</v>
      </c>
      <c r="K1807" s="113" t="s">
        <v>637</v>
      </c>
    </row>
    <row r="1808" spans="1:11" ht="15" customHeight="1">
      <c r="A1808" s="112">
        <f t="shared" si="116"/>
        <v>45962</v>
      </c>
      <c r="B1808" s="113">
        <v>9</v>
      </c>
      <c r="C1808" s="18" t="str">
        <f t="shared" si="119"/>
        <v>2040</v>
      </c>
      <c r="D1808" s="113" t="str">
        <f>_xlfn.XLOOKUP($C1808,'Cost Centers'!$A$2:$A$11,'Cost Centers'!$B$2:$B$11,"")</f>
        <v>Europe</v>
      </c>
      <c r="E1808" s="113" t="s">
        <v>33</v>
      </c>
      <c r="F1808" s="113" t="str">
        <f>_xlfn.XLOOKUP(E1808,'Allocated Transactions'!D:D,'Allocated Transactions'!E:E,"")</f>
        <v>Utilities</v>
      </c>
      <c r="G1808" s="113" t="s">
        <v>97</v>
      </c>
      <c r="H1808" s="113"/>
      <c r="I1808" s="113" t="str">
        <f>_xlfn.XLOOKUP($C1808,'Cost Centers'!$A$2:$A$11,'Cost Centers'!$C$2:$C$11,"")</f>
        <v>Programs</v>
      </c>
      <c r="J1808" s="23">
        <f>MROUND(SUMIFS('Allocated Transactions'!$J:$J,'Allocated Transactions'!$D:$D,$E1808,'Allocated Transactions'!$C:$C,$C1808,'Allocated Transactions'!$A:$A,"&gt;="&amp;$A1808,'Allocated Transactions'!$A:$A,"&lt;="&amp;EOMONTH($A1808,0))*0.99,100)</f>
        <v>200</v>
      </c>
      <c r="K1808" s="113" t="s">
        <v>637</v>
      </c>
    </row>
    <row r="1809" spans="1:11" ht="15" customHeight="1">
      <c r="A1809" s="112">
        <f t="shared" si="116"/>
        <v>45962</v>
      </c>
      <c r="B1809" s="113">
        <v>9</v>
      </c>
      <c r="C1809" s="18" t="str">
        <f t="shared" si="119"/>
        <v>2040</v>
      </c>
      <c r="D1809" s="113" t="str">
        <f>_xlfn.XLOOKUP($C1809,'Cost Centers'!$A$2:$A$11,'Cost Centers'!$B$2:$B$11,"")</f>
        <v>Europe</v>
      </c>
      <c r="E1809" s="113" t="s">
        <v>105</v>
      </c>
      <c r="F1809" s="113" t="str">
        <f>_xlfn.XLOOKUP(E1809,'Allocated Transactions'!D:D,'Allocated Transactions'!E:E,"")</f>
        <v>Office Supplies</v>
      </c>
      <c r="G1809" s="113" t="s">
        <v>97</v>
      </c>
      <c r="H1809" s="113"/>
      <c r="I1809" s="113" t="str">
        <f>_xlfn.XLOOKUP($C1809,'Cost Centers'!$A$2:$A$11,'Cost Centers'!$C$2:$C$11,"")</f>
        <v>Programs</v>
      </c>
      <c r="J1809" s="23">
        <f>MROUND(SUMIFS('Allocated Transactions'!$J:$J,'Allocated Transactions'!$D:$D,$E1809,'Allocated Transactions'!$C:$C,$C1809,'Allocated Transactions'!$A:$A,"&gt;="&amp;$A1809,'Allocated Transactions'!$A:$A,"&lt;="&amp;EOMONTH($A1809,0))*0.99,100)</f>
        <v>0</v>
      </c>
      <c r="K1809" s="113" t="s">
        <v>637</v>
      </c>
    </row>
    <row r="1810" spans="1:11" ht="15" customHeight="1">
      <c r="A1810" s="112">
        <f t="shared" si="116"/>
        <v>45962</v>
      </c>
      <c r="B1810" s="113">
        <v>9</v>
      </c>
      <c r="C1810" s="18" t="str">
        <f t="shared" si="119"/>
        <v>2040</v>
      </c>
      <c r="D1810" s="113" t="str">
        <f>_xlfn.XLOOKUP($C1810,'Cost Centers'!$A$2:$A$11,'Cost Centers'!$B$2:$B$11,"")</f>
        <v>Europe</v>
      </c>
      <c r="E1810" s="113" t="s">
        <v>107</v>
      </c>
      <c r="F1810" s="113" t="str">
        <f>_xlfn.XLOOKUP(E1810,'Allocated Transactions'!D:D,'Allocated Transactions'!E:E,"")</f>
        <v>Software and Subscriptions</v>
      </c>
      <c r="G1810" s="113" t="s">
        <v>97</v>
      </c>
      <c r="H1810" s="113"/>
      <c r="I1810" s="113" t="str">
        <f>_xlfn.XLOOKUP($C1810,'Cost Centers'!$A$2:$A$11,'Cost Centers'!$C$2:$C$11,"")</f>
        <v>Programs</v>
      </c>
      <c r="J1810" s="23">
        <f>MROUND(SUMIFS('Allocated Transactions'!$J:$J,'Allocated Transactions'!$D:$D,$E1810,'Allocated Transactions'!$C:$C,$C1810,'Allocated Transactions'!$A:$A,"&gt;="&amp;$A1810,'Allocated Transactions'!$A:$A,"&lt;="&amp;EOMONTH($A1810,0))*0.99,100)</f>
        <v>0</v>
      </c>
      <c r="K1810" s="113" t="s">
        <v>637</v>
      </c>
    </row>
    <row r="1811" spans="1:11" ht="15" customHeight="1">
      <c r="A1811" s="112">
        <f t="shared" si="116"/>
        <v>45962</v>
      </c>
      <c r="B1811" s="113">
        <v>9</v>
      </c>
      <c r="C1811" s="18" t="str">
        <f t="shared" si="119"/>
        <v>2040</v>
      </c>
      <c r="D1811" s="113" t="str">
        <f>_xlfn.XLOOKUP($C1811,'Cost Centers'!$A$2:$A$11,'Cost Centers'!$B$2:$B$11,"")</f>
        <v>Europe</v>
      </c>
      <c r="E1811" s="113" t="s">
        <v>109</v>
      </c>
      <c r="F1811" s="113" t="str">
        <f>_xlfn.XLOOKUP(E1811,'Allocated Transactions'!D:D,'Allocated Transactions'!E:E,"")</f>
        <v>Travel</v>
      </c>
      <c r="G1811" s="113" t="s">
        <v>97</v>
      </c>
      <c r="H1811" s="113"/>
      <c r="I1811" s="113" t="str">
        <f>_xlfn.XLOOKUP($C1811,'Cost Centers'!$A$2:$A$11,'Cost Centers'!$C$2:$C$11,"")</f>
        <v>Programs</v>
      </c>
      <c r="J1811" s="23">
        <f>MROUND(SUMIFS('Allocated Transactions'!$J:$J,'Allocated Transactions'!$D:$D,$E1811,'Allocated Transactions'!$C:$C,$C1811,'Allocated Transactions'!$A:$A,"&gt;="&amp;$A1811,'Allocated Transactions'!$A:$A,"&lt;="&amp;EOMONTH($A1811,0))*0.99,100)</f>
        <v>600</v>
      </c>
      <c r="K1811" s="113" t="s">
        <v>637</v>
      </c>
    </row>
    <row r="1812" spans="1:11" ht="15" customHeight="1">
      <c r="A1812" s="112">
        <f t="shared" si="116"/>
        <v>45962</v>
      </c>
      <c r="B1812" s="113">
        <v>9</v>
      </c>
      <c r="C1812" s="18" t="str">
        <f t="shared" si="119"/>
        <v>2040</v>
      </c>
      <c r="D1812" s="113" t="str">
        <f>_xlfn.XLOOKUP($C1812,'Cost Centers'!$A$2:$A$11,'Cost Centers'!$B$2:$B$11,"")</f>
        <v>Europe</v>
      </c>
      <c r="E1812" s="113" t="s">
        <v>111</v>
      </c>
      <c r="F1812" s="113" t="str">
        <f>_xlfn.XLOOKUP(E1812,'Allocated Transactions'!D:D,'Allocated Transactions'!E:E,"")</f>
        <v>Meals and Entertainment</v>
      </c>
      <c r="G1812" s="113" t="s">
        <v>97</v>
      </c>
      <c r="H1812" s="113"/>
      <c r="I1812" s="113" t="str">
        <f>_xlfn.XLOOKUP($C1812,'Cost Centers'!$A$2:$A$11,'Cost Centers'!$C$2:$C$11,"")</f>
        <v>Programs</v>
      </c>
      <c r="J1812" s="23">
        <f>MROUND(SUMIFS('Allocated Transactions'!$J:$J,'Allocated Transactions'!$D:$D,$E1812,'Allocated Transactions'!$C:$C,$C1812,'Allocated Transactions'!$A:$A,"&gt;="&amp;$A1812,'Allocated Transactions'!$A:$A,"&lt;="&amp;EOMONTH($A1812,0))*0.99,100)</f>
        <v>0</v>
      </c>
      <c r="K1812" s="113" t="s">
        <v>637</v>
      </c>
    </row>
    <row r="1813" spans="1:11" ht="15" customHeight="1">
      <c r="A1813" s="112">
        <f t="shared" si="116"/>
        <v>45962</v>
      </c>
      <c r="B1813" s="113">
        <v>9</v>
      </c>
      <c r="C1813" s="18" t="str">
        <f t="shared" si="119"/>
        <v>2040</v>
      </c>
      <c r="D1813" s="113" t="str">
        <f>_xlfn.XLOOKUP($C1813,'Cost Centers'!$A$2:$A$11,'Cost Centers'!$B$2:$B$11,"")</f>
        <v>Europe</v>
      </c>
      <c r="E1813" s="113" t="s">
        <v>113</v>
      </c>
      <c r="F1813" s="113" t="str">
        <f>_xlfn.XLOOKUP(E1813,'Allocated Transactions'!D:D,'Allocated Transactions'!E:E,"")</f>
        <v>Professional Fees - Legal</v>
      </c>
      <c r="G1813" s="113" t="s">
        <v>97</v>
      </c>
      <c r="H1813" s="113"/>
      <c r="I1813" s="113" t="str">
        <f>_xlfn.XLOOKUP($C1813,'Cost Centers'!$A$2:$A$11,'Cost Centers'!$C$2:$C$11,"")</f>
        <v>Programs</v>
      </c>
      <c r="J1813" s="23">
        <f>MROUND(SUMIFS('Allocated Transactions'!$J:$J,'Allocated Transactions'!$D:$D,$E1813,'Allocated Transactions'!$C:$C,$C1813,'Allocated Transactions'!$A:$A,"&gt;="&amp;$A1813,'Allocated Transactions'!$A:$A,"&lt;="&amp;EOMONTH($A1813,0))*0.99,100)</f>
        <v>0</v>
      </c>
      <c r="K1813" s="113" t="s">
        <v>637</v>
      </c>
    </row>
    <row r="1814" spans="1:11" ht="15" customHeight="1">
      <c r="A1814" s="112">
        <f t="shared" si="116"/>
        <v>45962</v>
      </c>
      <c r="B1814" s="113">
        <v>9</v>
      </c>
      <c r="C1814" s="18" t="str">
        <f t="shared" si="119"/>
        <v>2040</v>
      </c>
      <c r="D1814" s="113" t="str">
        <f>_xlfn.XLOOKUP($C1814,'Cost Centers'!$A$2:$A$11,'Cost Centers'!$B$2:$B$11,"")</f>
        <v>Europe</v>
      </c>
      <c r="E1814" s="113" t="s">
        <v>115</v>
      </c>
      <c r="F1814" s="113" t="str">
        <f>_xlfn.XLOOKUP(E1814,'Allocated Transactions'!D:D,'Allocated Transactions'!E:E,"")</f>
        <v>Professional Fees - Accounting/Audit</v>
      </c>
      <c r="G1814" s="113" t="s">
        <v>97</v>
      </c>
      <c r="H1814" s="113"/>
      <c r="I1814" s="113" t="str">
        <f>_xlfn.XLOOKUP($C1814,'Cost Centers'!$A$2:$A$11,'Cost Centers'!$C$2:$C$11,"")</f>
        <v>Programs</v>
      </c>
      <c r="J1814" s="23">
        <f>MROUND(SUMIFS('Allocated Transactions'!$J:$J,'Allocated Transactions'!$D:$D,$E1814,'Allocated Transactions'!$C:$C,$C1814,'Allocated Transactions'!$A:$A,"&gt;="&amp;$A1814,'Allocated Transactions'!$A:$A,"&lt;="&amp;EOMONTH($A1814,0))*0.99,100)</f>
        <v>0</v>
      </c>
      <c r="K1814" s="113" t="s">
        <v>637</v>
      </c>
    </row>
    <row r="1815" spans="1:11" ht="15" customHeight="1">
      <c r="A1815" s="112">
        <f t="shared" si="116"/>
        <v>45962</v>
      </c>
      <c r="B1815" s="113">
        <v>9</v>
      </c>
      <c r="C1815" s="18" t="str">
        <f t="shared" si="119"/>
        <v>2040</v>
      </c>
      <c r="D1815" s="113" t="str">
        <f>_xlfn.XLOOKUP($C1815,'Cost Centers'!$A$2:$A$11,'Cost Centers'!$B$2:$B$11,"")</f>
        <v>Europe</v>
      </c>
      <c r="E1815" s="113" t="s">
        <v>117</v>
      </c>
      <c r="F1815" s="113" t="str">
        <f>_xlfn.XLOOKUP(E1815,'Allocated Transactions'!D:D,'Allocated Transactions'!E:E,"")</f>
        <v>Insurance</v>
      </c>
      <c r="G1815" s="113" t="s">
        <v>97</v>
      </c>
      <c r="H1815" s="113"/>
      <c r="I1815" s="113" t="str">
        <f>_xlfn.XLOOKUP($C1815,'Cost Centers'!$A$2:$A$11,'Cost Centers'!$C$2:$C$11,"")</f>
        <v>Programs</v>
      </c>
      <c r="J1815" s="23">
        <f>MROUND(SUMIFS('Allocated Transactions'!$J:$J,'Allocated Transactions'!$D:$D,$E1815,'Allocated Transactions'!$C:$C,$C1815,'Allocated Transactions'!$A:$A,"&gt;="&amp;$A1815,'Allocated Transactions'!$A:$A,"&lt;="&amp;EOMONTH($A1815,0))*0.99,100)</f>
        <v>100</v>
      </c>
      <c r="K1815" s="113" t="s">
        <v>637</v>
      </c>
    </row>
    <row r="1816" spans="1:11" ht="15" customHeight="1">
      <c r="A1816" s="112">
        <f t="shared" si="116"/>
        <v>45962</v>
      </c>
      <c r="B1816" s="113">
        <v>9</v>
      </c>
      <c r="C1816" s="18" t="str">
        <f t="shared" si="119"/>
        <v>2040</v>
      </c>
      <c r="D1816" s="113" t="str">
        <f>_xlfn.XLOOKUP($C1816,'Cost Centers'!$A$2:$A$11,'Cost Centers'!$B$2:$B$11,"")</f>
        <v>Europe</v>
      </c>
      <c r="E1816" s="113" t="s">
        <v>119</v>
      </c>
      <c r="F1816" s="113" t="str">
        <f>_xlfn.XLOOKUP(E1816,'Allocated Transactions'!D:D,'Allocated Transactions'!E:E,"")</f>
        <v>Depreciation Expense</v>
      </c>
      <c r="G1816" s="113" t="s">
        <v>97</v>
      </c>
      <c r="H1816" s="113"/>
      <c r="I1816" s="113" t="str">
        <f>_xlfn.XLOOKUP($C1816,'Cost Centers'!$A$2:$A$11,'Cost Centers'!$C$2:$C$11,"")</f>
        <v>Programs</v>
      </c>
      <c r="J1816" s="23">
        <f>MROUND(SUMIFS('Allocated Transactions'!$J:$J,'Allocated Transactions'!$D:$D,$E1816,'Allocated Transactions'!$C:$C,$C1816,'Allocated Transactions'!$A:$A,"&gt;="&amp;$A1816,'Allocated Transactions'!$A:$A,"&lt;="&amp;EOMONTH($A1816,0))*0.99,100)</f>
        <v>0</v>
      </c>
      <c r="K1816" s="113" t="s">
        <v>637</v>
      </c>
    </row>
    <row r="1817" spans="1:11" ht="15" customHeight="1">
      <c r="A1817" s="112">
        <f t="shared" ref="A1817:A1880" si="120">IF(C1817&lt;&gt;C1816,DATE(2025,7,1),IF(E1817="5000",EOMONTH(A1816,0)+1,A1816))</f>
        <v>45962</v>
      </c>
      <c r="B1817" s="113">
        <v>9</v>
      </c>
      <c r="C1817" s="18" t="str">
        <f t="shared" si="119"/>
        <v>2040</v>
      </c>
      <c r="D1817" s="113" t="str">
        <f>_xlfn.XLOOKUP($C1817,'Cost Centers'!$A$2:$A$11,'Cost Centers'!$B$2:$B$11,"")</f>
        <v>Europe</v>
      </c>
      <c r="E1817" s="113" t="s">
        <v>121</v>
      </c>
      <c r="F1817" s="113" t="str">
        <f>_xlfn.XLOOKUP(E1817,'Allocated Transactions'!D:D,'Allocated Transactions'!E:E,"")</f>
        <v>Bank Fees</v>
      </c>
      <c r="G1817" s="113" t="s">
        <v>97</v>
      </c>
      <c r="H1817" s="113"/>
      <c r="I1817" s="113" t="str">
        <f>_xlfn.XLOOKUP($C1817,'Cost Centers'!$A$2:$A$11,'Cost Centers'!$C$2:$C$11,"")</f>
        <v>Programs</v>
      </c>
      <c r="J1817" s="23">
        <f>MROUND(SUMIFS('Allocated Transactions'!$J:$J,'Allocated Transactions'!$D:$D,$E1817,'Allocated Transactions'!$C:$C,$C1817,'Allocated Transactions'!$A:$A,"&gt;="&amp;$A1817,'Allocated Transactions'!$A:$A,"&lt;="&amp;EOMONTH($A1817,0))*0.99,100)</f>
        <v>0</v>
      </c>
      <c r="K1817" s="113" t="s">
        <v>637</v>
      </c>
    </row>
    <row r="1818" spans="1:11" ht="15" customHeight="1">
      <c r="A1818" s="112">
        <f t="shared" si="120"/>
        <v>45962</v>
      </c>
      <c r="B1818" s="113">
        <v>9</v>
      </c>
      <c r="C1818" s="18" t="str">
        <f t="shared" si="119"/>
        <v>2040</v>
      </c>
      <c r="D1818" s="113" t="str">
        <f>_xlfn.XLOOKUP($C1818,'Cost Centers'!$A$2:$A$11,'Cost Centers'!$B$2:$B$11,"")</f>
        <v>Europe</v>
      </c>
      <c r="E1818" s="113" t="s">
        <v>123</v>
      </c>
      <c r="F1818" s="113" t="str">
        <f>_xlfn.XLOOKUP(E1818,'Allocated Transactions'!D:D,'Allocated Transactions'!E:E,"")</f>
        <v>Interest Expense</v>
      </c>
      <c r="G1818" s="113" t="s">
        <v>97</v>
      </c>
      <c r="H1818" s="113"/>
      <c r="I1818" s="113" t="str">
        <f>_xlfn.XLOOKUP($C1818,'Cost Centers'!$A$2:$A$11,'Cost Centers'!$C$2:$C$11,"")</f>
        <v>Programs</v>
      </c>
      <c r="J1818" s="23">
        <f>MROUND(SUMIFS('Allocated Transactions'!$J:$J,'Allocated Transactions'!$D:$D,$E1818,'Allocated Transactions'!$C:$C,$C1818,'Allocated Transactions'!$A:$A,"&gt;="&amp;$A1818,'Allocated Transactions'!$A:$A,"&lt;="&amp;EOMONTH($A1818,0))*0.99,100)</f>
        <v>0</v>
      </c>
      <c r="K1818" s="113" t="s">
        <v>637</v>
      </c>
    </row>
    <row r="1819" spans="1:11" ht="15" customHeight="1">
      <c r="A1819" s="112">
        <f t="shared" si="120"/>
        <v>45962</v>
      </c>
      <c r="B1819" s="113">
        <v>9</v>
      </c>
      <c r="C1819" s="18" t="str">
        <f t="shared" si="119"/>
        <v>2040</v>
      </c>
      <c r="D1819" s="113" t="str">
        <f>_xlfn.XLOOKUP($C1819,'Cost Centers'!$A$2:$A$11,'Cost Centers'!$B$2:$B$11,"")</f>
        <v>Europe</v>
      </c>
      <c r="E1819" s="113" t="s">
        <v>125</v>
      </c>
      <c r="F1819" s="113" t="str">
        <f>_xlfn.XLOOKUP(E1819,'Allocated Transactions'!D:D,'Allocated Transactions'!E:E,"")</f>
        <v>Miscellaneous Expense</v>
      </c>
      <c r="G1819" s="113" t="s">
        <v>97</v>
      </c>
      <c r="H1819" s="113"/>
      <c r="I1819" s="113" t="str">
        <f>_xlfn.XLOOKUP($C1819,'Cost Centers'!$A$2:$A$11,'Cost Centers'!$C$2:$C$11,"")</f>
        <v>Programs</v>
      </c>
      <c r="J1819" s="23">
        <f>MROUND(SUMIFS('Allocated Transactions'!$J:$J,'Allocated Transactions'!$D:$D,$E1819,'Allocated Transactions'!$C:$C,$C1819,'Allocated Transactions'!$A:$A,"&gt;="&amp;$A1819,'Allocated Transactions'!$A:$A,"&lt;="&amp;EOMONTH($A1819,0))*0.99,100)</f>
        <v>0</v>
      </c>
      <c r="K1819" s="113" t="s">
        <v>637</v>
      </c>
    </row>
    <row r="1820" spans="1:11" ht="15" customHeight="1">
      <c r="A1820" s="112">
        <f t="shared" si="120"/>
        <v>45992</v>
      </c>
      <c r="B1820" s="113">
        <v>9</v>
      </c>
      <c r="C1820" s="18" t="s">
        <v>18</v>
      </c>
      <c r="D1820" s="113" t="str">
        <f>_xlfn.XLOOKUP($C1820,'Cost Centers'!$A$2:$A$11,'Cost Centers'!$B$2:$B$11,"")</f>
        <v>Europe</v>
      </c>
      <c r="E1820" s="113" t="s">
        <v>28</v>
      </c>
      <c r="F1820" s="113" t="str">
        <f>_xlfn.XLOOKUP(E1820,'Allocated Transactions'!D:D,'Allocated Transactions'!E:E,"")</f>
        <v>Salaries and Wages</v>
      </c>
      <c r="G1820" s="113" t="s">
        <v>97</v>
      </c>
      <c r="H1820" s="113"/>
      <c r="I1820" s="113" t="str">
        <f>_xlfn.XLOOKUP($C1820,'Cost Centers'!$A$2:$A$11,'Cost Centers'!$C$2:$C$11,"")</f>
        <v>Programs</v>
      </c>
      <c r="J1820" s="23">
        <f>MROUND(SUMIFS('Allocated Transactions'!$J:$J,'Allocated Transactions'!$D:$D,$E1820,'Allocated Transactions'!$C:$C,$C1820,'Allocated Transactions'!$A:$A,"&gt;="&amp;$A1820,'Allocated Transactions'!$A:$A,"&lt;="&amp;EOMONTH($A1820,0))*0.99,100)</f>
        <v>19300</v>
      </c>
      <c r="K1820" s="113" t="s">
        <v>637</v>
      </c>
    </row>
    <row r="1821" spans="1:11" ht="15" customHeight="1">
      <c r="A1821" s="112">
        <f t="shared" si="120"/>
        <v>45992</v>
      </c>
      <c r="B1821" s="113">
        <v>9</v>
      </c>
      <c r="C1821" s="18" t="str">
        <f t="shared" ref="C1821:C1837" si="121">C1820</f>
        <v>2040</v>
      </c>
      <c r="D1821" s="113" t="str">
        <f>_xlfn.XLOOKUP($C1821,'Cost Centers'!$A$2:$A$11,'Cost Centers'!$B$2:$B$11,"")</f>
        <v>Europe</v>
      </c>
      <c r="E1821" s="113" t="s">
        <v>29</v>
      </c>
      <c r="F1821" s="113" t="str">
        <f>_xlfn.XLOOKUP(E1821,'Allocated Transactions'!D:D,'Allocated Transactions'!E:E,"")</f>
        <v>Payroll Taxes</v>
      </c>
      <c r="G1821" s="113" t="s">
        <v>97</v>
      </c>
      <c r="H1821" s="113"/>
      <c r="I1821" s="113" t="str">
        <f>_xlfn.XLOOKUP($C1821,'Cost Centers'!$A$2:$A$11,'Cost Centers'!$C$2:$C$11,"")</f>
        <v>Programs</v>
      </c>
      <c r="J1821" s="23">
        <f>MROUND(SUMIFS('Allocated Transactions'!$J:$J,'Allocated Transactions'!$D:$D,$E1821,'Allocated Transactions'!$C:$C,$C1821,'Allocated Transactions'!$A:$A,"&gt;="&amp;$A1821,'Allocated Transactions'!$A:$A,"&lt;="&amp;EOMONTH($A1821,0))*0.99,100)</f>
        <v>1500</v>
      </c>
      <c r="K1821" s="113" t="s">
        <v>637</v>
      </c>
    </row>
    <row r="1822" spans="1:11" ht="15" customHeight="1">
      <c r="A1822" s="112">
        <f t="shared" si="120"/>
        <v>45992</v>
      </c>
      <c r="B1822" s="113">
        <v>9</v>
      </c>
      <c r="C1822" s="18" t="str">
        <f t="shared" si="121"/>
        <v>2040</v>
      </c>
      <c r="D1822" s="113" t="str">
        <f>_xlfn.XLOOKUP($C1822,'Cost Centers'!$A$2:$A$11,'Cost Centers'!$B$2:$B$11,"")</f>
        <v>Europe</v>
      </c>
      <c r="E1822" s="113" t="s">
        <v>30</v>
      </c>
      <c r="F1822" s="113" t="str">
        <f>_xlfn.XLOOKUP(E1822,'Allocated Transactions'!D:D,'Allocated Transactions'!E:E,"")</f>
        <v>Employee Benefits</v>
      </c>
      <c r="G1822" s="113" t="s">
        <v>97</v>
      </c>
      <c r="H1822" s="113"/>
      <c r="I1822" s="113" t="str">
        <f>_xlfn.XLOOKUP($C1822,'Cost Centers'!$A$2:$A$11,'Cost Centers'!$C$2:$C$11,"")</f>
        <v>Programs</v>
      </c>
      <c r="J1822" s="23">
        <f>MROUND(SUMIFS('Allocated Transactions'!$J:$J,'Allocated Transactions'!$D:$D,$E1822,'Allocated Transactions'!$C:$C,$C1822,'Allocated Transactions'!$A:$A,"&gt;="&amp;$A1822,'Allocated Transactions'!$A:$A,"&lt;="&amp;EOMONTH($A1822,0))*0.99,100)</f>
        <v>7000</v>
      </c>
      <c r="K1822" s="113" t="s">
        <v>637</v>
      </c>
    </row>
    <row r="1823" spans="1:11" ht="15" customHeight="1">
      <c r="A1823" s="112">
        <f t="shared" si="120"/>
        <v>45992</v>
      </c>
      <c r="B1823" s="113">
        <v>9</v>
      </c>
      <c r="C1823" s="18" t="str">
        <f t="shared" si="121"/>
        <v>2040</v>
      </c>
      <c r="D1823" s="113" t="str">
        <f>_xlfn.XLOOKUP($C1823,'Cost Centers'!$A$2:$A$11,'Cost Centers'!$B$2:$B$11,"")</f>
        <v>Europe</v>
      </c>
      <c r="E1823" s="113" t="s">
        <v>31</v>
      </c>
      <c r="F1823" s="113" t="str">
        <f>_xlfn.XLOOKUP(E1823,'Allocated Transactions'!D:D,'Allocated Transactions'!E:E,"")</f>
        <v>Retirement Contributions</v>
      </c>
      <c r="G1823" s="113" t="s">
        <v>97</v>
      </c>
      <c r="H1823" s="113"/>
      <c r="I1823" s="113" t="str">
        <f>_xlfn.XLOOKUP($C1823,'Cost Centers'!$A$2:$A$11,'Cost Centers'!$C$2:$C$11,"")</f>
        <v>Programs</v>
      </c>
      <c r="J1823" s="23">
        <f>MROUND(SUMIFS('Allocated Transactions'!$J:$J,'Allocated Transactions'!$D:$D,$E1823,'Allocated Transactions'!$C:$C,$C1823,'Allocated Transactions'!$A:$A,"&gt;="&amp;$A1823,'Allocated Transactions'!$A:$A,"&lt;="&amp;EOMONTH($A1823,0))*0.99,100)</f>
        <v>600</v>
      </c>
      <c r="K1823" s="113" t="s">
        <v>637</v>
      </c>
    </row>
    <row r="1824" spans="1:11" ht="15" customHeight="1">
      <c r="A1824" s="112">
        <f t="shared" si="120"/>
        <v>45992</v>
      </c>
      <c r="B1824" s="113">
        <v>9</v>
      </c>
      <c r="C1824" s="18" t="str">
        <f t="shared" si="121"/>
        <v>2040</v>
      </c>
      <c r="D1824" s="113" t="str">
        <f>_xlfn.XLOOKUP($C1824,'Cost Centers'!$A$2:$A$11,'Cost Centers'!$B$2:$B$11,"")</f>
        <v>Europe</v>
      </c>
      <c r="E1824" s="113" t="s">
        <v>101</v>
      </c>
      <c r="F1824" s="113" t="str">
        <f>_xlfn.XLOOKUP(E1824,'Allocated Transactions'!D:D,'Allocated Transactions'!E:E,"")</f>
        <v>Contract Labor / Consultants</v>
      </c>
      <c r="G1824" s="113" t="s">
        <v>97</v>
      </c>
      <c r="H1824" s="113"/>
      <c r="I1824" s="113" t="str">
        <f>_xlfn.XLOOKUP($C1824,'Cost Centers'!$A$2:$A$11,'Cost Centers'!$C$2:$C$11,"")</f>
        <v>Programs</v>
      </c>
      <c r="J1824" s="23">
        <f>MROUND(SUMIFS('Allocated Transactions'!$J:$J,'Allocated Transactions'!$D:$D,$E1824,'Allocated Transactions'!$C:$C,$C1824,'Allocated Transactions'!$A:$A,"&gt;="&amp;$A1824,'Allocated Transactions'!$A:$A,"&lt;="&amp;EOMONTH($A1824,0))*0.99,100)</f>
        <v>11000</v>
      </c>
      <c r="K1824" s="113" t="s">
        <v>637</v>
      </c>
    </row>
    <row r="1825" spans="1:11" ht="15" customHeight="1">
      <c r="A1825" s="112">
        <f t="shared" si="120"/>
        <v>45992</v>
      </c>
      <c r="B1825" s="113">
        <v>9</v>
      </c>
      <c r="C1825" s="18" t="str">
        <f t="shared" si="121"/>
        <v>2040</v>
      </c>
      <c r="D1825" s="113" t="str">
        <f>_xlfn.XLOOKUP($C1825,'Cost Centers'!$A$2:$A$11,'Cost Centers'!$B$2:$B$11,"")</f>
        <v>Europe</v>
      </c>
      <c r="E1825" s="113" t="s">
        <v>32</v>
      </c>
      <c r="F1825" s="113" t="str">
        <f>_xlfn.XLOOKUP(E1825,'Allocated Transactions'!D:D,'Allocated Transactions'!E:E,"")</f>
        <v>Rent</v>
      </c>
      <c r="G1825" s="113" t="s">
        <v>97</v>
      </c>
      <c r="H1825" s="113"/>
      <c r="I1825" s="113" t="str">
        <f>_xlfn.XLOOKUP($C1825,'Cost Centers'!$A$2:$A$11,'Cost Centers'!$C$2:$C$11,"")</f>
        <v>Programs</v>
      </c>
      <c r="J1825" s="23">
        <f>MROUND(SUMIFS('Allocated Transactions'!$J:$J,'Allocated Transactions'!$D:$D,$E1825,'Allocated Transactions'!$C:$C,$C1825,'Allocated Transactions'!$A:$A,"&gt;="&amp;$A1825,'Allocated Transactions'!$A:$A,"&lt;="&amp;EOMONTH($A1825,0))*0.99,100)</f>
        <v>1500</v>
      </c>
      <c r="K1825" s="113" t="s">
        <v>637</v>
      </c>
    </row>
    <row r="1826" spans="1:11" ht="15" customHeight="1">
      <c r="A1826" s="112">
        <f t="shared" si="120"/>
        <v>45992</v>
      </c>
      <c r="B1826" s="113">
        <v>9</v>
      </c>
      <c r="C1826" s="18" t="str">
        <f t="shared" si="121"/>
        <v>2040</v>
      </c>
      <c r="D1826" s="113" t="str">
        <f>_xlfn.XLOOKUP($C1826,'Cost Centers'!$A$2:$A$11,'Cost Centers'!$B$2:$B$11,"")</f>
        <v>Europe</v>
      </c>
      <c r="E1826" s="113" t="s">
        <v>33</v>
      </c>
      <c r="F1826" s="113" t="str">
        <f>_xlfn.XLOOKUP(E1826,'Allocated Transactions'!D:D,'Allocated Transactions'!E:E,"")</f>
        <v>Utilities</v>
      </c>
      <c r="G1826" s="113" t="s">
        <v>97</v>
      </c>
      <c r="H1826" s="113"/>
      <c r="I1826" s="113" t="str">
        <f>_xlfn.XLOOKUP($C1826,'Cost Centers'!$A$2:$A$11,'Cost Centers'!$C$2:$C$11,"")</f>
        <v>Programs</v>
      </c>
      <c r="J1826" s="23">
        <f>MROUND(SUMIFS('Allocated Transactions'!$J:$J,'Allocated Transactions'!$D:$D,$E1826,'Allocated Transactions'!$C:$C,$C1826,'Allocated Transactions'!$A:$A,"&gt;="&amp;$A1826,'Allocated Transactions'!$A:$A,"&lt;="&amp;EOMONTH($A1826,0))*0.99,100)</f>
        <v>200</v>
      </c>
      <c r="K1826" s="113" t="s">
        <v>637</v>
      </c>
    </row>
    <row r="1827" spans="1:11" ht="15" customHeight="1">
      <c r="A1827" s="112">
        <f t="shared" si="120"/>
        <v>45992</v>
      </c>
      <c r="B1827" s="113">
        <v>9</v>
      </c>
      <c r="C1827" s="18" t="str">
        <f t="shared" si="121"/>
        <v>2040</v>
      </c>
      <c r="D1827" s="113" t="str">
        <f>_xlfn.XLOOKUP($C1827,'Cost Centers'!$A$2:$A$11,'Cost Centers'!$B$2:$B$11,"")</f>
        <v>Europe</v>
      </c>
      <c r="E1827" s="113" t="s">
        <v>105</v>
      </c>
      <c r="F1827" s="113" t="str">
        <f>_xlfn.XLOOKUP(E1827,'Allocated Transactions'!D:D,'Allocated Transactions'!E:E,"")</f>
        <v>Office Supplies</v>
      </c>
      <c r="G1827" s="113" t="s">
        <v>97</v>
      </c>
      <c r="H1827" s="113"/>
      <c r="I1827" s="113" t="str">
        <f>_xlfn.XLOOKUP($C1827,'Cost Centers'!$A$2:$A$11,'Cost Centers'!$C$2:$C$11,"")</f>
        <v>Programs</v>
      </c>
      <c r="J1827" s="23">
        <f>MROUND(SUMIFS('Allocated Transactions'!$J:$J,'Allocated Transactions'!$D:$D,$E1827,'Allocated Transactions'!$C:$C,$C1827,'Allocated Transactions'!$A:$A,"&gt;="&amp;$A1827,'Allocated Transactions'!$A:$A,"&lt;="&amp;EOMONTH($A1827,0))*0.99,100)</f>
        <v>0</v>
      </c>
      <c r="K1827" s="113" t="s">
        <v>637</v>
      </c>
    </row>
    <row r="1828" spans="1:11" ht="15" customHeight="1">
      <c r="A1828" s="112">
        <f t="shared" si="120"/>
        <v>45992</v>
      </c>
      <c r="B1828" s="113">
        <v>9</v>
      </c>
      <c r="C1828" s="18" t="str">
        <f t="shared" si="121"/>
        <v>2040</v>
      </c>
      <c r="D1828" s="113" t="str">
        <f>_xlfn.XLOOKUP($C1828,'Cost Centers'!$A$2:$A$11,'Cost Centers'!$B$2:$B$11,"")</f>
        <v>Europe</v>
      </c>
      <c r="E1828" s="113" t="s">
        <v>107</v>
      </c>
      <c r="F1828" s="113" t="str">
        <f>_xlfn.XLOOKUP(E1828,'Allocated Transactions'!D:D,'Allocated Transactions'!E:E,"")</f>
        <v>Software and Subscriptions</v>
      </c>
      <c r="G1828" s="113" t="s">
        <v>97</v>
      </c>
      <c r="H1828" s="113"/>
      <c r="I1828" s="113" t="str">
        <f>_xlfn.XLOOKUP($C1828,'Cost Centers'!$A$2:$A$11,'Cost Centers'!$C$2:$C$11,"")</f>
        <v>Programs</v>
      </c>
      <c r="J1828" s="23">
        <f>MROUND(SUMIFS('Allocated Transactions'!$J:$J,'Allocated Transactions'!$D:$D,$E1828,'Allocated Transactions'!$C:$C,$C1828,'Allocated Transactions'!$A:$A,"&gt;="&amp;$A1828,'Allocated Transactions'!$A:$A,"&lt;="&amp;EOMONTH($A1828,0))*0.99,100)</f>
        <v>0</v>
      </c>
      <c r="K1828" s="113" t="s">
        <v>637</v>
      </c>
    </row>
    <row r="1829" spans="1:11" ht="15" customHeight="1">
      <c r="A1829" s="112">
        <f t="shared" si="120"/>
        <v>45992</v>
      </c>
      <c r="B1829" s="113">
        <v>9</v>
      </c>
      <c r="C1829" s="18" t="str">
        <f t="shared" si="121"/>
        <v>2040</v>
      </c>
      <c r="D1829" s="113" t="str">
        <f>_xlfn.XLOOKUP($C1829,'Cost Centers'!$A$2:$A$11,'Cost Centers'!$B$2:$B$11,"")</f>
        <v>Europe</v>
      </c>
      <c r="E1829" s="113" t="s">
        <v>109</v>
      </c>
      <c r="F1829" s="113" t="str">
        <f>_xlfn.XLOOKUP(E1829,'Allocated Transactions'!D:D,'Allocated Transactions'!E:E,"")</f>
        <v>Travel</v>
      </c>
      <c r="G1829" s="113" t="s">
        <v>97</v>
      </c>
      <c r="H1829" s="113"/>
      <c r="I1829" s="113" t="str">
        <f>_xlfn.XLOOKUP($C1829,'Cost Centers'!$A$2:$A$11,'Cost Centers'!$C$2:$C$11,"")</f>
        <v>Programs</v>
      </c>
      <c r="J1829" s="23">
        <f>MROUND(SUMIFS('Allocated Transactions'!$J:$J,'Allocated Transactions'!$D:$D,$E1829,'Allocated Transactions'!$C:$C,$C1829,'Allocated Transactions'!$A:$A,"&gt;="&amp;$A1829,'Allocated Transactions'!$A:$A,"&lt;="&amp;EOMONTH($A1829,0))*0.99,100)</f>
        <v>0</v>
      </c>
      <c r="K1829" s="113" t="s">
        <v>637</v>
      </c>
    </row>
    <row r="1830" spans="1:11" ht="15" customHeight="1">
      <c r="A1830" s="112">
        <f t="shared" si="120"/>
        <v>45992</v>
      </c>
      <c r="B1830" s="113">
        <v>9</v>
      </c>
      <c r="C1830" s="18" t="str">
        <f t="shared" si="121"/>
        <v>2040</v>
      </c>
      <c r="D1830" s="113" t="str">
        <f>_xlfn.XLOOKUP($C1830,'Cost Centers'!$A$2:$A$11,'Cost Centers'!$B$2:$B$11,"")</f>
        <v>Europe</v>
      </c>
      <c r="E1830" s="113" t="s">
        <v>111</v>
      </c>
      <c r="F1830" s="113" t="str">
        <f>_xlfn.XLOOKUP(E1830,'Allocated Transactions'!D:D,'Allocated Transactions'!E:E,"")</f>
        <v>Meals and Entertainment</v>
      </c>
      <c r="G1830" s="113" t="s">
        <v>97</v>
      </c>
      <c r="H1830" s="113"/>
      <c r="I1830" s="113" t="str">
        <f>_xlfn.XLOOKUP($C1830,'Cost Centers'!$A$2:$A$11,'Cost Centers'!$C$2:$C$11,"")</f>
        <v>Programs</v>
      </c>
      <c r="J1830" s="23">
        <f>MROUND(SUMIFS('Allocated Transactions'!$J:$J,'Allocated Transactions'!$D:$D,$E1830,'Allocated Transactions'!$C:$C,$C1830,'Allocated Transactions'!$A:$A,"&gt;="&amp;$A1830,'Allocated Transactions'!$A:$A,"&lt;="&amp;EOMONTH($A1830,0))*0.99,100)</f>
        <v>0</v>
      </c>
      <c r="K1830" s="113" t="s">
        <v>637</v>
      </c>
    </row>
    <row r="1831" spans="1:11" ht="15" customHeight="1">
      <c r="A1831" s="112">
        <f t="shared" si="120"/>
        <v>45992</v>
      </c>
      <c r="B1831" s="113">
        <v>9</v>
      </c>
      <c r="C1831" s="18" t="str">
        <f t="shared" si="121"/>
        <v>2040</v>
      </c>
      <c r="D1831" s="113" t="str">
        <f>_xlfn.XLOOKUP($C1831,'Cost Centers'!$A$2:$A$11,'Cost Centers'!$B$2:$B$11,"")</f>
        <v>Europe</v>
      </c>
      <c r="E1831" s="113" t="s">
        <v>113</v>
      </c>
      <c r="F1831" s="113" t="str">
        <f>_xlfn.XLOOKUP(E1831,'Allocated Transactions'!D:D,'Allocated Transactions'!E:E,"")</f>
        <v>Professional Fees - Legal</v>
      </c>
      <c r="G1831" s="113" t="s">
        <v>97</v>
      </c>
      <c r="H1831" s="113"/>
      <c r="I1831" s="113" t="str">
        <f>_xlfn.XLOOKUP($C1831,'Cost Centers'!$A$2:$A$11,'Cost Centers'!$C$2:$C$11,"")</f>
        <v>Programs</v>
      </c>
      <c r="J1831" s="23">
        <f>MROUND(SUMIFS('Allocated Transactions'!$J:$J,'Allocated Transactions'!$D:$D,$E1831,'Allocated Transactions'!$C:$C,$C1831,'Allocated Transactions'!$A:$A,"&gt;="&amp;$A1831,'Allocated Transactions'!$A:$A,"&lt;="&amp;EOMONTH($A1831,0))*0.99,100)</f>
        <v>0</v>
      </c>
      <c r="K1831" s="113" t="s">
        <v>637</v>
      </c>
    </row>
    <row r="1832" spans="1:11" ht="15" customHeight="1">
      <c r="A1832" s="112">
        <f t="shared" si="120"/>
        <v>45992</v>
      </c>
      <c r="B1832" s="113">
        <v>9</v>
      </c>
      <c r="C1832" s="18" t="str">
        <f t="shared" si="121"/>
        <v>2040</v>
      </c>
      <c r="D1832" s="113" t="str">
        <f>_xlfn.XLOOKUP($C1832,'Cost Centers'!$A$2:$A$11,'Cost Centers'!$B$2:$B$11,"")</f>
        <v>Europe</v>
      </c>
      <c r="E1832" s="113" t="s">
        <v>115</v>
      </c>
      <c r="F1832" s="113" t="str">
        <f>_xlfn.XLOOKUP(E1832,'Allocated Transactions'!D:D,'Allocated Transactions'!E:E,"")</f>
        <v>Professional Fees - Accounting/Audit</v>
      </c>
      <c r="G1832" s="113" t="s">
        <v>97</v>
      </c>
      <c r="H1832" s="113"/>
      <c r="I1832" s="113" t="str">
        <f>_xlfn.XLOOKUP($C1832,'Cost Centers'!$A$2:$A$11,'Cost Centers'!$C$2:$C$11,"")</f>
        <v>Programs</v>
      </c>
      <c r="J1832" s="23">
        <f>MROUND(SUMIFS('Allocated Transactions'!$J:$J,'Allocated Transactions'!$D:$D,$E1832,'Allocated Transactions'!$C:$C,$C1832,'Allocated Transactions'!$A:$A,"&gt;="&amp;$A1832,'Allocated Transactions'!$A:$A,"&lt;="&amp;EOMONTH($A1832,0))*0.99,100)</f>
        <v>0</v>
      </c>
      <c r="K1832" s="113" t="s">
        <v>637</v>
      </c>
    </row>
    <row r="1833" spans="1:11" ht="15" customHeight="1">
      <c r="A1833" s="112">
        <f t="shared" si="120"/>
        <v>45992</v>
      </c>
      <c r="B1833" s="113">
        <v>9</v>
      </c>
      <c r="C1833" s="18" t="str">
        <f t="shared" si="121"/>
        <v>2040</v>
      </c>
      <c r="D1833" s="113" t="str">
        <f>_xlfn.XLOOKUP($C1833,'Cost Centers'!$A$2:$A$11,'Cost Centers'!$B$2:$B$11,"")</f>
        <v>Europe</v>
      </c>
      <c r="E1833" s="113" t="s">
        <v>117</v>
      </c>
      <c r="F1833" s="113" t="str">
        <f>_xlfn.XLOOKUP(E1833,'Allocated Transactions'!D:D,'Allocated Transactions'!E:E,"")</f>
        <v>Insurance</v>
      </c>
      <c r="G1833" s="113" t="s">
        <v>97</v>
      </c>
      <c r="H1833" s="113"/>
      <c r="I1833" s="113" t="str">
        <f>_xlfn.XLOOKUP($C1833,'Cost Centers'!$A$2:$A$11,'Cost Centers'!$C$2:$C$11,"")</f>
        <v>Programs</v>
      </c>
      <c r="J1833" s="23">
        <f>MROUND(SUMIFS('Allocated Transactions'!$J:$J,'Allocated Transactions'!$D:$D,$E1833,'Allocated Transactions'!$C:$C,$C1833,'Allocated Transactions'!$A:$A,"&gt;="&amp;$A1833,'Allocated Transactions'!$A:$A,"&lt;="&amp;EOMONTH($A1833,0))*0.99,100)</f>
        <v>100</v>
      </c>
      <c r="K1833" s="113" t="s">
        <v>637</v>
      </c>
    </row>
    <row r="1834" spans="1:11" ht="15" customHeight="1">
      <c r="A1834" s="112">
        <f t="shared" si="120"/>
        <v>45992</v>
      </c>
      <c r="B1834" s="113">
        <v>9</v>
      </c>
      <c r="C1834" s="18" t="str">
        <f t="shared" si="121"/>
        <v>2040</v>
      </c>
      <c r="D1834" s="113" t="str">
        <f>_xlfn.XLOOKUP($C1834,'Cost Centers'!$A$2:$A$11,'Cost Centers'!$B$2:$B$11,"")</f>
        <v>Europe</v>
      </c>
      <c r="E1834" s="113" t="s">
        <v>119</v>
      </c>
      <c r="F1834" s="113" t="str">
        <f>_xlfn.XLOOKUP(E1834,'Allocated Transactions'!D:D,'Allocated Transactions'!E:E,"")</f>
        <v>Depreciation Expense</v>
      </c>
      <c r="G1834" s="113" t="s">
        <v>97</v>
      </c>
      <c r="H1834" s="113"/>
      <c r="I1834" s="113" t="str">
        <f>_xlfn.XLOOKUP($C1834,'Cost Centers'!$A$2:$A$11,'Cost Centers'!$C$2:$C$11,"")</f>
        <v>Programs</v>
      </c>
      <c r="J1834" s="23">
        <f>MROUND(SUMIFS('Allocated Transactions'!$J:$J,'Allocated Transactions'!$D:$D,$E1834,'Allocated Transactions'!$C:$C,$C1834,'Allocated Transactions'!$A:$A,"&gt;="&amp;$A1834,'Allocated Transactions'!$A:$A,"&lt;="&amp;EOMONTH($A1834,0))*0.99,100)</f>
        <v>0</v>
      </c>
      <c r="K1834" s="113" t="s">
        <v>637</v>
      </c>
    </row>
    <row r="1835" spans="1:11" ht="15" customHeight="1">
      <c r="A1835" s="112">
        <f t="shared" si="120"/>
        <v>45992</v>
      </c>
      <c r="B1835" s="113">
        <v>9</v>
      </c>
      <c r="C1835" s="18" t="str">
        <f t="shared" si="121"/>
        <v>2040</v>
      </c>
      <c r="D1835" s="113" t="str">
        <f>_xlfn.XLOOKUP($C1835,'Cost Centers'!$A$2:$A$11,'Cost Centers'!$B$2:$B$11,"")</f>
        <v>Europe</v>
      </c>
      <c r="E1835" s="113" t="s">
        <v>121</v>
      </c>
      <c r="F1835" s="113" t="str">
        <f>_xlfn.XLOOKUP(E1835,'Allocated Transactions'!D:D,'Allocated Transactions'!E:E,"")</f>
        <v>Bank Fees</v>
      </c>
      <c r="G1835" s="113" t="s">
        <v>97</v>
      </c>
      <c r="H1835" s="113"/>
      <c r="I1835" s="113" t="str">
        <f>_xlfn.XLOOKUP($C1835,'Cost Centers'!$A$2:$A$11,'Cost Centers'!$C$2:$C$11,"")</f>
        <v>Programs</v>
      </c>
      <c r="J1835" s="23">
        <f>MROUND(SUMIFS('Allocated Transactions'!$J:$J,'Allocated Transactions'!$D:$D,$E1835,'Allocated Transactions'!$C:$C,$C1835,'Allocated Transactions'!$A:$A,"&gt;="&amp;$A1835,'Allocated Transactions'!$A:$A,"&lt;="&amp;EOMONTH($A1835,0))*0.99,100)</f>
        <v>0</v>
      </c>
      <c r="K1835" s="113" t="s">
        <v>637</v>
      </c>
    </row>
    <row r="1836" spans="1:11" ht="15" customHeight="1">
      <c r="A1836" s="112">
        <f t="shared" si="120"/>
        <v>45992</v>
      </c>
      <c r="B1836" s="113">
        <v>9</v>
      </c>
      <c r="C1836" s="18" t="str">
        <f t="shared" si="121"/>
        <v>2040</v>
      </c>
      <c r="D1836" s="113" t="str">
        <f>_xlfn.XLOOKUP($C1836,'Cost Centers'!$A$2:$A$11,'Cost Centers'!$B$2:$B$11,"")</f>
        <v>Europe</v>
      </c>
      <c r="E1836" s="113" t="s">
        <v>123</v>
      </c>
      <c r="F1836" s="113" t="str">
        <f>_xlfn.XLOOKUP(E1836,'Allocated Transactions'!D:D,'Allocated Transactions'!E:E,"")</f>
        <v>Interest Expense</v>
      </c>
      <c r="G1836" s="113" t="s">
        <v>97</v>
      </c>
      <c r="H1836" s="113"/>
      <c r="I1836" s="113" t="str">
        <f>_xlfn.XLOOKUP($C1836,'Cost Centers'!$A$2:$A$11,'Cost Centers'!$C$2:$C$11,"")</f>
        <v>Programs</v>
      </c>
      <c r="J1836" s="23">
        <f>MROUND(SUMIFS('Allocated Transactions'!$J:$J,'Allocated Transactions'!$D:$D,$E1836,'Allocated Transactions'!$C:$C,$C1836,'Allocated Transactions'!$A:$A,"&gt;="&amp;$A1836,'Allocated Transactions'!$A:$A,"&lt;="&amp;EOMONTH($A1836,0))*0.99,100)</f>
        <v>0</v>
      </c>
      <c r="K1836" s="113" t="s">
        <v>637</v>
      </c>
    </row>
    <row r="1837" spans="1:11" ht="15" customHeight="1">
      <c r="A1837" s="112">
        <f t="shared" si="120"/>
        <v>45992</v>
      </c>
      <c r="B1837" s="113">
        <v>9</v>
      </c>
      <c r="C1837" s="18" t="str">
        <f t="shared" si="121"/>
        <v>2040</v>
      </c>
      <c r="D1837" s="113" t="str">
        <f>_xlfn.XLOOKUP($C1837,'Cost Centers'!$A$2:$A$11,'Cost Centers'!$B$2:$B$11,"")</f>
        <v>Europe</v>
      </c>
      <c r="E1837" s="113" t="s">
        <v>125</v>
      </c>
      <c r="F1837" s="113" t="str">
        <f>_xlfn.XLOOKUP(E1837,'Allocated Transactions'!D:D,'Allocated Transactions'!E:E,"")</f>
        <v>Miscellaneous Expense</v>
      </c>
      <c r="G1837" s="113" t="s">
        <v>97</v>
      </c>
      <c r="H1837" s="113"/>
      <c r="I1837" s="113" t="str">
        <f>_xlfn.XLOOKUP($C1837,'Cost Centers'!$A$2:$A$11,'Cost Centers'!$C$2:$C$11,"")</f>
        <v>Programs</v>
      </c>
      <c r="J1837" s="23">
        <f>MROUND(SUMIFS('Allocated Transactions'!$J:$J,'Allocated Transactions'!$D:$D,$E1837,'Allocated Transactions'!$C:$C,$C1837,'Allocated Transactions'!$A:$A,"&gt;="&amp;$A1837,'Allocated Transactions'!$A:$A,"&lt;="&amp;EOMONTH($A1837,0))*0.99,100)</f>
        <v>0</v>
      </c>
      <c r="K1837" s="113" t="s">
        <v>637</v>
      </c>
    </row>
    <row r="1838" spans="1:11" ht="15" customHeight="1">
      <c r="A1838" s="112">
        <f t="shared" si="120"/>
        <v>46023</v>
      </c>
      <c r="B1838" s="113">
        <v>9</v>
      </c>
      <c r="C1838" s="18" t="s">
        <v>18</v>
      </c>
      <c r="D1838" s="113" t="str">
        <f>_xlfn.XLOOKUP($C1838,'Cost Centers'!$A$2:$A$11,'Cost Centers'!$B$2:$B$11,"")</f>
        <v>Europe</v>
      </c>
      <c r="E1838" s="113" t="s">
        <v>28</v>
      </c>
      <c r="F1838" s="113" t="str">
        <f>_xlfn.XLOOKUP(E1838,'Allocated Transactions'!D:D,'Allocated Transactions'!E:E,"")</f>
        <v>Salaries and Wages</v>
      </c>
      <c r="G1838" s="113" t="s">
        <v>97</v>
      </c>
      <c r="H1838" s="113"/>
      <c r="I1838" s="113" t="str">
        <f>_xlfn.XLOOKUP($C1838,'Cost Centers'!$A$2:$A$11,'Cost Centers'!$C$2:$C$11,"")</f>
        <v>Programs</v>
      </c>
      <c r="J1838" s="23">
        <f>MROUND(SUMIFS('Allocated Transactions'!$J:$J,'Allocated Transactions'!$D:$D,$E1838,'Allocated Transactions'!$C:$C,$C1838,'Allocated Transactions'!$A:$A,"&gt;="&amp;$A1838,'Allocated Transactions'!$A:$A,"&lt;="&amp;EOMONTH($A1838,0))*0.99,100)</f>
        <v>14900</v>
      </c>
      <c r="K1838" s="113" t="s">
        <v>637</v>
      </c>
    </row>
    <row r="1839" spans="1:11" ht="15" customHeight="1">
      <c r="A1839" s="112">
        <f t="shared" si="120"/>
        <v>46023</v>
      </c>
      <c r="B1839" s="113">
        <v>9</v>
      </c>
      <c r="C1839" s="18" t="str">
        <f t="shared" ref="C1839:C1855" si="122">C1838</f>
        <v>2040</v>
      </c>
      <c r="D1839" s="113" t="str">
        <f>_xlfn.XLOOKUP($C1839,'Cost Centers'!$A$2:$A$11,'Cost Centers'!$B$2:$B$11,"")</f>
        <v>Europe</v>
      </c>
      <c r="E1839" s="113" t="s">
        <v>29</v>
      </c>
      <c r="F1839" s="113" t="str">
        <f>_xlfn.XLOOKUP(E1839,'Allocated Transactions'!D:D,'Allocated Transactions'!E:E,"")</f>
        <v>Payroll Taxes</v>
      </c>
      <c r="G1839" s="113" t="s">
        <v>97</v>
      </c>
      <c r="H1839" s="113"/>
      <c r="I1839" s="113" t="str">
        <f>_xlfn.XLOOKUP($C1839,'Cost Centers'!$A$2:$A$11,'Cost Centers'!$C$2:$C$11,"")</f>
        <v>Programs</v>
      </c>
      <c r="J1839" s="23">
        <f>MROUND(SUMIFS('Allocated Transactions'!$J:$J,'Allocated Transactions'!$D:$D,$E1839,'Allocated Transactions'!$C:$C,$C1839,'Allocated Transactions'!$A:$A,"&gt;="&amp;$A1839,'Allocated Transactions'!$A:$A,"&lt;="&amp;EOMONTH($A1839,0))*0.99,100)</f>
        <v>1100</v>
      </c>
      <c r="K1839" s="113" t="s">
        <v>637</v>
      </c>
    </row>
    <row r="1840" spans="1:11" ht="15" customHeight="1">
      <c r="A1840" s="112">
        <f t="shared" si="120"/>
        <v>46023</v>
      </c>
      <c r="B1840" s="113">
        <v>9</v>
      </c>
      <c r="C1840" s="18" t="str">
        <f t="shared" si="122"/>
        <v>2040</v>
      </c>
      <c r="D1840" s="113" t="str">
        <f>_xlfn.XLOOKUP($C1840,'Cost Centers'!$A$2:$A$11,'Cost Centers'!$B$2:$B$11,"")</f>
        <v>Europe</v>
      </c>
      <c r="E1840" s="113" t="s">
        <v>30</v>
      </c>
      <c r="F1840" s="113" t="str">
        <f>_xlfn.XLOOKUP(E1840,'Allocated Transactions'!D:D,'Allocated Transactions'!E:E,"")</f>
        <v>Employee Benefits</v>
      </c>
      <c r="G1840" s="113" t="s">
        <v>97</v>
      </c>
      <c r="H1840" s="113"/>
      <c r="I1840" s="113" t="str">
        <f>_xlfn.XLOOKUP($C1840,'Cost Centers'!$A$2:$A$11,'Cost Centers'!$C$2:$C$11,"")</f>
        <v>Programs</v>
      </c>
      <c r="J1840" s="23">
        <f>MROUND(SUMIFS('Allocated Transactions'!$J:$J,'Allocated Transactions'!$D:$D,$E1840,'Allocated Transactions'!$C:$C,$C1840,'Allocated Transactions'!$A:$A,"&gt;="&amp;$A1840,'Allocated Transactions'!$A:$A,"&lt;="&amp;EOMONTH($A1840,0))*0.99,100)</f>
        <v>5700</v>
      </c>
      <c r="K1840" s="113" t="s">
        <v>637</v>
      </c>
    </row>
    <row r="1841" spans="1:11" ht="15" customHeight="1">
      <c r="A1841" s="112">
        <f t="shared" si="120"/>
        <v>46023</v>
      </c>
      <c r="B1841" s="113">
        <v>9</v>
      </c>
      <c r="C1841" s="18" t="str">
        <f t="shared" si="122"/>
        <v>2040</v>
      </c>
      <c r="D1841" s="113" t="str">
        <f>_xlfn.XLOOKUP($C1841,'Cost Centers'!$A$2:$A$11,'Cost Centers'!$B$2:$B$11,"")</f>
        <v>Europe</v>
      </c>
      <c r="E1841" s="113" t="s">
        <v>31</v>
      </c>
      <c r="F1841" s="113" t="str">
        <f>_xlfn.XLOOKUP(E1841,'Allocated Transactions'!D:D,'Allocated Transactions'!E:E,"")</f>
        <v>Retirement Contributions</v>
      </c>
      <c r="G1841" s="113" t="s">
        <v>97</v>
      </c>
      <c r="H1841" s="113"/>
      <c r="I1841" s="113" t="str">
        <f>_xlfn.XLOOKUP($C1841,'Cost Centers'!$A$2:$A$11,'Cost Centers'!$C$2:$C$11,"")</f>
        <v>Programs</v>
      </c>
      <c r="J1841" s="23">
        <f>MROUND(SUMIFS('Allocated Transactions'!$J:$J,'Allocated Transactions'!$D:$D,$E1841,'Allocated Transactions'!$C:$C,$C1841,'Allocated Transactions'!$A:$A,"&gt;="&amp;$A1841,'Allocated Transactions'!$A:$A,"&lt;="&amp;EOMONTH($A1841,0))*0.99,100)</f>
        <v>400</v>
      </c>
      <c r="K1841" s="113" t="s">
        <v>637</v>
      </c>
    </row>
    <row r="1842" spans="1:11" ht="15" customHeight="1">
      <c r="A1842" s="112">
        <f t="shared" si="120"/>
        <v>46023</v>
      </c>
      <c r="B1842" s="113">
        <v>9</v>
      </c>
      <c r="C1842" s="18" t="str">
        <f t="shared" si="122"/>
        <v>2040</v>
      </c>
      <c r="D1842" s="113" t="str">
        <f>_xlfn.XLOOKUP($C1842,'Cost Centers'!$A$2:$A$11,'Cost Centers'!$B$2:$B$11,"")</f>
        <v>Europe</v>
      </c>
      <c r="E1842" s="113" t="s">
        <v>101</v>
      </c>
      <c r="F1842" s="113" t="str">
        <f>_xlfn.XLOOKUP(E1842,'Allocated Transactions'!D:D,'Allocated Transactions'!E:E,"")</f>
        <v>Contract Labor / Consultants</v>
      </c>
      <c r="G1842" s="113" t="s">
        <v>97</v>
      </c>
      <c r="H1842" s="113"/>
      <c r="I1842" s="113" t="str">
        <f>_xlfn.XLOOKUP($C1842,'Cost Centers'!$A$2:$A$11,'Cost Centers'!$C$2:$C$11,"")</f>
        <v>Programs</v>
      </c>
      <c r="J1842" s="23">
        <f>MROUND(SUMIFS('Allocated Transactions'!$J:$J,'Allocated Transactions'!$D:$D,$E1842,'Allocated Transactions'!$C:$C,$C1842,'Allocated Transactions'!$A:$A,"&gt;="&amp;$A1842,'Allocated Transactions'!$A:$A,"&lt;="&amp;EOMONTH($A1842,0))*0.99,100)</f>
        <v>0</v>
      </c>
      <c r="K1842" s="113" t="s">
        <v>637</v>
      </c>
    </row>
    <row r="1843" spans="1:11" ht="15" customHeight="1">
      <c r="A1843" s="112">
        <f t="shared" si="120"/>
        <v>46023</v>
      </c>
      <c r="B1843" s="113">
        <v>9</v>
      </c>
      <c r="C1843" s="18" t="str">
        <f t="shared" si="122"/>
        <v>2040</v>
      </c>
      <c r="D1843" s="113" t="str">
        <f>_xlfn.XLOOKUP($C1843,'Cost Centers'!$A$2:$A$11,'Cost Centers'!$B$2:$B$11,"")</f>
        <v>Europe</v>
      </c>
      <c r="E1843" s="113" t="s">
        <v>32</v>
      </c>
      <c r="F1843" s="113" t="str">
        <f>_xlfn.XLOOKUP(E1843,'Allocated Transactions'!D:D,'Allocated Transactions'!E:E,"")</f>
        <v>Rent</v>
      </c>
      <c r="G1843" s="113" t="s">
        <v>97</v>
      </c>
      <c r="H1843" s="113"/>
      <c r="I1843" s="113" t="str">
        <f>_xlfn.XLOOKUP($C1843,'Cost Centers'!$A$2:$A$11,'Cost Centers'!$C$2:$C$11,"")</f>
        <v>Programs</v>
      </c>
      <c r="J1843" s="23">
        <f>MROUND(SUMIFS('Allocated Transactions'!$J:$J,'Allocated Transactions'!$D:$D,$E1843,'Allocated Transactions'!$C:$C,$C1843,'Allocated Transactions'!$A:$A,"&gt;="&amp;$A1843,'Allocated Transactions'!$A:$A,"&lt;="&amp;EOMONTH($A1843,0))*0.99,100)</f>
        <v>1200</v>
      </c>
      <c r="K1843" s="113" t="s">
        <v>637</v>
      </c>
    </row>
    <row r="1844" spans="1:11" ht="15" customHeight="1">
      <c r="A1844" s="112">
        <f t="shared" si="120"/>
        <v>46023</v>
      </c>
      <c r="B1844" s="113">
        <v>9</v>
      </c>
      <c r="C1844" s="18" t="str">
        <f t="shared" si="122"/>
        <v>2040</v>
      </c>
      <c r="D1844" s="113" t="str">
        <f>_xlfn.XLOOKUP($C1844,'Cost Centers'!$A$2:$A$11,'Cost Centers'!$B$2:$B$11,"")</f>
        <v>Europe</v>
      </c>
      <c r="E1844" s="113" t="s">
        <v>33</v>
      </c>
      <c r="F1844" s="113" t="str">
        <f>_xlfn.XLOOKUP(E1844,'Allocated Transactions'!D:D,'Allocated Transactions'!E:E,"")</f>
        <v>Utilities</v>
      </c>
      <c r="G1844" s="113" t="s">
        <v>97</v>
      </c>
      <c r="H1844" s="113"/>
      <c r="I1844" s="113" t="str">
        <f>_xlfn.XLOOKUP($C1844,'Cost Centers'!$A$2:$A$11,'Cost Centers'!$C$2:$C$11,"")</f>
        <v>Programs</v>
      </c>
      <c r="J1844" s="23">
        <f>MROUND(SUMIFS('Allocated Transactions'!$J:$J,'Allocated Transactions'!$D:$D,$E1844,'Allocated Transactions'!$C:$C,$C1844,'Allocated Transactions'!$A:$A,"&gt;="&amp;$A1844,'Allocated Transactions'!$A:$A,"&lt;="&amp;EOMONTH($A1844,0))*0.99,100)</f>
        <v>200</v>
      </c>
      <c r="K1844" s="113" t="s">
        <v>637</v>
      </c>
    </row>
    <row r="1845" spans="1:11" ht="15" customHeight="1">
      <c r="A1845" s="112">
        <f t="shared" si="120"/>
        <v>46023</v>
      </c>
      <c r="B1845" s="113">
        <v>9</v>
      </c>
      <c r="C1845" s="18" t="str">
        <f t="shared" si="122"/>
        <v>2040</v>
      </c>
      <c r="D1845" s="113" t="str">
        <f>_xlfn.XLOOKUP($C1845,'Cost Centers'!$A$2:$A$11,'Cost Centers'!$B$2:$B$11,"")</f>
        <v>Europe</v>
      </c>
      <c r="E1845" s="113" t="s">
        <v>105</v>
      </c>
      <c r="F1845" s="113" t="str">
        <f>_xlfn.XLOOKUP(E1845,'Allocated Transactions'!D:D,'Allocated Transactions'!E:E,"")</f>
        <v>Office Supplies</v>
      </c>
      <c r="G1845" s="113" t="s">
        <v>97</v>
      </c>
      <c r="H1845" s="113"/>
      <c r="I1845" s="113" t="str">
        <f>_xlfn.XLOOKUP($C1845,'Cost Centers'!$A$2:$A$11,'Cost Centers'!$C$2:$C$11,"")</f>
        <v>Programs</v>
      </c>
      <c r="J1845" s="23">
        <f>MROUND(SUMIFS('Allocated Transactions'!$J:$J,'Allocated Transactions'!$D:$D,$E1845,'Allocated Transactions'!$C:$C,$C1845,'Allocated Transactions'!$A:$A,"&gt;="&amp;$A1845,'Allocated Transactions'!$A:$A,"&lt;="&amp;EOMONTH($A1845,0))*0.99,100)</f>
        <v>0</v>
      </c>
      <c r="K1845" s="113" t="s">
        <v>637</v>
      </c>
    </row>
    <row r="1846" spans="1:11" ht="15" customHeight="1">
      <c r="A1846" s="112">
        <f t="shared" si="120"/>
        <v>46023</v>
      </c>
      <c r="B1846" s="113">
        <v>9</v>
      </c>
      <c r="C1846" s="18" t="str">
        <f t="shared" si="122"/>
        <v>2040</v>
      </c>
      <c r="D1846" s="113" t="str">
        <f>_xlfn.XLOOKUP($C1846,'Cost Centers'!$A$2:$A$11,'Cost Centers'!$B$2:$B$11,"")</f>
        <v>Europe</v>
      </c>
      <c r="E1846" s="113" t="s">
        <v>107</v>
      </c>
      <c r="F1846" s="113" t="str">
        <f>_xlfn.XLOOKUP(E1846,'Allocated Transactions'!D:D,'Allocated Transactions'!E:E,"")</f>
        <v>Software and Subscriptions</v>
      </c>
      <c r="G1846" s="113" t="s">
        <v>97</v>
      </c>
      <c r="H1846" s="113"/>
      <c r="I1846" s="113" t="str">
        <f>_xlfn.XLOOKUP($C1846,'Cost Centers'!$A$2:$A$11,'Cost Centers'!$C$2:$C$11,"")</f>
        <v>Programs</v>
      </c>
      <c r="J1846" s="23">
        <f>MROUND(SUMIFS('Allocated Transactions'!$J:$J,'Allocated Transactions'!$D:$D,$E1846,'Allocated Transactions'!$C:$C,$C1846,'Allocated Transactions'!$A:$A,"&gt;="&amp;$A1846,'Allocated Transactions'!$A:$A,"&lt;="&amp;EOMONTH($A1846,0))*0.99,100)</f>
        <v>0</v>
      </c>
      <c r="K1846" s="113" t="s">
        <v>637</v>
      </c>
    </row>
    <row r="1847" spans="1:11" ht="15" customHeight="1">
      <c r="A1847" s="112">
        <f t="shared" si="120"/>
        <v>46023</v>
      </c>
      <c r="B1847" s="113">
        <v>9</v>
      </c>
      <c r="C1847" s="18" t="str">
        <f t="shared" si="122"/>
        <v>2040</v>
      </c>
      <c r="D1847" s="113" t="str">
        <f>_xlfn.XLOOKUP($C1847,'Cost Centers'!$A$2:$A$11,'Cost Centers'!$B$2:$B$11,"")</f>
        <v>Europe</v>
      </c>
      <c r="E1847" s="113" t="s">
        <v>109</v>
      </c>
      <c r="F1847" s="113" t="str">
        <f>_xlfn.XLOOKUP(E1847,'Allocated Transactions'!D:D,'Allocated Transactions'!E:E,"")</f>
        <v>Travel</v>
      </c>
      <c r="G1847" s="113" t="s">
        <v>97</v>
      </c>
      <c r="H1847" s="113"/>
      <c r="I1847" s="113" t="str">
        <f>_xlfn.XLOOKUP($C1847,'Cost Centers'!$A$2:$A$11,'Cost Centers'!$C$2:$C$11,"")</f>
        <v>Programs</v>
      </c>
      <c r="J1847" s="23">
        <f>MROUND(SUMIFS('Allocated Transactions'!$J:$J,'Allocated Transactions'!$D:$D,$E1847,'Allocated Transactions'!$C:$C,$C1847,'Allocated Transactions'!$A:$A,"&gt;="&amp;$A1847,'Allocated Transactions'!$A:$A,"&lt;="&amp;EOMONTH($A1847,0))*0.99,100)</f>
        <v>0</v>
      </c>
      <c r="K1847" s="113" t="s">
        <v>637</v>
      </c>
    </row>
    <row r="1848" spans="1:11" ht="15" customHeight="1">
      <c r="A1848" s="112">
        <f t="shared" si="120"/>
        <v>46023</v>
      </c>
      <c r="B1848" s="113">
        <v>9</v>
      </c>
      <c r="C1848" s="18" t="str">
        <f t="shared" si="122"/>
        <v>2040</v>
      </c>
      <c r="D1848" s="113" t="str">
        <f>_xlfn.XLOOKUP($C1848,'Cost Centers'!$A$2:$A$11,'Cost Centers'!$B$2:$B$11,"")</f>
        <v>Europe</v>
      </c>
      <c r="E1848" s="113" t="s">
        <v>111</v>
      </c>
      <c r="F1848" s="113" t="str">
        <f>_xlfn.XLOOKUP(E1848,'Allocated Transactions'!D:D,'Allocated Transactions'!E:E,"")</f>
        <v>Meals and Entertainment</v>
      </c>
      <c r="G1848" s="113" t="s">
        <v>97</v>
      </c>
      <c r="H1848" s="113"/>
      <c r="I1848" s="113" t="str">
        <f>_xlfn.XLOOKUP($C1848,'Cost Centers'!$A$2:$A$11,'Cost Centers'!$C$2:$C$11,"")</f>
        <v>Programs</v>
      </c>
      <c r="J1848" s="23">
        <f>MROUND(SUMIFS('Allocated Transactions'!$J:$J,'Allocated Transactions'!$D:$D,$E1848,'Allocated Transactions'!$C:$C,$C1848,'Allocated Transactions'!$A:$A,"&gt;="&amp;$A1848,'Allocated Transactions'!$A:$A,"&lt;="&amp;EOMONTH($A1848,0))*0.99,100)</f>
        <v>0</v>
      </c>
      <c r="K1848" s="113" t="s">
        <v>637</v>
      </c>
    </row>
    <row r="1849" spans="1:11" ht="15" customHeight="1">
      <c r="A1849" s="112">
        <f t="shared" si="120"/>
        <v>46023</v>
      </c>
      <c r="B1849" s="113">
        <v>9</v>
      </c>
      <c r="C1849" s="18" t="str">
        <f t="shared" si="122"/>
        <v>2040</v>
      </c>
      <c r="D1849" s="113" t="str">
        <f>_xlfn.XLOOKUP($C1849,'Cost Centers'!$A$2:$A$11,'Cost Centers'!$B$2:$B$11,"")</f>
        <v>Europe</v>
      </c>
      <c r="E1849" s="113" t="s">
        <v>113</v>
      </c>
      <c r="F1849" s="113" t="str">
        <f>_xlfn.XLOOKUP(E1849,'Allocated Transactions'!D:D,'Allocated Transactions'!E:E,"")</f>
        <v>Professional Fees - Legal</v>
      </c>
      <c r="G1849" s="113" t="s">
        <v>97</v>
      </c>
      <c r="H1849" s="113"/>
      <c r="I1849" s="113" t="str">
        <f>_xlfn.XLOOKUP($C1849,'Cost Centers'!$A$2:$A$11,'Cost Centers'!$C$2:$C$11,"")</f>
        <v>Programs</v>
      </c>
      <c r="J1849" s="23">
        <f>MROUND(SUMIFS('Allocated Transactions'!$J:$J,'Allocated Transactions'!$D:$D,$E1849,'Allocated Transactions'!$C:$C,$C1849,'Allocated Transactions'!$A:$A,"&gt;="&amp;$A1849,'Allocated Transactions'!$A:$A,"&lt;="&amp;EOMONTH($A1849,0))*0.99,100)</f>
        <v>0</v>
      </c>
      <c r="K1849" s="113" t="s">
        <v>637</v>
      </c>
    </row>
    <row r="1850" spans="1:11" ht="15" customHeight="1">
      <c r="A1850" s="112">
        <f t="shared" si="120"/>
        <v>46023</v>
      </c>
      <c r="B1850" s="113">
        <v>9</v>
      </c>
      <c r="C1850" s="18" t="str">
        <f t="shared" si="122"/>
        <v>2040</v>
      </c>
      <c r="D1850" s="113" t="str">
        <f>_xlfn.XLOOKUP($C1850,'Cost Centers'!$A$2:$A$11,'Cost Centers'!$B$2:$B$11,"")</f>
        <v>Europe</v>
      </c>
      <c r="E1850" s="113" t="s">
        <v>115</v>
      </c>
      <c r="F1850" s="113" t="str">
        <f>_xlfn.XLOOKUP(E1850,'Allocated Transactions'!D:D,'Allocated Transactions'!E:E,"")</f>
        <v>Professional Fees - Accounting/Audit</v>
      </c>
      <c r="G1850" s="113" t="s">
        <v>97</v>
      </c>
      <c r="H1850" s="113"/>
      <c r="I1850" s="113" t="str">
        <f>_xlfn.XLOOKUP($C1850,'Cost Centers'!$A$2:$A$11,'Cost Centers'!$C$2:$C$11,"")</f>
        <v>Programs</v>
      </c>
      <c r="J1850" s="23">
        <f>MROUND(SUMIFS('Allocated Transactions'!$J:$J,'Allocated Transactions'!$D:$D,$E1850,'Allocated Transactions'!$C:$C,$C1850,'Allocated Transactions'!$A:$A,"&gt;="&amp;$A1850,'Allocated Transactions'!$A:$A,"&lt;="&amp;EOMONTH($A1850,0))*0.99,100)</f>
        <v>0</v>
      </c>
      <c r="K1850" s="113" t="s">
        <v>637</v>
      </c>
    </row>
    <row r="1851" spans="1:11" ht="15" customHeight="1">
      <c r="A1851" s="112">
        <f t="shared" si="120"/>
        <v>46023</v>
      </c>
      <c r="B1851" s="113">
        <v>9</v>
      </c>
      <c r="C1851" s="18" t="str">
        <f t="shared" si="122"/>
        <v>2040</v>
      </c>
      <c r="D1851" s="113" t="str">
        <f>_xlfn.XLOOKUP($C1851,'Cost Centers'!$A$2:$A$11,'Cost Centers'!$B$2:$B$11,"")</f>
        <v>Europe</v>
      </c>
      <c r="E1851" s="113" t="s">
        <v>117</v>
      </c>
      <c r="F1851" s="113" t="str">
        <f>_xlfn.XLOOKUP(E1851,'Allocated Transactions'!D:D,'Allocated Transactions'!E:E,"")</f>
        <v>Insurance</v>
      </c>
      <c r="G1851" s="113" t="s">
        <v>97</v>
      </c>
      <c r="H1851" s="113"/>
      <c r="I1851" s="113" t="str">
        <f>_xlfn.XLOOKUP($C1851,'Cost Centers'!$A$2:$A$11,'Cost Centers'!$C$2:$C$11,"")</f>
        <v>Programs</v>
      </c>
      <c r="J1851" s="23">
        <f>MROUND(SUMIFS('Allocated Transactions'!$J:$J,'Allocated Transactions'!$D:$D,$E1851,'Allocated Transactions'!$C:$C,$C1851,'Allocated Transactions'!$A:$A,"&gt;="&amp;$A1851,'Allocated Transactions'!$A:$A,"&lt;="&amp;EOMONTH($A1851,0))*0.99,100)</f>
        <v>100</v>
      </c>
      <c r="K1851" s="113" t="s">
        <v>637</v>
      </c>
    </row>
    <row r="1852" spans="1:11" ht="15" customHeight="1">
      <c r="A1852" s="112">
        <f t="shared" si="120"/>
        <v>46023</v>
      </c>
      <c r="B1852" s="113">
        <v>9</v>
      </c>
      <c r="C1852" s="18" t="str">
        <f t="shared" si="122"/>
        <v>2040</v>
      </c>
      <c r="D1852" s="113" t="str">
        <f>_xlfn.XLOOKUP($C1852,'Cost Centers'!$A$2:$A$11,'Cost Centers'!$B$2:$B$11,"")</f>
        <v>Europe</v>
      </c>
      <c r="E1852" s="113" t="s">
        <v>119</v>
      </c>
      <c r="F1852" s="113" t="str">
        <f>_xlfn.XLOOKUP(E1852,'Allocated Transactions'!D:D,'Allocated Transactions'!E:E,"")</f>
        <v>Depreciation Expense</v>
      </c>
      <c r="G1852" s="113" t="s">
        <v>97</v>
      </c>
      <c r="H1852" s="113"/>
      <c r="I1852" s="113" t="str">
        <f>_xlfn.XLOOKUP($C1852,'Cost Centers'!$A$2:$A$11,'Cost Centers'!$C$2:$C$11,"")</f>
        <v>Programs</v>
      </c>
      <c r="J1852" s="23">
        <f>MROUND(SUMIFS('Allocated Transactions'!$J:$J,'Allocated Transactions'!$D:$D,$E1852,'Allocated Transactions'!$C:$C,$C1852,'Allocated Transactions'!$A:$A,"&gt;="&amp;$A1852,'Allocated Transactions'!$A:$A,"&lt;="&amp;EOMONTH($A1852,0))*0.99,100)</f>
        <v>0</v>
      </c>
      <c r="K1852" s="113" t="s">
        <v>637</v>
      </c>
    </row>
    <row r="1853" spans="1:11" ht="15" customHeight="1">
      <c r="A1853" s="112">
        <f t="shared" si="120"/>
        <v>46023</v>
      </c>
      <c r="B1853" s="113">
        <v>9</v>
      </c>
      <c r="C1853" s="18" t="str">
        <f t="shared" si="122"/>
        <v>2040</v>
      </c>
      <c r="D1853" s="113" t="str">
        <f>_xlfn.XLOOKUP($C1853,'Cost Centers'!$A$2:$A$11,'Cost Centers'!$B$2:$B$11,"")</f>
        <v>Europe</v>
      </c>
      <c r="E1853" s="113" t="s">
        <v>121</v>
      </c>
      <c r="F1853" s="113" t="str">
        <f>_xlfn.XLOOKUP(E1853,'Allocated Transactions'!D:D,'Allocated Transactions'!E:E,"")</f>
        <v>Bank Fees</v>
      </c>
      <c r="G1853" s="113" t="s">
        <v>97</v>
      </c>
      <c r="H1853" s="113"/>
      <c r="I1853" s="113" t="str">
        <f>_xlfn.XLOOKUP($C1853,'Cost Centers'!$A$2:$A$11,'Cost Centers'!$C$2:$C$11,"")</f>
        <v>Programs</v>
      </c>
      <c r="J1853" s="23">
        <f>MROUND(SUMIFS('Allocated Transactions'!$J:$J,'Allocated Transactions'!$D:$D,$E1853,'Allocated Transactions'!$C:$C,$C1853,'Allocated Transactions'!$A:$A,"&gt;="&amp;$A1853,'Allocated Transactions'!$A:$A,"&lt;="&amp;EOMONTH($A1853,0))*0.99,100)</f>
        <v>0</v>
      </c>
      <c r="K1853" s="113" t="s">
        <v>637</v>
      </c>
    </row>
    <row r="1854" spans="1:11" ht="15" customHeight="1">
      <c r="A1854" s="112">
        <f t="shared" si="120"/>
        <v>46023</v>
      </c>
      <c r="B1854" s="113">
        <v>9</v>
      </c>
      <c r="C1854" s="18" t="str">
        <f t="shared" si="122"/>
        <v>2040</v>
      </c>
      <c r="D1854" s="113" t="str">
        <f>_xlfn.XLOOKUP($C1854,'Cost Centers'!$A$2:$A$11,'Cost Centers'!$B$2:$B$11,"")</f>
        <v>Europe</v>
      </c>
      <c r="E1854" s="113" t="s">
        <v>123</v>
      </c>
      <c r="F1854" s="113" t="str">
        <f>_xlfn.XLOOKUP(E1854,'Allocated Transactions'!D:D,'Allocated Transactions'!E:E,"")</f>
        <v>Interest Expense</v>
      </c>
      <c r="G1854" s="113" t="s">
        <v>97</v>
      </c>
      <c r="H1854" s="113"/>
      <c r="I1854" s="113" t="str">
        <f>_xlfn.XLOOKUP($C1854,'Cost Centers'!$A$2:$A$11,'Cost Centers'!$C$2:$C$11,"")</f>
        <v>Programs</v>
      </c>
      <c r="J1854" s="23">
        <f>MROUND(SUMIFS('Allocated Transactions'!$J:$J,'Allocated Transactions'!$D:$D,$E1854,'Allocated Transactions'!$C:$C,$C1854,'Allocated Transactions'!$A:$A,"&gt;="&amp;$A1854,'Allocated Transactions'!$A:$A,"&lt;="&amp;EOMONTH($A1854,0))*0.99,100)</f>
        <v>0</v>
      </c>
      <c r="K1854" s="113" t="s">
        <v>637</v>
      </c>
    </row>
    <row r="1855" spans="1:11" ht="15" customHeight="1">
      <c r="A1855" s="112">
        <f t="shared" si="120"/>
        <v>46023</v>
      </c>
      <c r="B1855" s="113">
        <v>9</v>
      </c>
      <c r="C1855" s="18" t="str">
        <f t="shared" si="122"/>
        <v>2040</v>
      </c>
      <c r="D1855" s="113" t="str">
        <f>_xlfn.XLOOKUP($C1855,'Cost Centers'!$A$2:$A$11,'Cost Centers'!$B$2:$B$11,"")</f>
        <v>Europe</v>
      </c>
      <c r="E1855" s="113" t="s">
        <v>125</v>
      </c>
      <c r="F1855" s="113" t="str">
        <f>_xlfn.XLOOKUP(E1855,'Allocated Transactions'!D:D,'Allocated Transactions'!E:E,"")</f>
        <v>Miscellaneous Expense</v>
      </c>
      <c r="G1855" s="113" t="s">
        <v>97</v>
      </c>
      <c r="H1855" s="113"/>
      <c r="I1855" s="113" t="str">
        <f>_xlfn.XLOOKUP($C1855,'Cost Centers'!$A$2:$A$11,'Cost Centers'!$C$2:$C$11,"")</f>
        <v>Programs</v>
      </c>
      <c r="J1855" s="23">
        <f>MROUND(SUMIFS('Allocated Transactions'!$J:$J,'Allocated Transactions'!$D:$D,$E1855,'Allocated Transactions'!$C:$C,$C1855,'Allocated Transactions'!$A:$A,"&gt;="&amp;$A1855,'Allocated Transactions'!$A:$A,"&lt;="&amp;EOMONTH($A1855,0))*0.99,100)</f>
        <v>0</v>
      </c>
      <c r="K1855" s="113" t="s">
        <v>637</v>
      </c>
    </row>
    <row r="1856" spans="1:11" ht="15" customHeight="1">
      <c r="A1856" s="112">
        <f t="shared" si="120"/>
        <v>46054</v>
      </c>
      <c r="B1856" s="113">
        <v>9</v>
      </c>
      <c r="C1856" s="18" t="s">
        <v>18</v>
      </c>
      <c r="D1856" s="113" t="str">
        <f>_xlfn.XLOOKUP($C1856,'Cost Centers'!$A$2:$A$11,'Cost Centers'!$B$2:$B$11,"")</f>
        <v>Europe</v>
      </c>
      <c r="E1856" s="113" t="s">
        <v>28</v>
      </c>
      <c r="F1856" s="113" t="str">
        <f>_xlfn.XLOOKUP(E1856,'Allocated Transactions'!D:D,'Allocated Transactions'!E:E,"")</f>
        <v>Salaries and Wages</v>
      </c>
      <c r="G1856" s="113" t="s">
        <v>97</v>
      </c>
      <c r="H1856" s="113"/>
      <c r="I1856" s="113" t="str">
        <f>_xlfn.XLOOKUP($C1856,'Cost Centers'!$A$2:$A$11,'Cost Centers'!$C$2:$C$11,"")</f>
        <v>Programs</v>
      </c>
      <c r="J1856" s="23">
        <f>MROUND(SUMIFS('Allocated Transactions'!$J:$J,'Allocated Transactions'!$D:$D,$E1856,'Allocated Transactions'!$C:$C,$C1856,'Allocated Transactions'!$A:$A,"&gt;="&amp;$A1856,'Allocated Transactions'!$A:$A,"&lt;="&amp;EOMONTH($A1856,0))*0.99,100)</f>
        <v>19600</v>
      </c>
      <c r="K1856" s="113" t="s">
        <v>637</v>
      </c>
    </row>
    <row r="1857" spans="1:11" ht="15" customHeight="1">
      <c r="A1857" s="112">
        <f t="shared" si="120"/>
        <v>46054</v>
      </c>
      <c r="B1857" s="113">
        <v>9</v>
      </c>
      <c r="C1857" s="18" t="str">
        <f t="shared" ref="C1857:C1873" si="123">C1856</f>
        <v>2040</v>
      </c>
      <c r="D1857" s="113" t="str">
        <f>_xlfn.XLOOKUP($C1857,'Cost Centers'!$A$2:$A$11,'Cost Centers'!$B$2:$B$11,"")</f>
        <v>Europe</v>
      </c>
      <c r="E1857" s="113" t="s">
        <v>29</v>
      </c>
      <c r="F1857" s="113" t="str">
        <f>_xlfn.XLOOKUP(E1857,'Allocated Transactions'!D:D,'Allocated Transactions'!E:E,"")</f>
        <v>Payroll Taxes</v>
      </c>
      <c r="G1857" s="113" t="s">
        <v>97</v>
      </c>
      <c r="H1857" s="113"/>
      <c r="I1857" s="113" t="str">
        <f>_xlfn.XLOOKUP($C1857,'Cost Centers'!$A$2:$A$11,'Cost Centers'!$C$2:$C$11,"")</f>
        <v>Programs</v>
      </c>
      <c r="J1857" s="23">
        <f>MROUND(SUMIFS('Allocated Transactions'!$J:$J,'Allocated Transactions'!$D:$D,$E1857,'Allocated Transactions'!$C:$C,$C1857,'Allocated Transactions'!$A:$A,"&gt;="&amp;$A1857,'Allocated Transactions'!$A:$A,"&lt;="&amp;EOMONTH($A1857,0))*0.99,100)</f>
        <v>1500</v>
      </c>
      <c r="K1857" s="113" t="s">
        <v>637</v>
      </c>
    </row>
    <row r="1858" spans="1:11" ht="15" customHeight="1">
      <c r="A1858" s="112">
        <f t="shared" si="120"/>
        <v>46054</v>
      </c>
      <c r="B1858" s="113">
        <v>9</v>
      </c>
      <c r="C1858" s="18" t="str">
        <f t="shared" si="123"/>
        <v>2040</v>
      </c>
      <c r="D1858" s="113" t="str">
        <f>_xlfn.XLOOKUP($C1858,'Cost Centers'!$A$2:$A$11,'Cost Centers'!$B$2:$B$11,"")</f>
        <v>Europe</v>
      </c>
      <c r="E1858" s="113" t="s">
        <v>30</v>
      </c>
      <c r="F1858" s="113" t="str">
        <f>_xlfn.XLOOKUP(E1858,'Allocated Transactions'!D:D,'Allocated Transactions'!E:E,"")</f>
        <v>Employee Benefits</v>
      </c>
      <c r="G1858" s="113" t="s">
        <v>97</v>
      </c>
      <c r="H1858" s="113"/>
      <c r="I1858" s="113" t="str">
        <f>_xlfn.XLOOKUP($C1858,'Cost Centers'!$A$2:$A$11,'Cost Centers'!$C$2:$C$11,"")</f>
        <v>Programs</v>
      </c>
      <c r="J1858" s="23">
        <f>MROUND(SUMIFS('Allocated Transactions'!$J:$J,'Allocated Transactions'!$D:$D,$E1858,'Allocated Transactions'!$C:$C,$C1858,'Allocated Transactions'!$A:$A,"&gt;="&amp;$A1858,'Allocated Transactions'!$A:$A,"&lt;="&amp;EOMONTH($A1858,0))*0.99,100)</f>
        <v>5900</v>
      </c>
      <c r="K1858" s="113" t="s">
        <v>637</v>
      </c>
    </row>
    <row r="1859" spans="1:11" ht="15" customHeight="1">
      <c r="A1859" s="112">
        <f t="shared" si="120"/>
        <v>46054</v>
      </c>
      <c r="B1859" s="113">
        <v>9</v>
      </c>
      <c r="C1859" s="18" t="str">
        <f t="shared" si="123"/>
        <v>2040</v>
      </c>
      <c r="D1859" s="113" t="str">
        <f>_xlfn.XLOOKUP($C1859,'Cost Centers'!$A$2:$A$11,'Cost Centers'!$B$2:$B$11,"")</f>
        <v>Europe</v>
      </c>
      <c r="E1859" s="113" t="s">
        <v>31</v>
      </c>
      <c r="F1859" s="113" t="str">
        <f>_xlfn.XLOOKUP(E1859,'Allocated Transactions'!D:D,'Allocated Transactions'!E:E,"")</f>
        <v>Retirement Contributions</v>
      </c>
      <c r="G1859" s="113" t="s">
        <v>97</v>
      </c>
      <c r="H1859" s="113"/>
      <c r="I1859" s="113" t="str">
        <f>_xlfn.XLOOKUP($C1859,'Cost Centers'!$A$2:$A$11,'Cost Centers'!$C$2:$C$11,"")</f>
        <v>Programs</v>
      </c>
      <c r="J1859" s="23">
        <f>MROUND(SUMIFS('Allocated Transactions'!$J:$J,'Allocated Transactions'!$D:$D,$E1859,'Allocated Transactions'!$C:$C,$C1859,'Allocated Transactions'!$A:$A,"&gt;="&amp;$A1859,'Allocated Transactions'!$A:$A,"&lt;="&amp;EOMONTH($A1859,0))*0.99,100)</f>
        <v>600</v>
      </c>
      <c r="K1859" s="113" t="s">
        <v>637</v>
      </c>
    </row>
    <row r="1860" spans="1:11" ht="15" customHeight="1">
      <c r="A1860" s="112">
        <f t="shared" si="120"/>
        <v>46054</v>
      </c>
      <c r="B1860" s="113">
        <v>9</v>
      </c>
      <c r="C1860" s="18" t="str">
        <f t="shared" si="123"/>
        <v>2040</v>
      </c>
      <c r="D1860" s="113" t="str">
        <f>_xlfn.XLOOKUP($C1860,'Cost Centers'!$A$2:$A$11,'Cost Centers'!$B$2:$B$11,"")</f>
        <v>Europe</v>
      </c>
      <c r="E1860" s="113" t="s">
        <v>101</v>
      </c>
      <c r="F1860" s="113" t="str">
        <f>_xlfn.XLOOKUP(E1860,'Allocated Transactions'!D:D,'Allocated Transactions'!E:E,"")</f>
        <v>Contract Labor / Consultants</v>
      </c>
      <c r="G1860" s="113" t="s">
        <v>97</v>
      </c>
      <c r="H1860" s="113"/>
      <c r="I1860" s="113" t="str">
        <f>_xlfn.XLOOKUP($C1860,'Cost Centers'!$A$2:$A$11,'Cost Centers'!$C$2:$C$11,"")</f>
        <v>Programs</v>
      </c>
      <c r="J1860" s="23">
        <f>MROUND(SUMIFS('Allocated Transactions'!$J:$J,'Allocated Transactions'!$D:$D,$E1860,'Allocated Transactions'!$C:$C,$C1860,'Allocated Transactions'!$A:$A,"&gt;="&amp;$A1860,'Allocated Transactions'!$A:$A,"&lt;="&amp;EOMONTH($A1860,0))*0.99,100)</f>
        <v>0</v>
      </c>
      <c r="K1860" s="113" t="s">
        <v>637</v>
      </c>
    </row>
    <row r="1861" spans="1:11" ht="15" customHeight="1">
      <c r="A1861" s="112">
        <f t="shared" si="120"/>
        <v>46054</v>
      </c>
      <c r="B1861" s="113">
        <v>9</v>
      </c>
      <c r="C1861" s="18" t="str">
        <f t="shared" si="123"/>
        <v>2040</v>
      </c>
      <c r="D1861" s="113" t="str">
        <f>_xlfn.XLOOKUP($C1861,'Cost Centers'!$A$2:$A$11,'Cost Centers'!$B$2:$B$11,"")</f>
        <v>Europe</v>
      </c>
      <c r="E1861" s="113" t="s">
        <v>32</v>
      </c>
      <c r="F1861" s="113" t="str">
        <f>_xlfn.XLOOKUP(E1861,'Allocated Transactions'!D:D,'Allocated Transactions'!E:E,"")</f>
        <v>Rent</v>
      </c>
      <c r="G1861" s="113" t="s">
        <v>97</v>
      </c>
      <c r="H1861" s="113"/>
      <c r="I1861" s="113" t="str">
        <f>_xlfn.XLOOKUP($C1861,'Cost Centers'!$A$2:$A$11,'Cost Centers'!$C$2:$C$11,"")</f>
        <v>Programs</v>
      </c>
      <c r="J1861" s="23">
        <f>MROUND(SUMIFS('Allocated Transactions'!$J:$J,'Allocated Transactions'!$D:$D,$E1861,'Allocated Transactions'!$C:$C,$C1861,'Allocated Transactions'!$A:$A,"&gt;="&amp;$A1861,'Allocated Transactions'!$A:$A,"&lt;="&amp;EOMONTH($A1861,0))*0.99,100)</f>
        <v>1500</v>
      </c>
      <c r="K1861" s="113" t="s">
        <v>637</v>
      </c>
    </row>
    <row r="1862" spans="1:11" ht="15" customHeight="1">
      <c r="A1862" s="112">
        <f t="shared" si="120"/>
        <v>46054</v>
      </c>
      <c r="B1862" s="113">
        <v>9</v>
      </c>
      <c r="C1862" s="18" t="str">
        <f t="shared" si="123"/>
        <v>2040</v>
      </c>
      <c r="D1862" s="113" t="str">
        <f>_xlfn.XLOOKUP($C1862,'Cost Centers'!$A$2:$A$11,'Cost Centers'!$B$2:$B$11,"")</f>
        <v>Europe</v>
      </c>
      <c r="E1862" s="113" t="s">
        <v>33</v>
      </c>
      <c r="F1862" s="113" t="str">
        <f>_xlfn.XLOOKUP(E1862,'Allocated Transactions'!D:D,'Allocated Transactions'!E:E,"")</f>
        <v>Utilities</v>
      </c>
      <c r="G1862" s="113" t="s">
        <v>97</v>
      </c>
      <c r="H1862" s="113"/>
      <c r="I1862" s="113" t="str">
        <f>_xlfn.XLOOKUP($C1862,'Cost Centers'!$A$2:$A$11,'Cost Centers'!$C$2:$C$11,"")</f>
        <v>Programs</v>
      </c>
      <c r="J1862" s="23">
        <f>MROUND(SUMIFS('Allocated Transactions'!$J:$J,'Allocated Transactions'!$D:$D,$E1862,'Allocated Transactions'!$C:$C,$C1862,'Allocated Transactions'!$A:$A,"&gt;="&amp;$A1862,'Allocated Transactions'!$A:$A,"&lt;="&amp;EOMONTH($A1862,0))*0.99,100)</f>
        <v>200</v>
      </c>
      <c r="K1862" s="113" t="s">
        <v>637</v>
      </c>
    </row>
    <row r="1863" spans="1:11" ht="15" customHeight="1">
      <c r="A1863" s="112">
        <f t="shared" si="120"/>
        <v>46054</v>
      </c>
      <c r="B1863" s="113">
        <v>9</v>
      </c>
      <c r="C1863" s="18" t="str">
        <f t="shared" si="123"/>
        <v>2040</v>
      </c>
      <c r="D1863" s="113" t="str">
        <f>_xlfn.XLOOKUP($C1863,'Cost Centers'!$A$2:$A$11,'Cost Centers'!$B$2:$B$11,"")</f>
        <v>Europe</v>
      </c>
      <c r="E1863" s="113" t="s">
        <v>105</v>
      </c>
      <c r="F1863" s="113" t="str">
        <f>_xlfn.XLOOKUP(E1863,'Allocated Transactions'!D:D,'Allocated Transactions'!E:E,"")</f>
        <v>Office Supplies</v>
      </c>
      <c r="G1863" s="113" t="s">
        <v>97</v>
      </c>
      <c r="H1863" s="113"/>
      <c r="I1863" s="113" t="str">
        <f>_xlfn.XLOOKUP($C1863,'Cost Centers'!$A$2:$A$11,'Cost Centers'!$C$2:$C$11,"")</f>
        <v>Programs</v>
      </c>
      <c r="J1863" s="23">
        <f>MROUND(SUMIFS('Allocated Transactions'!$J:$J,'Allocated Transactions'!$D:$D,$E1863,'Allocated Transactions'!$C:$C,$C1863,'Allocated Transactions'!$A:$A,"&gt;="&amp;$A1863,'Allocated Transactions'!$A:$A,"&lt;="&amp;EOMONTH($A1863,0))*0.99,100)</f>
        <v>200</v>
      </c>
      <c r="K1863" s="113" t="s">
        <v>637</v>
      </c>
    </row>
    <row r="1864" spans="1:11" ht="15" customHeight="1">
      <c r="A1864" s="112">
        <f t="shared" si="120"/>
        <v>46054</v>
      </c>
      <c r="B1864" s="113">
        <v>9</v>
      </c>
      <c r="C1864" s="18" t="str">
        <f t="shared" si="123"/>
        <v>2040</v>
      </c>
      <c r="D1864" s="113" t="str">
        <f>_xlfn.XLOOKUP($C1864,'Cost Centers'!$A$2:$A$11,'Cost Centers'!$B$2:$B$11,"")</f>
        <v>Europe</v>
      </c>
      <c r="E1864" s="113" t="s">
        <v>107</v>
      </c>
      <c r="F1864" s="113" t="str">
        <f>_xlfn.XLOOKUP(E1864,'Allocated Transactions'!D:D,'Allocated Transactions'!E:E,"")</f>
        <v>Software and Subscriptions</v>
      </c>
      <c r="G1864" s="113" t="s">
        <v>97</v>
      </c>
      <c r="H1864" s="113"/>
      <c r="I1864" s="113" t="str">
        <f>_xlfn.XLOOKUP($C1864,'Cost Centers'!$A$2:$A$11,'Cost Centers'!$C$2:$C$11,"")</f>
        <v>Programs</v>
      </c>
      <c r="J1864" s="23">
        <f>MROUND(SUMIFS('Allocated Transactions'!$J:$J,'Allocated Transactions'!$D:$D,$E1864,'Allocated Transactions'!$C:$C,$C1864,'Allocated Transactions'!$A:$A,"&gt;="&amp;$A1864,'Allocated Transactions'!$A:$A,"&lt;="&amp;EOMONTH($A1864,0))*0.99,100)</f>
        <v>0</v>
      </c>
      <c r="K1864" s="113" t="s">
        <v>637</v>
      </c>
    </row>
    <row r="1865" spans="1:11" ht="15" customHeight="1">
      <c r="A1865" s="112">
        <f t="shared" si="120"/>
        <v>46054</v>
      </c>
      <c r="B1865" s="113">
        <v>9</v>
      </c>
      <c r="C1865" s="18" t="str">
        <f t="shared" si="123"/>
        <v>2040</v>
      </c>
      <c r="D1865" s="113" t="str">
        <f>_xlfn.XLOOKUP($C1865,'Cost Centers'!$A$2:$A$11,'Cost Centers'!$B$2:$B$11,"")</f>
        <v>Europe</v>
      </c>
      <c r="E1865" s="113" t="s">
        <v>109</v>
      </c>
      <c r="F1865" s="113" t="str">
        <f>_xlfn.XLOOKUP(E1865,'Allocated Transactions'!D:D,'Allocated Transactions'!E:E,"")</f>
        <v>Travel</v>
      </c>
      <c r="G1865" s="113" t="s">
        <v>97</v>
      </c>
      <c r="H1865" s="113"/>
      <c r="I1865" s="113" t="str">
        <f>_xlfn.XLOOKUP($C1865,'Cost Centers'!$A$2:$A$11,'Cost Centers'!$C$2:$C$11,"")</f>
        <v>Programs</v>
      </c>
      <c r="J1865" s="23">
        <f>MROUND(SUMIFS('Allocated Transactions'!$J:$J,'Allocated Transactions'!$D:$D,$E1865,'Allocated Transactions'!$C:$C,$C1865,'Allocated Transactions'!$A:$A,"&gt;="&amp;$A1865,'Allocated Transactions'!$A:$A,"&lt;="&amp;EOMONTH($A1865,0))*0.99,100)</f>
        <v>3700</v>
      </c>
      <c r="K1865" s="113" t="s">
        <v>637</v>
      </c>
    </row>
    <row r="1866" spans="1:11" ht="15" customHeight="1">
      <c r="A1866" s="112">
        <f t="shared" si="120"/>
        <v>46054</v>
      </c>
      <c r="B1866" s="113">
        <v>9</v>
      </c>
      <c r="C1866" s="18" t="str">
        <f t="shared" si="123"/>
        <v>2040</v>
      </c>
      <c r="D1866" s="113" t="str">
        <f>_xlfn.XLOOKUP($C1866,'Cost Centers'!$A$2:$A$11,'Cost Centers'!$B$2:$B$11,"")</f>
        <v>Europe</v>
      </c>
      <c r="E1866" s="113" t="s">
        <v>111</v>
      </c>
      <c r="F1866" s="113" t="str">
        <f>_xlfn.XLOOKUP(E1866,'Allocated Transactions'!D:D,'Allocated Transactions'!E:E,"")</f>
        <v>Meals and Entertainment</v>
      </c>
      <c r="G1866" s="113" t="s">
        <v>97</v>
      </c>
      <c r="H1866" s="113"/>
      <c r="I1866" s="113" t="str">
        <f>_xlfn.XLOOKUP($C1866,'Cost Centers'!$A$2:$A$11,'Cost Centers'!$C$2:$C$11,"")</f>
        <v>Programs</v>
      </c>
      <c r="J1866" s="23">
        <f>MROUND(SUMIFS('Allocated Transactions'!$J:$J,'Allocated Transactions'!$D:$D,$E1866,'Allocated Transactions'!$C:$C,$C1866,'Allocated Transactions'!$A:$A,"&gt;="&amp;$A1866,'Allocated Transactions'!$A:$A,"&lt;="&amp;EOMONTH($A1866,0))*0.99,100)</f>
        <v>400</v>
      </c>
      <c r="K1866" s="113" t="s">
        <v>637</v>
      </c>
    </row>
    <row r="1867" spans="1:11" ht="15" customHeight="1">
      <c r="A1867" s="112">
        <f t="shared" si="120"/>
        <v>46054</v>
      </c>
      <c r="B1867" s="113">
        <v>9</v>
      </c>
      <c r="C1867" s="18" t="str">
        <f t="shared" si="123"/>
        <v>2040</v>
      </c>
      <c r="D1867" s="113" t="str">
        <f>_xlfn.XLOOKUP($C1867,'Cost Centers'!$A$2:$A$11,'Cost Centers'!$B$2:$B$11,"")</f>
        <v>Europe</v>
      </c>
      <c r="E1867" s="113" t="s">
        <v>113</v>
      </c>
      <c r="F1867" s="113" t="str">
        <f>_xlfn.XLOOKUP(E1867,'Allocated Transactions'!D:D,'Allocated Transactions'!E:E,"")</f>
        <v>Professional Fees - Legal</v>
      </c>
      <c r="G1867" s="113" t="s">
        <v>97</v>
      </c>
      <c r="H1867" s="113"/>
      <c r="I1867" s="113" t="str">
        <f>_xlfn.XLOOKUP($C1867,'Cost Centers'!$A$2:$A$11,'Cost Centers'!$C$2:$C$11,"")</f>
        <v>Programs</v>
      </c>
      <c r="J1867" s="23">
        <f>MROUND(SUMIFS('Allocated Transactions'!$J:$J,'Allocated Transactions'!$D:$D,$E1867,'Allocated Transactions'!$C:$C,$C1867,'Allocated Transactions'!$A:$A,"&gt;="&amp;$A1867,'Allocated Transactions'!$A:$A,"&lt;="&amp;EOMONTH($A1867,0))*0.99,100)</f>
        <v>0</v>
      </c>
      <c r="K1867" s="113" t="s">
        <v>637</v>
      </c>
    </row>
    <row r="1868" spans="1:11" ht="15" customHeight="1">
      <c r="A1868" s="112">
        <f t="shared" si="120"/>
        <v>46054</v>
      </c>
      <c r="B1868" s="113">
        <v>9</v>
      </c>
      <c r="C1868" s="18" t="str">
        <f t="shared" si="123"/>
        <v>2040</v>
      </c>
      <c r="D1868" s="113" t="str">
        <f>_xlfn.XLOOKUP($C1868,'Cost Centers'!$A$2:$A$11,'Cost Centers'!$B$2:$B$11,"")</f>
        <v>Europe</v>
      </c>
      <c r="E1868" s="113" t="s">
        <v>115</v>
      </c>
      <c r="F1868" s="113" t="str">
        <f>_xlfn.XLOOKUP(E1868,'Allocated Transactions'!D:D,'Allocated Transactions'!E:E,"")</f>
        <v>Professional Fees - Accounting/Audit</v>
      </c>
      <c r="G1868" s="113" t="s">
        <v>97</v>
      </c>
      <c r="H1868" s="113"/>
      <c r="I1868" s="113" t="str">
        <f>_xlfn.XLOOKUP($C1868,'Cost Centers'!$A$2:$A$11,'Cost Centers'!$C$2:$C$11,"")</f>
        <v>Programs</v>
      </c>
      <c r="J1868" s="23">
        <f>MROUND(SUMIFS('Allocated Transactions'!$J:$J,'Allocated Transactions'!$D:$D,$E1868,'Allocated Transactions'!$C:$C,$C1868,'Allocated Transactions'!$A:$A,"&gt;="&amp;$A1868,'Allocated Transactions'!$A:$A,"&lt;="&amp;EOMONTH($A1868,0))*0.99,100)</f>
        <v>0</v>
      </c>
      <c r="K1868" s="113" t="s">
        <v>637</v>
      </c>
    </row>
    <row r="1869" spans="1:11" ht="15" customHeight="1">
      <c r="A1869" s="112">
        <f t="shared" si="120"/>
        <v>46054</v>
      </c>
      <c r="B1869" s="113">
        <v>9</v>
      </c>
      <c r="C1869" s="18" t="str">
        <f t="shared" si="123"/>
        <v>2040</v>
      </c>
      <c r="D1869" s="113" t="str">
        <f>_xlfn.XLOOKUP($C1869,'Cost Centers'!$A$2:$A$11,'Cost Centers'!$B$2:$B$11,"")</f>
        <v>Europe</v>
      </c>
      <c r="E1869" s="113" t="s">
        <v>117</v>
      </c>
      <c r="F1869" s="113" t="str">
        <f>_xlfn.XLOOKUP(E1869,'Allocated Transactions'!D:D,'Allocated Transactions'!E:E,"")</f>
        <v>Insurance</v>
      </c>
      <c r="G1869" s="113" t="s">
        <v>97</v>
      </c>
      <c r="H1869" s="113"/>
      <c r="I1869" s="113" t="str">
        <f>_xlfn.XLOOKUP($C1869,'Cost Centers'!$A$2:$A$11,'Cost Centers'!$C$2:$C$11,"")</f>
        <v>Programs</v>
      </c>
      <c r="J1869" s="23">
        <f>MROUND(SUMIFS('Allocated Transactions'!$J:$J,'Allocated Transactions'!$D:$D,$E1869,'Allocated Transactions'!$C:$C,$C1869,'Allocated Transactions'!$A:$A,"&gt;="&amp;$A1869,'Allocated Transactions'!$A:$A,"&lt;="&amp;EOMONTH($A1869,0))*0.99,100)</f>
        <v>100</v>
      </c>
      <c r="K1869" s="113" t="s">
        <v>637</v>
      </c>
    </row>
    <row r="1870" spans="1:11" ht="15" customHeight="1">
      <c r="A1870" s="112">
        <f t="shared" si="120"/>
        <v>46054</v>
      </c>
      <c r="B1870" s="113">
        <v>9</v>
      </c>
      <c r="C1870" s="18" t="str">
        <f t="shared" si="123"/>
        <v>2040</v>
      </c>
      <c r="D1870" s="113" t="str">
        <f>_xlfn.XLOOKUP($C1870,'Cost Centers'!$A$2:$A$11,'Cost Centers'!$B$2:$B$11,"")</f>
        <v>Europe</v>
      </c>
      <c r="E1870" s="113" t="s">
        <v>119</v>
      </c>
      <c r="F1870" s="113" t="str">
        <f>_xlfn.XLOOKUP(E1870,'Allocated Transactions'!D:D,'Allocated Transactions'!E:E,"")</f>
        <v>Depreciation Expense</v>
      </c>
      <c r="G1870" s="113" t="s">
        <v>97</v>
      </c>
      <c r="H1870" s="113"/>
      <c r="I1870" s="113" t="str">
        <f>_xlfn.XLOOKUP($C1870,'Cost Centers'!$A$2:$A$11,'Cost Centers'!$C$2:$C$11,"")</f>
        <v>Programs</v>
      </c>
      <c r="J1870" s="23">
        <f>MROUND(SUMIFS('Allocated Transactions'!$J:$J,'Allocated Transactions'!$D:$D,$E1870,'Allocated Transactions'!$C:$C,$C1870,'Allocated Transactions'!$A:$A,"&gt;="&amp;$A1870,'Allocated Transactions'!$A:$A,"&lt;="&amp;EOMONTH($A1870,0))*0.99,100)</f>
        <v>0</v>
      </c>
      <c r="K1870" s="113" t="s">
        <v>637</v>
      </c>
    </row>
    <row r="1871" spans="1:11" ht="15" customHeight="1">
      <c r="A1871" s="112">
        <f t="shared" si="120"/>
        <v>46054</v>
      </c>
      <c r="B1871" s="113">
        <v>9</v>
      </c>
      <c r="C1871" s="18" t="str">
        <f t="shared" si="123"/>
        <v>2040</v>
      </c>
      <c r="D1871" s="113" t="str">
        <f>_xlfn.XLOOKUP($C1871,'Cost Centers'!$A$2:$A$11,'Cost Centers'!$B$2:$B$11,"")</f>
        <v>Europe</v>
      </c>
      <c r="E1871" s="113" t="s">
        <v>121</v>
      </c>
      <c r="F1871" s="113" t="str">
        <f>_xlfn.XLOOKUP(E1871,'Allocated Transactions'!D:D,'Allocated Transactions'!E:E,"")</f>
        <v>Bank Fees</v>
      </c>
      <c r="G1871" s="113" t="s">
        <v>97</v>
      </c>
      <c r="H1871" s="113"/>
      <c r="I1871" s="113" t="str">
        <f>_xlfn.XLOOKUP($C1871,'Cost Centers'!$A$2:$A$11,'Cost Centers'!$C$2:$C$11,"")</f>
        <v>Programs</v>
      </c>
      <c r="J1871" s="23">
        <f>MROUND(SUMIFS('Allocated Transactions'!$J:$J,'Allocated Transactions'!$D:$D,$E1871,'Allocated Transactions'!$C:$C,$C1871,'Allocated Transactions'!$A:$A,"&gt;="&amp;$A1871,'Allocated Transactions'!$A:$A,"&lt;="&amp;EOMONTH($A1871,0))*0.99,100)</f>
        <v>0</v>
      </c>
      <c r="K1871" s="113" t="s">
        <v>637</v>
      </c>
    </row>
    <row r="1872" spans="1:11" ht="15" customHeight="1">
      <c r="A1872" s="112">
        <f t="shared" si="120"/>
        <v>46054</v>
      </c>
      <c r="B1872" s="113">
        <v>9</v>
      </c>
      <c r="C1872" s="18" t="str">
        <f t="shared" si="123"/>
        <v>2040</v>
      </c>
      <c r="D1872" s="113" t="str">
        <f>_xlfn.XLOOKUP($C1872,'Cost Centers'!$A$2:$A$11,'Cost Centers'!$B$2:$B$11,"")</f>
        <v>Europe</v>
      </c>
      <c r="E1872" s="113" t="s">
        <v>123</v>
      </c>
      <c r="F1872" s="113" t="str">
        <f>_xlfn.XLOOKUP(E1872,'Allocated Transactions'!D:D,'Allocated Transactions'!E:E,"")</f>
        <v>Interest Expense</v>
      </c>
      <c r="G1872" s="113" t="s">
        <v>97</v>
      </c>
      <c r="H1872" s="113"/>
      <c r="I1872" s="113" t="str">
        <f>_xlfn.XLOOKUP($C1872,'Cost Centers'!$A$2:$A$11,'Cost Centers'!$C$2:$C$11,"")</f>
        <v>Programs</v>
      </c>
      <c r="J1872" s="23">
        <f>MROUND(SUMIFS('Allocated Transactions'!$J:$J,'Allocated Transactions'!$D:$D,$E1872,'Allocated Transactions'!$C:$C,$C1872,'Allocated Transactions'!$A:$A,"&gt;="&amp;$A1872,'Allocated Transactions'!$A:$A,"&lt;="&amp;EOMONTH($A1872,0))*0.99,100)</f>
        <v>0</v>
      </c>
      <c r="K1872" s="113" t="s">
        <v>637</v>
      </c>
    </row>
    <row r="1873" spans="1:11" ht="15" customHeight="1">
      <c r="A1873" s="112">
        <f t="shared" si="120"/>
        <v>46054</v>
      </c>
      <c r="B1873" s="113">
        <v>9</v>
      </c>
      <c r="C1873" s="18" t="str">
        <f t="shared" si="123"/>
        <v>2040</v>
      </c>
      <c r="D1873" s="113" t="str">
        <f>_xlfn.XLOOKUP($C1873,'Cost Centers'!$A$2:$A$11,'Cost Centers'!$B$2:$B$11,"")</f>
        <v>Europe</v>
      </c>
      <c r="E1873" s="113" t="s">
        <v>125</v>
      </c>
      <c r="F1873" s="113" t="str">
        <f>_xlfn.XLOOKUP(E1873,'Allocated Transactions'!D:D,'Allocated Transactions'!E:E,"")</f>
        <v>Miscellaneous Expense</v>
      </c>
      <c r="G1873" s="113" t="s">
        <v>97</v>
      </c>
      <c r="H1873" s="113"/>
      <c r="I1873" s="113" t="str">
        <f>_xlfn.XLOOKUP($C1873,'Cost Centers'!$A$2:$A$11,'Cost Centers'!$C$2:$C$11,"")</f>
        <v>Programs</v>
      </c>
      <c r="J1873" s="23">
        <f>MROUND(SUMIFS('Allocated Transactions'!$J:$J,'Allocated Transactions'!$D:$D,$E1873,'Allocated Transactions'!$C:$C,$C1873,'Allocated Transactions'!$A:$A,"&gt;="&amp;$A1873,'Allocated Transactions'!$A:$A,"&lt;="&amp;EOMONTH($A1873,0))*0.99,100)</f>
        <v>0</v>
      </c>
      <c r="K1873" s="113" t="s">
        <v>637</v>
      </c>
    </row>
    <row r="1874" spans="1:11" ht="15" customHeight="1">
      <c r="A1874" s="112">
        <f t="shared" si="120"/>
        <v>46082</v>
      </c>
      <c r="B1874" s="113">
        <v>9</v>
      </c>
      <c r="C1874" s="18" t="s">
        <v>18</v>
      </c>
      <c r="D1874" s="113" t="str">
        <f>_xlfn.XLOOKUP($C1874,'Cost Centers'!$A$2:$A$11,'Cost Centers'!$B$2:$B$11,"")</f>
        <v>Europe</v>
      </c>
      <c r="E1874" s="113" t="s">
        <v>28</v>
      </c>
      <c r="F1874" s="113" t="str">
        <f>_xlfn.XLOOKUP(E1874,'Allocated Transactions'!D:D,'Allocated Transactions'!E:E,"")</f>
        <v>Salaries and Wages</v>
      </c>
      <c r="G1874" s="113" t="s">
        <v>97</v>
      </c>
      <c r="H1874" s="113"/>
      <c r="I1874" s="113" t="str">
        <f>_xlfn.XLOOKUP($C1874,'Cost Centers'!$A$2:$A$11,'Cost Centers'!$C$2:$C$11,"")</f>
        <v>Programs</v>
      </c>
      <c r="J1874" s="23">
        <f>MROUND(SUMIFS('Allocated Transactions'!$J:$J,'Allocated Transactions'!$D:$D,$E1874,'Allocated Transactions'!$C:$C,$C1874,'Allocated Transactions'!$A:$A,"&gt;="&amp;$A1874,'Allocated Transactions'!$A:$A,"&lt;="&amp;EOMONTH($A1874,0))*0.99,100)</f>
        <v>19200</v>
      </c>
      <c r="K1874" s="113" t="s">
        <v>637</v>
      </c>
    </row>
    <row r="1875" spans="1:11" ht="15" customHeight="1">
      <c r="A1875" s="112">
        <f t="shared" si="120"/>
        <v>46082</v>
      </c>
      <c r="B1875" s="113">
        <v>9</v>
      </c>
      <c r="C1875" s="18" t="str">
        <f t="shared" ref="C1875:C1891" si="124">C1874</f>
        <v>2040</v>
      </c>
      <c r="D1875" s="113" t="str">
        <f>_xlfn.XLOOKUP($C1875,'Cost Centers'!$A$2:$A$11,'Cost Centers'!$B$2:$B$11,"")</f>
        <v>Europe</v>
      </c>
      <c r="E1875" s="113" t="s">
        <v>29</v>
      </c>
      <c r="F1875" s="113" t="str">
        <f>_xlfn.XLOOKUP(E1875,'Allocated Transactions'!D:D,'Allocated Transactions'!E:E,"")</f>
        <v>Payroll Taxes</v>
      </c>
      <c r="G1875" s="113" t="s">
        <v>97</v>
      </c>
      <c r="H1875" s="113"/>
      <c r="I1875" s="113" t="str">
        <f>_xlfn.XLOOKUP($C1875,'Cost Centers'!$A$2:$A$11,'Cost Centers'!$C$2:$C$11,"")</f>
        <v>Programs</v>
      </c>
      <c r="J1875" s="23">
        <f>MROUND(SUMIFS('Allocated Transactions'!$J:$J,'Allocated Transactions'!$D:$D,$E1875,'Allocated Transactions'!$C:$C,$C1875,'Allocated Transactions'!$A:$A,"&gt;="&amp;$A1875,'Allocated Transactions'!$A:$A,"&lt;="&amp;EOMONTH($A1875,0))*0.99,100)</f>
        <v>1500</v>
      </c>
      <c r="K1875" s="113" t="s">
        <v>637</v>
      </c>
    </row>
    <row r="1876" spans="1:11" ht="15" customHeight="1">
      <c r="A1876" s="112">
        <f t="shared" si="120"/>
        <v>46082</v>
      </c>
      <c r="B1876" s="113">
        <v>9</v>
      </c>
      <c r="C1876" s="18" t="str">
        <f t="shared" si="124"/>
        <v>2040</v>
      </c>
      <c r="D1876" s="113" t="str">
        <f>_xlfn.XLOOKUP($C1876,'Cost Centers'!$A$2:$A$11,'Cost Centers'!$B$2:$B$11,"")</f>
        <v>Europe</v>
      </c>
      <c r="E1876" s="113" t="s">
        <v>30</v>
      </c>
      <c r="F1876" s="113" t="str">
        <f>_xlfn.XLOOKUP(E1876,'Allocated Transactions'!D:D,'Allocated Transactions'!E:E,"")</f>
        <v>Employee Benefits</v>
      </c>
      <c r="G1876" s="113" t="s">
        <v>97</v>
      </c>
      <c r="H1876" s="113"/>
      <c r="I1876" s="113" t="str">
        <f>_xlfn.XLOOKUP($C1876,'Cost Centers'!$A$2:$A$11,'Cost Centers'!$C$2:$C$11,"")</f>
        <v>Programs</v>
      </c>
      <c r="J1876" s="23">
        <f>MROUND(SUMIFS('Allocated Transactions'!$J:$J,'Allocated Transactions'!$D:$D,$E1876,'Allocated Transactions'!$C:$C,$C1876,'Allocated Transactions'!$A:$A,"&gt;="&amp;$A1876,'Allocated Transactions'!$A:$A,"&lt;="&amp;EOMONTH($A1876,0))*0.99,100)</f>
        <v>6800</v>
      </c>
      <c r="K1876" s="113" t="s">
        <v>637</v>
      </c>
    </row>
    <row r="1877" spans="1:11" ht="15" customHeight="1">
      <c r="A1877" s="112">
        <f t="shared" si="120"/>
        <v>46082</v>
      </c>
      <c r="B1877" s="113">
        <v>9</v>
      </c>
      <c r="C1877" s="18" t="str">
        <f t="shared" si="124"/>
        <v>2040</v>
      </c>
      <c r="D1877" s="113" t="str">
        <f>_xlfn.XLOOKUP($C1877,'Cost Centers'!$A$2:$A$11,'Cost Centers'!$B$2:$B$11,"")</f>
        <v>Europe</v>
      </c>
      <c r="E1877" s="113" t="s">
        <v>31</v>
      </c>
      <c r="F1877" s="113" t="str">
        <f>_xlfn.XLOOKUP(E1877,'Allocated Transactions'!D:D,'Allocated Transactions'!E:E,"")</f>
        <v>Retirement Contributions</v>
      </c>
      <c r="G1877" s="113" t="s">
        <v>97</v>
      </c>
      <c r="H1877" s="113"/>
      <c r="I1877" s="113" t="str">
        <f>_xlfn.XLOOKUP($C1877,'Cost Centers'!$A$2:$A$11,'Cost Centers'!$C$2:$C$11,"")</f>
        <v>Programs</v>
      </c>
      <c r="J1877" s="23">
        <f>MROUND(SUMIFS('Allocated Transactions'!$J:$J,'Allocated Transactions'!$D:$D,$E1877,'Allocated Transactions'!$C:$C,$C1877,'Allocated Transactions'!$A:$A,"&gt;="&amp;$A1877,'Allocated Transactions'!$A:$A,"&lt;="&amp;EOMONTH($A1877,0))*0.99,100)</f>
        <v>600</v>
      </c>
      <c r="K1877" s="113" t="s">
        <v>637</v>
      </c>
    </row>
    <row r="1878" spans="1:11" ht="15" customHeight="1">
      <c r="A1878" s="112">
        <f t="shared" si="120"/>
        <v>46082</v>
      </c>
      <c r="B1878" s="113">
        <v>9</v>
      </c>
      <c r="C1878" s="18" t="str">
        <f t="shared" si="124"/>
        <v>2040</v>
      </c>
      <c r="D1878" s="113" t="str">
        <f>_xlfn.XLOOKUP($C1878,'Cost Centers'!$A$2:$A$11,'Cost Centers'!$B$2:$B$11,"")</f>
        <v>Europe</v>
      </c>
      <c r="E1878" s="113" t="s">
        <v>101</v>
      </c>
      <c r="F1878" s="113" t="str">
        <f>_xlfn.XLOOKUP(E1878,'Allocated Transactions'!D:D,'Allocated Transactions'!E:E,"")</f>
        <v>Contract Labor / Consultants</v>
      </c>
      <c r="G1878" s="113" t="s">
        <v>97</v>
      </c>
      <c r="H1878" s="113"/>
      <c r="I1878" s="113" t="str">
        <f>_xlfn.XLOOKUP($C1878,'Cost Centers'!$A$2:$A$11,'Cost Centers'!$C$2:$C$11,"")</f>
        <v>Programs</v>
      </c>
      <c r="J1878" s="23">
        <f>MROUND(SUMIFS('Allocated Transactions'!$J:$J,'Allocated Transactions'!$D:$D,$E1878,'Allocated Transactions'!$C:$C,$C1878,'Allocated Transactions'!$A:$A,"&gt;="&amp;$A1878,'Allocated Transactions'!$A:$A,"&lt;="&amp;EOMONTH($A1878,0))*0.99,100)</f>
        <v>0</v>
      </c>
      <c r="K1878" s="113" t="s">
        <v>637</v>
      </c>
    </row>
    <row r="1879" spans="1:11" ht="15" customHeight="1">
      <c r="A1879" s="112">
        <f t="shared" si="120"/>
        <v>46082</v>
      </c>
      <c r="B1879" s="113">
        <v>9</v>
      </c>
      <c r="C1879" s="18" t="str">
        <f t="shared" si="124"/>
        <v>2040</v>
      </c>
      <c r="D1879" s="113" t="str">
        <f>_xlfn.XLOOKUP($C1879,'Cost Centers'!$A$2:$A$11,'Cost Centers'!$B$2:$B$11,"")</f>
        <v>Europe</v>
      </c>
      <c r="E1879" s="113" t="s">
        <v>32</v>
      </c>
      <c r="F1879" s="113" t="str">
        <f>_xlfn.XLOOKUP(E1879,'Allocated Transactions'!D:D,'Allocated Transactions'!E:E,"")</f>
        <v>Rent</v>
      </c>
      <c r="G1879" s="113" t="s">
        <v>97</v>
      </c>
      <c r="H1879" s="113"/>
      <c r="I1879" s="113" t="str">
        <f>_xlfn.XLOOKUP($C1879,'Cost Centers'!$A$2:$A$11,'Cost Centers'!$C$2:$C$11,"")</f>
        <v>Programs</v>
      </c>
      <c r="J1879" s="23">
        <f>MROUND(SUMIFS('Allocated Transactions'!$J:$J,'Allocated Transactions'!$D:$D,$E1879,'Allocated Transactions'!$C:$C,$C1879,'Allocated Transactions'!$A:$A,"&gt;="&amp;$A1879,'Allocated Transactions'!$A:$A,"&lt;="&amp;EOMONTH($A1879,0))*0.99,100)</f>
        <v>1500</v>
      </c>
      <c r="K1879" s="113" t="s">
        <v>637</v>
      </c>
    </row>
    <row r="1880" spans="1:11" ht="15" customHeight="1">
      <c r="A1880" s="112">
        <f t="shared" si="120"/>
        <v>46082</v>
      </c>
      <c r="B1880" s="113">
        <v>9</v>
      </c>
      <c r="C1880" s="18" t="str">
        <f t="shared" si="124"/>
        <v>2040</v>
      </c>
      <c r="D1880" s="113" t="str">
        <f>_xlfn.XLOOKUP($C1880,'Cost Centers'!$A$2:$A$11,'Cost Centers'!$B$2:$B$11,"")</f>
        <v>Europe</v>
      </c>
      <c r="E1880" s="113" t="s">
        <v>33</v>
      </c>
      <c r="F1880" s="113" t="str">
        <f>_xlfn.XLOOKUP(E1880,'Allocated Transactions'!D:D,'Allocated Transactions'!E:E,"")</f>
        <v>Utilities</v>
      </c>
      <c r="G1880" s="113" t="s">
        <v>97</v>
      </c>
      <c r="H1880" s="113"/>
      <c r="I1880" s="113" t="str">
        <f>_xlfn.XLOOKUP($C1880,'Cost Centers'!$A$2:$A$11,'Cost Centers'!$C$2:$C$11,"")</f>
        <v>Programs</v>
      </c>
      <c r="J1880" s="23">
        <f>MROUND(SUMIFS('Allocated Transactions'!$J:$J,'Allocated Transactions'!$D:$D,$E1880,'Allocated Transactions'!$C:$C,$C1880,'Allocated Transactions'!$A:$A,"&gt;="&amp;$A1880,'Allocated Transactions'!$A:$A,"&lt;="&amp;EOMONTH($A1880,0))*0.99,100)</f>
        <v>200</v>
      </c>
      <c r="K1880" s="113" t="s">
        <v>637</v>
      </c>
    </row>
    <row r="1881" spans="1:11" ht="15" customHeight="1">
      <c r="A1881" s="112">
        <f t="shared" ref="A1881:A1944" si="125">IF(C1881&lt;&gt;C1880,DATE(2025,7,1),IF(E1881="5000",EOMONTH(A1880,0)+1,A1880))</f>
        <v>46082</v>
      </c>
      <c r="B1881" s="113">
        <v>9</v>
      </c>
      <c r="C1881" s="18" t="str">
        <f t="shared" si="124"/>
        <v>2040</v>
      </c>
      <c r="D1881" s="113" t="str">
        <f>_xlfn.XLOOKUP($C1881,'Cost Centers'!$A$2:$A$11,'Cost Centers'!$B$2:$B$11,"")</f>
        <v>Europe</v>
      </c>
      <c r="E1881" s="113" t="s">
        <v>105</v>
      </c>
      <c r="F1881" s="113" t="str">
        <f>_xlfn.XLOOKUP(E1881,'Allocated Transactions'!D:D,'Allocated Transactions'!E:E,"")</f>
        <v>Office Supplies</v>
      </c>
      <c r="G1881" s="113" t="s">
        <v>97</v>
      </c>
      <c r="H1881" s="113"/>
      <c r="I1881" s="113" t="str">
        <f>_xlfn.XLOOKUP($C1881,'Cost Centers'!$A$2:$A$11,'Cost Centers'!$C$2:$C$11,"")</f>
        <v>Programs</v>
      </c>
      <c r="J1881" s="23">
        <f>MROUND(SUMIFS('Allocated Transactions'!$J:$J,'Allocated Transactions'!$D:$D,$E1881,'Allocated Transactions'!$C:$C,$C1881,'Allocated Transactions'!$A:$A,"&gt;="&amp;$A1881,'Allocated Transactions'!$A:$A,"&lt;="&amp;EOMONTH($A1881,0))*0.99,100)</f>
        <v>0</v>
      </c>
      <c r="K1881" s="113" t="s">
        <v>637</v>
      </c>
    </row>
    <row r="1882" spans="1:11" ht="15" customHeight="1">
      <c r="A1882" s="112">
        <f t="shared" si="125"/>
        <v>46082</v>
      </c>
      <c r="B1882" s="113">
        <v>9</v>
      </c>
      <c r="C1882" s="18" t="str">
        <f t="shared" si="124"/>
        <v>2040</v>
      </c>
      <c r="D1882" s="113" t="str">
        <f>_xlfn.XLOOKUP($C1882,'Cost Centers'!$A$2:$A$11,'Cost Centers'!$B$2:$B$11,"")</f>
        <v>Europe</v>
      </c>
      <c r="E1882" s="113" t="s">
        <v>107</v>
      </c>
      <c r="F1882" s="113" t="str">
        <f>_xlfn.XLOOKUP(E1882,'Allocated Transactions'!D:D,'Allocated Transactions'!E:E,"")</f>
        <v>Software and Subscriptions</v>
      </c>
      <c r="G1882" s="113" t="s">
        <v>97</v>
      </c>
      <c r="H1882" s="113"/>
      <c r="I1882" s="113" t="str">
        <f>_xlfn.XLOOKUP($C1882,'Cost Centers'!$A$2:$A$11,'Cost Centers'!$C$2:$C$11,"")</f>
        <v>Programs</v>
      </c>
      <c r="J1882" s="23">
        <f>MROUND(SUMIFS('Allocated Transactions'!$J:$J,'Allocated Transactions'!$D:$D,$E1882,'Allocated Transactions'!$C:$C,$C1882,'Allocated Transactions'!$A:$A,"&gt;="&amp;$A1882,'Allocated Transactions'!$A:$A,"&lt;="&amp;EOMONTH($A1882,0))*0.99,100)</f>
        <v>0</v>
      </c>
      <c r="K1882" s="113" t="s">
        <v>637</v>
      </c>
    </row>
    <row r="1883" spans="1:11" ht="15" customHeight="1">
      <c r="A1883" s="112">
        <f t="shared" si="125"/>
        <v>46082</v>
      </c>
      <c r="B1883" s="113">
        <v>9</v>
      </c>
      <c r="C1883" s="18" t="str">
        <f t="shared" si="124"/>
        <v>2040</v>
      </c>
      <c r="D1883" s="113" t="str">
        <f>_xlfn.XLOOKUP($C1883,'Cost Centers'!$A$2:$A$11,'Cost Centers'!$B$2:$B$11,"")</f>
        <v>Europe</v>
      </c>
      <c r="E1883" s="113" t="s">
        <v>109</v>
      </c>
      <c r="F1883" s="113" t="str">
        <f>_xlfn.XLOOKUP(E1883,'Allocated Transactions'!D:D,'Allocated Transactions'!E:E,"")</f>
        <v>Travel</v>
      </c>
      <c r="G1883" s="113" t="s">
        <v>97</v>
      </c>
      <c r="H1883" s="113"/>
      <c r="I1883" s="113" t="str">
        <f>_xlfn.XLOOKUP($C1883,'Cost Centers'!$A$2:$A$11,'Cost Centers'!$C$2:$C$11,"")</f>
        <v>Programs</v>
      </c>
      <c r="J1883" s="23">
        <f>MROUND(SUMIFS('Allocated Transactions'!$J:$J,'Allocated Transactions'!$D:$D,$E1883,'Allocated Transactions'!$C:$C,$C1883,'Allocated Transactions'!$A:$A,"&gt;="&amp;$A1883,'Allocated Transactions'!$A:$A,"&lt;="&amp;EOMONTH($A1883,0))*0.99,100)</f>
        <v>0</v>
      </c>
      <c r="K1883" s="113" t="s">
        <v>637</v>
      </c>
    </row>
    <row r="1884" spans="1:11" ht="15" customHeight="1">
      <c r="A1884" s="112">
        <f t="shared" si="125"/>
        <v>46082</v>
      </c>
      <c r="B1884" s="113">
        <v>9</v>
      </c>
      <c r="C1884" s="18" t="str">
        <f t="shared" si="124"/>
        <v>2040</v>
      </c>
      <c r="D1884" s="113" t="str">
        <f>_xlfn.XLOOKUP($C1884,'Cost Centers'!$A$2:$A$11,'Cost Centers'!$B$2:$B$11,"")</f>
        <v>Europe</v>
      </c>
      <c r="E1884" s="113" t="s">
        <v>111</v>
      </c>
      <c r="F1884" s="113" t="str">
        <f>_xlfn.XLOOKUP(E1884,'Allocated Transactions'!D:D,'Allocated Transactions'!E:E,"")</f>
        <v>Meals and Entertainment</v>
      </c>
      <c r="G1884" s="113" t="s">
        <v>97</v>
      </c>
      <c r="H1884" s="113"/>
      <c r="I1884" s="113" t="str">
        <f>_xlfn.XLOOKUP($C1884,'Cost Centers'!$A$2:$A$11,'Cost Centers'!$C$2:$C$11,"")</f>
        <v>Programs</v>
      </c>
      <c r="J1884" s="23">
        <f>MROUND(SUMIFS('Allocated Transactions'!$J:$J,'Allocated Transactions'!$D:$D,$E1884,'Allocated Transactions'!$C:$C,$C1884,'Allocated Transactions'!$A:$A,"&gt;="&amp;$A1884,'Allocated Transactions'!$A:$A,"&lt;="&amp;EOMONTH($A1884,0))*0.99,100)</f>
        <v>0</v>
      </c>
      <c r="K1884" s="113" t="s">
        <v>637</v>
      </c>
    </row>
    <row r="1885" spans="1:11" ht="15" customHeight="1">
      <c r="A1885" s="112">
        <f t="shared" si="125"/>
        <v>46082</v>
      </c>
      <c r="B1885" s="113">
        <v>9</v>
      </c>
      <c r="C1885" s="18" t="str">
        <f t="shared" si="124"/>
        <v>2040</v>
      </c>
      <c r="D1885" s="113" t="str">
        <f>_xlfn.XLOOKUP($C1885,'Cost Centers'!$A$2:$A$11,'Cost Centers'!$B$2:$B$11,"")</f>
        <v>Europe</v>
      </c>
      <c r="E1885" s="113" t="s">
        <v>113</v>
      </c>
      <c r="F1885" s="113" t="str">
        <f>_xlfn.XLOOKUP(E1885,'Allocated Transactions'!D:D,'Allocated Transactions'!E:E,"")</f>
        <v>Professional Fees - Legal</v>
      </c>
      <c r="G1885" s="113" t="s">
        <v>97</v>
      </c>
      <c r="H1885" s="113"/>
      <c r="I1885" s="113" t="str">
        <f>_xlfn.XLOOKUP($C1885,'Cost Centers'!$A$2:$A$11,'Cost Centers'!$C$2:$C$11,"")</f>
        <v>Programs</v>
      </c>
      <c r="J1885" s="23">
        <f>MROUND(SUMIFS('Allocated Transactions'!$J:$J,'Allocated Transactions'!$D:$D,$E1885,'Allocated Transactions'!$C:$C,$C1885,'Allocated Transactions'!$A:$A,"&gt;="&amp;$A1885,'Allocated Transactions'!$A:$A,"&lt;="&amp;EOMONTH($A1885,0))*0.99,100)</f>
        <v>0</v>
      </c>
      <c r="K1885" s="113" t="s">
        <v>637</v>
      </c>
    </row>
    <row r="1886" spans="1:11" ht="15" customHeight="1">
      <c r="A1886" s="112">
        <f t="shared" si="125"/>
        <v>46082</v>
      </c>
      <c r="B1886" s="113">
        <v>9</v>
      </c>
      <c r="C1886" s="18" t="str">
        <f t="shared" si="124"/>
        <v>2040</v>
      </c>
      <c r="D1886" s="113" t="str">
        <f>_xlfn.XLOOKUP($C1886,'Cost Centers'!$A$2:$A$11,'Cost Centers'!$B$2:$B$11,"")</f>
        <v>Europe</v>
      </c>
      <c r="E1886" s="113" t="s">
        <v>115</v>
      </c>
      <c r="F1886" s="113" t="str">
        <f>_xlfn.XLOOKUP(E1886,'Allocated Transactions'!D:D,'Allocated Transactions'!E:E,"")</f>
        <v>Professional Fees - Accounting/Audit</v>
      </c>
      <c r="G1886" s="113" t="s">
        <v>97</v>
      </c>
      <c r="H1886" s="113"/>
      <c r="I1886" s="113" t="str">
        <f>_xlfn.XLOOKUP($C1886,'Cost Centers'!$A$2:$A$11,'Cost Centers'!$C$2:$C$11,"")</f>
        <v>Programs</v>
      </c>
      <c r="J1886" s="23">
        <f>MROUND(SUMIFS('Allocated Transactions'!$J:$J,'Allocated Transactions'!$D:$D,$E1886,'Allocated Transactions'!$C:$C,$C1886,'Allocated Transactions'!$A:$A,"&gt;="&amp;$A1886,'Allocated Transactions'!$A:$A,"&lt;="&amp;EOMONTH($A1886,0))*0.99,100)</f>
        <v>0</v>
      </c>
      <c r="K1886" s="113" t="s">
        <v>637</v>
      </c>
    </row>
    <row r="1887" spans="1:11" ht="15" customHeight="1">
      <c r="A1887" s="112">
        <f t="shared" si="125"/>
        <v>46082</v>
      </c>
      <c r="B1887" s="113">
        <v>9</v>
      </c>
      <c r="C1887" s="18" t="str">
        <f t="shared" si="124"/>
        <v>2040</v>
      </c>
      <c r="D1887" s="113" t="str">
        <f>_xlfn.XLOOKUP($C1887,'Cost Centers'!$A$2:$A$11,'Cost Centers'!$B$2:$B$11,"")</f>
        <v>Europe</v>
      </c>
      <c r="E1887" s="113" t="s">
        <v>117</v>
      </c>
      <c r="F1887" s="113" t="str">
        <f>_xlfn.XLOOKUP(E1887,'Allocated Transactions'!D:D,'Allocated Transactions'!E:E,"")</f>
        <v>Insurance</v>
      </c>
      <c r="G1887" s="113" t="s">
        <v>97</v>
      </c>
      <c r="H1887" s="113"/>
      <c r="I1887" s="113" t="str">
        <f>_xlfn.XLOOKUP($C1887,'Cost Centers'!$A$2:$A$11,'Cost Centers'!$C$2:$C$11,"")</f>
        <v>Programs</v>
      </c>
      <c r="J1887" s="23">
        <f>MROUND(SUMIFS('Allocated Transactions'!$J:$J,'Allocated Transactions'!$D:$D,$E1887,'Allocated Transactions'!$C:$C,$C1887,'Allocated Transactions'!$A:$A,"&gt;="&amp;$A1887,'Allocated Transactions'!$A:$A,"&lt;="&amp;EOMONTH($A1887,0))*0.99,100)</f>
        <v>100</v>
      </c>
      <c r="K1887" s="113" t="s">
        <v>637</v>
      </c>
    </row>
    <row r="1888" spans="1:11" ht="15" customHeight="1">
      <c r="A1888" s="112">
        <f t="shared" si="125"/>
        <v>46082</v>
      </c>
      <c r="B1888" s="113">
        <v>9</v>
      </c>
      <c r="C1888" s="18" t="str">
        <f t="shared" si="124"/>
        <v>2040</v>
      </c>
      <c r="D1888" s="113" t="str">
        <f>_xlfn.XLOOKUP($C1888,'Cost Centers'!$A$2:$A$11,'Cost Centers'!$B$2:$B$11,"")</f>
        <v>Europe</v>
      </c>
      <c r="E1888" s="113" t="s">
        <v>119</v>
      </c>
      <c r="F1888" s="113" t="str">
        <f>_xlfn.XLOOKUP(E1888,'Allocated Transactions'!D:D,'Allocated Transactions'!E:E,"")</f>
        <v>Depreciation Expense</v>
      </c>
      <c r="G1888" s="113" t="s">
        <v>97</v>
      </c>
      <c r="H1888" s="113"/>
      <c r="I1888" s="113" t="str">
        <f>_xlfn.XLOOKUP($C1888,'Cost Centers'!$A$2:$A$11,'Cost Centers'!$C$2:$C$11,"")</f>
        <v>Programs</v>
      </c>
      <c r="J1888" s="23">
        <f>MROUND(SUMIFS('Allocated Transactions'!$J:$J,'Allocated Transactions'!$D:$D,$E1888,'Allocated Transactions'!$C:$C,$C1888,'Allocated Transactions'!$A:$A,"&gt;="&amp;$A1888,'Allocated Transactions'!$A:$A,"&lt;="&amp;EOMONTH($A1888,0))*0.99,100)</f>
        <v>0</v>
      </c>
      <c r="K1888" s="113" t="s">
        <v>637</v>
      </c>
    </row>
    <row r="1889" spans="1:11" ht="15" customHeight="1">
      <c r="A1889" s="112">
        <f t="shared" si="125"/>
        <v>46082</v>
      </c>
      <c r="B1889" s="113">
        <v>9</v>
      </c>
      <c r="C1889" s="18" t="str">
        <f t="shared" si="124"/>
        <v>2040</v>
      </c>
      <c r="D1889" s="113" t="str">
        <f>_xlfn.XLOOKUP($C1889,'Cost Centers'!$A$2:$A$11,'Cost Centers'!$B$2:$B$11,"")</f>
        <v>Europe</v>
      </c>
      <c r="E1889" s="113" t="s">
        <v>121</v>
      </c>
      <c r="F1889" s="113" t="str">
        <f>_xlfn.XLOOKUP(E1889,'Allocated Transactions'!D:D,'Allocated Transactions'!E:E,"")</f>
        <v>Bank Fees</v>
      </c>
      <c r="G1889" s="113" t="s">
        <v>97</v>
      </c>
      <c r="H1889" s="113"/>
      <c r="I1889" s="113" t="str">
        <f>_xlfn.XLOOKUP($C1889,'Cost Centers'!$A$2:$A$11,'Cost Centers'!$C$2:$C$11,"")</f>
        <v>Programs</v>
      </c>
      <c r="J1889" s="23">
        <f>MROUND(SUMIFS('Allocated Transactions'!$J:$J,'Allocated Transactions'!$D:$D,$E1889,'Allocated Transactions'!$C:$C,$C1889,'Allocated Transactions'!$A:$A,"&gt;="&amp;$A1889,'Allocated Transactions'!$A:$A,"&lt;="&amp;EOMONTH($A1889,0))*0.99,100)</f>
        <v>0</v>
      </c>
      <c r="K1889" s="113" t="s">
        <v>637</v>
      </c>
    </row>
    <row r="1890" spans="1:11" ht="15" customHeight="1">
      <c r="A1890" s="112">
        <f t="shared" si="125"/>
        <v>46082</v>
      </c>
      <c r="B1890" s="113">
        <v>9</v>
      </c>
      <c r="C1890" s="18" t="str">
        <f t="shared" si="124"/>
        <v>2040</v>
      </c>
      <c r="D1890" s="113" t="str">
        <f>_xlfn.XLOOKUP($C1890,'Cost Centers'!$A$2:$A$11,'Cost Centers'!$B$2:$B$11,"")</f>
        <v>Europe</v>
      </c>
      <c r="E1890" s="113" t="s">
        <v>123</v>
      </c>
      <c r="F1890" s="113" t="str">
        <f>_xlfn.XLOOKUP(E1890,'Allocated Transactions'!D:D,'Allocated Transactions'!E:E,"")</f>
        <v>Interest Expense</v>
      </c>
      <c r="G1890" s="113" t="s">
        <v>97</v>
      </c>
      <c r="H1890" s="113"/>
      <c r="I1890" s="113" t="str">
        <f>_xlfn.XLOOKUP($C1890,'Cost Centers'!$A$2:$A$11,'Cost Centers'!$C$2:$C$11,"")</f>
        <v>Programs</v>
      </c>
      <c r="J1890" s="23">
        <f>MROUND(SUMIFS('Allocated Transactions'!$J:$J,'Allocated Transactions'!$D:$D,$E1890,'Allocated Transactions'!$C:$C,$C1890,'Allocated Transactions'!$A:$A,"&gt;="&amp;$A1890,'Allocated Transactions'!$A:$A,"&lt;="&amp;EOMONTH($A1890,0))*0.99,100)</f>
        <v>0</v>
      </c>
      <c r="K1890" s="113" t="s">
        <v>637</v>
      </c>
    </row>
    <row r="1891" spans="1:11" ht="15" customHeight="1">
      <c r="A1891" s="112">
        <f t="shared" si="125"/>
        <v>46082</v>
      </c>
      <c r="B1891" s="113">
        <v>9</v>
      </c>
      <c r="C1891" s="18" t="str">
        <f t="shared" si="124"/>
        <v>2040</v>
      </c>
      <c r="D1891" s="113" t="str">
        <f>_xlfn.XLOOKUP($C1891,'Cost Centers'!$A$2:$A$11,'Cost Centers'!$B$2:$B$11,"")</f>
        <v>Europe</v>
      </c>
      <c r="E1891" s="113" t="s">
        <v>125</v>
      </c>
      <c r="F1891" s="113" t="str">
        <f>_xlfn.XLOOKUP(E1891,'Allocated Transactions'!D:D,'Allocated Transactions'!E:E,"")</f>
        <v>Miscellaneous Expense</v>
      </c>
      <c r="G1891" s="113" t="s">
        <v>97</v>
      </c>
      <c r="H1891" s="113"/>
      <c r="I1891" s="113" t="str">
        <f>_xlfn.XLOOKUP($C1891,'Cost Centers'!$A$2:$A$11,'Cost Centers'!$C$2:$C$11,"")</f>
        <v>Programs</v>
      </c>
      <c r="J1891" s="23">
        <f>MROUND(SUMIFS('Allocated Transactions'!$J:$J,'Allocated Transactions'!$D:$D,$E1891,'Allocated Transactions'!$C:$C,$C1891,'Allocated Transactions'!$A:$A,"&gt;="&amp;$A1891,'Allocated Transactions'!$A:$A,"&lt;="&amp;EOMONTH($A1891,0))*0.99,100)</f>
        <v>0</v>
      </c>
      <c r="K1891" s="113" t="s">
        <v>637</v>
      </c>
    </row>
    <row r="1892" spans="1:11" ht="15" customHeight="1">
      <c r="A1892" s="112">
        <f t="shared" si="125"/>
        <v>46113</v>
      </c>
      <c r="B1892" s="113">
        <v>9</v>
      </c>
      <c r="C1892" s="18" t="s">
        <v>18</v>
      </c>
      <c r="D1892" s="113" t="str">
        <f>_xlfn.XLOOKUP($C1892,'Cost Centers'!$A$2:$A$11,'Cost Centers'!$B$2:$B$11,"")</f>
        <v>Europe</v>
      </c>
      <c r="E1892" s="113" t="s">
        <v>28</v>
      </c>
      <c r="F1892" s="113" t="str">
        <f>_xlfn.XLOOKUP(E1892,'Allocated Transactions'!D:D,'Allocated Transactions'!E:E,"")</f>
        <v>Salaries and Wages</v>
      </c>
      <c r="G1892" s="113" t="s">
        <v>97</v>
      </c>
      <c r="H1892" s="113"/>
      <c r="I1892" s="113" t="str">
        <f>_xlfn.XLOOKUP($C1892,'Cost Centers'!$A$2:$A$11,'Cost Centers'!$C$2:$C$11,"")</f>
        <v>Programs</v>
      </c>
      <c r="J1892" s="23">
        <f>MROUND(SUMIFS('Allocated Transactions'!$J:$J,'Allocated Transactions'!$D:$D,$E1892,'Allocated Transactions'!$C:$C,$C1892,'Allocated Transactions'!$A:$A,"&gt;="&amp;$A1892,'Allocated Transactions'!$A:$A,"&lt;="&amp;EOMONTH($A1892,0))*0.99,100)</f>
        <v>19400</v>
      </c>
      <c r="K1892" s="113" t="s">
        <v>637</v>
      </c>
    </row>
    <row r="1893" spans="1:11" ht="15" customHeight="1">
      <c r="A1893" s="112">
        <f t="shared" si="125"/>
        <v>46113</v>
      </c>
      <c r="B1893" s="113">
        <v>9</v>
      </c>
      <c r="C1893" s="18" t="str">
        <f t="shared" ref="C1893:C1909" si="126">C1892</f>
        <v>2040</v>
      </c>
      <c r="D1893" s="113" t="str">
        <f>_xlfn.XLOOKUP($C1893,'Cost Centers'!$A$2:$A$11,'Cost Centers'!$B$2:$B$11,"")</f>
        <v>Europe</v>
      </c>
      <c r="E1893" s="113" t="s">
        <v>29</v>
      </c>
      <c r="F1893" s="113" t="str">
        <f>_xlfn.XLOOKUP(E1893,'Allocated Transactions'!D:D,'Allocated Transactions'!E:E,"")</f>
        <v>Payroll Taxes</v>
      </c>
      <c r="G1893" s="113" t="s">
        <v>97</v>
      </c>
      <c r="H1893" s="113"/>
      <c r="I1893" s="113" t="str">
        <f>_xlfn.XLOOKUP($C1893,'Cost Centers'!$A$2:$A$11,'Cost Centers'!$C$2:$C$11,"")</f>
        <v>Programs</v>
      </c>
      <c r="J1893" s="23">
        <f>MROUND(SUMIFS('Allocated Transactions'!$J:$J,'Allocated Transactions'!$D:$D,$E1893,'Allocated Transactions'!$C:$C,$C1893,'Allocated Transactions'!$A:$A,"&gt;="&amp;$A1893,'Allocated Transactions'!$A:$A,"&lt;="&amp;EOMONTH($A1893,0))*0.99,100)</f>
        <v>1500</v>
      </c>
      <c r="K1893" s="113" t="s">
        <v>637</v>
      </c>
    </row>
    <row r="1894" spans="1:11" ht="15" customHeight="1">
      <c r="A1894" s="112">
        <f t="shared" si="125"/>
        <v>46113</v>
      </c>
      <c r="B1894" s="113">
        <v>9</v>
      </c>
      <c r="C1894" s="18" t="str">
        <f t="shared" si="126"/>
        <v>2040</v>
      </c>
      <c r="D1894" s="113" t="str">
        <f>_xlfn.XLOOKUP($C1894,'Cost Centers'!$A$2:$A$11,'Cost Centers'!$B$2:$B$11,"")</f>
        <v>Europe</v>
      </c>
      <c r="E1894" s="113" t="s">
        <v>30</v>
      </c>
      <c r="F1894" s="113" t="str">
        <f>_xlfn.XLOOKUP(E1894,'Allocated Transactions'!D:D,'Allocated Transactions'!E:E,"")</f>
        <v>Employee Benefits</v>
      </c>
      <c r="G1894" s="113" t="s">
        <v>97</v>
      </c>
      <c r="H1894" s="113"/>
      <c r="I1894" s="113" t="str">
        <f>_xlfn.XLOOKUP($C1894,'Cost Centers'!$A$2:$A$11,'Cost Centers'!$C$2:$C$11,"")</f>
        <v>Programs</v>
      </c>
      <c r="J1894" s="23">
        <f>MROUND(SUMIFS('Allocated Transactions'!$J:$J,'Allocated Transactions'!$D:$D,$E1894,'Allocated Transactions'!$C:$C,$C1894,'Allocated Transactions'!$A:$A,"&gt;="&amp;$A1894,'Allocated Transactions'!$A:$A,"&lt;="&amp;EOMONTH($A1894,0))*0.99,100)</f>
        <v>7300</v>
      </c>
      <c r="K1894" s="113" t="s">
        <v>637</v>
      </c>
    </row>
    <row r="1895" spans="1:11" ht="15" customHeight="1">
      <c r="A1895" s="112">
        <f t="shared" si="125"/>
        <v>46113</v>
      </c>
      <c r="B1895" s="113">
        <v>9</v>
      </c>
      <c r="C1895" s="18" t="str">
        <f t="shared" si="126"/>
        <v>2040</v>
      </c>
      <c r="D1895" s="113" t="str">
        <f>_xlfn.XLOOKUP($C1895,'Cost Centers'!$A$2:$A$11,'Cost Centers'!$B$2:$B$11,"")</f>
        <v>Europe</v>
      </c>
      <c r="E1895" s="113" t="s">
        <v>31</v>
      </c>
      <c r="F1895" s="113" t="str">
        <f>_xlfn.XLOOKUP(E1895,'Allocated Transactions'!D:D,'Allocated Transactions'!E:E,"")</f>
        <v>Retirement Contributions</v>
      </c>
      <c r="G1895" s="113" t="s">
        <v>97</v>
      </c>
      <c r="H1895" s="113"/>
      <c r="I1895" s="113" t="str">
        <f>_xlfn.XLOOKUP($C1895,'Cost Centers'!$A$2:$A$11,'Cost Centers'!$C$2:$C$11,"")</f>
        <v>Programs</v>
      </c>
      <c r="J1895" s="23">
        <f>MROUND(SUMIFS('Allocated Transactions'!$J:$J,'Allocated Transactions'!$D:$D,$E1895,'Allocated Transactions'!$C:$C,$C1895,'Allocated Transactions'!$A:$A,"&gt;="&amp;$A1895,'Allocated Transactions'!$A:$A,"&lt;="&amp;EOMONTH($A1895,0))*0.99,100)</f>
        <v>600</v>
      </c>
      <c r="K1895" s="113" t="s">
        <v>637</v>
      </c>
    </row>
    <row r="1896" spans="1:11" ht="15" customHeight="1">
      <c r="A1896" s="112">
        <f t="shared" si="125"/>
        <v>46113</v>
      </c>
      <c r="B1896" s="113">
        <v>9</v>
      </c>
      <c r="C1896" s="18" t="str">
        <f t="shared" si="126"/>
        <v>2040</v>
      </c>
      <c r="D1896" s="113" t="str">
        <f>_xlfn.XLOOKUP($C1896,'Cost Centers'!$A$2:$A$11,'Cost Centers'!$B$2:$B$11,"")</f>
        <v>Europe</v>
      </c>
      <c r="E1896" s="113" t="s">
        <v>101</v>
      </c>
      <c r="F1896" s="113" t="str">
        <f>_xlfn.XLOOKUP(E1896,'Allocated Transactions'!D:D,'Allocated Transactions'!E:E,"")</f>
        <v>Contract Labor / Consultants</v>
      </c>
      <c r="G1896" s="113" t="s">
        <v>97</v>
      </c>
      <c r="H1896" s="113"/>
      <c r="I1896" s="113" t="str">
        <f>_xlfn.XLOOKUP($C1896,'Cost Centers'!$A$2:$A$11,'Cost Centers'!$C$2:$C$11,"")</f>
        <v>Programs</v>
      </c>
      <c r="J1896" s="23">
        <f>MROUND(SUMIFS('Allocated Transactions'!$J:$J,'Allocated Transactions'!$D:$D,$E1896,'Allocated Transactions'!$C:$C,$C1896,'Allocated Transactions'!$A:$A,"&gt;="&amp;$A1896,'Allocated Transactions'!$A:$A,"&lt;="&amp;EOMONTH($A1896,0))*0.99,100)</f>
        <v>0</v>
      </c>
      <c r="K1896" s="113" t="s">
        <v>637</v>
      </c>
    </row>
    <row r="1897" spans="1:11" ht="15" customHeight="1">
      <c r="A1897" s="112">
        <f t="shared" si="125"/>
        <v>46113</v>
      </c>
      <c r="B1897" s="113">
        <v>9</v>
      </c>
      <c r="C1897" s="18" t="str">
        <f t="shared" si="126"/>
        <v>2040</v>
      </c>
      <c r="D1897" s="113" t="str">
        <f>_xlfn.XLOOKUP($C1897,'Cost Centers'!$A$2:$A$11,'Cost Centers'!$B$2:$B$11,"")</f>
        <v>Europe</v>
      </c>
      <c r="E1897" s="113" t="s">
        <v>32</v>
      </c>
      <c r="F1897" s="113" t="str">
        <f>_xlfn.XLOOKUP(E1897,'Allocated Transactions'!D:D,'Allocated Transactions'!E:E,"")</f>
        <v>Rent</v>
      </c>
      <c r="G1897" s="113" t="s">
        <v>97</v>
      </c>
      <c r="H1897" s="113"/>
      <c r="I1897" s="113" t="str">
        <f>_xlfn.XLOOKUP($C1897,'Cost Centers'!$A$2:$A$11,'Cost Centers'!$C$2:$C$11,"")</f>
        <v>Programs</v>
      </c>
      <c r="J1897" s="23">
        <f>MROUND(SUMIFS('Allocated Transactions'!$J:$J,'Allocated Transactions'!$D:$D,$E1897,'Allocated Transactions'!$C:$C,$C1897,'Allocated Transactions'!$A:$A,"&gt;="&amp;$A1897,'Allocated Transactions'!$A:$A,"&lt;="&amp;EOMONTH($A1897,0))*0.99,100)</f>
        <v>1500</v>
      </c>
      <c r="K1897" s="113" t="s">
        <v>637</v>
      </c>
    </row>
    <row r="1898" spans="1:11" ht="15" customHeight="1">
      <c r="A1898" s="112">
        <f t="shared" si="125"/>
        <v>46113</v>
      </c>
      <c r="B1898" s="113">
        <v>9</v>
      </c>
      <c r="C1898" s="18" t="str">
        <f t="shared" si="126"/>
        <v>2040</v>
      </c>
      <c r="D1898" s="113" t="str">
        <f>_xlfn.XLOOKUP($C1898,'Cost Centers'!$A$2:$A$11,'Cost Centers'!$B$2:$B$11,"")</f>
        <v>Europe</v>
      </c>
      <c r="E1898" s="113" t="s">
        <v>33</v>
      </c>
      <c r="F1898" s="113" t="str">
        <f>_xlfn.XLOOKUP(E1898,'Allocated Transactions'!D:D,'Allocated Transactions'!E:E,"")</f>
        <v>Utilities</v>
      </c>
      <c r="G1898" s="113" t="s">
        <v>97</v>
      </c>
      <c r="H1898" s="113"/>
      <c r="I1898" s="113" t="str">
        <f>_xlfn.XLOOKUP($C1898,'Cost Centers'!$A$2:$A$11,'Cost Centers'!$C$2:$C$11,"")</f>
        <v>Programs</v>
      </c>
      <c r="J1898" s="23">
        <f>MROUND(SUMIFS('Allocated Transactions'!$J:$J,'Allocated Transactions'!$D:$D,$E1898,'Allocated Transactions'!$C:$C,$C1898,'Allocated Transactions'!$A:$A,"&gt;="&amp;$A1898,'Allocated Transactions'!$A:$A,"&lt;="&amp;EOMONTH($A1898,0))*0.99,100)</f>
        <v>100</v>
      </c>
      <c r="K1898" s="113" t="s">
        <v>637</v>
      </c>
    </row>
    <row r="1899" spans="1:11" ht="15" customHeight="1">
      <c r="A1899" s="112">
        <f t="shared" si="125"/>
        <v>46113</v>
      </c>
      <c r="B1899" s="113">
        <v>9</v>
      </c>
      <c r="C1899" s="18" t="str">
        <f t="shared" si="126"/>
        <v>2040</v>
      </c>
      <c r="D1899" s="113" t="str">
        <f>_xlfn.XLOOKUP($C1899,'Cost Centers'!$A$2:$A$11,'Cost Centers'!$B$2:$B$11,"")</f>
        <v>Europe</v>
      </c>
      <c r="E1899" s="113" t="s">
        <v>105</v>
      </c>
      <c r="F1899" s="113" t="str">
        <f>_xlfn.XLOOKUP(E1899,'Allocated Transactions'!D:D,'Allocated Transactions'!E:E,"")</f>
        <v>Office Supplies</v>
      </c>
      <c r="G1899" s="113" t="s">
        <v>97</v>
      </c>
      <c r="H1899" s="113"/>
      <c r="I1899" s="113" t="str">
        <f>_xlfn.XLOOKUP($C1899,'Cost Centers'!$A$2:$A$11,'Cost Centers'!$C$2:$C$11,"")</f>
        <v>Programs</v>
      </c>
      <c r="J1899" s="23">
        <f>MROUND(SUMIFS('Allocated Transactions'!$J:$J,'Allocated Transactions'!$D:$D,$E1899,'Allocated Transactions'!$C:$C,$C1899,'Allocated Transactions'!$A:$A,"&gt;="&amp;$A1899,'Allocated Transactions'!$A:$A,"&lt;="&amp;EOMONTH($A1899,0))*0.99,100)</f>
        <v>0</v>
      </c>
      <c r="K1899" s="113" t="s">
        <v>637</v>
      </c>
    </row>
    <row r="1900" spans="1:11" ht="15" customHeight="1">
      <c r="A1900" s="112">
        <f t="shared" si="125"/>
        <v>46113</v>
      </c>
      <c r="B1900" s="113">
        <v>9</v>
      </c>
      <c r="C1900" s="18" t="str">
        <f t="shared" si="126"/>
        <v>2040</v>
      </c>
      <c r="D1900" s="113" t="str">
        <f>_xlfn.XLOOKUP($C1900,'Cost Centers'!$A$2:$A$11,'Cost Centers'!$B$2:$B$11,"")</f>
        <v>Europe</v>
      </c>
      <c r="E1900" s="113" t="s">
        <v>107</v>
      </c>
      <c r="F1900" s="113" t="str">
        <f>_xlfn.XLOOKUP(E1900,'Allocated Transactions'!D:D,'Allocated Transactions'!E:E,"")</f>
        <v>Software and Subscriptions</v>
      </c>
      <c r="G1900" s="113" t="s">
        <v>97</v>
      </c>
      <c r="H1900" s="113"/>
      <c r="I1900" s="113" t="str">
        <f>_xlfn.XLOOKUP($C1900,'Cost Centers'!$A$2:$A$11,'Cost Centers'!$C$2:$C$11,"")</f>
        <v>Programs</v>
      </c>
      <c r="J1900" s="23">
        <f>MROUND(SUMIFS('Allocated Transactions'!$J:$J,'Allocated Transactions'!$D:$D,$E1900,'Allocated Transactions'!$C:$C,$C1900,'Allocated Transactions'!$A:$A,"&gt;="&amp;$A1900,'Allocated Transactions'!$A:$A,"&lt;="&amp;EOMONTH($A1900,0))*0.99,100)</f>
        <v>2400</v>
      </c>
      <c r="K1900" s="113" t="s">
        <v>637</v>
      </c>
    </row>
    <row r="1901" spans="1:11" ht="15" customHeight="1">
      <c r="A1901" s="112">
        <f t="shared" si="125"/>
        <v>46113</v>
      </c>
      <c r="B1901" s="113">
        <v>9</v>
      </c>
      <c r="C1901" s="18" t="str">
        <f t="shared" si="126"/>
        <v>2040</v>
      </c>
      <c r="D1901" s="113" t="str">
        <f>_xlfn.XLOOKUP($C1901,'Cost Centers'!$A$2:$A$11,'Cost Centers'!$B$2:$B$11,"")</f>
        <v>Europe</v>
      </c>
      <c r="E1901" s="113" t="s">
        <v>109</v>
      </c>
      <c r="F1901" s="113" t="str">
        <f>_xlfn.XLOOKUP(E1901,'Allocated Transactions'!D:D,'Allocated Transactions'!E:E,"")</f>
        <v>Travel</v>
      </c>
      <c r="G1901" s="113" t="s">
        <v>97</v>
      </c>
      <c r="H1901" s="113"/>
      <c r="I1901" s="113" t="str">
        <f>_xlfn.XLOOKUP($C1901,'Cost Centers'!$A$2:$A$11,'Cost Centers'!$C$2:$C$11,"")</f>
        <v>Programs</v>
      </c>
      <c r="J1901" s="23">
        <f>MROUND(SUMIFS('Allocated Transactions'!$J:$J,'Allocated Transactions'!$D:$D,$E1901,'Allocated Transactions'!$C:$C,$C1901,'Allocated Transactions'!$A:$A,"&gt;="&amp;$A1901,'Allocated Transactions'!$A:$A,"&lt;="&amp;EOMONTH($A1901,0))*0.99,100)</f>
        <v>3900</v>
      </c>
      <c r="K1901" s="113" t="s">
        <v>637</v>
      </c>
    </row>
    <row r="1902" spans="1:11" ht="15" customHeight="1">
      <c r="A1902" s="112">
        <f t="shared" si="125"/>
        <v>46113</v>
      </c>
      <c r="B1902" s="113">
        <v>9</v>
      </c>
      <c r="C1902" s="18" t="str">
        <f t="shared" si="126"/>
        <v>2040</v>
      </c>
      <c r="D1902" s="113" t="str">
        <f>_xlfn.XLOOKUP($C1902,'Cost Centers'!$A$2:$A$11,'Cost Centers'!$B$2:$B$11,"")</f>
        <v>Europe</v>
      </c>
      <c r="E1902" s="113" t="s">
        <v>111</v>
      </c>
      <c r="F1902" s="113" t="str">
        <f>_xlfn.XLOOKUP(E1902,'Allocated Transactions'!D:D,'Allocated Transactions'!E:E,"")</f>
        <v>Meals and Entertainment</v>
      </c>
      <c r="G1902" s="113" t="s">
        <v>97</v>
      </c>
      <c r="H1902" s="113"/>
      <c r="I1902" s="113" t="str">
        <f>_xlfn.XLOOKUP($C1902,'Cost Centers'!$A$2:$A$11,'Cost Centers'!$C$2:$C$11,"")</f>
        <v>Programs</v>
      </c>
      <c r="J1902" s="23">
        <f>MROUND(SUMIFS('Allocated Transactions'!$J:$J,'Allocated Transactions'!$D:$D,$E1902,'Allocated Transactions'!$C:$C,$C1902,'Allocated Transactions'!$A:$A,"&gt;="&amp;$A1902,'Allocated Transactions'!$A:$A,"&lt;="&amp;EOMONTH($A1902,0))*0.99,100)</f>
        <v>0</v>
      </c>
      <c r="K1902" s="113" t="s">
        <v>637</v>
      </c>
    </row>
    <row r="1903" spans="1:11" ht="15" customHeight="1">
      <c r="A1903" s="112">
        <f t="shared" si="125"/>
        <v>46113</v>
      </c>
      <c r="B1903" s="113">
        <v>9</v>
      </c>
      <c r="C1903" s="18" t="str">
        <f t="shared" si="126"/>
        <v>2040</v>
      </c>
      <c r="D1903" s="113" t="str">
        <f>_xlfn.XLOOKUP($C1903,'Cost Centers'!$A$2:$A$11,'Cost Centers'!$B$2:$B$11,"")</f>
        <v>Europe</v>
      </c>
      <c r="E1903" s="113" t="s">
        <v>113</v>
      </c>
      <c r="F1903" s="113" t="str">
        <f>_xlfn.XLOOKUP(E1903,'Allocated Transactions'!D:D,'Allocated Transactions'!E:E,"")</f>
        <v>Professional Fees - Legal</v>
      </c>
      <c r="G1903" s="113" t="s">
        <v>97</v>
      </c>
      <c r="H1903" s="113"/>
      <c r="I1903" s="113" t="str">
        <f>_xlfn.XLOOKUP($C1903,'Cost Centers'!$A$2:$A$11,'Cost Centers'!$C$2:$C$11,"")</f>
        <v>Programs</v>
      </c>
      <c r="J1903" s="23">
        <f>MROUND(SUMIFS('Allocated Transactions'!$J:$J,'Allocated Transactions'!$D:$D,$E1903,'Allocated Transactions'!$C:$C,$C1903,'Allocated Transactions'!$A:$A,"&gt;="&amp;$A1903,'Allocated Transactions'!$A:$A,"&lt;="&amp;EOMONTH($A1903,0))*0.99,100)</f>
        <v>0</v>
      </c>
      <c r="K1903" s="113" t="s">
        <v>637</v>
      </c>
    </row>
    <row r="1904" spans="1:11" ht="15" customHeight="1">
      <c r="A1904" s="112">
        <f t="shared" si="125"/>
        <v>46113</v>
      </c>
      <c r="B1904" s="113">
        <v>9</v>
      </c>
      <c r="C1904" s="18" t="str">
        <f t="shared" si="126"/>
        <v>2040</v>
      </c>
      <c r="D1904" s="113" t="str">
        <f>_xlfn.XLOOKUP($C1904,'Cost Centers'!$A$2:$A$11,'Cost Centers'!$B$2:$B$11,"")</f>
        <v>Europe</v>
      </c>
      <c r="E1904" s="113" t="s">
        <v>115</v>
      </c>
      <c r="F1904" s="113" t="str">
        <f>_xlfn.XLOOKUP(E1904,'Allocated Transactions'!D:D,'Allocated Transactions'!E:E,"")</f>
        <v>Professional Fees - Accounting/Audit</v>
      </c>
      <c r="G1904" s="113" t="s">
        <v>97</v>
      </c>
      <c r="H1904" s="113"/>
      <c r="I1904" s="113" t="str">
        <f>_xlfn.XLOOKUP($C1904,'Cost Centers'!$A$2:$A$11,'Cost Centers'!$C$2:$C$11,"")</f>
        <v>Programs</v>
      </c>
      <c r="J1904" s="23">
        <f>MROUND(SUMIFS('Allocated Transactions'!$J:$J,'Allocated Transactions'!$D:$D,$E1904,'Allocated Transactions'!$C:$C,$C1904,'Allocated Transactions'!$A:$A,"&gt;="&amp;$A1904,'Allocated Transactions'!$A:$A,"&lt;="&amp;EOMONTH($A1904,0))*0.99,100)</f>
        <v>0</v>
      </c>
      <c r="K1904" s="113" t="s">
        <v>637</v>
      </c>
    </row>
    <row r="1905" spans="1:11" ht="15" customHeight="1">
      <c r="A1905" s="112">
        <f t="shared" si="125"/>
        <v>46113</v>
      </c>
      <c r="B1905" s="113">
        <v>9</v>
      </c>
      <c r="C1905" s="18" t="str">
        <f t="shared" si="126"/>
        <v>2040</v>
      </c>
      <c r="D1905" s="113" t="str">
        <f>_xlfn.XLOOKUP($C1905,'Cost Centers'!$A$2:$A$11,'Cost Centers'!$B$2:$B$11,"")</f>
        <v>Europe</v>
      </c>
      <c r="E1905" s="113" t="s">
        <v>117</v>
      </c>
      <c r="F1905" s="113" t="str">
        <f>_xlfn.XLOOKUP(E1905,'Allocated Transactions'!D:D,'Allocated Transactions'!E:E,"")</f>
        <v>Insurance</v>
      </c>
      <c r="G1905" s="113" t="s">
        <v>97</v>
      </c>
      <c r="H1905" s="113"/>
      <c r="I1905" s="113" t="str">
        <f>_xlfn.XLOOKUP($C1905,'Cost Centers'!$A$2:$A$11,'Cost Centers'!$C$2:$C$11,"")</f>
        <v>Programs</v>
      </c>
      <c r="J1905" s="23">
        <f>MROUND(SUMIFS('Allocated Transactions'!$J:$J,'Allocated Transactions'!$D:$D,$E1905,'Allocated Transactions'!$C:$C,$C1905,'Allocated Transactions'!$A:$A,"&gt;="&amp;$A1905,'Allocated Transactions'!$A:$A,"&lt;="&amp;EOMONTH($A1905,0))*0.99,100)</f>
        <v>100</v>
      </c>
      <c r="K1905" s="113" t="s">
        <v>637</v>
      </c>
    </row>
    <row r="1906" spans="1:11" ht="15" customHeight="1">
      <c r="A1906" s="112">
        <f t="shared" si="125"/>
        <v>46113</v>
      </c>
      <c r="B1906" s="113">
        <v>9</v>
      </c>
      <c r="C1906" s="18" t="str">
        <f t="shared" si="126"/>
        <v>2040</v>
      </c>
      <c r="D1906" s="113" t="str">
        <f>_xlfn.XLOOKUP($C1906,'Cost Centers'!$A$2:$A$11,'Cost Centers'!$B$2:$B$11,"")</f>
        <v>Europe</v>
      </c>
      <c r="E1906" s="113" t="s">
        <v>119</v>
      </c>
      <c r="F1906" s="113" t="str">
        <f>_xlfn.XLOOKUP(E1906,'Allocated Transactions'!D:D,'Allocated Transactions'!E:E,"")</f>
        <v>Depreciation Expense</v>
      </c>
      <c r="G1906" s="113" t="s">
        <v>97</v>
      </c>
      <c r="H1906" s="113"/>
      <c r="I1906" s="113" t="str">
        <f>_xlfn.XLOOKUP($C1906,'Cost Centers'!$A$2:$A$11,'Cost Centers'!$C$2:$C$11,"")</f>
        <v>Programs</v>
      </c>
      <c r="J1906" s="23">
        <f>MROUND(SUMIFS('Allocated Transactions'!$J:$J,'Allocated Transactions'!$D:$D,$E1906,'Allocated Transactions'!$C:$C,$C1906,'Allocated Transactions'!$A:$A,"&gt;="&amp;$A1906,'Allocated Transactions'!$A:$A,"&lt;="&amp;EOMONTH($A1906,0))*0.99,100)</f>
        <v>0</v>
      </c>
      <c r="K1906" s="113" t="s">
        <v>637</v>
      </c>
    </row>
    <row r="1907" spans="1:11" ht="15" customHeight="1">
      <c r="A1907" s="112">
        <f t="shared" si="125"/>
        <v>46113</v>
      </c>
      <c r="B1907" s="113">
        <v>9</v>
      </c>
      <c r="C1907" s="18" t="str">
        <f t="shared" si="126"/>
        <v>2040</v>
      </c>
      <c r="D1907" s="113" t="str">
        <f>_xlfn.XLOOKUP($C1907,'Cost Centers'!$A$2:$A$11,'Cost Centers'!$B$2:$B$11,"")</f>
        <v>Europe</v>
      </c>
      <c r="E1907" s="113" t="s">
        <v>121</v>
      </c>
      <c r="F1907" s="113" t="str">
        <f>_xlfn.XLOOKUP(E1907,'Allocated Transactions'!D:D,'Allocated Transactions'!E:E,"")</f>
        <v>Bank Fees</v>
      </c>
      <c r="G1907" s="113" t="s">
        <v>97</v>
      </c>
      <c r="H1907" s="113"/>
      <c r="I1907" s="113" t="str">
        <f>_xlfn.XLOOKUP($C1907,'Cost Centers'!$A$2:$A$11,'Cost Centers'!$C$2:$C$11,"")</f>
        <v>Programs</v>
      </c>
      <c r="J1907" s="23">
        <f>MROUND(SUMIFS('Allocated Transactions'!$J:$J,'Allocated Transactions'!$D:$D,$E1907,'Allocated Transactions'!$C:$C,$C1907,'Allocated Transactions'!$A:$A,"&gt;="&amp;$A1907,'Allocated Transactions'!$A:$A,"&lt;="&amp;EOMONTH($A1907,0))*0.99,100)</f>
        <v>0</v>
      </c>
      <c r="K1907" s="113" t="s">
        <v>637</v>
      </c>
    </row>
    <row r="1908" spans="1:11" ht="15" customHeight="1">
      <c r="A1908" s="112">
        <f t="shared" si="125"/>
        <v>46113</v>
      </c>
      <c r="B1908" s="113">
        <v>9</v>
      </c>
      <c r="C1908" s="18" t="str">
        <f t="shared" si="126"/>
        <v>2040</v>
      </c>
      <c r="D1908" s="113" t="str">
        <f>_xlfn.XLOOKUP($C1908,'Cost Centers'!$A$2:$A$11,'Cost Centers'!$B$2:$B$11,"")</f>
        <v>Europe</v>
      </c>
      <c r="E1908" s="113" t="s">
        <v>123</v>
      </c>
      <c r="F1908" s="113" t="str">
        <f>_xlfn.XLOOKUP(E1908,'Allocated Transactions'!D:D,'Allocated Transactions'!E:E,"")</f>
        <v>Interest Expense</v>
      </c>
      <c r="G1908" s="113" t="s">
        <v>97</v>
      </c>
      <c r="H1908" s="113"/>
      <c r="I1908" s="113" t="str">
        <f>_xlfn.XLOOKUP($C1908,'Cost Centers'!$A$2:$A$11,'Cost Centers'!$C$2:$C$11,"")</f>
        <v>Programs</v>
      </c>
      <c r="J1908" s="23">
        <f>MROUND(SUMIFS('Allocated Transactions'!$J:$J,'Allocated Transactions'!$D:$D,$E1908,'Allocated Transactions'!$C:$C,$C1908,'Allocated Transactions'!$A:$A,"&gt;="&amp;$A1908,'Allocated Transactions'!$A:$A,"&lt;="&amp;EOMONTH($A1908,0))*0.99,100)</f>
        <v>0</v>
      </c>
      <c r="K1908" s="113" t="s">
        <v>637</v>
      </c>
    </row>
    <row r="1909" spans="1:11" ht="15" customHeight="1">
      <c r="A1909" s="112">
        <f t="shared" si="125"/>
        <v>46113</v>
      </c>
      <c r="B1909" s="113">
        <v>9</v>
      </c>
      <c r="C1909" s="18" t="str">
        <f t="shared" si="126"/>
        <v>2040</v>
      </c>
      <c r="D1909" s="113" t="str">
        <f>_xlfn.XLOOKUP($C1909,'Cost Centers'!$A$2:$A$11,'Cost Centers'!$B$2:$B$11,"")</f>
        <v>Europe</v>
      </c>
      <c r="E1909" s="113" t="s">
        <v>125</v>
      </c>
      <c r="F1909" s="113" t="str">
        <f>_xlfn.XLOOKUP(E1909,'Allocated Transactions'!D:D,'Allocated Transactions'!E:E,"")</f>
        <v>Miscellaneous Expense</v>
      </c>
      <c r="G1909" s="113" t="s">
        <v>97</v>
      </c>
      <c r="H1909" s="113"/>
      <c r="I1909" s="113" t="str">
        <f>_xlfn.XLOOKUP($C1909,'Cost Centers'!$A$2:$A$11,'Cost Centers'!$C$2:$C$11,"")</f>
        <v>Programs</v>
      </c>
      <c r="J1909" s="23">
        <f>MROUND(SUMIFS('Allocated Transactions'!$J:$J,'Allocated Transactions'!$D:$D,$E1909,'Allocated Transactions'!$C:$C,$C1909,'Allocated Transactions'!$A:$A,"&gt;="&amp;$A1909,'Allocated Transactions'!$A:$A,"&lt;="&amp;EOMONTH($A1909,0))*0.99,100)</f>
        <v>0</v>
      </c>
      <c r="K1909" s="113" t="s">
        <v>637</v>
      </c>
    </row>
    <row r="1910" spans="1:11" ht="15" customHeight="1">
      <c r="A1910" s="112">
        <f t="shared" si="125"/>
        <v>46143</v>
      </c>
      <c r="B1910" s="113">
        <v>9</v>
      </c>
      <c r="C1910" s="18" t="s">
        <v>18</v>
      </c>
      <c r="D1910" s="113" t="str">
        <f>_xlfn.XLOOKUP($C1910,'Cost Centers'!$A$2:$A$11,'Cost Centers'!$B$2:$B$11,"")</f>
        <v>Europe</v>
      </c>
      <c r="E1910" s="113" t="s">
        <v>28</v>
      </c>
      <c r="F1910" s="113" t="str">
        <f>_xlfn.XLOOKUP(E1910,'Allocated Transactions'!D:D,'Allocated Transactions'!E:E,"")</f>
        <v>Salaries and Wages</v>
      </c>
      <c r="G1910" s="113" t="s">
        <v>97</v>
      </c>
      <c r="H1910" s="113"/>
      <c r="I1910" s="113" t="str">
        <f>_xlfn.XLOOKUP($C1910,'Cost Centers'!$A$2:$A$11,'Cost Centers'!$C$2:$C$11,"")</f>
        <v>Programs</v>
      </c>
      <c r="J1910" s="23">
        <f>MROUND(SUMIFS('Allocated Transactions'!$J:$J,'Allocated Transactions'!$D:$D,$E1910,'Allocated Transactions'!$C:$C,$C1910,'Allocated Transactions'!$A:$A,"&gt;="&amp;$A1910,'Allocated Transactions'!$A:$A,"&lt;="&amp;EOMONTH($A1910,0))*0.99,100)</f>
        <v>18100</v>
      </c>
      <c r="K1910" s="113" t="s">
        <v>637</v>
      </c>
    </row>
    <row r="1911" spans="1:11" ht="15" customHeight="1">
      <c r="A1911" s="112">
        <f t="shared" si="125"/>
        <v>46143</v>
      </c>
      <c r="B1911" s="113">
        <v>9</v>
      </c>
      <c r="C1911" s="18" t="str">
        <f t="shared" ref="C1911:C1927" si="127">C1910</f>
        <v>2040</v>
      </c>
      <c r="D1911" s="113" t="str">
        <f>_xlfn.XLOOKUP($C1911,'Cost Centers'!$A$2:$A$11,'Cost Centers'!$B$2:$B$11,"")</f>
        <v>Europe</v>
      </c>
      <c r="E1911" s="113" t="s">
        <v>29</v>
      </c>
      <c r="F1911" s="113" t="str">
        <f>_xlfn.XLOOKUP(E1911,'Allocated Transactions'!D:D,'Allocated Transactions'!E:E,"")</f>
        <v>Payroll Taxes</v>
      </c>
      <c r="G1911" s="113" t="s">
        <v>97</v>
      </c>
      <c r="H1911" s="113"/>
      <c r="I1911" s="113" t="str">
        <f>_xlfn.XLOOKUP($C1911,'Cost Centers'!$A$2:$A$11,'Cost Centers'!$C$2:$C$11,"")</f>
        <v>Programs</v>
      </c>
      <c r="J1911" s="23">
        <f>MROUND(SUMIFS('Allocated Transactions'!$J:$J,'Allocated Transactions'!$D:$D,$E1911,'Allocated Transactions'!$C:$C,$C1911,'Allocated Transactions'!$A:$A,"&gt;="&amp;$A1911,'Allocated Transactions'!$A:$A,"&lt;="&amp;EOMONTH($A1911,0))*0.99,100)</f>
        <v>1400</v>
      </c>
      <c r="K1911" s="113" t="s">
        <v>637</v>
      </c>
    </row>
    <row r="1912" spans="1:11" ht="15" customHeight="1">
      <c r="A1912" s="112">
        <f t="shared" si="125"/>
        <v>46143</v>
      </c>
      <c r="B1912" s="113">
        <v>9</v>
      </c>
      <c r="C1912" s="18" t="str">
        <f t="shared" si="127"/>
        <v>2040</v>
      </c>
      <c r="D1912" s="113" t="str">
        <f>_xlfn.XLOOKUP($C1912,'Cost Centers'!$A$2:$A$11,'Cost Centers'!$B$2:$B$11,"")</f>
        <v>Europe</v>
      </c>
      <c r="E1912" s="113" t="s">
        <v>30</v>
      </c>
      <c r="F1912" s="113" t="str">
        <f>_xlfn.XLOOKUP(E1912,'Allocated Transactions'!D:D,'Allocated Transactions'!E:E,"")</f>
        <v>Employee Benefits</v>
      </c>
      <c r="G1912" s="113" t="s">
        <v>97</v>
      </c>
      <c r="H1912" s="113"/>
      <c r="I1912" s="113" t="str">
        <f>_xlfn.XLOOKUP($C1912,'Cost Centers'!$A$2:$A$11,'Cost Centers'!$C$2:$C$11,"")</f>
        <v>Programs</v>
      </c>
      <c r="J1912" s="23">
        <f>MROUND(SUMIFS('Allocated Transactions'!$J:$J,'Allocated Transactions'!$D:$D,$E1912,'Allocated Transactions'!$C:$C,$C1912,'Allocated Transactions'!$A:$A,"&gt;="&amp;$A1912,'Allocated Transactions'!$A:$A,"&lt;="&amp;EOMONTH($A1912,0))*0.99,100)</f>
        <v>7100</v>
      </c>
      <c r="K1912" s="113" t="s">
        <v>637</v>
      </c>
    </row>
    <row r="1913" spans="1:11" ht="15" customHeight="1">
      <c r="A1913" s="112">
        <f t="shared" si="125"/>
        <v>46143</v>
      </c>
      <c r="B1913" s="113">
        <v>9</v>
      </c>
      <c r="C1913" s="18" t="str">
        <f t="shared" si="127"/>
        <v>2040</v>
      </c>
      <c r="D1913" s="113" t="str">
        <f>_xlfn.XLOOKUP($C1913,'Cost Centers'!$A$2:$A$11,'Cost Centers'!$B$2:$B$11,"")</f>
        <v>Europe</v>
      </c>
      <c r="E1913" s="113" t="s">
        <v>31</v>
      </c>
      <c r="F1913" s="113" t="str">
        <f>_xlfn.XLOOKUP(E1913,'Allocated Transactions'!D:D,'Allocated Transactions'!E:E,"")</f>
        <v>Retirement Contributions</v>
      </c>
      <c r="G1913" s="113" t="s">
        <v>97</v>
      </c>
      <c r="H1913" s="113"/>
      <c r="I1913" s="113" t="str">
        <f>_xlfn.XLOOKUP($C1913,'Cost Centers'!$A$2:$A$11,'Cost Centers'!$C$2:$C$11,"")</f>
        <v>Programs</v>
      </c>
      <c r="J1913" s="23">
        <f>MROUND(SUMIFS('Allocated Transactions'!$J:$J,'Allocated Transactions'!$D:$D,$E1913,'Allocated Transactions'!$C:$C,$C1913,'Allocated Transactions'!$A:$A,"&gt;="&amp;$A1913,'Allocated Transactions'!$A:$A,"&lt;="&amp;EOMONTH($A1913,0))*0.99,100)</f>
        <v>500</v>
      </c>
      <c r="K1913" s="113" t="s">
        <v>637</v>
      </c>
    </row>
    <row r="1914" spans="1:11" ht="15" customHeight="1">
      <c r="A1914" s="112">
        <f t="shared" si="125"/>
        <v>46143</v>
      </c>
      <c r="B1914" s="113">
        <v>9</v>
      </c>
      <c r="C1914" s="18" t="str">
        <f t="shared" si="127"/>
        <v>2040</v>
      </c>
      <c r="D1914" s="113" t="str">
        <f>_xlfn.XLOOKUP($C1914,'Cost Centers'!$A$2:$A$11,'Cost Centers'!$B$2:$B$11,"")</f>
        <v>Europe</v>
      </c>
      <c r="E1914" s="113" t="s">
        <v>101</v>
      </c>
      <c r="F1914" s="113" t="str">
        <f>_xlfn.XLOOKUP(E1914,'Allocated Transactions'!D:D,'Allocated Transactions'!E:E,"")</f>
        <v>Contract Labor / Consultants</v>
      </c>
      <c r="G1914" s="113" t="s">
        <v>97</v>
      </c>
      <c r="H1914" s="113"/>
      <c r="I1914" s="113" t="str">
        <f>_xlfn.XLOOKUP($C1914,'Cost Centers'!$A$2:$A$11,'Cost Centers'!$C$2:$C$11,"")</f>
        <v>Programs</v>
      </c>
      <c r="J1914" s="23">
        <f>MROUND(SUMIFS('Allocated Transactions'!$J:$J,'Allocated Transactions'!$D:$D,$E1914,'Allocated Transactions'!$C:$C,$C1914,'Allocated Transactions'!$A:$A,"&gt;="&amp;$A1914,'Allocated Transactions'!$A:$A,"&lt;="&amp;EOMONTH($A1914,0))*0.99,100)</f>
        <v>0</v>
      </c>
      <c r="K1914" s="113" t="s">
        <v>637</v>
      </c>
    </row>
    <row r="1915" spans="1:11" ht="15" customHeight="1">
      <c r="A1915" s="112">
        <f t="shared" si="125"/>
        <v>46143</v>
      </c>
      <c r="B1915" s="113">
        <v>9</v>
      </c>
      <c r="C1915" s="18" t="str">
        <f t="shared" si="127"/>
        <v>2040</v>
      </c>
      <c r="D1915" s="113" t="str">
        <f>_xlfn.XLOOKUP($C1915,'Cost Centers'!$A$2:$A$11,'Cost Centers'!$B$2:$B$11,"")</f>
        <v>Europe</v>
      </c>
      <c r="E1915" s="113" t="s">
        <v>32</v>
      </c>
      <c r="F1915" s="113" t="str">
        <f>_xlfn.XLOOKUP(E1915,'Allocated Transactions'!D:D,'Allocated Transactions'!E:E,"")</f>
        <v>Rent</v>
      </c>
      <c r="G1915" s="113" t="s">
        <v>97</v>
      </c>
      <c r="H1915" s="113"/>
      <c r="I1915" s="113" t="str">
        <f>_xlfn.XLOOKUP($C1915,'Cost Centers'!$A$2:$A$11,'Cost Centers'!$C$2:$C$11,"")</f>
        <v>Programs</v>
      </c>
      <c r="J1915" s="23">
        <f>MROUND(SUMIFS('Allocated Transactions'!$J:$J,'Allocated Transactions'!$D:$D,$E1915,'Allocated Transactions'!$C:$C,$C1915,'Allocated Transactions'!$A:$A,"&gt;="&amp;$A1915,'Allocated Transactions'!$A:$A,"&lt;="&amp;EOMONTH($A1915,0))*0.99,100)</f>
        <v>1500</v>
      </c>
      <c r="K1915" s="113" t="s">
        <v>637</v>
      </c>
    </row>
    <row r="1916" spans="1:11" ht="15" customHeight="1">
      <c r="A1916" s="112">
        <f t="shared" si="125"/>
        <v>46143</v>
      </c>
      <c r="B1916" s="113">
        <v>9</v>
      </c>
      <c r="C1916" s="18" t="str">
        <f t="shared" si="127"/>
        <v>2040</v>
      </c>
      <c r="D1916" s="113" t="str">
        <f>_xlfn.XLOOKUP($C1916,'Cost Centers'!$A$2:$A$11,'Cost Centers'!$B$2:$B$11,"")</f>
        <v>Europe</v>
      </c>
      <c r="E1916" s="113" t="s">
        <v>33</v>
      </c>
      <c r="F1916" s="113" t="str">
        <f>_xlfn.XLOOKUP(E1916,'Allocated Transactions'!D:D,'Allocated Transactions'!E:E,"")</f>
        <v>Utilities</v>
      </c>
      <c r="G1916" s="113" t="s">
        <v>97</v>
      </c>
      <c r="H1916" s="113"/>
      <c r="I1916" s="113" t="str">
        <f>_xlfn.XLOOKUP($C1916,'Cost Centers'!$A$2:$A$11,'Cost Centers'!$C$2:$C$11,"")</f>
        <v>Programs</v>
      </c>
      <c r="J1916" s="23">
        <f>MROUND(SUMIFS('Allocated Transactions'!$J:$J,'Allocated Transactions'!$D:$D,$E1916,'Allocated Transactions'!$C:$C,$C1916,'Allocated Transactions'!$A:$A,"&gt;="&amp;$A1916,'Allocated Transactions'!$A:$A,"&lt;="&amp;EOMONTH($A1916,0))*0.99,100)</f>
        <v>100</v>
      </c>
      <c r="K1916" s="113" t="s">
        <v>637</v>
      </c>
    </row>
    <row r="1917" spans="1:11" ht="15" customHeight="1">
      <c r="A1917" s="112">
        <f t="shared" si="125"/>
        <v>46143</v>
      </c>
      <c r="B1917" s="113">
        <v>9</v>
      </c>
      <c r="C1917" s="18" t="str">
        <f t="shared" si="127"/>
        <v>2040</v>
      </c>
      <c r="D1917" s="113" t="str">
        <f>_xlfn.XLOOKUP($C1917,'Cost Centers'!$A$2:$A$11,'Cost Centers'!$B$2:$B$11,"")</f>
        <v>Europe</v>
      </c>
      <c r="E1917" s="113" t="s">
        <v>105</v>
      </c>
      <c r="F1917" s="113" t="str">
        <f>_xlfn.XLOOKUP(E1917,'Allocated Transactions'!D:D,'Allocated Transactions'!E:E,"")</f>
        <v>Office Supplies</v>
      </c>
      <c r="G1917" s="113" t="s">
        <v>97</v>
      </c>
      <c r="H1917" s="113"/>
      <c r="I1917" s="113" t="str">
        <f>_xlfn.XLOOKUP($C1917,'Cost Centers'!$A$2:$A$11,'Cost Centers'!$C$2:$C$11,"")</f>
        <v>Programs</v>
      </c>
      <c r="J1917" s="23">
        <f>MROUND(SUMIFS('Allocated Transactions'!$J:$J,'Allocated Transactions'!$D:$D,$E1917,'Allocated Transactions'!$C:$C,$C1917,'Allocated Transactions'!$A:$A,"&gt;="&amp;$A1917,'Allocated Transactions'!$A:$A,"&lt;="&amp;EOMONTH($A1917,0))*0.99,100)</f>
        <v>0</v>
      </c>
      <c r="K1917" s="113" t="s">
        <v>637</v>
      </c>
    </row>
    <row r="1918" spans="1:11" ht="15" customHeight="1">
      <c r="A1918" s="112">
        <f t="shared" si="125"/>
        <v>46143</v>
      </c>
      <c r="B1918" s="113">
        <v>9</v>
      </c>
      <c r="C1918" s="18" t="str">
        <f t="shared" si="127"/>
        <v>2040</v>
      </c>
      <c r="D1918" s="113" t="str">
        <f>_xlfn.XLOOKUP($C1918,'Cost Centers'!$A$2:$A$11,'Cost Centers'!$B$2:$B$11,"")</f>
        <v>Europe</v>
      </c>
      <c r="E1918" s="113" t="s">
        <v>107</v>
      </c>
      <c r="F1918" s="113" t="str">
        <f>_xlfn.XLOOKUP(E1918,'Allocated Transactions'!D:D,'Allocated Transactions'!E:E,"")</f>
        <v>Software and Subscriptions</v>
      </c>
      <c r="G1918" s="113" t="s">
        <v>97</v>
      </c>
      <c r="H1918" s="113"/>
      <c r="I1918" s="113" t="str">
        <f>_xlfn.XLOOKUP($C1918,'Cost Centers'!$A$2:$A$11,'Cost Centers'!$C$2:$C$11,"")</f>
        <v>Programs</v>
      </c>
      <c r="J1918" s="23">
        <f>MROUND(SUMIFS('Allocated Transactions'!$J:$J,'Allocated Transactions'!$D:$D,$E1918,'Allocated Transactions'!$C:$C,$C1918,'Allocated Transactions'!$A:$A,"&gt;="&amp;$A1918,'Allocated Transactions'!$A:$A,"&lt;="&amp;EOMONTH($A1918,0))*0.99,100)</f>
        <v>0</v>
      </c>
      <c r="K1918" s="113" t="s">
        <v>637</v>
      </c>
    </row>
    <row r="1919" spans="1:11" ht="15" customHeight="1">
      <c r="A1919" s="112">
        <f t="shared" si="125"/>
        <v>46143</v>
      </c>
      <c r="B1919" s="113">
        <v>9</v>
      </c>
      <c r="C1919" s="18" t="str">
        <f t="shared" si="127"/>
        <v>2040</v>
      </c>
      <c r="D1919" s="113" t="str">
        <f>_xlfn.XLOOKUP($C1919,'Cost Centers'!$A$2:$A$11,'Cost Centers'!$B$2:$B$11,"")</f>
        <v>Europe</v>
      </c>
      <c r="E1919" s="113" t="s">
        <v>109</v>
      </c>
      <c r="F1919" s="113" t="str">
        <f>_xlfn.XLOOKUP(E1919,'Allocated Transactions'!D:D,'Allocated Transactions'!E:E,"")</f>
        <v>Travel</v>
      </c>
      <c r="G1919" s="113" t="s">
        <v>97</v>
      </c>
      <c r="H1919" s="113"/>
      <c r="I1919" s="113" t="str">
        <f>_xlfn.XLOOKUP($C1919,'Cost Centers'!$A$2:$A$11,'Cost Centers'!$C$2:$C$11,"")</f>
        <v>Programs</v>
      </c>
      <c r="J1919" s="23">
        <f>MROUND(SUMIFS('Allocated Transactions'!$J:$J,'Allocated Transactions'!$D:$D,$E1919,'Allocated Transactions'!$C:$C,$C1919,'Allocated Transactions'!$A:$A,"&gt;="&amp;$A1919,'Allocated Transactions'!$A:$A,"&lt;="&amp;EOMONTH($A1919,0))*0.99,100)</f>
        <v>0</v>
      </c>
      <c r="K1919" s="113" t="s">
        <v>637</v>
      </c>
    </row>
    <row r="1920" spans="1:11" ht="15" customHeight="1">
      <c r="A1920" s="112">
        <f t="shared" si="125"/>
        <v>46143</v>
      </c>
      <c r="B1920" s="113">
        <v>9</v>
      </c>
      <c r="C1920" s="18" t="str">
        <f t="shared" si="127"/>
        <v>2040</v>
      </c>
      <c r="D1920" s="113" t="str">
        <f>_xlfn.XLOOKUP($C1920,'Cost Centers'!$A$2:$A$11,'Cost Centers'!$B$2:$B$11,"")</f>
        <v>Europe</v>
      </c>
      <c r="E1920" s="113" t="s">
        <v>111</v>
      </c>
      <c r="F1920" s="113" t="str">
        <f>_xlfn.XLOOKUP(E1920,'Allocated Transactions'!D:D,'Allocated Transactions'!E:E,"")</f>
        <v>Meals and Entertainment</v>
      </c>
      <c r="G1920" s="113" t="s">
        <v>97</v>
      </c>
      <c r="H1920" s="113"/>
      <c r="I1920" s="113" t="str">
        <f>_xlfn.XLOOKUP($C1920,'Cost Centers'!$A$2:$A$11,'Cost Centers'!$C$2:$C$11,"")</f>
        <v>Programs</v>
      </c>
      <c r="J1920" s="23">
        <f>MROUND(SUMIFS('Allocated Transactions'!$J:$J,'Allocated Transactions'!$D:$D,$E1920,'Allocated Transactions'!$C:$C,$C1920,'Allocated Transactions'!$A:$A,"&gt;="&amp;$A1920,'Allocated Transactions'!$A:$A,"&lt;="&amp;EOMONTH($A1920,0))*0.99,100)</f>
        <v>0</v>
      </c>
      <c r="K1920" s="113" t="s">
        <v>637</v>
      </c>
    </row>
    <row r="1921" spans="1:11" ht="15" customHeight="1">
      <c r="A1921" s="112">
        <f t="shared" si="125"/>
        <v>46143</v>
      </c>
      <c r="B1921" s="113">
        <v>9</v>
      </c>
      <c r="C1921" s="18" t="str">
        <f t="shared" si="127"/>
        <v>2040</v>
      </c>
      <c r="D1921" s="113" t="str">
        <f>_xlfn.XLOOKUP($C1921,'Cost Centers'!$A$2:$A$11,'Cost Centers'!$B$2:$B$11,"")</f>
        <v>Europe</v>
      </c>
      <c r="E1921" s="113" t="s">
        <v>113</v>
      </c>
      <c r="F1921" s="113" t="str">
        <f>_xlfn.XLOOKUP(E1921,'Allocated Transactions'!D:D,'Allocated Transactions'!E:E,"")</f>
        <v>Professional Fees - Legal</v>
      </c>
      <c r="G1921" s="113" t="s">
        <v>97</v>
      </c>
      <c r="H1921" s="113"/>
      <c r="I1921" s="113" t="str">
        <f>_xlfn.XLOOKUP($C1921,'Cost Centers'!$A$2:$A$11,'Cost Centers'!$C$2:$C$11,"")</f>
        <v>Programs</v>
      </c>
      <c r="J1921" s="23">
        <f>MROUND(SUMIFS('Allocated Transactions'!$J:$J,'Allocated Transactions'!$D:$D,$E1921,'Allocated Transactions'!$C:$C,$C1921,'Allocated Transactions'!$A:$A,"&gt;="&amp;$A1921,'Allocated Transactions'!$A:$A,"&lt;="&amp;EOMONTH($A1921,0))*0.99,100)</f>
        <v>0</v>
      </c>
      <c r="K1921" s="113" t="s">
        <v>637</v>
      </c>
    </row>
    <row r="1922" spans="1:11" ht="15" customHeight="1">
      <c r="A1922" s="112">
        <f t="shared" si="125"/>
        <v>46143</v>
      </c>
      <c r="B1922" s="113">
        <v>9</v>
      </c>
      <c r="C1922" s="18" t="str">
        <f t="shared" si="127"/>
        <v>2040</v>
      </c>
      <c r="D1922" s="113" t="str">
        <f>_xlfn.XLOOKUP($C1922,'Cost Centers'!$A$2:$A$11,'Cost Centers'!$B$2:$B$11,"")</f>
        <v>Europe</v>
      </c>
      <c r="E1922" s="113" t="s">
        <v>115</v>
      </c>
      <c r="F1922" s="113" t="str">
        <f>_xlfn.XLOOKUP(E1922,'Allocated Transactions'!D:D,'Allocated Transactions'!E:E,"")</f>
        <v>Professional Fees - Accounting/Audit</v>
      </c>
      <c r="G1922" s="113" t="s">
        <v>97</v>
      </c>
      <c r="H1922" s="113"/>
      <c r="I1922" s="113" t="str">
        <f>_xlfn.XLOOKUP($C1922,'Cost Centers'!$A$2:$A$11,'Cost Centers'!$C$2:$C$11,"")</f>
        <v>Programs</v>
      </c>
      <c r="J1922" s="23">
        <f>MROUND(SUMIFS('Allocated Transactions'!$J:$J,'Allocated Transactions'!$D:$D,$E1922,'Allocated Transactions'!$C:$C,$C1922,'Allocated Transactions'!$A:$A,"&gt;="&amp;$A1922,'Allocated Transactions'!$A:$A,"&lt;="&amp;EOMONTH($A1922,0))*0.99,100)</f>
        <v>0</v>
      </c>
      <c r="K1922" s="113" t="s">
        <v>637</v>
      </c>
    </row>
    <row r="1923" spans="1:11" ht="15" customHeight="1">
      <c r="A1923" s="112">
        <f t="shared" si="125"/>
        <v>46143</v>
      </c>
      <c r="B1923" s="113">
        <v>9</v>
      </c>
      <c r="C1923" s="18" t="str">
        <f t="shared" si="127"/>
        <v>2040</v>
      </c>
      <c r="D1923" s="113" t="str">
        <f>_xlfn.XLOOKUP($C1923,'Cost Centers'!$A$2:$A$11,'Cost Centers'!$B$2:$B$11,"")</f>
        <v>Europe</v>
      </c>
      <c r="E1923" s="113" t="s">
        <v>117</v>
      </c>
      <c r="F1923" s="113" t="str">
        <f>_xlfn.XLOOKUP(E1923,'Allocated Transactions'!D:D,'Allocated Transactions'!E:E,"")</f>
        <v>Insurance</v>
      </c>
      <c r="G1923" s="113" t="s">
        <v>97</v>
      </c>
      <c r="H1923" s="113"/>
      <c r="I1923" s="113" t="str">
        <f>_xlfn.XLOOKUP($C1923,'Cost Centers'!$A$2:$A$11,'Cost Centers'!$C$2:$C$11,"")</f>
        <v>Programs</v>
      </c>
      <c r="J1923" s="23">
        <f>MROUND(SUMIFS('Allocated Transactions'!$J:$J,'Allocated Transactions'!$D:$D,$E1923,'Allocated Transactions'!$C:$C,$C1923,'Allocated Transactions'!$A:$A,"&gt;="&amp;$A1923,'Allocated Transactions'!$A:$A,"&lt;="&amp;EOMONTH($A1923,0))*0.99,100)</f>
        <v>100</v>
      </c>
      <c r="K1923" s="113" t="s">
        <v>637</v>
      </c>
    </row>
    <row r="1924" spans="1:11" ht="15" customHeight="1">
      <c r="A1924" s="112">
        <f t="shared" si="125"/>
        <v>46143</v>
      </c>
      <c r="B1924" s="113">
        <v>9</v>
      </c>
      <c r="C1924" s="18" t="str">
        <f t="shared" si="127"/>
        <v>2040</v>
      </c>
      <c r="D1924" s="113" t="str">
        <f>_xlfn.XLOOKUP($C1924,'Cost Centers'!$A$2:$A$11,'Cost Centers'!$B$2:$B$11,"")</f>
        <v>Europe</v>
      </c>
      <c r="E1924" s="113" t="s">
        <v>119</v>
      </c>
      <c r="F1924" s="113" t="str">
        <f>_xlfn.XLOOKUP(E1924,'Allocated Transactions'!D:D,'Allocated Transactions'!E:E,"")</f>
        <v>Depreciation Expense</v>
      </c>
      <c r="G1924" s="113" t="s">
        <v>97</v>
      </c>
      <c r="H1924" s="113"/>
      <c r="I1924" s="113" t="str">
        <f>_xlfn.XLOOKUP($C1924,'Cost Centers'!$A$2:$A$11,'Cost Centers'!$C$2:$C$11,"")</f>
        <v>Programs</v>
      </c>
      <c r="J1924" s="23">
        <f>MROUND(SUMIFS('Allocated Transactions'!$J:$J,'Allocated Transactions'!$D:$D,$E1924,'Allocated Transactions'!$C:$C,$C1924,'Allocated Transactions'!$A:$A,"&gt;="&amp;$A1924,'Allocated Transactions'!$A:$A,"&lt;="&amp;EOMONTH($A1924,0))*0.99,100)</f>
        <v>0</v>
      </c>
      <c r="K1924" s="113" t="s">
        <v>637</v>
      </c>
    </row>
    <row r="1925" spans="1:11" ht="15" customHeight="1">
      <c r="A1925" s="112">
        <f t="shared" si="125"/>
        <v>46143</v>
      </c>
      <c r="B1925" s="113">
        <v>9</v>
      </c>
      <c r="C1925" s="18" t="str">
        <f t="shared" si="127"/>
        <v>2040</v>
      </c>
      <c r="D1925" s="113" t="str">
        <f>_xlfn.XLOOKUP($C1925,'Cost Centers'!$A$2:$A$11,'Cost Centers'!$B$2:$B$11,"")</f>
        <v>Europe</v>
      </c>
      <c r="E1925" s="113" t="s">
        <v>121</v>
      </c>
      <c r="F1925" s="113" t="str">
        <f>_xlfn.XLOOKUP(E1925,'Allocated Transactions'!D:D,'Allocated Transactions'!E:E,"")</f>
        <v>Bank Fees</v>
      </c>
      <c r="G1925" s="113" t="s">
        <v>97</v>
      </c>
      <c r="H1925" s="113"/>
      <c r="I1925" s="113" t="str">
        <f>_xlfn.XLOOKUP($C1925,'Cost Centers'!$A$2:$A$11,'Cost Centers'!$C$2:$C$11,"")</f>
        <v>Programs</v>
      </c>
      <c r="J1925" s="23">
        <f>MROUND(SUMIFS('Allocated Transactions'!$J:$J,'Allocated Transactions'!$D:$D,$E1925,'Allocated Transactions'!$C:$C,$C1925,'Allocated Transactions'!$A:$A,"&gt;="&amp;$A1925,'Allocated Transactions'!$A:$A,"&lt;="&amp;EOMONTH($A1925,0))*0.99,100)</f>
        <v>0</v>
      </c>
      <c r="K1925" s="113" t="s">
        <v>637</v>
      </c>
    </row>
    <row r="1926" spans="1:11" ht="15" customHeight="1">
      <c r="A1926" s="112">
        <f t="shared" si="125"/>
        <v>46143</v>
      </c>
      <c r="B1926" s="113">
        <v>9</v>
      </c>
      <c r="C1926" s="18" t="str">
        <f t="shared" si="127"/>
        <v>2040</v>
      </c>
      <c r="D1926" s="113" t="str">
        <f>_xlfn.XLOOKUP($C1926,'Cost Centers'!$A$2:$A$11,'Cost Centers'!$B$2:$B$11,"")</f>
        <v>Europe</v>
      </c>
      <c r="E1926" s="113" t="s">
        <v>123</v>
      </c>
      <c r="F1926" s="113" t="str">
        <f>_xlfn.XLOOKUP(E1926,'Allocated Transactions'!D:D,'Allocated Transactions'!E:E,"")</f>
        <v>Interest Expense</v>
      </c>
      <c r="G1926" s="113" t="s">
        <v>97</v>
      </c>
      <c r="H1926" s="113"/>
      <c r="I1926" s="113" t="str">
        <f>_xlfn.XLOOKUP($C1926,'Cost Centers'!$A$2:$A$11,'Cost Centers'!$C$2:$C$11,"")</f>
        <v>Programs</v>
      </c>
      <c r="J1926" s="23">
        <f>MROUND(SUMIFS('Allocated Transactions'!$J:$J,'Allocated Transactions'!$D:$D,$E1926,'Allocated Transactions'!$C:$C,$C1926,'Allocated Transactions'!$A:$A,"&gt;="&amp;$A1926,'Allocated Transactions'!$A:$A,"&lt;="&amp;EOMONTH($A1926,0))*0.99,100)</f>
        <v>0</v>
      </c>
      <c r="K1926" s="113" t="s">
        <v>637</v>
      </c>
    </row>
    <row r="1927" spans="1:11" ht="15" customHeight="1">
      <c r="A1927" s="112">
        <f t="shared" si="125"/>
        <v>46143</v>
      </c>
      <c r="B1927" s="113">
        <v>9</v>
      </c>
      <c r="C1927" s="18" t="str">
        <f t="shared" si="127"/>
        <v>2040</v>
      </c>
      <c r="D1927" s="113" t="str">
        <f>_xlfn.XLOOKUP($C1927,'Cost Centers'!$A$2:$A$11,'Cost Centers'!$B$2:$B$11,"")</f>
        <v>Europe</v>
      </c>
      <c r="E1927" s="113" t="s">
        <v>125</v>
      </c>
      <c r="F1927" s="113" t="str">
        <f>_xlfn.XLOOKUP(E1927,'Allocated Transactions'!D:D,'Allocated Transactions'!E:E,"")</f>
        <v>Miscellaneous Expense</v>
      </c>
      <c r="G1927" s="113" t="s">
        <v>97</v>
      </c>
      <c r="H1927" s="113"/>
      <c r="I1927" s="113" t="str">
        <f>_xlfn.XLOOKUP($C1927,'Cost Centers'!$A$2:$A$11,'Cost Centers'!$C$2:$C$11,"")</f>
        <v>Programs</v>
      </c>
      <c r="J1927" s="23">
        <f>MROUND(SUMIFS('Allocated Transactions'!$J:$J,'Allocated Transactions'!$D:$D,$E1927,'Allocated Transactions'!$C:$C,$C1927,'Allocated Transactions'!$A:$A,"&gt;="&amp;$A1927,'Allocated Transactions'!$A:$A,"&lt;="&amp;EOMONTH($A1927,0))*0.99,100)</f>
        <v>0</v>
      </c>
      <c r="K1927" s="113" t="s">
        <v>637</v>
      </c>
    </row>
    <row r="1928" spans="1:11" ht="15" customHeight="1">
      <c r="A1928" s="112">
        <f t="shared" si="125"/>
        <v>46174</v>
      </c>
      <c r="B1928" s="113">
        <v>9</v>
      </c>
      <c r="C1928" s="18" t="s">
        <v>18</v>
      </c>
      <c r="D1928" s="113" t="str">
        <f>_xlfn.XLOOKUP($C1928,'Cost Centers'!$A$2:$A$11,'Cost Centers'!$B$2:$B$11,"")</f>
        <v>Europe</v>
      </c>
      <c r="E1928" s="113" t="s">
        <v>28</v>
      </c>
      <c r="F1928" s="113" t="str">
        <f>_xlfn.XLOOKUP(E1928,'Allocated Transactions'!D:D,'Allocated Transactions'!E:E,"")</f>
        <v>Salaries and Wages</v>
      </c>
      <c r="G1928" s="113" t="s">
        <v>97</v>
      </c>
      <c r="H1928" s="113"/>
      <c r="I1928" s="113" t="str">
        <f>_xlfn.XLOOKUP($C1928,'Cost Centers'!$A$2:$A$11,'Cost Centers'!$C$2:$C$11,"")</f>
        <v>Programs</v>
      </c>
      <c r="J1928" s="23">
        <f>MROUND(SUMIFS('Allocated Transactions'!$J:$J,'Allocated Transactions'!$D:$D,$E1928,'Allocated Transactions'!$C:$C,$C1928,'Allocated Transactions'!$A:$A,"&gt;="&amp;$A1928,'Allocated Transactions'!$A:$A,"&lt;="&amp;EOMONTH($A1928,0))*0.99,100)</f>
        <v>18900</v>
      </c>
      <c r="K1928" s="113" t="s">
        <v>637</v>
      </c>
    </row>
    <row r="1929" spans="1:11" ht="15" customHeight="1">
      <c r="A1929" s="112">
        <f t="shared" si="125"/>
        <v>46174</v>
      </c>
      <c r="B1929" s="113">
        <v>9</v>
      </c>
      <c r="C1929" s="18" t="str">
        <f t="shared" ref="C1929:C1945" si="128">C1928</f>
        <v>2040</v>
      </c>
      <c r="D1929" s="113" t="str">
        <f>_xlfn.XLOOKUP($C1929,'Cost Centers'!$A$2:$A$11,'Cost Centers'!$B$2:$B$11,"")</f>
        <v>Europe</v>
      </c>
      <c r="E1929" s="113" t="s">
        <v>29</v>
      </c>
      <c r="F1929" s="113" t="str">
        <f>_xlfn.XLOOKUP(E1929,'Allocated Transactions'!D:D,'Allocated Transactions'!E:E,"")</f>
        <v>Payroll Taxes</v>
      </c>
      <c r="G1929" s="113" t="s">
        <v>97</v>
      </c>
      <c r="H1929" s="113"/>
      <c r="I1929" s="113" t="str">
        <f>_xlfn.XLOOKUP($C1929,'Cost Centers'!$A$2:$A$11,'Cost Centers'!$C$2:$C$11,"")</f>
        <v>Programs</v>
      </c>
      <c r="J1929" s="23">
        <f>MROUND(SUMIFS('Allocated Transactions'!$J:$J,'Allocated Transactions'!$D:$D,$E1929,'Allocated Transactions'!$C:$C,$C1929,'Allocated Transactions'!$A:$A,"&gt;="&amp;$A1929,'Allocated Transactions'!$A:$A,"&lt;="&amp;EOMONTH($A1929,0))*0.99,100)</f>
        <v>1400</v>
      </c>
      <c r="K1929" s="113" t="s">
        <v>637</v>
      </c>
    </row>
    <row r="1930" spans="1:11" ht="15" customHeight="1">
      <c r="A1930" s="112">
        <f t="shared" si="125"/>
        <v>46174</v>
      </c>
      <c r="B1930" s="113">
        <v>9</v>
      </c>
      <c r="C1930" s="18" t="str">
        <f t="shared" si="128"/>
        <v>2040</v>
      </c>
      <c r="D1930" s="113" t="str">
        <f>_xlfn.XLOOKUP($C1930,'Cost Centers'!$A$2:$A$11,'Cost Centers'!$B$2:$B$11,"")</f>
        <v>Europe</v>
      </c>
      <c r="E1930" s="113" t="s">
        <v>30</v>
      </c>
      <c r="F1930" s="113" t="str">
        <f>_xlfn.XLOOKUP(E1930,'Allocated Transactions'!D:D,'Allocated Transactions'!E:E,"")</f>
        <v>Employee Benefits</v>
      </c>
      <c r="G1930" s="113" t="s">
        <v>97</v>
      </c>
      <c r="H1930" s="113"/>
      <c r="I1930" s="113" t="str">
        <f>_xlfn.XLOOKUP($C1930,'Cost Centers'!$A$2:$A$11,'Cost Centers'!$C$2:$C$11,"")</f>
        <v>Programs</v>
      </c>
      <c r="J1930" s="23">
        <f>MROUND(SUMIFS('Allocated Transactions'!$J:$J,'Allocated Transactions'!$D:$D,$E1930,'Allocated Transactions'!$C:$C,$C1930,'Allocated Transactions'!$A:$A,"&gt;="&amp;$A1930,'Allocated Transactions'!$A:$A,"&lt;="&amp;EOMONTH($A1930,0))*0.99,100)</f>
        <v>8600</v>
      </c>
      <c r="K1930" s="113" t="s">
        <v>637</v>
      </c>
    </row>
    <row r="1931" spans="1:11" ht="15" customHeight="1">
      <c r="A1931" s="112">
        <f t="shared" si="125"/>
        <v>46174</v>
      </c>
      <c r="B1931" s="113">
        <v>9</v>
      </c>
      <c r="C1931" s="18" t="str">
        <f t="shared" si="128"/>
        <v>2040</v>
      </c>
      <c r="D1931" s="113" t="str">
        <f>_xlfn.XLOOKUP($C1931,'Cost Centers'!$A$2:$A$11,'Cost Centers'!$B$2:$B$11,"")</f>
        <v>Europe</v>
      </c>
      <c r="E1931" s="113" t="s">
        <v>31</v>
      </c>
      <c r="F1931" s="113" t="str">
        <f>_xlfn.XLOOKUP(E1931,'Allocated Transactions'!D:D,'Allocated Transactions'!E:E,"")</f>
        <v>Retirement Contributions</v>
      </c>
      <c r="G1931" s="113" t="s">
        <v>97</v>
      </c>
      <c r="H1931" s="113"/>
      <c r="I1931" s="113" t="str">
        <f>_xlfn.XLOOKUP($C1931,'Cost Centers'!$A$2:$A$11,'Cost Centers'!$C$2:$C$11,"")</f>
        <v>Programs</v>
      </c>
      <c r="J1931" s="23">
        <f>MROUND(SUMIFS('Allocated Transactions'!$J:$J,'Allocated Transactions'!$D:$D,$E1931,'Allocated Transactions'!$C:$C,$C1931,'Allocated Transactions'!$A:$A,"&gt;="&amp;$A1931,'Allocated Transactions'!$A:$A,"&lt;="&amp;EOMONTH($A1931,0))*0.99,100)</f>
        <v>600</v>
      </c>
      <c r="K1931" s="113" t="s">
        <v>637</v>
      </c>
    </row>
    <row r="1932" spans="1:11" ht="15" customHeight="1">
      <c r="A1932" s="112">
        <f t="shared" si="125"/>
        <v>46174</v>
      </c>
      <c r="B1932" s="113">
        <v>9</v>
      </c>
      <c r="C1932" s="18" t="str">
        <f t="shared" si="128"/>
        <v>2040</v>
      </c>
      <c r="D1932" s="113" t="str">
        <f>_xlfn.XLOOKUP($C1932,'Cost Centers'!$A$2:$A$11,'Cost Centers'!$B$2:$B$11,"")</f>
        <v>Europe</v>
      </c>
      <c r="E1932" s="113" t="s">
        <v>101</v>
      </c>
      <c r="F1932" s="113" t="str">
        <f>_xlfn.XLOOKUP(E1932,'Allocated Transactions'!D:D,'Allocated Transactions'!E:E,"")</f>
        <v>Contract Labor / Consultants</v>
      </c>
      <c r="G1932" s="113" t="s">
        <v>97</v>
      </c>
      <c r="H1932" s="113"/>
      <c r="I1932" s="113" t="str">
        <f>_xlfn.XLOOKUP($C1932,'Cost Centers'!$A$2:$A$11,'Cost Centers'!$C$2:$C$11,"")</f>
        <v>Programs</v>
      </c>
      <c r="J1932" s="23">
        <f>MROUND(SUMIFS('Allocated Transactions'!$J:$J,'Allocated Transactions'!$D:$D,$E1932,'Allocated Transactions'!$C:$C,$C1932,'Allocated Transactions'!$A:$A,"&gt;="&amp;$A1932,'Allocated Transactions'!$A:$A,"&lt;="&amp;EOMONTH($A1932,0))*0.99,100)</f>
        <v>0</v>
      </c>
      <c r="K1932" s="113" t="s">
        <v>637</v>
      </c>
    </row>
    <row r="1933" spans="1:11" ht="15" customHeight="1">
      <c r="A1933" s="112">
        <f t="shared" si="125"/>
        <v>46174</v>
      </c>
      <c r="B1933" s="113">
        <v>9</v>
      </c>
      <c r="C1933" s="18" t="str">
        <f t="shared" si="128"/>
        <v>2040</v>
      </c>
      <c r="D1933" s="113" t="str">
        <f>_xlfn.XLOOKUP($C1933,'Cost Centers'!$A$2:$A$11,'Cost Centers'!$B$2:$B$11,"")</f>
        <v>Europe</v>
      </c>
      <c r="E1933" s="113" t="s">
        <v>32</v>
      </c>
      <c r="F1933" s="113" t="str">
        <f>_xlfn.XLOOKUP(E1933,'Allocated Transactions'!D:D,'Allocated Transactions'!E:E,"")</f>
        <v>Rent</v>
      </c>
      <c r="G1933" s="113" t="s">
        <v>97</v>
      </c>
      <c r="H1933" s="113"/>
      <c r="I1933" s="113" t="str">
        <f>_xlfn.XLOOKUP($C1933,'Cost Centers'!$A$2:$A$11,'Cost Centers'!$C$2:$C$11,"")</f>
        <v>Programs</v>
      </c>
      <c r="J1933" s="23">
        <f>MROUND(SUMIFS('Allocated Transactions'!$J:$J,'Allocated Transactions'!$D:$D,$E1933,'Allocated Transactions'!$C:$C,$C1933,'Allocated Transactions'!$A:$A,"&gt;="&amp;$A1933,'Allocated Transactions'!$A:$A,"&lt;="&amp;EOMONTH($A1933,0))*0.99,100)</f>
        <v>1500</v>
      </c>
      <c r="K1933" s="113" t="s">
        <v>637</v>
      </c>
    </row>
    <row r="1934" spans="1:11" ht="15" customHeight="1">
      <c r="A1934" s="112">
        <f t="shared" si="125"/>
        <v>46174</v>
      </c>
      <c r="B1934" s="113">
        <v>9</v>
      </c>
      <c r="C1934" s="18" t="str">
        <f t="shared" si="128"/>
        <v>2040</v>
      </c>
      <c r="D1934" s="113" t="str">
        <f>_xlfn.XLOOKUP($C1934,'Cost Centers'!$A$2:$A$11,'Cost Centers'!$B$2:$B$11,"")</f>
        <v>Europe</v>
      </c>
      <c r="E1934" s="113" t="s">
        <v>33</v>
      </c>
      <c r="F1934" s="113" t="str">
        <f>_xlfn.XLOOKUP(E1934,'Allocated Transactions'!D:D,'Allocated Transactions'!E:E,"")</f>
        <v>Utilities</v>
      </c>
      <c r="G1934" s="113" t="s">
        <v>97</v>
      </c>
      <c r="H1934" s="113"/>
      <c r="I1934" s="113" t="str">
        <f>_xlfn.XLOOKUP($C1934,'Cost Centers'!$A$2:$A$11,'Cost Centers'!$C$2:$C$11,"")</f>
        <v>Programs</v>
      </c>
      <c r="J1934" s="23">
        <f>MROUND(SUMIFS('Allocated Transactions'!$J:$J,'Allocated Transactions'!$D:$D,$E1934,'Allocated Transactions'!$C:$C,$C1934,'Allocated Transactions'!$A:$A,"&gt;="&amp;$A1934,'Allocated Transactions'!$A:$A,"&lt;="&amp;EOMONTH($A1934,0))*0.99,100)</f>
        <v>100</v>
      </c>
      <c r="K1934" s="113" t="s">
        <v>637</v>
      </c>
    </row>
    <row r="1935" spans="1:11" ht="15" customHeight="1">
      <c r="A1935" s="112">
        <f t="shared" si="125"/>
        <v>46174</v>
      </c>
      <c r="B1935" s="113">
        <v>9</v>
      </c>
      <c r="C1935" s="18" t="str">
        <f t="shared" si="128"/>
        <v>2040</v>
      </c>
      <c r="D1935" s="113" t="str">
        <f>_xlfn.XLOOKUP($C1935,'Cost Centers'!$A$2:$A$11,'Cost Centers'!$B$2:$B$11,"")</f>
        <v>Europe</v>
      </c>
      <c r="E1935" s="113" t="s">
        <v>105</v>
      </c>
      <c r="F1935" s="113" t="str">
        <f>_xlfn.XLOOKUP(E1935,'Allocated Transactions'!D:D,'Allocated Transactions'!E:E,"")</f>
        <v>Office Supplies</v>
      </c>
      <c r="G1935" s="113" t="s">
        <v>97</v>
      </c>
      <c r="H1935" s="113"/>
      <c r="I1935" s="113" t="str">
        <f>_xlfn.XLOOKUP($C1935,'Cost Centers'!$A$2:$A$11,'Cost Centers'!$C$2:$C$11,"")</f>
        <v>Programs</v>
      </c>
      <c r="J1935" s="23">
        <f>MROUND(SUMIFS('Allocated Transactions'!$J:$J,'Allocated Transactions'!$D:$D,$E1935,'Allocated Transactions'!$C:$C,$C1935,'Allocated Transactions'!$A:$A,"&gt;="&amp;$A1935,'Allocated Transactions'!$A:$A,"&lt;="&amp;EOMONTH($A1935,0))*0.99,100)</f>
        <v>1500</v>
      </c>
      <c r="K1935" s="113" t="s">
        <v>637</v>
      </c>
    </row>
    <row r="1936" spans="1:11" ht="15" customHeight="1">
      <c r="A1936" s="112">
        <f t="shared" si="125"/>
        <v>46174</v>
      </c>
      <c r="B1936" s="113">
        <v>9</v>
      </c>
      <c r="C1936" s="18" t="str">
        <f t="shared" si="128"/>
        <v>2040</v>
      </c>
      <c r="D1936" s="113" t="str">
        <f>_xlfn.XLOOKUP($C1936,'Cost Centers'!$A$2:$A$11,'Cost Centers'!$B$2:$B$11,"")</f>
        <v>Europe</v>
      </c>
      <c r="E1936" s="113" t="s">
        <v>107</v>
      </c>
      <c r="F1936" s="113" t="str">
        <f>_xlfn.XLOOKUP(E1936,'Allocated Transactions'!D:D,'Allocated Transactions'!E:E,"")</f>
        <v>Software and Subscriptions</v>
      </c>
      <c r="G1936" s="113" t="s">
        <v>97</v>
      </c>
      <c r="H1936" s="113"/>
      <c r="I1936" s="113" t="str">
        <f>_xlfn.XLOOKUP($C1936,'Cost Centers'!$A$2:$A$11,'Cost Centers'!$C$2:$C$11,"")</f>
        <v>Programs</v>
      </c>
      <c r="J1936" s="23">
        <f>MROUND(SUMIFS('Allocated Transactions'!$J:$J,'Allocated Transactions'!$D:$D,$E1936,'Allocated Transactions'!$C:$C,$C1936,'Allocated Transactions'!$A:$A,"&gt;="&amp;$A1936,'Allocated Transactions'!$A:$A,"&lt;="&amp;EOMONTH($A1936,0))*0.99,100)</f>
        <v>0</v>
      </c>
      <c r="K1936" s="113" t="s">
        <v>637</v>
      </c>
    </row>
    <row r="1937" spans="1:11" ht="15" customHeight="1">
      <c r="A1937" s="112">
        <f t="shared" si="125"/>
        <v>46174</v>
      </c>
      <c r="B1937" s="113">
        <v>9</v>
      </c>
      <c r="C1937" s="18" t="str">
        <f t="shared" si="128"/>
        <v>2040</v>
      </c>
      <c r="D1937" s="113" t="str">
        <f>_xlfn.XLOOKUP($C1937,'Cost Centers'!$A$2:$A$11,'Cost Centers'!$B$2:$B$11,"")</f>
        <v>Europe</v>
      </c>
      <c r="E1937" s="113" t="s">
        <v>109</v>
      </c>
      <c r="F1937" s="113" t="str">
        <f>_xlfn.XLOOKUP(E1937,'Allocated Transactions'!D:D,'Allocated Transactions'!E:E,"")</f>
        <v>Travel</v>
      </c>
      <c r="G1937" s="113" t="s">
        <v>97</v>
      </c>
      <c r="H1937" s="113"/>
      <c r="I1937" s="113" t="str">
        <f>_xlfn.XLOOKUP($C1937,'Cost Centers'!$A$2:$A$11,'Cost Centers'!$C$2:$C$11,"")</f>
        <v>Programs</v>
      </c>
      <c r="J1937" s="23">
        <f>MROUND(SUMIFS('Allocated Transactions'!$J:$J,'Allocated Transactions'!$D:$D,$E1937,'Allocated Transactions'!$C:$C,$C1937,'Allocated Transactions'!$A:$A,"&gt;="&amp;$A1937,'Allocated Transactions'!$A:$A,"&lt;="&amp;EOMONTH($A1937,0))*0.99,100)</f>
        <v>0</v>
      </c>
      <c r="K1937" s="113" t="s">
        <v>637</v>
      </c>
    </row>
    <row r="1938" spans="1:11" ht="15" customHeight="1">
      <c r="A1938" s="112">
        <f t="shared" si="125"/>
        <v>46174</v>
      </c>
      <c r="B1938" s="113">
        <v>9</v>
      </c>
      <c r="C1938" s="18" t="str">
        <f t="shared" si="128"/>
        <v>2040</v>
      </c>
      <c r="D1938" s="113" t="str">
        <f>_xlfn.XLOOKUP($C1938,'Cost Centers'!$A$2:$A$11,'Cost Centers'!$B$2:$B$11,"")</f>
        <v>Europe</v>
      </c>
      <c r="E1938" s="113" t="s">
        <v>111</v>
      </c>
      <c r="F1938" s="113" t="str">
        <f>_xlfn.XLOOKUP(E1938,'Allocated Transactions'!D:D,'Allocated Transactions'!E:E,"")</f>
        <v>Meals and Entertainment</v>
      </c>
      <c r="G1938" s="113" t="s">
        <v>97</v>
      </c>
      <c r="H1938" s="113"/>
      <c r="I1938" s="113" t="str">
        <f>_xlfn.XLOOKUP($C1938,'Cost Centers'!$A$2:$A$11,'Cost Centers'!$C$2:$C$11,"")</f>
        <v>Programs</v>
      </c>
      <c r="J1938" s="23">
        <f>MROUND(SUMIFS('Allocated Transactions'!$J:$J,'Allocated Transactions'!$D:$D,$E1938,'Allocated Transactions'!$C:$C,$C1938,'Allocated Transactions'!$A:$A,"&gt;="&amp;$A1938,'Allocated Transactions'!$A:$A,"&lt;="&amp;EOMONTH($A1938,0))*0.99,100)</f>
        <v>300</v>
      </c>
      <c r="K1938" s="113" t="s">
        <v>637</v>
      </c>
    </row>
    <row r="1939" spans="1:11" ht="15" customHeight="1">
      <c r="A1939" s="112">
        <f t="shared" si="125"/>
        <v>46174</v>
      </c>
      <c r="B1939" s="113">
        <v>9</v>
      </c>
      <c r="C1939" s="18" t="str">
        <f t="shared" si="128"/>
        <v>2040</v>
      </c>
      <c r="D1939" s="113" t="str">
        <f>_xlfn.XLOOKUP($C1939,'Cost Centers'!$A$2:$A$11,'Cost Centers'!$B$2:$B$11,"")</f>
        <v>Europe</v>
      </c>
      <c r="E1939" s="113" t="s">
        <v>113</v>
      </c>
      <c r="F1939" s="113" t="str">
        <f>_xlfn.XLOOKUP(E1939,'Allocated Transactions'!D:D,'Allocated Transactions'!E:E,"")</f>
        <v>Professional Fees - Legal</v>
      </c>
      <c r="G1939" s="113" t="s">
        <v>97</v>
      </c>
      <c r="H1939" s="113"/>
      <c r="I1939" s="113" t="str">
        <f>_xlfn.XLOOKUP($C1939,'Cost Centers'!$A$2:$A$11,'Cost Centers'!$C$2:$C$11,"")</f>
        <v>Programs</v>
      </c>
      <c r="J1939" s="23">
        <f>MROUND(SUMIFS('Allocated Transactions'!$J:$J,'Allocated Transactions'!$D:$D,$E1939,'Allocated Transactions'!$C:$C,$C1939,'Allocated Transactions'!$A:$A,"&gt;="&amp;$A1939,'Allocated Transactions'!$A:$A,"&lt;="&amp;EOMONTH($A1939,0))*0.99,100)</f>
        <v>0</v>
      </c>
      <c r="K1939" s="113" t="s">
        <v>637</v>
      </c>
    </row>
    <row r="1940" spans="1:11" ht="15" customHeight="1">
      <c r="A1940" s="112">
        <f t="shared" si="125"/>
        <v>46174</v>
      </c>
      <c r="B1940" s="113">
        <v>9</v>
      </c>
      <c r="C1940" s="18" t="str">
        <f t="shared" si="128"/>
        <v>2040</v>
      </c>
      <c r="D1940" s="113" t="str">
        <f>_xlfn.XLOOKUP($C1940,'Cost Centers'!$A$2:$A$11,'Cost Centers'!$B$2:$B$11,"")</f>
        <v>Europe</v>
      </c>
      <c r="E1940" s="113" t="s">
        <v>115</v>
      </c>
      <c r="F1940" s="113" t="str">
        <f>_xlfn.XLOOKUP(E1940,'Allocated Transactions'!D:D,'Allocated Transactions'!E:E,"")</f>
        <v>Professional Fees - Accounting/Audit</v>
      </c>
      <c r="G1940" s="113" t="s">
        <v>97</v>
      </c>
      <c r="H1940" s="113"/>
      <c r="I1940" s="113" t="str">
        <f>_xlfn.XLOOKUP($C1940,'Cost Centers'!$A$2:$A$11,'Cost Centers'!$C$2:$C$11,"")</f>
        <v>Programs</v>
      </c>
      <c r="J1940" s="23">
        <f>MROUND(SUMIFS('Allocated Transactions'!$J:$J,'Allocated Transactions'!$D:$D,$E1940,'Allocated Transactions'!$C:$C,$C1940,'Allocated Transactions'!$A:$A,"&gt;="&amp;$A1940,'Allocated Transactions'!$A:$A,"&lt;="&amp;EOMONTH($A1940,0))*0.99,100)</f>
        <v>14600</v>
      </c>
      <c r="K1940" s="113" t="s">
        <v>637</v>
      </c>
    </row>
    <row r="1941" spans="1:11" ht="15" customHeight="1">
      <c r="A1941" s="112">
        <f t="shared" si="125"/>
        <v>46174</v>
      </c>
      <c r="B1941" s="113">
        <v>9</v>
      </c>
      <c r="C1941" s="18" t="str">
        <f t="shared" si="128"/>
        <v>2040</v>
      </c>
      <c r="D1941" s="113" t="str">
        <f>_xlfn.XLOOKUP($C1941,'Cost Centers'!$A$2:$A$11,'Cost Centers'!$B$2:$B$11,"")</f>
        <v>Europe</v>
      </c>
      <c r="E1941" s="113" t="s">
        <v>117</v>
      </c>
      <c r="F1941" s="113" t="str">
        <f>_xlfn.XLOOKUP(E1941,'Allocated Transactions'!D:D,'Allocated Transactions'!E:E,"")</f>
        <v>Insurance</v>
      </c>
      <c r="G1941" s="113" t="s">
        <v>97</v>
      </c>
      <c r="H1941" s="113"/>
      <c r="I1941" s="113" t="str">
        <f>_xlfn.XLOOKUP($C1941,'Cost Centers'!$A$2:$A$11,'Cost Centers'!$C$2:$C$11,"")</f>
        <v>Programs</v>
      </c>
      <c r="J1941" s="23">
        <f>MROUND(SUMIFS('Allocated Transactions'!$J:$J,'Allocated Transactions'!$D:$D,$E1941,'Allocated Transactions'!$C:$C,$C1941,'Allocated Transactions'!$A:$A,"&gt;="&amp;$A1941,'Allocated Transactions'!$A:$A,"&lt;="&amp;EOMONTH($A1941,0))*0.99,100)</f>
        <v>100</v>
      </c>
      <c r="K1941" s="113" t="s">
        <v>637</v>
      </c>
    </row>
    <row r="1942" spans="1:11" ht="15" customHeight="1">
      <c r="A1942" s="112">
        <f t="shared" si="125"/>
        <v>46174</v>
      </c>
      <c r="B1942" s="113">
        <v>9</v>
      </c>
      <c r="C1942" s="18" t="str">
        <f t="shared" si="128"/>
        <v>2040</v>
      </c>
      <c r="D1942" s="113" t="str">
        <f>_xlfn.XLOOKUP($C1942,'Cost Centers'!$A$2:$A$11,'Cost Centers'!$B$2:$B$11,"")</f>
        <v>Europe</v>
      </c>
      <c r="E1942" s="113" t="s">
        <v>119</v>
      </c>
      <c r="F1942" s="113" t="str">
        <f>_xlfn.XLOOKUP(E1942,'Allocated Transactions'!D:D,'Allocated Transactions'!E:E,"")</f>
        <v>Depreciation Expense</v>
      </c>
      <c r="G1942" s="113" t="s">
        <v>97</v>
      </c>
      <c r="H1942" s="113"/>
      <c r="I1942" s="113" t="str">
        <f>_xlfn.XLOOKUP($C1942,'Cost Centers'!$A$2:$A$11,'Cost Centers'!$C$2:$C$11,"")</f>
        <v>Programs</v>
      </c>
      <c r="J1942" s="23">
        <f>MROUND(SUMIFS('Allocated Transactions'!$J:$J,'Allocated Transactions'!$D:$D,$E1942,'Allocated Transactions'!$C:$C,$C1942,'Allocated Transactions'!$A:$A,"&gt;="&amp;$A1942,'Allocated Transactions'!$A:$A,"&lt;="&amp;EOMONTH($A1942,0))*0.99,100)</f>
        <v>0</v>
      </c>
      <c r="K1942" s="113" t="s">
        <v>637</v>
      </c>
    </row>
    <row r="1943" spans="1:11" ht="15" customHeight="1">
      <c r="A1943" s="112">
        <f t="shared" si="125"/>
        <v>46174</v>
      </c>
      <c r="B1943" s="113">
        <v>9</v>
      </c>
      <c r="C1943" s="18" t="str">
        <f t="shared" si="128"/>
        <v>2040</v>
      </c>
      <c r="D1943" s="113" t="str">
        <f>_xlfn.XLOOKUP($C1943,'Cost Centers'!$A$2:$A$11,'Cost Centers'!$B$2:$B$11,"")</f>
        <v>Europe</v>
      </c>
      <c r="E1943" s="113" t="s">
        <v>121</v>
      </c>
      <c r="F1943" s="113" t="str">
        <f>_xlfn.XLOOKUP(E1943,'Allocated Transactions'!D:D,'Allocated Transactions'!E:E,"")</f>
        <v>Bank Fees</v>
      </c>
      <c r="G1943" s="113" t="s">
        <v>97</v>
      </c>
      <c r="H1943" s="113"/>
      <c r="I1943" s="113" t="str">
        <f>_xlfn.XLOOKUP($C1943,'Cost Centers'!$A$2:$A$11,'Cost Centers'!$C$2:$C$11,"")</f>
        <v>Programs</v>
      </c>
      <c r="J1943" s="23">
        <f>MROUND(SUMIFS('Allocated Transactions'!$J:$J,'Allocated Transactions'!$D:$D,$E1943,'Allocated Transactions'!$C:$C,$C1943,'Allocated Transactions'!$A:$A,"&gt;="&amp;$A1943,'Allocated Transactions'!$A:$A,"&lt;="&amp;EOMONTH($A1943,0))*0.99,100)</f>
        <v>0</v>
      </c>
      <c r="K1943" s="113" t="s">
        <v>637</v>
      </c>
    </row>
    <row r="1944" spans="1:11" ht="15" customHeight="1">
      <c r="A1944" s="112">
        <f t="shared" si="125"/>
        <v>46174</v>
      </c>
      <c r="B1944" s="113">
        <v>9</v>
      </c>
      <c r="C1944" s="18" t="str">
        <f t="shared" si="128"/>
        <v>2040</v>
      </c>
      <c r="D1944" s="113" t="str">
        <f>_xlfn.XLOOKUP($C1944,'Cost Centers'!$A$2:$A$11,'Cost Centers'!$B$2:$B$11,"")</f>
        <v>Europe</v>
      </c>
      <c r="E1944" s="113" t="s">
        <v>123</v>
      </c>
      <c r="F1944" s="113" t="str">
        <f>_xlfn.XLOOKUP(E1944,'Allocated Transactions'!D:D,'Allocated Transactions'!E:E,"")</f>
        <v>Interest Expense</v>
      </c>
      <c r="G1944" s="113" t="s">
        <v>97</v>
      </c>
      <c r="H1944" s="113"/>
      <c r="I1944" s="113" t="str">
        <f>_xlfn.XLOOKUP($C1944,'Cost Centers'!$A$2:$A$11,'Cost Centers'!$C$2:$C$11,"")</f>
        <v>Programs</v>
      </c>
      <c r="J1944" s="23">
        <f>MROUND(SUMIFS('Allocated Transactions'!$J:$J,'Allocated Transactions'!$D:$D,$E1944,'Allocated Transactions'!$C:$C,$C1944,'Allocated Transactions'!$A:$A,"&gt;="&amp;$A1944,'Allocated Transactions'!$A:$A,"&lt;="&amp;EOMONTH($A1944,0))*0.99,100)</f>
        <v>0</v>
      </c>
      <c r="K1944" s="113" t="s">
        <v>637</v>
      </c>
    </row>
    <row r="1945" spans="1:11" ht="15" customHeight="1">
      <c r="A1945" s="112">
        <f t="shared" ref="A1945:A2008" si="129">IF(C1945&lt;&gt;C1944,DATE(2025,7,1),IF(E1945="5000",EOMONTH(A1944,0)+1,A1944))</f>
        <v>46174</v>
      </c>
      <c r="B1945" s="113">
        <v>9</v>
      </c>
      <c r="C1945" s="18" t="str">
        <f t="shared" si="128"/>
        <v>2040</v>
      </c>
      <c r="D1945" s="113" t="str">
        <f>_xlfn.XLOOKUP($C1945,'Cost Centers'!$A$2:$A$11,'Cost Centers'!$B$2:$B$11,"")</f>
        <v>Europe</v>
      </c>
      <c r="E1945" s="113" t="s">
        <v>125</v>
      </c>
      <c r="F1945" s="113" t="str">
        <f>_xlfn.XLOOKUP(E1945,'Allocated Transactions'!D:D,'Allocated Transactions'!E:E,"")</f>
        <v>Miscellaneous Expense</v>
      </c>
      <c r="G1945" s="113" t="s">
        <v>97</v>
      </c>
      <c r="H1945" s="113"/>
      <c r="I1945" s="113" t="str">
        <f>_xlfn.XLOOKUP($C1945,'Cost Centers'!$A$2:$A$11,'Cost Centers'!$C$2:$C$11,"")</f>
        <v>Programs</v>
      </c>
      <c r="J1945" s="23">
        <f>MROUND(SUMIFS('Allocated Transactions'!$J:$J,'Allocated Transactions'!$D:$D,$E1945,'Allocated Transactions'!$C:$C,$C1945,'Allocated Transactions'!$A:$A,"&gt;="&amp;$A1945,'Allocated Transactions'!$A:$A,"&lt;="&amp;EOMONTH($A1945,0))*0.99,100)</f>
        <v>0</v>
      </c>
      <c r="K1945" s="113" t="s">
        <v>637</v>
      </c>
    </row>
    <row r="1946" spans="1:11" ht="15" customHeight="1">
      <c r="A1946" s="112">
        <f t="shared" si="129"/>
        <v>45839</v>
      </c>
      <c r="B1946" s="113">
        <v>10</v>
      </c>
      <c r="C1946" s="18" t="s">
        <v>20</v>
      </c>
      <c r="D1946" s="113" t="str">
        <f>_xlfn.XLOOKUP($C1946,'Cost Centers'!$A$2:$A$11,'Cost Centers'!$B$2:$B$11,"")</f>
        <v>SE Asia</v>
      </c>
      <c r="E1946" s="113" t="s">
        <v>28</v>
      </c>
      <c r="F1946" s="113" t="str">
        <f>_xlfn.XLOOKUP(E1946,'Allocated Transactions'!D:D,'Allocated Transactions'!E:E,"")</f>
        <v>Salaries and Wages</v>
      </c>
      <c r="G1946" s="113" t="s">
        <v>97</v>
      </c>
      <c r="H1946" s="113"/>
      <c r="I1946" s="113" t="str">
        <f>_xlfn.XLOOKUP($C1946,'Cost Centers'!$A$2:$A$11,'Cost Centers'!$C$2:$C$11,"")</f>
        <v>Programs</v>
      </c>
      <c r="J1946" s="23">
        <f>MROUND(SUMIFS('Allocated Transactions'!$J:$J,'Allocated Transactions'!$D:$D,$E1946,'Allocated Transactions'!$C:$C,$C1946,'Allocated Transactions'!$A:$A,"&gt;="&amp;$A1946,'Allocated Transactions'!$A:$A,"&lt;="&amp;EOMONTH($A1946,0))*0.99,100)</f>
        <v>19400</v>
      </c>
      <c r="K1946" s="113" t="s">
        <v>637</v>
      </c>
    </row>
    <row r="1947" spans="1:11" ht="15" customHeight="1">
      <c r="A1947" s="112">
        <f t="shared" si="129"/>
        <v>45839</v>
      </c>
      <c r="B1947" s="113">
        <v>10</v>
      </c>
      <c r="C1947" s="18" t="str">
        <f t="shared" ref="C1947:C1963" si="130">C1946</f>
        <v>2050</v>
      </c>
      <c r="D1947" s="113" t="str">
        <f>_xlfn.XLOOKUP($C1947,'Cost Centers'!$A$2:$A$11,'Cost Centers'!$B$2:$B$11,"")</f>
        <v>SE Asia</v>
      </c>
      <c r="E1947" s="113" t="s">
        <v>29</v>
      </c>
      <c r="F1947" s="113" t="str">
        <f>_xlfn.XLOOKUP(E1947,'Allocated Transactions'!D:D,'Allocated Transactions'!E:E,"")</f>
        <v>Payroll Taxes</v>
      </c>
      <c r="G1947" s="113" t="s">
        <v>97</v>
      </c>
      <c r="H1947" s="113"/>
      <c r="I1947" s="113" t="str">
        <f>_xlfn.XLOOKUP($C1947,'Cost Centers'!$A$2:$A$11,'Cost Centers'!$C$2:$C$11,"")</f>
        <v>Programs</v>
      </c>
      <c r="J1947" s="23">
        <f>MROUND(SUMIFS('Allocated Transactions'!$J:$J,'Allocated Transactions'!$D:$D,$E1947,'Allocated Transactions'!$C:$C,$C1947,'Allocated Transactions'!$A:$A,"&gt;="&amp;$A1947,'Allocated Transactions'!$A:$A,"&lt;="&amp;EOMONTH($A1947,0))*0.99,100)</f>
        <v>1500</v>
      </c>
      <c r="K1947" s="113" t="s">
        <v>637</v>
      </c>
    </row>
    <row r="1948" spans="1:11" ht="15" customHeight="1">
      <c r="A1948" s="112">
        <f t="shared" si="129"/>
        <v>45839</v>
      </c>
      <c r="B1948" s="113">
        <v>10</v>
      </c>
      <c r="C1948" s="18" t="str">
        <f t="shared" si="130"/>
        <v>2050</v>
      </c>
      <c r="D1948" s="113" t="str">
        <f>_xlfn.XLOOKUP($C1948,'Cost Centers'!$A$2:$A$11,'Cost Centers'!$B$2:$B$11,"")</f>
        <v>SE Asia</v>
      </c>
      <c r="E1948" s="113" t="s">
        <v>30</v>
      </c>
      <c r="F1948" s="113" t="str">
        <f>_xlfn.XLOOKUP(E1948,'Allocated Transactions'!D:D,'Allocated Transactions'!E:E,"")</f>
        <v>Employee Benefits</v>
      </c>
      <c r="G1948" s="113" t="s">
        <v>97</v>
      </c>
      <c r="H1948" s="113"/>
      <c r="I1948" s="113" t="str">
        <f>_xlfn.XLOOKUP($C1948,'Cost Centers'!$A$2:$A$11,'Cost Centers'!$C$2:$C$11,"")</f>
        <v>Programs</v>
      </c>
      <c r="J1948" s="23">
        <f>MROUND(SUMIFS('Allocated Transactions'!$J:$J,'Allocated Transactions'!$D:$D,$E1948,'Allocated Transactions'!$C:$C,$C1948,'Allocated Transactions'!$A:$A,"&gt;="&amp;$A1948,'Allocated Transactions'!$A:$A,"&lt;="&amp;EOMONTH($A1948,0))*0.99,100)</f>
        <v>4300</v>
      </c>
      <c r="K1948" s="113" t="s">
        <v>637</v>
      </c>
    </row>
    <row r="1949" spans="1:11" ht="15" customHeight="1">
      <c r="A1949" s="112">
        <f t="shared" si="129"/>
        <v>45839</v>
      </c>
      <c r="B1949" s="113">
        <v>10</v>
      </c>
      <c r="C1949" s="18" t="str">
        <f t="shared" si="130"/>
        <v>2050</v>
      </c>
      <c r="D1949" s="113" t="str">
        <f>_xlfn.XLOOKUP($C1949,'Cost Centers'!$A$2:$A$11,'Cost Centers'!$B$2:$B$11,"")</f>
        <v>SE Asia</v>
      </c>
      <c r="E1949" s="113" t="s">
        <v>31</v>
      </c>
      <c r="F1949" s="113" t="str">
        <f>_xlfn.XLOOKUP(E1949,'Allocated Transactions'!D:D,'Allocated Transactions'!E:E,"")</f>
        <v>Retirement Contributions</v>
      </c>
      <c r="G1949" s="113" t="s">
        <v>97</v>
      </c>
      <c r="H1949" s="113"/>
      <c r="I1949" s="113" t="str">
        <f>_xlfn.XLOOKUP($C1949,'Cost Centers'!$A$2:$A$11,'Cost Centers'!$C$2:$C$11,"")</f>
        <v>Programs</v>
      </c>
      <c r="J1949" s="23">
        <f>MROUND(SUMIFS('Allocated Transactions'!$J:$J,'Allocated Transactions'!$D:$D,$E1949,'Allocated Transactions'!$C:$C,$C1949,'Allocated Transactions'!$A:$A,"&gt;="&amp;$A1949,'Allocated Transactions'!$A:$A,"&lt;="&amp;EOMONTH($A1949,0))*0.99,100)</f>
        <v>600</v>
      </c>
      <c r="K1949" s="113" t="s">
        <v>637</v>
      </c>
    </row>
    <row r="1950" spans="1:11" ht="15" customHeight="1">
      <c r="A1950" s="112">
        <f t="shared" si="129"/>
        <v>45839</v>
      </c>
      <c r="B1950" s="113">
        <v>10</v>
      </c>
      <c r="C1950" s="18" t="str">
        <f t="shared" si="130"/>
        <v>2050</v>
      </c>
      <c r="D1950" s="113" t="str">
        <f>_xlfn.XLOOKUP($C1950,'Cost Centers'!$A$2:$A$11,'Cost Centers'!$B$2:$B$11,"")</f>
        <v>SE Asia</v>
      </c>
      <c r="E1950" s="113" t="s">
        <v>101</v>
      </c>
      <c r="F1950" s="113" t="str">
        <f>_xlfn.XLOOKUP(E1950,'Allocated Transactions'!D:D,'Allocated Transactions'!E:E,"")</f>
        <v>Contract Labor / Consultants</v>
      </c>
      <c r="G1950" s="113" t="s">
        <v>97</v>
      </c>
      <c r="H1950" s="113"/>
      <c r="I1950" s="113" t="str">
        <f>_xlfn.XLOOKUP($C1950,'Cost Centers'!$A$2:$A$11,'Cost Centers'!$C$2:$C$11,"")</f>
        <v>Programs</v>
      </c>
      <c r="J1950" s="23">
        <f>MROUND(SUMIFS('Allocated Transactions'!$J:$J,'Allocated Transactions'!$D:$D,$E1950,'Allocated Transactions'!$C:$C,$C1950,'Allocated Transactions'!$A:$A,"&gt;="&amp;$A1950,'Allocated Transactions'!$A:$A,"&lt;="&amp;EOMONTH($A1950,0))*0.99,100)</f>
        <v>0</v>
      </c>
      <c r="K1950" s="113" t="s">
        <v>637</v>
      </c>
    </row>
    <row r="1951" spans="1:11" ht="15" customHeight="1">
      <c r="A1951" s="112">
        <f t="shared" si="129"/>
        <v>45839</v>
      </c>
      <c r="B1951" s="113">
        <v>10</v>
      </c>
      <c r="C1951" s="18" t="str">
        <f t="shared" si="130"/>
        <v>2050</v>
      </c>
      <c r="D1951" s="113" t="str">
        <f>_xlfn.XLOOKUP($C1951,'Cost Centers'!$A$2:$A$11,'Cost Centers'!$B$2:$B$11,"")</f>
        <v>SE Asia</v>
      </c>
      <c r="E1951" s="113" t="s">
        <v>32</v>
      </c>
      <c r="F1951" s="113" t="str">
        <f>_xlfn.XLOOKUP(E1951,'Allocated Transactions'!D:D,'Allocated Transactions'!E:E,"")</f>
        <v>Rent</v>
      </c>
      <c r="G1951" s="113" t="s">
        <v>97</v>
      </c>
      <c r="H1951" s="113"/>
      <c r="I1951" s="113" t="str">
        <f>_xlfn.XLOOKUP($C1951,'Cost Centers'!$A$2:$A$11,'Cost Centers'!$C$2:$C$11,"")</f>
        <v>Programs</v>
      </c>
      <c r="J1951" s="23">
        <f>MROUND(SUMIFS('Allocated Transactions'!$J:$J,'Allocated Transactions'!$D:$D,$E1951,'Allocated Transactions'!$C:$C,$C1951,'Allocated Transactions'!$A:$A,"&gt;="&amp;$A1951,'Allocated Transactions'!$A:$A,"&lt;="&amp;EOMONTH($A1951,0))*0.99,100)</f>
        <v>1600</v>
      </c>
      <c r="K1951" s="113" t="s">
        <v>637</v>
      </c>
    </row>
    <row r="1952" spans="1:11" ht="15" customHeight="1">
      <c r="A1952" s="112">
        <f t="shared" si="129"/>
        <v>45839</v>
      </c>
      <c r="B1952" s="113">
        <v>10</v>
      </c>
      <c r="C1952" s="18" t="str">
        <f t="shared" si="130"/>
        <v>2050</v>
      </c>
      <c r="D1952" s="113" t="str">
        <f>_xlfn.XLOOKUP($C1952,'Cost Centers'!$A$2:$A$11,'Cost Centers'!$B$2:$B$11,"")</f>
        <v>SE Asia</v>
      </c>
      <c r="E1952" s="113" t="s">
        <v>33</v>
      </c>
      <c r="F1952" s="113" t="str">
        <f>_xlfn.XLOOKUP(E1952,'Allocated Transactions'!D:D,'Allocated Transactions'!E:E,"")</f>
        <v>Utilities</v>
      </c>
      <c r="G1952" s="113" t="s">
        <v>97</v>
      </c>
      <c r="H1952" s="113"/>
      <c r="I1952" s="113" t="str">
        <f>_xlfn.XLOOKUP($C1952,'Cost Centers'!$A$2:$A$11,'Cost Centers'!$C$2:$C$11,"")</f>
        <v>Programs</v>
      </c>
      <c r="J1952" s="23">
        <f>MROUND(SUMIFS('Allocated Transactions'!$J:$J,'Allocated Transactions'!$D:$D,$E1952,'Allocated Transactions'!$C:$C,$C1952,'Allocated Transactions'!$A:$A,"&gt;="&amp;$A1952,'Allocated Transactions'!$A:$A,"&lt;="&amp;EOMONTH($A1952,0))*0.99,100)</f>
        <v>200</v>
      </c>
      <c r="K1952" s="113" t="s">
        <v>637</v>
      </c>
    </row>
    <row r="1953" spans="1:11" ht="15" customHeight="1">
      <c r="A1953" s="112">
        <f t="shared" si="129"/>
        <v>45839</v>
      </c>
      <c r="B1953" s="113">
        <v>10</v>
      </c>
      <c r="C1953" s="18" t="str">
        <f t="shared" si="130"/>
        <v>2050</v>
      </c>
      <c r="D1953" s="113" t="str">
        <f>_xlfn.XLOOKUP($C1953,'Cost Centers'!$A$2:$A$11,'Cost Centers'!$B$2:$B$11,"")</f>
        <v>SE Asia</v>
      </c>
      <c r="E1953" s="113" t="s">
        <v>105</v>
      </c>
      <c r="F1953" s="113" t="str">
        <f>_xlfn.XLOOKUP(E1953,'Allocated Transactions'!D:D,'Allocated Transactions'!E:E,"")</f>
        <v>Office Supplies</v>
      </c>
      <c r="G1953" s="113" t="s">
        <v>97</v>
      </c>
      <c r="H1953" s="113"/>
      <c r="I1953" s="113" t="str">
        <f>_xlfn.XLOOKUP($C1953,'Cost Centers'!$A$2:$A$11,'Cost Centers'!$C$2:$C$11,"")</f>
        <v>Programs</v>
      </c>
      <c r="J1953" s="23">
        <f>MROUND(SUMIFS('Allocated Transactions'!$J:$J,'Allocated Transactions'!$D:$D,$E1953,'Allocated Transactions'!$C:$C,$C1953,'Allocated Transactions'!$A:$A,"&gt;="&amp;$A1953,'Allocated Transactions'!$A:$A,"&lt;="&amp;EOMONTH($A1953,0))*0.99,100)</f>
        <v>0</v>
      </c>
      <c r="K1953" s="113" t="s">
        <v>637</v>
      </c>
    </row>
    <row r="1954" spans="1:11" ht="15" customHeight="1">
      <c r="A1954" s="112">
        <f t="shared" si="129"/>
        <v>45839</v>
      </c>
      <c r="B1954" s="113">
        <v>10</v>
      </c>
      <c r="C1954" s="18" t="str">
        <f t="shared" si="130"/>
        <v>2050</v>
      </c>
      <c r="D1954" s="113" t="str">
        <f>_xlfn.XLOOKUP($C1954,'Cost Centers'!$A$2:$A$11,'Cost Centers'!$B$2:$B$11,"")</f>
        <v>SE Asia</v>
      </c>
      <c r="E1954" s="113" t="s">
        <v>107</v>
      </c>
      <c r="F1954" s="113" t="str">
        <f>_xlfn.XLOOKUP(E1954,'Allocated Transactions'!D:D,'Allocated Transactions'!E:E,"")</f>
        <v>Software and Subscriptions</v>
      </c>
      <c r="G1954" s="113" t="s">
        <v>97</v>
      </c>
      <c r="H1954" s="113"/>
      <c r="I1954" s="113" t="str">
        <f>_xlfn.XLOOKUP($C1954,'Cost Centers'!$A$2:$A$11,'Cost Centers'!$C$2:$C$11,"")</f>
        <v>Programs</v>
      </c>
      <c r="J1954" s="23">
        <f>MROUND(SUMIFS('Allocated Transactions'!$J:$J,'Allocated Transactions'!$D:$D,$E1954,'Allocated Transactions'!$C:$C,$C1954,'Allocated Transactions'!$A:$A,"&gt;="&amp;$A1954,'Allocated Transactions'!$A:$A,"&lt;="&amp;EOMONTH($A1954,0))*0.99,100)</f>
        <v>2400</v>
      </c>
      <c r="K1954" s="113" t="s">
        <v>637</v>
      </c>
    </row>
    <row r="1955" spans="1:11" ht="15" customHeight="1">
      <c r="A1955" s="112">
        <f t="shared" si="129"/>
        <v>45839</v>
      </c>
      <c r="B1955" s="113">
        <v>10</v>
      </c>
      <c r="C1955" s="18" t="str">
        <f t="shared" si="130"/>
        <v>2050</v>
      </c>
      <c r="D1955" s="113" t="str">
        <f>_xlfn.XLOOKUP($C1955,'Cost Centers'!$A$2:$A$11,'Cost Centers'!$B$2:$B$11,"")</f>
        <v>SE Asia</v>
      </c>
      <c r="E1955" s="113" t="s">
        <v>109</v>
      </c>
      <c r="F1955" s="113" t="str">
        <f>_xlfn.XLOOKUP(E1955,'Allocated Transactions'!D:D,'Allocated Transactions'!E:E,"")</f>
        <v>Travel</v>
      </c>
      <c r="G1955" s="113" t="s">
        <v>97</v>
      </c>
      <c r="H1955" s="113"/>
      <c r="I1955" s="113" t="str">
        <f>_xlfn.XLOOKUP($C1955,'Cost Centers'!$A$2:$A$11,'Cost Centers'!$C$2:$C$11,"")</f>
        <v>Programs</v>
      </c>
      <c r="J1955" s="23">
        <f>MROUND(SUMIFS('Allocated Transactions'!$J:$J,'Allocated Transactions'!$D:$D,$E1955,'Allocated Transactions'!$C:$C,$C1955,'Allocated Transactions'!$A:$A,"&gt;="&amp;$A1955,'Allocated Transactions'!$A:$A,"&lt;="&amp;EOMONTH($A1955,0))*0.99,100)</f>
        <v>0</v>
      </c>
      <c r="K1955" s="113" t="s">
        <v>637</v>
      </c>
    </row>
    <row r="1956" spans="1:11" ht="15" customHeight="1">
      <c r="A1956" s="112">
        <f t="shared" si="129"/>
        <v>45839</v>
      </c>
      <c r="B1956" s="113">
        <v>10</v>
      </c>
      <c r="C1956" s="18" t="str">
        <f t="shared" si="130"/>
        <v>2050</v>
      </c>
      <c r="D1956" s="113" t="str">
        <f>_xlfn.XLOOKUP($C1956,'Cost Centers'!$A$2:$A$11,'Cost Centers'!$B$2:$B$11,"")</f>
        <v>SE Asia</v>
      </c>
      <c r="E1956" s="113" t="s">
        <v>111</v>
      </c>
      <c r="F1956" s="113" t="str">
        <f>_xlfn.XLOOKUP(E1956,'Allocated Transactions'!D:D,'Allocated Transactions'!E:E,"")</f>
        <v>Meals and Entertainment</v>
      </c>
      <c r="G1956" s="113" t="s">
        <v>97</v>
      </c>
      <c r="H1956" s="113"/>
      <c r="I1956" s="113" t="str">
        <f>_xlfn.XLOOKUP($C1956,'Cost Centers'!$A$2:$A$11,'Cost Centers'!$C$2:$C$11,"")</f>
        <v>Programs</v>
      </c>
      <c r="J1956" s="23">
        <f>MROUND(SUMIFS('Allocated Transactions'!$J:$J,'Allocated Transactions'!$D:$D,$E1956,'Allocated Transactions'!$C:$C,$C1956,'Allocated Transactions'!$A:$A,"&gt;="&amp;$A1956,'Allocated Transactions'!$A:$A,"&lt;="&amp;EOMONTH($A1956,0))*0.99,100)</f>
        <v>0</v>
      </c>
      <c r="K1956" s="113" t="s">
        <v>637</v>
      </c>
    </row>
    <row r="1957" spans="1:11" ht="15" customHeight="1">
      <c r="A1957" s="112">
        <f t="shared" si="129"/>
        <v>45839</v>
      </c>
      <c r="B1957" s="113">
        <v>10</v>
      </c>
      <c r="C1957" s="18" t="str">
        <f t="shared" si="130"/>
        <v>2050</v>
      </c>
      <c r="D1957" s="113" t="str">
        <f>_xlfn.XLOOKUP($C1957,'Cost Centers'!$A$2:$A$11,'Cost Centers'!$B$2:$B$11,"")</f>
        <v>SE Asia</v>
      </c>
      <c r="E1957" s="113" t="s">
        <v>113</v>
      </c>
      <c r="F1957" s="113" t="str">
        <f>_xlfn.XLOOKUP(E1957,'Allocated Transactions'!D:D,'Allocated Transactions'!E:E,"")</f>
        <v>Professional Fees - Legal</v>
      </c>
      <c r="G1957" s="113" t="s">
        <v>97</v>
      </c>
      <c r="H1957" s="113"/>
      <c r="I1957" s="113" t="str">
        <f>_xlfn.XLOOKUP($C1957,'Cost Centers'!$A$2:$A$11,'Cost Centers'!$C$2:$C$11,"")</f>
        <v>Programs</v>
      </c>
      <c r="J1957" s="23">
        <f>MROUND(SUMIFS('Allocated Transactions'!$J:$J,'Allocated Transactions'!$D:$D,$E1957,'Allocated Transactions'!$C:$C,$C1957,'Allocated Transactions'!$A:$A,"&gt;="&amp;$A1957,'Allocated Transactions'!$A:$A,"&lt;="&amp;EOMONTH($A1957,0))*0.99,100)</f>
        <v>0</v>
      </c>
      <c r="K1957" s="113" t="s">
        <v>637</v>
      </c>
    </row>
    <row r="1958" spans="1:11" ht="15" customHeight="1">
      <c r="A1958" s="112">
        <f t="shared" si="129"/>
        <v>45839</v>
      </c>
      <c r="B1958" s="113">
        <v>10</v>
      </c>
      <c r="C1958" s="18" t="str">
        <f t="shared" si="130"/>
        <v>2050</v>
      </c>
      <c r="D1958" s="113" t="str">
        <f>_xlfn.XLOOKUP($C1958,'Cost Centers'!$A$2:$A$11,'Cost Centers'!$B$2:$B$11,"")</f>
        <v>SE Asia</v>
      </c>
      <c r="E1958" s="113" t="s">
        <v>115</v>
      </c>
      <c r="F1958" s="113" t="str">
        <f>_xlfn.XLOOKUP(E1958,'Allocated Transactions'!D:D,'Allocated Transactions'!E:E,"")</f>
        <v>Professional Fees - Accounting/Audit</v>
      </c>
      <c r="G1958" s="113" t="s">
        <v>97</v>
      </c>
      <c r="H1958" s="113"/>
      <c r="I1958" s="113" t="str">
        <f>_xlfn.XLOOKUP($C1958,'Cost Centers'!$A$2:$A$11,'Cost Centers'!$C$2:$C$11,"")</f>
        <v>Programs</v>
      </c>
      <c r="J1958" s="23">
        <f>MROUND(SUMIFS('Allocated Transactions'!$J:$J,'Allocated Transactions'!$D:$D,$E1958,'Allocated Transactions'!$C:$C,$C1958,'Allocated Transactions'!$A:$A,"&gt;="&amp;$A1958,'Allocated Transactions'!$A:$A,"&lt;="&amp;EOMONTH($A1958,0))*0.99,100)</f>
        <v>0</v>
      </c>
      <c r="K1958" s="113" t="s">
        <v>637</v>
      </c>
    </row>
    <row r="1959" spans="1:11" ht="15" customHeight="1">
      <c r="A1959" s="112">
        <f t="shared" si="129"/>
        <v>45839</v>
      </c>
      <c r="B1959" s="113">
        <v>10</v>
      </c>
      <c r="C1959" s="18" t="str">
        <f t="shared" si="130"/>
        <v>2050</v>
      </c>
      <c r="D1959" s="113" t="str">
        <f>_xlfn.XLOOKUP($C1959,'Cost Centers'!$A$2:$A$11,'Cost Centers'!$B$2:$B$11,"")</f>
        <v>SE Asia</v>
      </c>
      <c r="E1959" s="113" t="s">
        <v>117</v>
      </c>
      <c r="F1959" s="113" t="str">
        <f>_xlfn.XLOOKUP(E1959,'Allocated Transactions'!D:D,'Allocated Transactions'!E:E,"")</f>
        <v>Insurance</v>
      </c>
      <c r="G1959" s="113" t="s">
        <v>97</v>
      </c>
      <c r="H1959" s="113"/>
      <c r="I1959" s="113" t="str">
        <f>_xlfn.XLOOKUP($C1959,'Cost Centers'!$A$2:$A$11,'Cost Centers'!$C$2:$C$11,"")</f>
        <v>Programs</v>
      </c>
      <c r="J1959" s="23">
        <f>MROUND(SUMIFS('Allocated Transactions'!$J:$J,'Allocated Transactions'!$D:$D,$E1959,'Allocated Transactions'!$C:$C,$C1959,'Allocated Transactions'!$A:$A,"&gt;="&amp;$A1959,'Allocated Transactions'!$A:$A,"&lt;="&amp;EOMONTH($A1959,0))*0.99,100)</f>
        <v>100</v>
      </c>
      <c r="K1959" s="113" t="s">
        <v>637</v>
      </c>
    </row>
    <row r="1960" spans="1:11" ht="15" customHeight="1">
      <c r="A1960" s="112">
        <f t="shared" si="129"/>
        <v>45839</v>
      </c>
      <c r="B1960" s="113">
        <v>10</v>
      </c>
      <c r="C1960" s="18" t="str">
        <f t="shared" si="130"/>
        <v>2050</v>
      </c>
      <c r="D1960" s="113" t="str">
        <f>_xlfn.XLOOKUP($C1960,'Cost Centers'!$A$2:$A$11,'Cost Centers'!$B$2:$B$11,"")</f>
        <v>SE Asia</v>
      </c>
      <c r="E1960" s="113" t="s">
        <v>119</v>
      </c>
      <c r="F1960" s="113" t="str">
        <f>_xlfn.XLOOKUP(E1960,'Allocated Transactions'!D:D,'Allocated Transactions'!E:E,"")</f>
        <v>Depreciation Expense</v>
      </c>
      <c r="G1960" s="113" t="s">
        <v>97</v>
      </c>
      <c r="H1960" s="113"/>
      <c r="I1960" s="113" t="str">
        <f>_xlfn.XLOOKUP($C1960,'Cost Centers'!$A$2:$A$11,'Cost Centers'!$C$2:$C$11,"")</f>
        <v>Programs</v>
      </c>
      <c r="J1960" s="23">
        <f>MROUND(SUMIFS('Allocated Transactions'!$J:$J,'Allocated Transactions'!$D:$D,$E1960,'Allocated Transactions'!$C:$C,$C1960,'Allocated Transactions'!$A:$A,"&gt;="&amp;$A1960,'Allocated Transactions'!$A:$A,"&lt;="&amp;EOMONTH($A1960,0))*0.99,100)</f>
        <v>0</v>
      </c>
      <c r="K1960" s="113" t="s">
        <v>637</v>
      </c>
    </row>
    <row r="1961" spans="1:11" ht="15" customHeight="1">
      <c r="A1961" s="112">
        <f t="shared" si="129"/>
        <v>45839</v>
      </c>
      <c r="B1961" s="113">
        <v>10</v>
      </c>
      <c r="C1961" s="18" t="str">
        <f t="shared" si="130"/>
        <v>2050</v>
      </c>
      <c r="D1961" s="113" t="str">
        <f>_xlfn.XLOOKUP($C1961,'Cost Centers'!$A$2:$A$11,'Cost Centers'!$B$2:$B$11,"")</f>
        <v>SE Asia</v>
      </c>
      <c r="E1961" s="113" t="s">
        <v>121</v>
      </c>
      <c r="F1961" s="113" t="str">
        <f>_xlfn.XLOOKUP(E1961,'Allocated Transactions'!D:D,'Allocated Transactions'!E:E,"")</f>
        <v>Bank Fees</v>
      </c>
      <c r="G1961" s="113" t="s">
        <v>97</v>
      </c>
      <c r="H1961" s="113"/>
      <c r="I1961" s="113" t="str">
        <f>_xlfn.XLOOKUP($C1961,'Cost Centers'!$A$2:$A$11,'Cost Centers'!$C$2:$C$11,"")</f>
        <v>Programs</v>
      </c>
      <c r="J1961" s="23">
        <f>MROUND(SUMIFS('Allocated Transactions'!$J:$J,'Allocated Transactions'!$D:$D,$E1961,'Allocated Transactions'!$C:$C,$C1961,'Allocated Transactions'!$A:$A,"&gt;="&amp;$A1961,'Allocated Transactions'!$A:$A,"&lt;="&amp;EOMONTH($A1961,0))*0.99,100)</f>
        <v>0</v>
      </c>
      <c r="K1961" s="113" t="s">
        <v>637</v>
      </c>
    </row>
    <row r="1962" spans="1:11" ht="15" customHeight="1">
      <c r="A1962" s="112">
        <f t="shared" si="129"/>
        <v>45839</v>
      </c>
      <c r="B1962" s="113">
        <v>10</v>
      </c>
      <c r="C1962" s="18" t="str">
        <f t="shared" si="130"/>
        <v>2050</v>
      </c>
      <c r="D1962" s="113" t="str">
        <f>_xlfn.XLOOKUP($C1962,'Cost Centers'!$A$2:$A$11,'Cost Centers'!$B$2:$B$11,"")</f>
        <v>SE Asia</v>
      </c>
      <c r="E1962" s="113" t="s">
        <v>123</v>
      </c>
      <c r="F1962" s="113" t="str">
        <f>_xlfn.XLOOKUP(E1962,'Allocated Transactions'!D:D,'Allocated Transactions'!E:E,"")</f>
        <v>Interest Expense</v>
      </c>
      <c r="G1962" s="113" t="s">
        <v>97</v>
      </c>
      <c r="H1962" s="113"/>
      <c r="I1962" s="113" t="str">
        <f>_xlfn.XLOOKUP($C1962,'Cost Centers'!$A$2:$A$11,'Cost Centers'!$C$2:$C$11,"")</f>
        <v>Programs</v>
      </c>
      <c r="J1962" s="23">
        <f>MROUND(SUMIFS('Allocated Transactions'!$J:$J,'Allocated Transactions'!$D:$D,$E1962,'Allocated Transactions'!$C:$C,$C1962,'Allocated Transactions'!$A:$A,"&gt;="&amp;$A1962,'Allocated Transactions'!$A:$A,"&lt;="&amp;EOMONTH($A1962,0))*0.99,100)</f>
        <v>0</v>
      </c>
      <c r="K1962" s="113" t="s">
        <v>637</v>
      </c>
    </row>
    <row r="1963" spans="1:11" ht="15" customHeight="1">
      <c r="A1963" s="112">
        <f t="shared" si="129"/>
        <v>45839</v>
      </c>
      <c r="B1963" s="113">
        <v>10</v>
      </c>
      <c r="C1963" s="18" t="str">
        <f t="shared" si="130"/>
        <v>2050</v>
      </c>
      <c r="D1963" s="113" t="str">
        <f>_xlfn.XLOOKUP($C1963,'Cost Centers'!$A$2:$A$11,'Cost Centers'!$B$2:$B$11,"")</f>
        <v>SE Asia</v>
      </c>
      <c r="E1963" s="113" t="s">
        <v>125</v>
      </c>
      <c r="F1963" s="113" t="str">
        <f>_xlfn.XLOOKUP(E1963,'Allocated Transactions'!D:D,'Allocated Transactions'!E:E,"")</f>
        <v>Miscellaneous Expense</v>
      </c>
      <c r="G1963" s="113" t="s">
        <v>97</v>
      </c>
      <c r="H1963" s="113"/>
      <c r="I1963" s="113" t="str">
        <f>_xlfn.XLOOKUP($C1963,'Cost Centers'!$A$2:$A$11,'Cost Centers'!$C$2:$C$11,"")</f>
        <v>Programs</v>
      </c>
      <c r="J1963" s="23">
        <f>MROUND(SUMIFS('Allocated Transactions'!$J:$J,'Allocated Transactions'!$D:$D,$E1963,'Allocated Transactions'!$C:$C,$C1963,'Allocated Transactions'!$A:$A,"&gt;="&amp;$A1963,'Allocated Transactions'!$A:$A,"&lt;="&amp;EOMONTH($A1963,0))*0.99,100)</f>
        <v>0</v>
      </c>
      <c r="K1963" s="113" t="s">
        <v>637</v>
      </c>
    </row>
    <row r="1964" spans="1:11" ht="15" customHeight="1">
      <c r="A1964" s="112">
        <f t="shared" si="129"/>
        <v>45870</v>
      </c>
      <c r="B1964" s="113">
        <v>10</v>
      </c>
      <c r="C1964" s="18" t="s">
        <v>20</v>
      </c>
      <c r="D1964" s="113" t="str">
        <f>_xlfn.XLOOKUP($C1964,'Cost Centers'!$A$2:$A$11,'Cost Centers'!$B$2:$B$11,"")</f>
        <v>SE Asia</v>
      </c>
      <c r="E1964" s="113" t="s">
        <v>28</v>
      </c>
      <c r="F1964" s="113" t="str">
        <f>_xlfn.XLOOKUP(E1964,'Allocated Transactions'!D:D,'Allocated Transactions'!E:E,"")</f>
        <v>Salaries and Wages</v>
      </c>
      <c r="G1964" s="113" t="s">
        <v>97</v>
      </c>
      <c r="H1964" s="113"/>
      <c r="I1964" s="113" t="str">
        <f>_xlfn.XLOOKUP($C1964,'Cost Centers'!$A$2:$A$11,'Cost Centers'!$C$2:$C$11,"")</f>
        <v>Programs</v>
      </c>
      <c r="J1964" s="23">
        <f>MROUND(SUMIFS('Allocated Transactions'!$J:$J,'Allocated Transactions'!$D:$D,$E1964,'Allocated Transactions'!$C:$C,$C1964,'Allocated Transactions'!$A:$A,"&gt;="&amp;$A1964,'Allocated Transactions'!$A:$A,"&lt;="&amp;EOMONTH($A1964,0))*0.99,100)</f>
        <v>19700</v>
      </c>
      <c r="K1964" s="113" t="s">
        <v>637</v>
      </c>
    </row>
    <row r="1965" spans="1:11" ht="15" customHeight="1">
      <c r="A1965" s="112">
        <f t="shared" si="129"/>
        <v>45870</v>
      </c>
      <c r="B1965" s="113">
        <v>10</v>
      </c>
      <c r="C1965" s="18" t="str">
        <f t="shared" ref="C1965:C1981" si="131">C1964</f>
        <v>2050</v>
      </c>
      <c r="D1965" s="113" t="str">
        <f>_xlfn.XLOOKUP($C1965,'Cost Centers'!$A$2:$A$11,'Cost Centers'!$B$2:$B$11,"")</f>
        <v>SE Asia</v>
      </c>
      <c r="E1965" s="113" t="s">
        <v>29</v>
      </c>
      <c r="F1965" s="113" t="str">
        <f>_xlfn.XLOOKUP(E1965,'Allocated Transactions'!D:D,'Allocated Transactions'!E:E,"")</f>
        <v>Payroll Taxes</v>
      </c>
      <c r="G1965" s="113" t="s">
        <v>97</v>
      </c>
      <c r="H1965" s="113"/>
      <c r="I1965" s="113" t="str">
        <f>_xlfn.XLOOKUP($C1965,'Cost Centers'!$A$2:$A$11,'Cost Centers'!$C$2:$C$11,"")</f>
        <v>Programs</v>
      </c>
      <c r="J1965" s="23">
        <f>MROUND(SUMIFS('Allocated Transactions'!$J:$J,'Allocated Transactions'!$D:$D,$E1965,'Allocated Transactions'!$C:$C,$C1965,'Allocated Transactions'!$A:$A,"&gt;="&amp;$A1965,'Allocated Transactions'!$A:$A,"&lt;="&amp;EOMONTH($A1965,0))*0.99,100)</f>
        <v>1500</v>
      </c>
      <c r="K1965" s="113" t="s">
        <v>637</v>
      </c>
    </row>
    <row r="1966" spans="1:11" ht="15" customHeight="1">
      <c r="A1966" s="112">
        <f t="shared" si="129"/>
        <v>45870</v>
      </c>
      <c r="B1966" s="113">
        <v>10</v>
      </c>
      <c r="C1966" s="18" t="str">
        <f t="shared" si="131"/>
        <v>2050</v>
      </c>
      <c r="D1966" s="113" t="str">
        <f>_xlfn.XLOOKUP($C1966,'Cost Centers'!$A$2:$A$11,'Cost Centers'!$B$2:$B$11,"")</f>
        <v>SE Asia</v>
      </c>
      <c r="E1966" s="113" t="s">
        <v>30</v>
      </c>
      <c r="F1966" s="113" t="str">
        <f>_xlfn.XLOOKUP(E1966,'Allocated Transactions'!D:D,'Allocated Transactions'!E:E,"")</f>
        <v>Employee Benefits</v>
      </c>
      <c r="G1966" s="113" t="s">
        <v>97</v>
      </c>
      <c r="H1966" s="113"/>
      <c r="I1966" s="113" t="str">
        <f>_xlfn.XLOOKUP($C1966,'Cost Centers'!$A$2:$A$11,'Cost Centers'!$C$2:$C$11,"")</f>
        <v>Programs</v>
      </c>
      <c r="J1966" s="23">
        <f>MROUND(SUMIFS('Allocated Transactions'!$J:$J,'Allocated Transactions'!$D:$D,$E1966,'Allocated Transactions'!$C:$C,$C1966,'Allocated Transactions'!$A:$A,"&gt;="&amp;$A1966,'Allocated Transactions'!$A:$A,"&lt;="&amp;EOMONTH($A1966,0))*0.99,100)</f>
        <v>5300</v>
      </c>
      <c r="K1966" s="113" t="s">
        <v>637</v>
      </c>
    </row>
    <row r="1967" spans="1:11" ht="15" customHeight="1">
      <c r="A1967" s="112">
        <f t="shared" si="129"/>
        <v>45870</v>
      </c>
      <c r="B1967" s="113">
        <v>10</v>
      </c>
      <c r="C1967" s="18" t="str">
        <f t="shared" si="131"/>
        <v>2050</v>
      </c>
      <c r="D1967" s="113" t="str">
        <f>_xlfn.XLOOKUP($C1967,'Cost Centers'!$A$2:$A$11,'Cost Centers'!$B$2:$B$11,"")</f>
        <v>SE Asia</v>
      </c>
      <c r="E1967" s="113" t="s">
        <v>31</v>
      </c>
      <c r="F1967" s="113" t="str">
        <f>_xlfn.XLOOKUP(E1967,'Allocated Transactions'!D:D,'Allocated Transactions'!E:E,"")</f>
        <v>Retirement Contributions</v>
      </c>
      <c r="G1967" s="113" t="s">
        <v>97</v>
      </c>
      <c r="H1967" s="113"/>
      <c r="I1967" s="113" t="str">
        <f>_xlfn.XLOOKUP($C1967,'Cost Centers'!$A$2:$A$11,'Cost Centers'!$C$2:$C$11,"")</f>
        <v>Programs</v>
      </c>
      <c r="J1967" s="23">
        <f>MROUND(SUMIFS('Allocated Transactions'!$J:$J,'Allocated Transactions'!$D:$D,$E1967,'Allocated Transactions'!$C:$C,$C1967,'Allocated Transactions'!$A:$A,"&gt;="&amp;$A1967,'Allocated Transactions'!$A:$A,"&lt;="&amp;EOMONTH($A1967,0))*0.99,100)</f>
        <v>600</v>
      </c>
      <c r="K1967" s="113" t="s">
        <v>637</v>
      </c>
    </row>
    <row r="1968" spans="1:11" ht="15" customHeight="1">
      <c r="A1968" s="112">
        <f t="shared" si="129"/>
        <v>45870</v>
      </c>
      <c r="B1968" s="113">
        <v>10</v>
      </c>
      <c r="C1968" s="18" t="str">
        <f t="shared" si="131"/>
        <v>2050</v>
      </c>
      <c r="D1968" s="113" t="str">
        <f>_xlfn.XLOOKUP($C1968,'Cost Centers'!$A$2:$A$11,'Cost Centers'!$B$2:$B$11,"")</f>
        <v>SE Asia</v>
      </c>
      <c r="E1968" s="113" t="s">
        <v>101</v>
      </c>
      <c r="F1968" s="113" t="str">
        <f>_xlfn.XLOOKUP(E1968,'Allocated Transactions'!D:D,'Allocated Transactions'!E:E,"")</f>
        <v>Contract Labor / Consultants</v>
      </c>
      <c r="G1968" s="113" t="s">
        <v>97</v>
      </c>
      <c r="H1968" s="113"/>
      <c r="I1968" s="113" t="str">
        <f>_xlfn.XLOOKUP($C1968,'Cost Centers'!$A$2:$A$11,'Cost Centers'!$C$2:$C$11,"")</f>
        <v>Programs</v>
      </c>
      <c r="J1968" s="23">
        <f>MROUND(SUMIFS('Allocated Transactions'!$J:$J,'Allocated Transactions'!$D:$D,$E1968,'Allocated Transactions'!$C:$C,$C1968,'Allocated Transactions'!$A:$A,"&gt;="&amp;$A1968,'Allocated Transactions'!$A:$A,"&lt;="&amp;EOMONTH($A1968,0))*0.99,100)</f>
        <v>0</v>
      </c>
      <c r="K1968" s="113" t="s">
        <v>637</v>
      </c>
    </row>
    <row r="1969" spans="1:11" ht="15" customHeight="1">
      <c r="A1969" s="112">
        <f t="shared" si="129"/>
        <v>45870</v>
      </c>
      <c r="B1969" s="113">
        <v>10</v>
      </c>
      <c r="C1969" s="18" t="str">
        <f t="shared" si="131"/>
        <v>2050</v>
      </c>
      <c r="D1969" s="113" t="str">
        <f>_xlfn.XLOOKUP($C1969,'Cost Centers'!$A$2:$A$11,'Cost Centers'!$B$2:$B$11,"")</f>
        <v>SE Asia</v>
      </c>
      <c r="E1969" s="113" t="s">
        <v>32</v>
      </c>
      <c r="F1969" s="113" t="str">
        <f>_xlfn.XLOOKUP(E1969,'Allocated Transactions'!D:D,'Allocated Transactions'!E:E,"")</f>
        <v>Rent</v>
      </c>
      <c r="G1969" s="113" t="s">
        <v>97</v>
      </c>
      <c r="H1969" s="113"/>
      <c r="I1969" s="113" t="str">
        <f>_xlfn.XLOOKUP($C1969,'Cost Centers'!$A$2:$A$11,'Cost Centers'!$C$2:$C$11,"")</f>
        <v>Programs</v>
      </c>
      <c r="J1969" s="23">
        <f>MROUND(SUMIFS('Allocated Transactions'!$J:$J,'Allocated Transactions'!$D:$D,$E1969,'Allocated Transactions'!$C:$C,$C1969,'Allocated Transactions'!$A:$A,"&gt;="&amp;$A1969,'Allocated Transactions'!$A:$A,"&lt;="&amp;EOMONTH($A1969,0))*0.99,100)</f>
        <v>1600</v>
      </c>
      <c r="K1969" s="113" t="s">
        <v>637</v>
      </c>
    </row>
    <row r="1970" spans="1:11" ht="15" customHeight="1">
      <c r="A1970" s="112">
        <f t="shared" si="129"/>
        <v>45870</v>
      </c>
      <c r="B1970" s="113">
        <v>10</v>
      </c>
      <c r="C1970" s="18" t="str">
        <f t="shared" si="131"/>
        <v>2050</v>
      </c>
      <c r="D1970" s="113" t="str">
        <f>_xlfn.XLOOKUP($C1970,'Cost Centers'!$A$2:$A$11,'Cost Centers'!$B$2:$B$11,"")</f>
        <v>SE Asia</v>
      </c>
      <c r="E1970" s="113" t="s">
        <v>33</v>
      </c>
      <c r="F1970" s="113" t="str">
        <f>_xlfn.XLOOKUP(E1970,'Allocated Transactions'!D:D,'Allocated Transactions'!E:E,"")</f>
        <v>Utilities</v>
      </c>
      <c r="G1970" s="113" t="s">
        <v>97</v>
      </c>
      <c r="H1970" s="113"/>
      <c r="I1970" s="113" t="str">
        <f>_xlfn.XLOOKUP($C1970,'Cost Centers'!$A$2:$A$11,'Cost Centers'!$C$2:$C$11,"")</f>
        <v>Programs</v>
      </c>
      <c r="J1970" s="23">
        <f>MROUND(SUMIFS('Allocated Transactions'!$J:$J,'Allocated Transactions'!$D:$D,$E1970,'Allocated Transactions'!$C:$C,$C1970,'Allocated Transactions'!$A:$A,"&gt;="&amp;$A1970,'Allocated Transactions'!$A:$A,"&lt;="&amp;EOMONTH($A1970,0))*0.99,100)</f>
        <v>200</v>
      </c>
      <c r="K1970" s="113" t="s">
        <v>637</v>
      </c>
    </row>
    <row r="1971" spans="1:11" ht="15" customHeight="1">
      <c r="A1971" s="112">
        <f t="shared" si="129"/>
        <v>45870</v>
      </c>
      <c r="B1971" s="113">
        <v>10</v>
      </c>
      <c r="C1971" s="18" t="str">
        <f t="shared" si="131"/>
        <v>2050</v>
      </c>
      <c r="D1971" s="113" t="str">
        <f>_xlfn.XLOOKUP($C1971,'Cost Centers'!$A$2:$A$11,'Cost Centers'!$B$2:$B$11,"")</f>
        <v>SE Asia</v>
      </c>
      <c r="E1971" s="113" t="s">
        <v>105</v>
      </c>
      <c r="F1971" s="113" t="str">
        <f>_xlfn.XLOOKUP(E1971,'Allocated Transactions'!D:D,'Allocated Transactions'!E:E,"")</f>
        <v>Office Supplies</v>
      </c>
      <c r="G1971" s="113" t="s">
        <v>97</v>
      </c>
      <c r="H1971" s="113"/>
      <c r="I1971" s="113" t="str">
        <f>_xlfn.XLOOKUP($C1971,'Cost Centers'!$A$2:$A$11,'Cost Centers'!$C$2:$C$11,"")</f>
        <v>Programs</v>
      </c>
      <c r="J1971" s="23">
        <f>MROUND(SUMIFS('Allocated Transactions'!$J:$J,'Allocated Transactions'!$D:$D,$E1971,'Allocated Transactions'!$C:$C,$C1971,'Allocated Transactions'!$A:$A,"&gt;="&amp;$A1971,'Allocated Transactions'!$A:$A,"&lt;="&amp;EOMONTH($A1971,0))*0.99,100)</f>
        <v>0</v>
      </c>
      <c r="K1971" s="113" t="s">
        <v>637</v>
      </c>
    </row>
    <row r="1972" spans="1:11" ht="15" customHeight="1">
      <c r="A1972" s="112">
        <f t="shared" si="129"/>
        <v>45870</v>
      </c>
      <c r="B1972" s="113">
        <v>10</v>
      </c>
      <c r="C1972" s="18" t="str">
        <f t="shared" si="131"/>
        <v>2050</v>
      </c>
      <c r="D1972" s="113" t="str">
        <f>_xlfn.XLOOKUP($C1972,'Cost Centers'!$A$2:$A$11,'Cost Centers'!$B$2:$B$11,"")</f>
        <v>SE Asia</v>
      </c>
      <c r="E1972" s="113" t="s">
        <v>107</v>
      </c>
      <c r="F1972" s="113" t="str">
        <f>_xlfn.XLOOKUP(E1972,'Allocated Transactions'!D:D,'Allocated Transactions'!E:E,"")</f>
        <v>Software and Subscriptions</v>
      </c>
      <c r="G1972" s="113" t="s">
        <v>97</v>
      </c>
      <c r="H1972" s="113"/>
      <c r="I1972" s="113" t="str">
        <f>_xlfn.XLOOKUP($C1972,'Cost Centers'!$A$2:$A$11,'Cost Centers'!$C$2:$C$11,"")</f>
        <v>Programs</v>
      </c>
      <c r="J1972" s="23">
        <f>MROUND(SUMIFS('Allocated Transactions'!$J:$J,'Allocated Transactions'!$D:$D,$E1972,'Allocated Transactions'!$C:$C,$C1972,'Allocated Transactions'!$A:$A,"&gt;="&amp;$A1972,'Allocated Transactions'!$A:$A,"&lt;="&amp;EOMONTH($A1972,0))*0.99,100)</f>
        <v>0</v>
      </c>
      <c r="K1972" s="113" t="s">
        <v>637</v>
      </c>
    </row>
    <row r="1973" spans="1:11" ht="15" customHeight="1">
      <c r="A1973" s="112">
        <f t="shared" si="129"/>
        <v>45870</v>
      </c>
      <c r="B1973" s="113">
        <v>10</v>
      </c>
      <c r="C1973" s="18" t="str">
        <f t="shared" si="131"/>
        <v>2050</v>
      </c>
      <c r="D1973" s="113" t="str">
        <f>_xlfn.XLOOKUP($C1973,'Cost Centers'!$A$2:$A$11,'Cost Centers'!$B$2:$B$11,"")</f>
        <v>SE Asia</v>
      </c>
      <c r="E1973" s="113" t="s">
        <v>109</v>
      </c>
      <c r="F1973" s="113" t="str">
        <f>_xlfn.XLOOKUP(E1973,'Allocated Transactions'!D:D,'Allocated Transactions'!E:E,"")</f>
        <v>Travel</v>
      </c>
      <c r="G1973" s="113" t="s">
        <v>97</v>
      </c>
      <c r="H1973" s="113"/>
      <c r="I1973" s="113" t="str">
        <f>_xlfn.XLOOKUP($C1973,'Cost Centers'!$A$2:$A$11,'Cost Centers'!$C$2:$C$11,"")</f>
        <v>Programs</v>
      </c>
      <c r="J1973" s="23">
        <f>MROUND(SUMIFS('Allocated Transactions'!$J:$J,'Allocated Transactions'!$D:$D,$E1973,'Allocated Transactions'!$C:$C,$C1973,'Allocated Transactions'!$A:$A,"&gt;="&amp;$A1973,'Allocated Transactions'!$A:$A,"&lt;="&amp;EOMONTH($A1973,0))*0.99,100)</f>
        <v>0</v>
      </c>
      <c r="K1973" s="113" t="s">
        <v>637</v>
      </c>
    </row>
    <row r="1974" spans="1:11" ht="15" customHeight="1">
      <c r="A1974" s="112">
        <f t="shared" si="129"/>
        <v>45870</v>
      </c>
      <c r="B1974" s="113">
        <v>10</v>
      </c>
      <c r="C1974" s="18" t="str">
        <f t="shared" si="131"/>
        <v>2050</v>
      </c>
      <c r="D1974" s="113" t="str">
        <f>_xlfn.XLOOKUP($C1974,'Cost Centers'!$A$2:$A$11,'Cost Centers'!$B$2:$B$11,"")</f>
        <v>SE Asia</v>
      </c>
      <c r="E1974" s="113" t="s">
        <v>111</v>
      </c>
      <c r="F1974" s="113" t="str">
        <f>_xlfn.XLOOKUP(E1974,'Allocated Transactions'!D:D,'Allocated Transactions'!E:E,"")</f>
        <v>Meals and Entertainment</v>
      </c>
      <c r="G1974" s="113" t="s">
        <v>97</v>
      </c>
      <c r="H1974" s="113"/>
      <c r="I1974" s="113" t="str">
        <f>_xlfn.XLOOKUP($C1974,'Cost Centers'!$A$2:$A$11,'Cost Centers'!$C$2:$C$11,"")</f>
        <v>Programs</v>
      </c>
      <c r="J1974" s="23">
        <f>MROUND(SUMIFS('Allocated Transactions'!$J:$J,'Allocated Transactions'!$D:$D,$E1974,'Allocated Transactions'!$C:$C,$C1974,'Allocated Transactions'!$A:$A,"&gt;="&amp;$A1974,'Allocated Transactions'!$A:$A,"&lt;="&amp;EOMONTH($A1974,0))*0.99,100)</f>
        <v>0</v>
      </c>
      <c r="K1974" s="113" t="s">
        <v>637</v>
      </c>
    </row>
    <row r="1975" spans="1:11" ht="15" customHeight="1">
      <c r="A1975" s="112">
        <f t="shared" si="129"/>
        <v>45870</v>
      </c>
      <c r="B1975" s="113">
        <v>10</v>
      </c>
      <c r="C1975" s="18" t="str">
        <f t="shared" si="131"/>
        <v>2050</v>
      </c>
      <c r="D1975" s="113" t="str">
        <f>_xlfn.XLOOKUP($C1975,'Cost Centers'!$A$2:$A$11,'Cost Centers'!$B$2:$B$11,"")</f>
        <v>SE Asia</v>
      </c>
      <c r="E1975" s="113" t="s">
        <v>113</v>
      </c>
      <c r="F1975" s="113" t="str">
        <f>_xlfn.XLOOKUP(E1975,'Allocated Transactions'!D:D,'Allocated Transactions'!E:E,"")</f>
        <v>Professional Fees - Legal</v>
      </c>
      <c r="G1975" s="113" t="s">
        <v>97</v>
      </c>
      <c r="H1975" s="113"/>
      <c r="I1975" s="113" t="str">
        <f>_xlfn.XLOOKUP($C1975,'Cost Centers'!$A$2:$A$11,'Cost Centers'!$C$2:$C$11,"")</f>
        <v>Programs</v>
      </c>
      <c r="J1975" s="23">
        <f>MROUND(SUMIFS('Allocated Transactions'!$J:$J,'Allocated Transactions'!$D:$D,$E1975,'Allocated Transactions'!$C:$C,$C1975,'Allocated Transactions'!$A:$A,"&gt;="&amp;$A1975,'Allocated Transactions'!$A:$A,"&lt;="&amp;EOMONTH($A1975,0))*0.99,100)</f>
        <v>0</v>
      </c>
      <c r="K1975" s="113" t="s">
        <v>637</v>
      </c>
    </row>
    <row r="1976" spans="1:11" ht="15" customHeight="1">
      <c r="A1976" s="112">
        <f t="shared" si="129"/>
        <v>45870</v>
      </c>
      <c r="B1976" s="113">
        <v>10</v>
      </c>
      <c r="C1976" s="18" t="str">
        <f t="shared" si="131"/>
        <v>2050</v>
      </c>
      <c r="D1976" s="113" t="str">
        <f>_xlfn.XLOOKUP($C1976,'Cost Centers'!$A$2:$A$11,'Cost Centers'!$B$2:$B$11,"")</f>
        <v>SE Asia</v>
      </c>
      <c r="E1976" s="113" t="s">
        <v>115</v>
      </c>
      <c r="F1976" s="113" t="str">
        <f>_xlfn.XLOOKUP(E1976,'Allocated Transactions'!D:D,'Allocated Transactions'!E:E,"")</f>
        <v>Professional Fees - Accounting/Audit</v>
      </c>
      <c r="G1976" s="113" t="s">
        <v>97</v>
      </c>
      <c r="H1976" s="113"/>
      <c r="I1976" s="113" t="str">
        <f>_xlfn.XLOOKUP($C1976,'Cost Centers'!$A$2:$A$11,'Cost Centers'!$C$2:$C$11,"")</f>
        <v>Programs</v>
      </c>
      <c r="J1976" s="23">
        <f>MROUND(SUMIFS('Allocated Transactions'!$J:$J,'Allocated Transactions'!$D:$D,$E1976,'Allocated Transactions'!$C:$C,$C1976,'Allocated Transactions'!$A:$A,"&gt;="&amp;$A1976,'Allocated Transactions'!$A:$A,"&lt;="&amp;EOMONTH($A1976,0))*0.99,100)</f>
        <v>0</v>
      </c>
      <c r="K1976" s="113" t="s">
        <v>637</v>
      </c>
    </row>
    <row r="1977" spans="1:11" ht="15" customHeight="1">
      <c r="A1977" s="112">
        <f t="shared" si="129"/>
        <v>45870</v>
      </c>
      <c r="B1977" s="113">
        <v>10</v>
      </c>
      <c r="C1977" s="18" t="str">
        <f t="shared" si="131"/>
        <v>2050</v>
      </c>
      <c r="D1977" s="113" t="str">
        <f>_xlfn.XLOOKUP($C1977,'Cost Centers'!$A$2:$A$11,'Cost Centers'!$B$2:$B$11,"")</f>
        <v>SE Asia</v>
      </c>
      <c r="E1977" s="113" t="s">
        <v>117</v>
      </c>
      <c r="F1977" s="113" t="str">
        <f>_xlfn.XLOOKUP(E1977,'Allocated Transactions'!D:D,'Allocated Transactions'!E:E,"")</f>
        <v>Insurance</v>
      </c>
      <c r="G1977" s="113" t="s">
        <v>97</v>
      </c>
      <c r="H1977" s="113"/>
      <c r="I1977" s="113" t="str">
        <f>_xlfn.XLOOKUP($C1977,'Cost Centers'!$A$2:$A$11,'Cost Centers'!$C$2:$C$11,"")</f>
        <v>Programs</v>
      </c>
      <c r="J1977" s="23">
        <f>MROUND(SUMIFS('Allocated Transactions'!$J:$J,'Allocated Transactions'!$D:$D,$E1977,'Allocated Transactions'!$C:$C,$C1977,'Allocated Transactions'!$A:$A,"&gt;="&amp;$A1977,'Allocated Transactions'!$A:$A,"&lt;="&amp;EOMONTH($A1977,0))*0.99,100)</f>
        <v>100</v>
      </c>
      <c r="K1977" s="113" t="s">
        <v>637</v>
      </c>
    </row>
    <row r="1978" spans="1:11" ht="15" customHeight="1">
      <c r="A1978" s="112">
        <f t="shared" si="129"/>
        <v>45870</v>
      </c>
      <c r="B1978" s="113">
        <v>10</v>
      </c>
      <c r="C1978" s="18" t="str">
        <f t="shared" si="131"/>
        <v>2050</v>
      </c>
      <c r="D1978" s="113" t="str">
        <f>_xlfn.XLOOKUP($C1978,'Cost Centers'!$A$2:$A$11,'Cost Centers'!$B$2:$B$11,"")</f>
        <v>SE Asia</v>
      </c>
      <c r="E1978" s="113" t="s">
        <v>119</v>
      </c>
      <c r="F1978" s="113" t="str">
        <f>_xlfn.XLOOKUP(E1978,'Allocated Transactions'!D:D,'Allocated Transactions'!E:E,"")</f>
        <v>Depreciation Expense</v>
      </c>
      <c r="G1978" s="113" t="s">
        <v>97</v>
      </c>
      <c r="H1978" s="113"/>
      <c r="I1978" s="113" t="str">
        <f>_xlfn.XLOOKUP($C1978,'Cost Centers'!$A$2:$A$11,'Cost Centers'!$C$2:$C$11,"")</f>
        <v>Programs</v>
      </c>
      <c r="J1978" s="23">
        <f>MROUND(SUMIFS('Allocated Transactions'!$J:$J,'Allocated Transactions'!$D:$D,$E1978,'Allocated Transactions'!$C:$C,$C1978,'Allocated Transactions'!$A:$A,"&gt;="&amp;$A1978,'Allocated Transactions'!$A:$A,"&lt;="&amp;EOMONTH($A1978,0))*0.99,100)</f>
        <v>0</v>
      </c>
      <c r="K1978" s="113" t="s">
        <v>637</v>
      </c>
    </row>
    <row r="1979" spans="1:11" ht="15" customHeight="1">
      <c r="A1979" s="112">
        <f t="shared" si="129"/>
        <v>45870</v>
      </c>
      <c r="B1979" s="113">
        <v>10</v>
      </c>
      <c r="C1979" s="18" t="str">
        <f t="shared" si="131"/>
        <v>2050</v>
      </c>
      <c r="D1979" s="113" t="str">
        <f>_xlfn.XLOOKUP($C1979,'Cost Centers'!$A$2:$A$11,'Cost Centers'!$B$2:$B$11,"")</f>
        <v>SE Asia</v>
      </c>
      <c r="E1979" s="113" t="s">
        <v>121</v>
      </c>
      <c r="F1979" s="113" t="str">
        <f>_xlfn.XLOOKUP(E1979,'Allocated Transactions'!D:D,'Allocated Transactions'!E:E,"")</f>
        <v>Bank Fees</v>
      </c>
      <c r="G1979" s="113" t="s">
        <v>97</v>
      </c>
      <c r="H1979" s="113"/>
      <c r="I1979" s="113" t="str">
        <f>_xlfn.XLOOKUP($C1979,'Cost Centers'!$A$2:$A$11,'Cost Centers'!$C$2:$C$11,"")</f>
        <v>Programs</v>
      </c>
      <c r="J1979" s="23">
        <f>MROUND(SUMIFS('Allocated Transactions'!$J:$J,'Allocated Transactions'!$D:$D,$E1979,'Allocated Transactions'!$C:$C,$C1979,'Allocated Transactions'!$A:$A,"&gt;="&amp;$A1979,'Allocated Transactions'!$A:$A,"&lt;="&amp;EOMONTH($A1979,0))*0.99,100)</f>
        <v>0</v>
      </c>
      <c r="K1979" s="113" t="s">
        <v>637</v>
      </c>
    </row>
    <row r="1980" spans="1:11" ht="15" customHeight="1">
      <c r="A1980" s="112">
        <f t="shared" si="129"/>
        <v>45870</v>
      </c>
      <c r="B1980" s="113">
        <v>10</v>
      </c>
      <c r="C1980" s="18" t="str">
        <f t="shared" si="131"/>
        <v>2050</v>
      </c>
      <c r="D1980" s="113" t="str">
        <f>_xlfn.XLOOKUP($C1980,'Cost Centers'!$A$2:$A$11,'Cost Centers'!$B$2:$B$11,"")</f>
        <v>SE Asia</v>
      </c>
      <c r="E1980" s="113" t="s">
        <v>123</v>
      </c>
      <c r="F1980" s="113" t="str">
        <f>_xlfn.XLOOKUP(E1980,'Allocated Transactions'!D:D,'Allocated Transactions'!E:E,"")</f>
        <v>Interest Expense</v>
      </c>
      <c r="G1980" s="113" t="s">
        <v>97</v>
      </c>
      <c r="H1980" s="113"/>
      <c r="I1980" s="113" t="str">
        <f>_xlfn.XLOOKUP($C1980,'Cost Centers'!$A$2:$A$11,'Cost Centers'!$C$2:$C$11,"")</f>
        <v>Programs</v>
      </c>
      <c r="J1980" s="23">
        <f>MROUND(SUMIFS('Allocated Transactions'!$J:$J,'Allocated Transactions'!$D:$D,$E1980,'Allocated Transactions'!$C:$C,$C1980,'Allocated Transactions'!$A:$A,"&gt;="&amp;$A1980,'Allocated Transactions'!$A:$A,"&lt;="&amp;EOMONTH($A1980,0))*0.99,100)</f>
        <v>0</v>
      </c>
      <c r="K1980" s="113" t="s">
        <v>637</v>
      </c>
    </row>
    <row r="1981" spans="1:11" ht="15" customHeight="1">
      <c r="A1981" s="112">
        <f t="shared" si="129"/>
        <v>45870</v>
      </c>
      <c r="B1981" s="113">
        <v>10</v>
      </c>
      <c r="C1981" s="18" t="str">
        <f t="shared" si="131"/>
        <v>2050</v>
      </c>
      <c r="D1981" s="113" t="str">
        <f>_xlfn.XLOOKUP($C1981,'Cost Centers'!$A$2:$A$11,'Cost Centers'!$B$2:$B$11,"")</f>
        <v>SE Asia</v>
      </c>
      <c r="E1981" s="113" t="s">
        <v>125</v>
      </c>
      <c r="F1981" s="113" t="str">
        <f>_xlfn.XLOOKUP(E1981,'Allocated Transactions'!D:D,'Allocated Transactions'!E:E,"")</f>
        <v>Miscellaneous Expense</v>
      </c>
      <c r="G1981" s="113" t="s">
        <v>97</v>
      </c>
      <c r="H1981" s="113"/>
      <c r="I1981" s="113" t="str">
        <f>_xlfn.XLOOKUP($C1981,'Cost Centers'!$A$2:$A$11,'Cost Centers'!$C$2:$C$11,"")</f>
        <v>Programs</v>
      </c>
      <c r="J1981" s="23">
        <f>MROUND(SUMIFS('Allocated Transactions'!$J:$J,'Allocated Transactions'!$D:$D,$E1981,'Allocated Transactions'!$C:$C,$C1981,'Allocated Transactions'!$A:$A,"&gt;="&amp;$A1981,'Allocated Transactions'!$A:$A,"&lt;="&amp;EOMONTH($A1981,0))*0.99,100)</f>
        <v>0</v>
      </c>
      <c r="K1981" s="113" t="s">
        <v>637</v>
      </c>
    </row>
    <row r="1982" spans="1:11" ht="15" customHeight="1">
      <c r="A1982" s="112">
        <f t="shared" si="129"/>
        <v>45901</v>
      </c>
      <c r="B1982" s="113">
        <v>10</v>
      </c>
      <c r="C1982" s="18" t="s">
        <v>20</v>
      </c>
      <c r="D1982" s="113" t="str">
        <f>_xlfn.XLOOKUP($C1982,'Cost Centers'!$A$2:$A$11,'Cost Centers'!$B$2:$B$11,"")</f>
        <v>SE Asia</v>
      </c>
      <c r="E1982" s="113" t="s">
        <v>28</v>
      </c>
      <c r="F1982" s="113" t="str">
        <f>_xlfn.XLOOKUP(E1982,'Allocated Transactions'!D:D,'Allocated Transactions'!E:E,"")</f>
        <v>Salaries and Wages</v>
      </c>
      <c r="G1982" s="113" t="s">
        <v>97</v>
      </c>
      <c r="H1982" s="113"/>
      <c r="I1982" s="113" t="str">
        <f>_xlfn.XLOOKUP($C1982,'Cost Centers'!$A$2:$A$11,'Cost Centers'!$C$2:$C$11,"")</f>
        <v>Programs</v>
      </c>
      <c r="J1982" s="23">
        <f>MROUND(SUMIFS('Allocated Transactions'!$J:$J,'Allocated Transactions'!$D:$D,$E1982,'Allocated Transactions'!$C:$C,$C1982,'Allocated Transactions'!$A:$A,"&gt;="&amp;$A1982,'Allocated Transactions'!$A:$A,"&lt;="&amp;EOMONTH($A1982,0))*0.99,100)</f>
        <v>20300</v>
      </c>
      <c r="K1982" s="113" t="s">
        <v>637</v>
      </c>
    </row>
    <row r="1983" spans="1:11" ht="15" customHeight="1">
      <c r="A1983" s="112">
        <f t="shared" si="129"/>
        <v>45901</v>
      </c>
      <c r="B1983" s="113">
        <v>10</v>
      </c>
      <c r="C1983" s="18" t="str">
        <f t="shared" ref="C1983:C1999" si="132">C1982</f>
        <v>2050</v>
      </c>
      <c r="D1983" s="113" t="str">
        <f>_xlfn.XLOOKUP($C1983,'Cost Centers'!$A$2:$A$11,'Cost Centers'!$B$2:$B$11,"")</f>
        <v>SE Asia</v>
      </c>
      <c r="E1983" s="113" t="s">
        <v>29</v>
      </c>
      <c r="F1983" s="113" t="str">
        <f>_xlfn.XLOOKUP(E1983,'Allocated Transactions'!D:D,'Allocated Transactions'!E:E,"")</f>
        <v>Payroll Taxes</v>
      </c>
      <c r="G1983" s="113" t="s">
        <v>97</v>
      </c>
      <c r="H1983" s="113"/>
      <c r="I1983" s="113" t="str">
        <f>_xlfn.XLOOKUP($C1983,'Cost Centers'!$A$2:$A$11,'Cost Centers'!$C$2:$C$11,"")</f>
        <v>Programs</v>
      </c>
      <c r="J1983" s="23">
        <f>MROUND(SUMIFS('Allocated Transactions'!$J:$J,'Allocated Transactions'!$D:$D,$E1983,'Allocated Transactions'!$C:$C,$C1983,'Allocated Transactions'!$A:$A,"&gt;="&amp;$A1983,'Allocated Transactions'!$A:$A,"&lt;="&amp;EOMONTH($A1983,0))*0.99,100)</f>
        <v>1600</v>
      </c>
      <c r="K1983" s="113" t="s">
        <v>637</v>
      </c>
    </row>
    <row r="1984" spans="1:11" ht="15" customHeight="1">
      <c r="A1984" s="112">
        <f t="shared" si="129"/>
        <v>45901</v>
      </c>
      <c r="B1984" s="113">
        <v>10</v>
      </c>
      <c r="C1984" s="18" t="str">
        <f t="shared" si="132"/>
        <v>2050</v>
      </c>
      <c r="D1984" s="113" t="str">
        <f>_xlfn.XLOOKUP($C1984,'Cost Centers'!$A$2:$A$11,'Cost Centers'!$B$2:$B$11,"")</f>
        <v>SE Asia</v>
      </c>
      <c r="E1984" s="113" t="s">
        <v>30</v>
      </c>
      <c r="F1984" s="113" t="str">
        <f>_xlfn.XLOOKUP(E1984,'Allocated Transactions'!D:D,'Allocated Transactions'!E:E,"")</f>
        <v>Employee Benefits</v>
      </c>
      <c r="G1984" s="113" t="s">
        <v>97</v>
      </c>
      <c r="H1984" s="113"/>
      <c r="I1984" s="113" t="str">
        <f>_xlfn.XLOOKUP($C1984,'Cost Centers'!$A$2:$A$11,'Cost Centers'!$C$2:$C$11,"")</f>
        <v>Programs</v>
      </c>
      <c r="J1984" s="23">
        <f>MROUND(SUMIFS('Allocated Transactions'!$J:$J,'Allocated Transactions'!$D:$D,$E1984,'Allocated Transactions'!$C:$C,$C1984,'Allocated Transactions'!$A:$A,"&gt;="&amp;$A1984,'Allocated Transactions'!$A:$A,"&lt;="&amp;EOMONTH($A1984,0))*0.99,100)</f>
        <v>4500</v>
      </c>
      <c r="K1984" s="113" t="s">
        <v>637</v>
      </c>
    </row>
    <row r="1985" spans="1:11" ht="15" customHeight="1">
      <c r="A1985" s="112">
        <f t="shared" si="129"/>
        <v>45901</v>
      </c>
      <c r="B1985" s="113">
        <v>10</v>
      </c>
      <c r="C1985" s="18" t="str">
        <f t="shared" si="132"/>
        <v>2050</v>
      </c>
      <c r="D1985" s="113" t="str">
        <f>_xlfn.XLOOKUP($C1985,'Cost Centers'!$A$2:$A$11,'Cost Centers'!$B$2:$B$11,"")</f>
        <v>SE Asia</v>
      </c>
      <c r="E1985" s="113" t="s">
        <v>31</v>
      </c>
      <c r="F1985" s="113" t="str">
        <f>_xlfn.XLOOKUP(E1985,'Allocated Transactions'!D:D,'Allocated Transactions'!E:E,"")</f>
        <v>Retirement Contributions</v>
      </c>
      <c r="G1985" s="113" t="s">
        <v>97</v>
      </c>
      <c r="H1985" s="113"/>
      <c r="I1985" s="113" t="str">
        <f>_xlfn.XLOOKUP($C1985,'Cost Centers'!$A$2:$A$11,'Cost Centers'!$C$2:$C$11,"")</f>
        <v>Programs</v>
      </c>
      <c r="J1985" s="23">
        <f>MROUND(SUMIFS('Allocated Transactions'!$J:$J,'Allocated Transactions'!$D:$D,$E1985,'Allocated Transactions'!$C:$C,$C1985,'Allocated Transactions'!$A:$A,"&gt;="&amp;$A1985,'Allocated Transactions'!$A:$A,"&lt;="&amp;EOMONTH($A1985,0))*0.99,100)</f>
        <v>600</v>
      </c>
      <c r="K1985" s="113" t="s">
        <v>637</v>
      </c>
    </row>
    <row r="1986" spans="1:11" ht="15" customHeight="1">
      <c r="A1986" s="112">
        <f t="shared" si="129"/>
        <v>45901</v>
      </c>
      <c r="B1986" s="113">
        <v>10</v>
      </c>
      <c r="C1986" s="18" t="str">
        <f t="shared" si="132"/>
        <v>2050</v>
      </c>
      <c r="D1986" s="113" t="str">
        <f>_xlfn.XLOOKUP($C1986,'Cost Centers'!$A$2:$A$11,'Cost Centers'!$B$2:$B$11,"")</f>
        <v>SE Asia</v>
      </c>
      <c r="E1986" s="113" t="s">
        <v>101</v>
      </c>
      <c r="F1986" s="113" t="str">
        <f>_xlfn.XLOOKUP(E1986,'Allocated Transactions'!D:D,'Allocated Transactions'!E:E,"")</f>
        <v>Contract Labor / Consultants</v>
      </c>
      <c r="G1986" s="113" t="s">
        <v>97</v>
      </c>
      <c r="H1986" s="113"/>
      <c r="I1986" s="113" t="str">
        <f>_xlfn.XLOOKUP($C1986,'Cost Centers'!$A$2:$A$11,'Cost Centers'!$C$2:$C$11,"")</f>
        <v>Programs</v>
      </c>
      <c r="J1986" s="23">
        <f>MROUND(SUMIFS('Allocated Transactions'!$J:$J,'Allocated Transactions'!$D:$D,$E1986,'Allocated Transactions'!$C:$C,$C1986,'Allocated Transactions'!$A:$A,"&gt;="&amp;$A1986,'Allocated Transactions'!$A:$A,"&lt;="&amp;EOMONTH($A1986,0))*0.99,100)</f>
        <v>0</v>
      </c>
      <c r="K1986" s="113" t="s">
        <v>637</v>
      </c>
    </row>
    <row r="1987" spans="1:11" ht="15" customHeight="1">
      <c r="A1987" s="112">
        <f t="shared" si="129"/>
        <v>45901</v>
      </c>
      <c r="B1987" s="113">
        <v>10</v>
      </c>
      <c r="C1987" s="18" t="str">
        <f t="shared" si="132"/>
        <v>2050</v>
      </c>
      <c r="D1987" s="113" t="str">
        <f>_xlfn.XLOOKUP($C1987,'Cost Centers'!$A$2:$A$11,'Cost Centers'!$B$2:$B$11,"")</f>
        <v>SE Asia</v>
      </c>
      <c r="E1987" s="113" t="s">
        <v>32</v>
      </c>
      <c r="F1987" s="113" t="str">
        <f>_xlfn.XLOOKUP(E1987,'Allocated Transactions'!D:D,'Allocated Transactions'!E:E,"")</f>
        <v>Rent</v>
      </c>
      <c r="G1987" s="113" t="s">
        <v>97</v>
      </c>
      <c r="H1987" s="113"/>
      <c r="I1987" s="113" t="str">
        <f>_xlfn.XLOOKUP($C1987,'Cost Centers'!$A$2:$A$11,'Cost Centers'!$C$2:$C$11,"")</f>
        <v>Programs</v>
      </c>
      <c r="J1987" s="23">
        <f>MROUND(SUMIFS('Allocated Transactions'!$J:$J,'Allocated Transactions'!$D:$D,$E1987,'Allocated Transactions'!$C:$C,$C1987,'Allocated Transactions'!$A:$A,"&gt;="&amp;$A1987,'Allocated Transactions'!$A:$A,"&lt;="&amp;EOMONTH($A1987,0))*0.99,100)</f>
        <v>1600</v>
      </c>
      <c r="K1987" s="113" t="s">
        <v>637</v>
      </c>
    </row>
    <row r="1988" spans="1:11" ht="15" customHeight="1">
      <c r="A1988" s="112">
        <f t="shared" si="129"/>
        <v>45901</v>
      </c>
      <c r="B1988" s="113">
        <v>10</v>
      </c>
      <c r="C1988" s="18" t="str">
        <f t="shared" si="132"/>
        <v>2050</v>
      </c>
      <c r="D1988" s="113" t="str">
        <f>_xlfn.XLOOKUP($C1988,'Cost Centers'!$A$2:$A$11,'Cost Centers'!$B$2:$B$11,"")</f>
        <v>SE Asia</v>
      </c>
      <c r="E1988" s="113" t="s">
        <v>33</v>
      </c>
      <c r="F1988" s="113" t="str">
        <f>_xlfn.XLOOKUP(E1988,'Allocated Transactions'!D:D,'Allocated Transactions'!E:E,"")</f>
        <v>Utilities</v>
      </c>
      <c r="G1988" s="113" t="s">
        <v>97</v>
      </c>
      <c r="H1988" s="113"/>
      <c r="I1988" s="113" t="str">
        <f>_xlfn.XLOOKUP($C1988,'Cost Centers'!$A$2:$A$11,'Cost Centers'!$C$2:$C$11,"")</f>
        <v>Programs</v>
      </c>
      <c r="J1988" s="23">
        <f>MROUND(SUMIFS('Allocated Transactions'!$J:$J,'Allocated Transactions'!$D:$D,$E1988,'Allocated Transactions'!$C:$C,$C1988,'Allocated Transactions'!$A:$A,"&gt;="&amp;$A1988,'Allocated Transactions'!$A:$A,"&lt;="&amp;EOMONTH($A1988,0))*0.99,100)</f>
        <v>200</v>
      </c>
      <c r="K1988" s="113" t="s">
        <v>637</v>
      </c>
    </row>
    <row r="1989" spans="1:11" ht="15" customHeight="1">
      <c r="A1989" s="112">
        <f t="shared" si="129"/>
        <v>45901</v>
      </c>
      <c r="B1989" s="113">
        <v>10</v>
      </c>
      <c r="C1989" s="18" t="str">
        <f t="shared" si="132"/>
        <v>2050</v>
      </c>
      <c r="D1989" s="113" t="str">
        <f>_xlfn.XLOOKUP($C1989,'Cost Centers'!$A$2:$A$11,'Cost Centers'!$B$2:$B$11,"")</f>
        <v>SE Asia</v>
      </c>
      <c r="E1989" s="113" t="s">
        <v>105</v>
      </c>
      <c r="F1989" s="113" t="str">
        <f>_xlfn.XLOOKUP(E1989,'Allocated Transactions'!D:D,'Allocated Transactions'!E:E,"")</f>
        <v>Office Supplies</v>
      </c>
      <c r="G1989" s="113" t="s">
        <v>97</v>
      </c>
      <c r="H1989" s="113"/>
      <c r="I1989" s="113" t="str">
        <f>_xlfn.XLOOKUP($C1989,'Cost Centers'!$A$2:$A$11,'Cost Centers'!$C$2:$C$11,"")</f>
        <v>Programs</v>
      </c>
      <c r="J1989" s="23">
        <f>MROUND(SUMIFS('Allocated Transactions'!$J:$J,'Allocated Transactions'!$D:$D,$E1989,'Allocated Transactions'!$C:$C,$C1989,'Allocated Transactions'!$A:$A,"&gt;="&amp;$A1989,'Allocated Transactions'!$A:$A,"&lt;="&amp;EOMONTH($A1989,0))*0.99,100)</f>
        <v>0</v>
      </c>
      <c r="K1989" s="113" t="s">
        <v>637</v>
      </c>
    </row>
    <row r="1990" spans="1:11" ht="15" customHeight="1">
      <c r="A1990" s="112">
        <f t="shared" si="129"/>
        <v>45901</v>
      </c>
      <c r="B1990" s="113">
        <v>10</v>
      </c>
      <c r="C1990" s="18" t="str">
        <f t="shared" si="132"/>
        <v>2050</v>
      </c>
      <c r="D1990" s="113" t="str">
        <f>_xlfn.XLOOKUP($C1990,'Cost Centers'!$A$2:$A$11,'Cost Centers'!$B$2:$B$11,"")</f>
        <v>SE Asia</v>
      </c>
      <c r="E1990" s="113" t="s">
        <v>107</v>
      </c>
      <c r="F1990" s="113" t="str">
        <f>_xlfn.XLOOKUP(E1990,'Allocated Transactions'!D:D,'Allocated Transactions'!E:E,"")</f>
        <v>Software and Subscriptions</v>
      </c>
      <c r="G1990" s="113" t="s">
        <v>97</v>
      </c>
      <c r="H1990" s="113"/>
      <c r="I1990" s="113" t="str">
        <f>_xlfn.XLOOKUP($C1990,'Cost Centers'!$A$2:$A$11,'Cost Centers'!$C$2:$C$11,"")</f>
        <v>Programs</v>
      </c>
      <c r="J1990" s="23">
        <f>MROUND(SUMIFS('Allocated Transactions'!$J:$J,'Allocated Transactions'!$D:$D,$E1990,'Allocated Transactions'!$C:$C,$C1990,'Allocated Transactions'!$A:$A,"&gt;="&amp;$A1990,'Allocated Transactions'!$A:$A,"&lt;="&amp;EOMONTH($A1990,0))*0.99,100)</f>
        <v>0</v>
      </c>
      <c r="K1990" s="113" t="s">
        <v>637</v>
      </c>
    </row>
    <row r="1991" spans="1:11" ht="15" customHeight="1">
      <c r="A1991" s="112">
        <f t="shared" si="129"/>
        <v>45901</v>
      </c>
      <c r="B1991" s="113">
        <v>10</v>
      </c>
      <c r="C1991" s="18" t="str">
        <f t="shared" si="132"/>
        <v>2050</v>
      </c>
      <c r="D1991" s="113" t="str">
        <f>_xlfn.XLOOKUP($C1991,'Cost Centers'!$A$2:$A$11,'Cost Centers'!$B$2:$B$11,"")</f>
        <v>SE Asia</v>
      </c>
      <c r="E1991" s="113" t="s">
        <v>109</v>
      </c>
      <c r="F1991" s="113" t="str">
        <f>_xlfn.XLOOKUP(E1991,'Allocated Transactions'!D:D,'Allocated Transactions'!E:E,"")</f>
        <v>Travel</v>
      </c>
      <c r="G1991" s="113" t="s">
        <v>97</v>
      </c>
      <c r="H1991" s="113"/>
      <c r="I1991" s="113" t="str">
        <f>_xlfn.XLOOKUP($C1991,'Cost Centers'!$A$2:$A$11,'Cost Centers'!$C$2:$C$11,"")</f>
        <v>Programs</v>
      </c>
      <c r="J1991" s="23">
        <f>MROUND(SUMIFS('Allocated Transactions'!$J:$J,'Allocated Transactions'!$D:$D,$E1991,'Allocated Transactions'!$C:$C,$C1991,'Allocated Transactions'!$A:$A,"&gt;="&amp;$A1991,'Allocated Transactions'!$A:$A,"&lt;="&amp;EOMONTH($A1991,0))*0.99,100)</f>
        <v>1900</v>
      </c>
      <c r="K1991" s="113" t="s">
        <v>637</v>
      </c>
    </row>
    <row r="1992" spans="1:11" ht="15" customHeight="1">
      <c r="A1992" s="112">
        <f t="shared" si="129"/>
        <v>45901</v>
      </c>
      <c r="B1992" s="113">
        <v>10</v>
      </c>
      <c r="C1992" s="18" t="str">
        <f t="shared" si="132"/>
        <v>2050</v>
      </c>
      <c r="D1992" s="113" t="str">
        <f>_xlfn.XLOOKUP($C1992,'Cost Centers'!$A$2:$A$11,'Cost Centers'!$B$2:$B$11,"")</f>
        <v>SE Asia</v>
      </c>
      <c r="E1992" s="113" t="s">
        <v>111</v>
      </c>
      <c r="F1992" s="113" t="str">
        <f>_xlfn.XLOOKUP(E1992,'Allocated Transactions'!D:D,'Allocated Transactions'!E:E,"")</f>
        <v>Meals and Entertainment</v>
      </c>
      <c r="G1992" s="113" t="s">
        <v>97</v>
      </c>
      <c r="H1992" s="113"/>
      <c r="I1992" s="113" t="str">
        <f>_xlfn.XLOOKUP($C1992,'Cost Centers'!$A$2:$A$11,'Cost Centers'!$C$2:$C$11,"")</f>
        <v>Programs</v>
      </c>
      <c r="J1992" s="23">
        <f>MROUND(SUMIFS('Allocated Transactions'!$J:$J,'Allocated Transactions'!$D:$D,$E1992,'Allocated Transactions'!$C:$C,$C1992,'Allocated Transactions'!$A:$A,"&gt;="&amp;$A1992,'Allocated Transactions'!$A:$A,"&lt;="&amp;EOMONTH($A1992,0))*0.99,100)</f>
        <v>0</v>
      </c>
      <c r="K1992" s="113" t="s">
        <v>637</v>
      </c>
    </row>
    <row r="1993" spans="1:11" ht="15" customHeight="1">
      <c r="A1993" s="112">
        <f t="shared" si="129"/>
        <v>45901</v>
      </c>
      <c r="B1993" s="113">
        <v>10</v>
      </c>
      <c r="C1993" s="18" t="str">
        <f t="shared" si="132"/>
        <v>2050</v>
      </c>
      <c r="D1993" s="113" t="str">
        <f>_xlfn.XLOOKUP($C1993,'Cost Centers'!$A$2:$A$11,'Cost Centers'!$B$2:$B$11,"")</f>
        <v>SE Asia</v>
      </c>
      <c r="E1993" s="113" t="s">
        <v>113</v>
      </c>
      <c r="F1993" s="113" t="str">
        <f>_xlfn.XLOOKUP(E1993,'Allocated Transactions'!D:D,'Allocated Transactions'!E:E,"")</f>
        <v>Professional Fees - Legal</v>
      </c>
      <c r="G1993" s="113" t="s">
        <v>97</v>
      </c>
      <c r="H1993" s="113"/>
      <c r="I1993" s="113" t="str">
        <f>_xlfn.XLOOKUP($C1993,'Cost Centers'!$A$2:$A$11,'Cost Centers'!$C$2:$C$11,"")</f>
        <v>Programs</v>
      </c>
      <c r="J1993" s="23">
        <f>MROUND(SUMIFS('Allocated Transactions'!$J:$J,'Allocated Transactions'!$D:$D,$E1993,'Allocated Transactions'!$C:$C,$C1993,'Allocated Transactions'!$A:$A,"&gt;="&amp;$A1993,'Allocated Transactions'!$A:$A,"&lt;="&amp;EOMONTH($A1993,0))*0.99,100)</f>
        <v>0</v>
      </c>
      <c r="K1993" s="113" t="s">
        <v>637</v>
      </c>
    </row>
    <row r="1994" spans="1:11" ht="15" customHeight="1">
      <c r="A1994" s="112">
        <f t="shared" si="129"/>
        <v>45901</v>
      </c>
      <c r="B1994" s="113">
        <v>10</v>
      </c>
      <c r="C1994" s="18" t="str">
        <f t="shared" si="132"/>
        <v>2050</v>
      </c>
      <c r="D1994" s="113" t="str">
        <f>_xlfn.XLOOKUP($C1994,'Cost Centers'!$A$2:$A$11,'Cost Centers'!$B$2:$B$11,"")</f>
        <v>SE Asia</v>
      </c>
      <c r="E1994" s="113" t="s">
        <v>115</v>
      </c>
      <c r="F1994" s="113" t="str">
        <f>_xlfn.XLOOKUP(E1994,'Allocated Transactions'!D:D,'Allocated Transactions'!E:E,"")</f>
        <v>Professional Fees - Accounting/Audit</v>
      </c>
      <c r="G1994" s="113" t="s">
        <v>97</v>
      </c>
      <c r="H1994" s="113"/>
      <c r="I1994" s="113" t="str">
        <f>_xlfn.XLOOKUP($C1994,'Cost Centers'!$A$2:$A$11,'Cost Centers'!$C$2:$C$11,"")</f>
        <v>Programs</v>
      </c>
      <c r="J1994" s="23">
        <f>MROUND(SUMIFS('Allocated Transactions'!$J:$J,'Allocated Transactions'!$D:$D,$E1994,'Allocated Transactions'!$C:$C,$C1994,'Allocated Transactions'!$A:$A,"&gt;="&amp;$A1994,'Allocated Transactions'!$A:$A,"&lt;="&amp;EOMONTH($A1994,0))*0.99,100)</f>
        <v>0</v>
      </c>
      <c r="K1994" s="113" t="s">
        <v>637</v>
      </c>
    </row>
    <row r="1995" spans="1:11" ht="15" customHeight="1">
      <c r="A1995" s="112">
        <f t="shared" si="129"/>
        <v>45901</v>
      </c>
      <c r="B1995" s="113">
        <v>10</v>
      </c>
      <c r="C1995" s="18" t="str">
        <f t="shared" si="132"/>
        <v>2050</v>
      </c>
      <c r="D1995" s="113" t="str">
        <f>_xlfn.XLOOKUP($C1995,'Cost Centers'!$A$2:$A$11,'Cost Centers'!$B$2:$B$11,"")</f>
        <v>SE Asia</v>
      </c>
      <c r="E1995" s="113" t="s">
        <v>117</v>
      </c>
      <c r="F1995" s="113" t="str">
        <f>_xlfn.XLOOKUP(E1995,'Allocated Transactions'!D:D,'Allocated Transactions'!E:E,"")</f>
        <v>Insurance</v>
      </c>
      <c r="G1995" s="113" t="s">
        <v>97</v>
      </c>
      <c r="H1995" s="113"/>
      <c r="I1995" s="113" t="str">
        <f>_xlfn.XLOOKUP($C1995,'Cost Centers'!$A$2:$A$11,'Cost Centers'!$C$2:$C$11,"")</f>
        <v>Programs</v>
      </c>
      <c r="J1995" s="23">
        <f>MROUND(SUMIFS('Allocated Transactions'!$J:$J,'Allocated Transactions'!$D:$D,$E1995,'Allocated Transactions'!$C:$C,$C1995,'Allocated Transactions'!$A:$A,"&gt;="&amp;$A1995,'Allocated Transactions'!$A:$A,"&lt;="&amp;EOMONTH($A1995,0))*0.99,100)</f>
        <v>100</v>
      </c>
      <c r="K1995" s="113" t="s">
        <v>637</v>
      </c>
    </row>
    <row r="1996" spans="1:11" ht="15" customHeight="1">
      <c r="A1996" s="112">
        <f t="shared" si="129"/>
        <v>45901</v>
      </c>
      <c r="B1996" s="113">
        <v>10</v>
      </c>
      <c r="C1996" s="18" t="str">
        <f t="shared" si="132"/>
        <v>2050</v>
      </c>
      <c r="D1996" s="113" t="str">
        <f>_xlfn.XLOOKUP($C1996,'Cost Centers'!$A$2:$A$11,'Cost Centers'!$B$2:$B$11,"")</f>
        <v>SE Asia</v>
      </c>
      <c r="E1996" s="113" t="s">
        <v>119</v>
      </c>
      <c r="F1996" s="113" t="str">
        <f>_xlfn.XLOOKUP(E1996,'Allocated Transactions'!D:D,'Allocated Transactions'!E:E,"")</f>
        <v>Depreciation Expense</v>
      </c>
      <c r="G1996" s="113" t="s">
        <v>97</v>
      </c>
      <c r="H1996" s="113"/>
      <c r="I1996" s="113" t="str">
        <f>_xlfn.XLOOKUP($C1996,'Cost Centers'!$A$2:$A$11,'Cost Centers'!$C$2:$C$11,"")</f>
        <v>Programs</v>
      </c>
      <c r="J1996" s="23">
        <f>MROUND(SUMIFS('Allocated Transactions'!$J:$J,'Allocated Transactions'!$D:$D,$E1996,'Allocated Transactions'!$C:$C,$C1996,'Allocated Transactions'!$A:$A,"&gt;="&amp;$A1996,'Allocated Transactions'!$A:$A,"&lt;="&amp;EOMONTH($A1996,0))*0.99,100)</f>
        <v>0</v>
      </c>
      <c r="K1996" s="113" t="s">
        <v>637</v>
      </c>
    </row>
    <row r="1997" spans="1:11" ht="15" customHeight="1">
      <c r="A1997" s="112">
        <f t="shared" si="129"/>
        <v>45901</v>
      </c>
      <c r="B1997" s="113">
        <v>10</v>
      </c>
      <c r="C1997" s="18" t="str">
        <f t="shared" si="132"/>
        <v>2050</v>
      </c>
      <c r="D1997" s="113" t="str">
        <f>_xlfn.XLOOKUP($C1997,'Cost Centers'!$A$2:$A$11,'Cost Centers'!$B$2:$B$11,"")</f>
        <v>SE Asia</v>
      </c>
      <c r="E1997" s="113" t="s">
        <v>121</v>
      </c>
      <c r="F1997" s="113" t="str">
        <f>_xlfn.XLOOKUP(E1997,'Allocated Transactions'!D:D,'Allocated Transactions'!E:E,"")</f>
        <v>Bank Fees</v>
      </c>
      <c r="G1997" s="113" t="s">
        <v>97</v>
      </c>
      <c r="H1997" s="113"/>
      <c r="I1997" s="113" t="str">
        <f>_xlfn.XLOOKUP($C1997,'Cost Centers'!$A$2:$A$11,'Cost Centers'!$C$2:$C$11,"")</f>
        <v>Programs</v>
      </c>
      <c r="J1997" s="23">
        <f>MROUND(SUMIFS('Allocated Transactions'!$J:$J,'Allocated Transactions'!$D:$D,$E1997,'Allocated Transactions'!$C:$C,$C1997,'Allocated Transactions'!$A:$A,"&gt;="&amp;$A1997,'Allocated Transactions'!$A:$A,"&lt;="&amp;EOMONTH($A1997,0))*0.99,100)</f>
        <v>0</v>
      </c>
      <c r="K1997" s="113" t="s">
        <v>637</v>
      </c>
    </row>
    <row r="1998" spans="1:11" ht="15" customHeight="1">
      <c r="A1998" s="112">
        <f t="shared" si="129"/>
        <v>45901</v>
      </c>
      <c r="B1998" s="113">
        <v>10</v>
      </c>
      <c r="C1998" s="18" t="str">
        <f t="shared" si="132"/>
        <v>2050</v>
      </c>
      <c r="D1998" s="113" t="str">
        <f>_xlfn.XLOOKUP($C1998,'Cost Centers'!$A$2:$A$11,'Cost Centers'!$B$2:$B$11,"")</f>
        <v>SE Asia</v>
      </c>
      <c r="E1998" s="113" t="s">
        <v>123</v>
      </c>
      <c r="F1998" s="113" t="str">
        <f>_xlfn.XLOOKUP(E1998,'Allocated Transactions'!D:D,'Allocated Transactions'!E:E,"")</f>
        <v>Interest Expense</v>
      </c>
      <c r="G1998" s="113" t="s">
        <v>97</v>
      </c>
      <c r="H1998" s="113"/>
      <c r="I1998" s="113" t="str">
        <f>_xlfn.XLOOKUP($C1998,'Cost Centers'!$A$2:$A$11,'Cost Centers'!$C$2:$C$11,"")</f>
        <v>Programs</v>
      </c>
      <c r="J1998" s="23">
        <f>MROUND(SUMIFS('Allocated Transactions'!$J:$J,'Allocated Transactions'!$D:$D,$E1998,'Allocated Transactions'!$C:$C,$C1998,'Allocated Transactions'!$A:$A,"&gt;="&amp;$A1998,'Allocated Transactions'!$A:$A,"&lt;="&amp;EOMONTH($A1998,0))*0.99,100)</f>
        <v>0</v>
      </c>
      <c r="K1998" s="113" t="s">
        <v>637</v>
      </c>
    </row>
    <row r="1999" spans="1:11" ht="15" customHeight="1">
      <c r="A1999" s="112">
        <f t="shared" si="129"/>
        <v>45901</v>
      </c>
      <c r="B1999" s="113">
        <v>10</v>
      </c>
      <c r="C1999" s="18" t="str">
        <f t="shared" si="132"/>
        <v>2050</v>
      </c>
      <c r="D1999" s="113" t="str">
        <f>_xlfn.XLOOKUP($C1999,'Cost Centers'!$A$2:$A$11,'Cost Centers'!$B$2:$B$11,"")</f>
        <v>SE Asia</v>
      </c>
      <c r="E1999" s="113" t="s">
        <v>125</v>
      </c>
      <c r="F1999" s="113" t="str">
        <f>_xlfn.XLOOKUP(E1999,'Allocated Transactions'!D:D,'Allocated Transactions'!E:E,"")</f>
        <v>Miscellaneous Expense</v>
      </c>
      <c r="G1999" s="113" t="s">
        <v>97</v>
      </c>
      <c r="H1999" s="113"/>
      <c r="I1999" s="113" t="str">
        <f>_xlfn.XLOOKUP($C1999,'Cost Centers'!$A$2:$A$11,'Cost Centers'!$C$2:$C$11,"")</f>
        <v>Programs</v>
      </c>
      <c r="J1999" s="23">
        <f>MROUND(SUMIFS('Allocated Transactions'!$J:$J,'Allocated Transactions'!$D:$D,$E1999,'Allocated Transactions'!$C:$C,$C1999,'Allocated Transactions'!$A:$A,"&gt;="&amp;$A1999,'Allocated Transactions'!$A:$A,"&lt;="&amp;EOMONTH($A1999,0))*0.99,100)</f>
        <v>0</v>
      </c>
      <c r="K1999" s="113" t="s">
        <v>637</v>
      </c>
    </row>
    <row r="2000" spans="1:11" ht="15" customHeight="1">
      <c r="A2000" s="112">
        <f t="shared" si="129"/>
        <v>45931</v>
      </c>
      <c r="B2000" s="113">
        <v>10</v>
      </c>
      <c r="C2000" s="18" t="s">
        <v>20</v>
      </c>
      <c r="D2000" s="113" t="str">
        <f>_xlfn.XLOOKUP($C2000,'Cost Centers'!$A$2:$A$11,'Cost Centers'!$B$2:$B$11,"")</f>
        <v>SE Asia</v>
      </c>
      <c r="E2000" s="113" t="s">
        <v>28</v>
      </c>
      <c r="F2000" s="113" t="str">
        <f>_xlfn.XLOOKUP(E2000,'Allocated Transactions'!D:D,'Allocated Transactions'!E:E,"")</f>
        <v>Salaries and Wages</v>
      </c>
      <c r="G2000" s="113" t="s">
        <v>97</v>
      </c>
      <c r="H2000" s="113"/>
      <c r="I2000" s="113" t="str">
        <f>_xlfn.XLOOKUP($C2000,'Cost Centers'!$A$2:$A$11,'Cost Centers'!$C$2:$C$11,"")</f>
        <v>Programs</v>
      </c>
      <c r="J2000" s="23">
        <f>MROUND(SUMIFS('Allocated Transactions'!$J:$J,'Allocated Transactions'!$D:$D,$E2000,'Allocated Transactions'!$C:$C,$C2000,'Allocated Transactions'!$A:$A,"&gt;="&amp;$A2000,'Allocated Transactions'!$A:$A,"&lt;="&amp;EOMONTH($A2000,0))*0.99,100)</f>
        <v>20400</v>
      </c>
      <c r="K2000" s="113" t="s">
        <v>637</v>
      </c>
    </row>
    <row r="2001" spans="1:11" ht="15" customHeight="1">
      <c r="A2001" s="112">
        <f t="shared" si="129"/>
        <v>45931</v>
      </c>
      <c r="B2001" s="113">
        <v>10</v>
      </c>
      <c r="C2001" s="18" t="str">
        <f t="shared" ref="C2001:C2017" si="133">C2000</f>
        <v>2050</v>
      </c>
      <c r="D2001" s="113" t="str">
        <f>_xlfn.XLOOKUP($C2001,'Cost Centers'!$A$2:$A$11,'Cost Centers'!$B$2:$B$11,"")</f>
        <v>SE Asia</v>
      </c>
      <c r="E2001" s="113" t="s">
        <v>29</v>
      </c>
      <c r="F2001" s="113" t="str">
        <f>_xlfn.XLOOKUP(E2001,'Allocated Transactions'!D:D,'Allocated Transactions'!E:E,"")</f>
        <v>Payroll Taxes</v>
      </c>
      <c r="G2001" s="113" t="s">
        <v>97</v>
      </c>
      <c r="H2001" s="113"/>
      <c r="I2001" s="113" t="str">
        <f>_xlfn.XLOOKUP($C2001,'Cost Centers'!$A$2:$A$11,'Cost Centers'!$C$2:$C$11,"")</f>
        <v>Programs</v>
      </c>
      <c r="J2001" s="23">
        <f>MROUND(SUMIFS('Allocated Transactions'!$J:$J,'Allocated Transactions'!$D:$D,$E2001,'Allocated Transactions'!$C:$C,$C2001,'Allocated Transactions'!$A:$A,"&gt;="&amp;$A2001,'Allocated Transactions'!$A:$A,"&lt;="&amp;EOMONTH($A2001,0))*0.99,100)</f>
        <v>1600</v>
      </c>
      <c r="K2001" s="113" t="s">
        <v>637</v>
      </c>
    </row>
    <row r="2002" spans="1:11" ht="15" customHeight="1">
      <c r="A2002" s="112">
        <f t="shared" si="129"/>
        <v>45931</v>
      </c>
      <c r="B2002" s="113">
        <v>10</v>
      </c>
      <c r="C2002" s="18" t="str">
        <f t="shared" si="133"/>
        <v>2050</v>
      </c>
      <c r="D2002" s="113" t="str">
        <f>_xlfn.XLOOKUP($C2002,'Cost Centers'!$A$2:$A$11,'Cost Centers'!$B$2:$B$11,"")</f>
        <v>SE Asia</v>
      </c>
      <c r="E2002" s="113" t="s">
        <v>30</v>
      </c>
      <c r="F2002" s="113" t="str">
        <f>_xlfn.XLOOKUP(E2002,'Allocated Transactions'!D:D,'Allocated Transactions'!E:E,"")</f>
        <v>Employee Benefits</v>
      </c>
      <c r="G2002" s="113" t="s">
        <v>97</v>
      </c>
      <c r="H2002" s="113"/>
      <c r="I2002" s="113" t="str">
        <f>_xlfn.XLOOKUP($C2002,'Cost Centers'!$A$2:$A$11,'Cost Centers'!$C$2:$C$11,"")</f>
        <v>Programs</v>
      </c>
      <c r="J2002" s="23">
        <f>MROUND(SUMIFS('Allocated Transactions'!$J:$J,'Allocated Transactions'!$D:$D,$E2002,'Allocated Transactions'!$C:$C,$C2002,'Allocated Transactions'!$A:$A,"&gt;="&amp;$A2002,'Allocated Transactions'!$A:$A,"&lt;="&amp;EOMONTH($A2002,0))*0.99,100)</f>
        <v>5100</v>
      </c>
      <c r="K2002" s="113" t="s">
        <v>637</v>
      </c>
    </row>
    <row r="2003" spans="1:11" ht="15" customHeight="1">
      <c r="A2003" s="112">
        <f t="shared" si="129"/>
        <v>45931</v>
      </c>
      <c r="B2003" s="113">
        <v>10</v>
      </c>
      <c r="C2003" s="18" t="str">
        <f t="shared" si="133"/>
        <v>2050</v>
      </c>
      <c r="D2003" s="113" t="str">
        <f>_xlfn.XLOOKUP($C2003,'Cost Centers'!$A$2:$A$11,'Cost Centers'!$B$2:$B$11,"")</f>
        <v>SE Asia</v>
      </c>
      <c r="E2003" s="113" t="s">
        <v>31</v>
      </c>
      <c r="F2003" s="113" t="str">
        <f>_xlfn.XLOOKUP(E2003,'Allocated Transactions'!D:D,'Allocated Transactions'!E:E,"")</f>
        <v>Retirement Contributions</v>
      </c>
      <c r="G2003" s="113" t="s">
        <v>97</v>
      </c>
      <c r="H2003" s="113"/>
      <c r="I2003" s="113" t="str">
        <f>_xlfn.XLOOKUP($C2003,'Cost Centers'!$A$2:$A$11,'Cost Centers'!$C$2:$C$11,"")</f>
        <v>Programs</v>
      </c>
      <c r="J2003" s="23">
        <f>MROUND(SUMIFS('Allocated Transactions'!$J:$J,'Allocated Transactions'!$D:$D,$E2003,'Allocated Transactions'!$C:$C,$C2003,'Allocated Transactions'!$A:$A,"&gt;="&amp;$A2003,'Allocated Transactions'!$A:$A,"&lt;="&amp;EOMONTH($A2003,0))*0.99,100)</f>
        <v>600</v>
      </c>
      <c r="K2003" s="113" t="s">
        <v>637</v>
      </c>
    </row>
    <row r="2004" spans="1:11" ht="15" customHeight="1">
      <c r="A2004" s="112">
        <f t="shared" si="129"/>
        <v>45931</v>
      </c>
      <c r="B2004" s="113">
        <v>10</v>
      </c>
      <c r="C2004" s="18" t="str">
        <f t="shared" si="133"/>
        <v>2050</v>
      </c>
      <c r="D2004" s="113" t="str">
        <f>_xlfn.XLOOKUP($C2004,'Cost Centers'!$A$2:$A$11,'Cost Centers'!$B$2:$B$11,"")</f>
        <v>SE Asia</v>
      </c>
      <c r="E2004" s="113" t="s">
        <v>101</v>
      </c>
      <c r="F2004" s="113" t="str">
        <f>_xlfn.XLOOKUP(E2004,'Allocated Transactions'!D:D,'Allocated Transactions'!E:E,"")</f>
        <v>Contract Labor / Consultants</v>
      </c>
      <c r="G2004" s="113" t="s">
        <v>97</v>
      </c>
      <c r="H2004" s="113"/>
      <c r="I2004" s="113" t="str">
        <f>_xlfn.XLOOKUP($C2004,'Cost Centers'!$A$2:$A$11,'Cost Centers'!$C$2:$C$11,"")</f>
        <v>Programs</v>
      </c>
      <c r="J2004" s="23">
        <f>MROUND(SUMIFS('Allocated Transactions'!$J:$J,'Allocated Transactions'!$D:$D,$E2004,'Allocated Transactions'!$C:$C,$C2004,'Allocated Transactions'!$A:$A,"&gt;="&amp;$A2004,'Allocated Transactions'!$A:$A,"&lt;="&amp;EOMONTH($A2004,0))*0.99,100)</f>
        <v>0</v>
      </c>
      <c r="K2004" s="113" t="s">
        <v>637</v>
      </c>
    </row>
    <row r="2005" spans="1:11" ht="15" customHeight="1">
      <c r="A2005" s="112">
        <f t="shared" si="129"/>
        <v>45931</v>
      </c>
      <c r="B2005" s="113">
        <v>10</v>
      </c>
      <c r="C2005" s="18" t="str">
        <f t="shared" si="133"/>
        <v>2050</v>
      </c>
      <c r="D2005" s="113" t="str">
        <f>_xlfn.XLOOKUP($C2005,'Cost Centers'!$A$2:$A$11,'Cost Centers'!$B$2:$B$11,"")</f>
        <v>SE Asia</v>
      </c>
      <c r="E2005" s="113" t="s">
        <v>32</v>
      </c>
      <c r="F2005" s="113" t="str">
        <f>_xlfn.XLOOKUP(E2005,'Allocated Transactions'!D:D,'Allocated Transactions'!E:E,"")</f>
        <v>Rent</v>
      </c>
      <c r="G2005" s="113" t="s">
        <v>97</v>
      </c>
      <c r="H2005" s="113"/>
      <c r="I2005" s="113" t="str">
        <f>_xlfn.XLOOKUP($C2005,'Cost Centers'!$A$2:$A$11,'Cost Centers'!$C$2:$C$11,"")</f>
        <v>Programs</v>
      </c>
      <c r="J2005" s="23">
        <f>MROUND(SUMIFS('Allocated Transactions'!$J:$J,'Allocated Transactions'!$D:$D,$E2005,'Allocated Transactions'!$C:$C,$C2005,'Allocated Transactions'!$A:$A,"&gt;="&amp;$A2005,'Allocated Transactions'!$A:$A,"&lt;="&amp;EOMONTH($A2005,0))*0.99,100)</f>
        <v>1600</v>
      </c>
      <c r="K2005" s="113" t="s">
        <v>637</v>
      </c>
    </row>
    <row r="2006" spans="1:11" ht="15" customHeight="1">
      <c r="A2006" s="112">
        <f t="shared" si="129"/>
        <v>45931</v>
      </c>
      <c r="B2006" s="113">
        <v>10</v>
      </c>
      <c r="C2006" s="18" t="str">
        <f t="shared" si="133"/>
        <v>2050</v>
      </c>
      <c r="D2006" s="113" t="str">
        <f>_xlfn.XLOOKUP($C2006,'Cost Centers'!$A$2:$A$11,'Cost Centers'!$B$2:$B$11,"")</f>
        <v>SE Asia</v>
      </c>
      <c r="E2006" s="113" t="s">
        <v>33</v>
      </c>
      <c r="F2006" s="113" t="str">
        <f>_xlfn.XLOOKUP(E2006,'Allocated Transactions'!D:D,'Allocated Transactions'!E:E,"")</f>
        <v>Utilities</v>
      </c>
      <c r="G2006" s="113" t="s">
        <v>97</v>
      </c>
      <c r="H2006" s="113"/>
      <c r="I2006" s="113" t="str">
        <f>_xlfn.XLOOKUP($C2006,'Cost Centers'!$A$2:$A$11,'Cost Centers'!$C$2:$C$11,"")</f>
        <v>Programs</v>
      </c>
      <c r="J2006" s="23">
        <f>MROUND(SUMIFS('Allocated Transactions'!$J:$J,'Allocated Transactions'!$D:$D,$E2006,'Allocated Transactions'!$C:$C,$C2006,'Allocated Transactions'!$A:$A,"&gt;="&amp;$A2006,'Allocated Transactions'!$A:$A,"&lt;="&amp;EOMONTH($A2006,0))*0.99,100)</f>
        <v>200</v>
      </c>
      <c r="K2006" s="113" t="s">
        <v>637</v>
      </c>
    </row>
    <row r="2007" spans="1:11" ht="15" customHeight="1">
      <c r="A2007" s="112">
        <f t="shared" si="129"/>
        <v>45931</v>
      </c>
      <c r="B2007" s="113">
        <v>10</v>
      </c>
      <c r="C2007" s="18" t="str">
        <f t="shared" si="133"/>
        <v>2050</v>
      </c>
      <c r="D2007" s="113" t="str">
        <f>_xlfn.XLOOKUP($C2007,'Cost Centers'!$A$2:$A$11,'Cost Centers'!$B$2:$B$11,"")</f>
        <v>SE Asia</v>
      </c>
      <c r="E2007" s="113" t="s">
        <v>105</v>
      </c>
      <c r="F2007" s="113" t="str">
        <f>_xlfn.XLOOKUP(E2007,'Allocated Transactions'!D:D,'Allocated Transactions'!E:E,"")</f>
        <v>Office Supplies</v>
      </c>
      <c r="G2007" s="113" t="s">
        <v>97</v>
      </c>
      <c r="H2007" s="113"/>
      <c r="I2007" s="113" t="str">
        <f>_xlfn.XLOOKUP($C2007,'Cost Centers'!$A$2:$A$11,'Cost Centers'!$C$2:$C$11,"")</f>
        <v>Programs</v>
      </c>
      <c r="J2007" s="23">
        <f>MROUND(SUMIFS('Allocated Transactions'!$J:$J,'Allocated Transactions'!$D:$D,$E2007,'Allocated Transactions'!$C:$C,$C2007,'Allocated Transactions'!$A:$A,"&gt;="&amp;$A2007,'Allocated Transactions'!$A:$A,"&lt;="&amp;EOMONTH($A2007,0))*0.99,100)</f>
        <v>0</v>
      </c>
      <c r="K2007" s="113" t="s">
        <v>637</v>
      </c>
    </row>
    <row r="2008" spans="1:11" ht="15" customHeight="1">
      <c r="A2008" s="112">
        <f t="shared" si="129"/>
        <v>45931</v>
      </c>
      <c r="B2008" s="113">
        <v>10</v>
      </c>
      <c r="C2008" s="18" t="str">
        <f t="shared" si="133"/>
        <v>2050</v>
      </c>
      <c r="D2008" s="113" t="str">
        <f>_xlfn.XLOOKUP($C2008,'Cost Centers'!$A$2:$A$11,'Cost Centers'!$B$2:$B$11,"")</f>
        <v>SE Asia</v>
      </c>
      <c r="E2008" s="113" t="s">
        <v>107</v>
      </c>
      <c r="F2008" s="113" t="str">
        <f>_xlfn.XLOOKUP(E2008,'Allocated Transactions'!D:D,'Allocated Transactions'!E:E,"")</f>
        <v>Software and Subscriptions</v>
      </c>
      <c r="G2008" s="113" t="s">
        <v>97</v>
      </c>
      <c r="H2008" s="113"/>
      <c r="I2008" s="113" t="str">
        <f>_xlfn.XLOOKUP($C2008,'Cost Centers'!$A$2:$A$11,'Cost Centers'!$C$2:$C$11,"")</f>
        <v>Programs</v>
      </c>
      <c r="J2008" s="23">
        <f>MROUND(SUMIFS('Allocated Transactions'!$J:$J,'Allocated Transactions'!$D:$D,$E2008,'Allocated Transactions'!$C:$C,$C2008,'Allocated Transactions'!$A:$A,"&gt;="&amp;$A2008,'Allocated Transactions'!$A:$A,"&lt;="&amp;EOMONTH($A2008,0))*0.99,100)</f>
        <v>0</v>
      </c>
      <c r="K2008" s="113" t="s">
        <v>637</v>
      </c>
    </row>
    <row r="2009" spans="1:11" ht="15" customHeight="1">
      <c r="A2009" s="112">
        <f t="shared" ref="A2009:A2072" si="134">IF(C2009&lt;&gt;C2008,DATE(2025,7,1),IF(E2009="5000",EOMONTH(A2008,0)+1,A2008))</f>
        <v>45931</v>
      </c>
      <c r="B2009" s="113">
        <v>10</v>
      </c>
      <c r="C2009" s="18" t="str">
        <f t="shared" si="133"/>
        <v>2050</v>
      </c>
      <c r="D2009" s="113" t="str">
        <f>_xlfn.XLOOKUP($C2009,'Cost Centers'!$A$2:$A$11,'Cost Centers'!$B$2:$B$11,"")</f>
        <v>SE Asia</v>
      </c>
      <c r="E2009" s="113" t="s">
        <v>109</v>
      </c>
      <c r="F2009" s="113" t="str">
        <f>_xlfn.XLOOKUP(E2009,'Allocated Transactions'!D:D,'Allocated Transactions'!E:E,"")</f>
        <v>Travel</v>
      </c>
      <c r="G2009" s="113" t="s">
        <v>97</v>
      </c>
      <c r="H2009" s="113"/>
      <c r="I2009" s="113" t="str">
        <f>_xlfn.XLOOKUP($C2009,'Cost Centers'!$A$2:$A$11,'Cost Centers'!$C$2:$C$11,"")</f>
        <v>Programs</v>
      </c>
      <c r="J2009" s="23">
        <f>MROUND(SUMIFS('Allocated Transactions'!$J:$J,'Allocated Transactions'!$D:$D,$E2009,'Allocated Transactions'!$C:$C,$C2009,'Allocated Transactions'!$A:$A,"&gt;="&amp;$A2009,'Allocated Transactions'!$A:$A,"&lt;="&amp;EOMONTH($A2009,0))*0.99,100)</f>
        <v>0</v>
      </c>
      <c r="K2009" s="113" t="s">
        <v>637</v>
      </c>
    </row>
    <row r="2010" spans="1:11" ht="15" customHeight="1">
      <c r="A2010" s="112">
        <f t="shared" si="134"/>
        <v>45931</v>
      </c>
      <c r="B2010" s="113">
        <v>10</v>
      </c>
      <c r="C2010" s="18" t="str">
        <f t="shared" si="133"/>
        <v>2050</v>
      </c>
      <c r="D2010" s="113" t="str">
        <f>_xlfn.XLOOKUP($C2010,'Cost Centers'!$A$2:$A$11,'Cost Centers'!$B$2:$B$11,"")</f>
        <v>SE Asia</v>
      </c>
      <c r="E2010" s="113" t="s">
        <v>111</v>
      </c>
      <c r="F2010" s="113" t="str">
        <f>_xlfn.XLOOKUP(E2010,'Allocated Transactions'!D:D,'Allocated Transactions'!E:E,"")</f>
        <v>Meals and Entertainment</v>
      </c>
      <c r="G2010" s="113" t="s">
        <v>97</v>
      </c>
      <c r="H2010" s="113"/>
      <c r="I2010" s="113" t="str">
        <f>_xlfn.XLOOKUP($C2010,'Cost Centers'!$A$2:$A$11,'Cost Centers'!$C$2:$C$11,"")</f>
        <v>Programs</v>
      </c>
      <c r="J2010" s="23">
        <f>MROUND(SUMIFS('Allocated Transactions'!$J:$J,'Allocated Transactions'!$D:$D,$E2010,'Allocated Transactions'!$C:$C,$C2010,'Allocated Transactions'!$A:$A,"&gt;="&amp;$A2010,'Allocated Transactions'!$A:$A,"&lt;="&amp;EOMONTH($A2010,0))*0.99,100)</f>
        <v>0</v>
      </c>
      <c r="K2010" s="113" t="s">
        <v>637</v>
      </c>
    </row>
    <row r="2011" spans="1:11" ht="15" customHeight="1">
      <c r="A2011" s="112">
        <f t="shared" si="134"/>
        <v>45931</v>
      </c>
      <c r="B2011" s="113">
        <v>10</v>
      </c>
      <c r="C2011" s="18" t="str">
        <f t="shared" si="133"/>
        <v>2050</v>
      </c>
      <c r="D2011" s="113" t="str">
        <f>_xlfn.XLOOKUP($C2011,'Cost Centers'!$A$2:$A$11,'Cost Centers'!$B$2:$B$11,"")</f>
        <v>SE Asia</v>
      </c>
      <c r="E2011" s="113" t="s">
        <v>113</v>
      </c>
      <c r="F2011" s="113" t="str">
        <f>_xlfn.XLOOKUP(E2011,'Allocated Transactions'!D:D,'Allocated Transactions'!E:E,"")</f>
        <v>Professional Fees - Legal</v>
      </c>
      <c r="G2011" s="113" t="s">
        <v>97</v>
      </c>
      <c r="H2011" s="113"/>
      <c r="I2011" s="113" t="str">
        <f>_xlfn.XLOOKUP($C2011,'Cost Centers'!$A$2:$A$11,'Cost Centers'!$C$2:$C$11,"")</f>
        <v>Programs</v>
      </c>
      <c r="J2011" s="23">
        <f>MROUND(SUMIFS('Allocated Transactions'!$J:$J,'Allocated Transactions'!$D:$D,$E2011,'Allocated Transactions'!$C:$C,$C2011,'Allocated Transactions'!$A:$A,"&gt;="&amp;$A2011,'Allocated Transactions'!$A:$A,"&lt;="&amp;EOMONTH($A2011,0))*0.99,100)</f>
        <v>0</v>
      </c>
      <c r="K2011" s="113" t="s">
        <v>637</v>
      </c>
    </row>
    <row r="2012" spans="1:11" ht="15" customHeight="1">
      <c r="A2012" s="112">
        <f t="shared" si="134"/>
        <v>45931</v>
      </c>
      <c r="B2012" s="113">
        <v>10</v>
      </c>
      <c r="C2012" s="18" t="str">
        <f t="shared" si="133"/>
        <v>2050</v>
      </c>
      <c r="D2012" s="113" t="str">
        <f>_xlfn.XLOOKUP($C2012,'Cost Centers'!$A$2:$A$11,'Cost Centers'!$B$2:$B$11,"")</f>
        <v>SE Asia</v>
      </c>
      <c r="E2012" s="113" t="s">
        <v>115</v>
      </c>
      <c r="F2012" s="113" t="str">
        <f>_xlfn.XLOOKUP(E2012,'Allocated Transactions'!D:D,'Allocated Transactions'!E:E,"")</f>
        <v>Professional Fees - Accounting/Audit</v>
      </c>
      <c r="G2012" s="113" t="s">
        <v>97</v>
      </c>
      <c r="H2012" s="113"/>
      <c r="I2012" s="113" t="str">
        <f>_xlfn.XLOOKUP($C2012,'Cost Centers'!$A$2:$A$11,'Cost Centers'!$C$2:$C$11,"")</f>
        <v>Programs</v>
      </c>
      <c r="J2012" s="23">
        <f>MROUND(SUMIFS('Allocated Transactions'!$J:$J,'Allocated Transactions'!$D:$D,$E2012,'Allocated Transactions'!$C:$C,$C2012,'Allocated Transactions'!$A:$A,"&gt;="&amp;$A2012,'Allocated Transactions'!$A:$A,"&lt;="&amp;EOMONTH($A2012,0))*0.99,100)</f>
        <v>0</v>
      </c>
      <c r="K2012" s="113" t="s">
        <v>637</v>
      </c>
    </row>
    <row r="2013" spans="1:11" ht="15" customHeight="1">
      <c r="A2013" s="112">
        <f t="shared" si="134"/>
        <v>45931</v>
      </c>
      <c r="B2013" s="113">
        <v>10</v>
      </c>
      <c r="C2013" s="18" t="str">
        <f t="shared" si="133"/>
        <v>2050</v>
      </c>
      <c r="D2013" s="113" t="str">
        <f>_xlfn.XLOOKUP($C2013,'Cost Centers'!$A$2:$A$11,'Cost Centers'!$B$2:$B$11,"")</f>
        <v>SE Asia</v>
      </c>
      <c r="E2013" s="113" t="s">
        <v>117</v>
      </c>
      <c r="F2013" s="113" t="str">
        <f>_xlfn.XLOOKUP(E2013,'Allocated Transactions'!D:D,'Allocated Transactions'!E:E,"")</f>
        <v>Insurance</v>
      </c>
      <c r="G2013" s="113" t="s">
        <v>97</v>
      </c>
      <c r="H2013" s="113"/>
      <c r="I2013" s="113" t="str">
        <f>_xlfn.XLOOKUP($C2013,'Cost Centers'!$A$2:$A$11,'Cost Centers'!$C$2:$C$11,"")</f>
        <v>Programs</v>
      </c>
      <c r="J2013" s="23">
        <f>MROUND(SUMIFS('Allocated Transactions'!$J:$J,'Allocated Transactions'!$D:$D,$E2013,'Allocated Transactions'!$C:$C,$C2013,'Allocated Transactions'!$A:$A,"&gt;="&amp;$A2013,'Allocated Transactions'!$A:$A,"&lt;="&amp;EOMONTH($A2013,0))*0.99,100)</f>
        <v>100</v>
      </c>
      <c r="K2013" s="113" t="s">
        <v>637</v>
      </c>
    </row>
    <row r="2014" spans="1:11" ht="15" customHeight="1">
      <c r="A2014" s="112">
        <f t="shared" si="134"/>
        <v>45931</v>
      </c>
      <c r="B2014" s="113">
        <v>10</v>
      </c>
      <c r="C2014" s="18" t="str">
        <f t="shared" si="133"/>
        <v>2050</v>
      </c>
      <c r="D2014" s="113" t="str">
        <f>_xlfn.XLOOKUP($C2014,'Cost Centers'!$A$2:$A$11,'Cost Centers'!$B$2:$B$11,"")</f>
        <v>SE Asia</v>
      </c>
      <c r="E2014" s="113" t="s">
        <v>119</v>
      </c>
      <c r="F2014" s="113" t="str">
        <f>_xlfn.XLOOKUP(E2014,'Allocated Transactions'!D:D,'Allocated Transactions'!E:E,"")</f>
        <v>Depreciation Expense</v>
      </c>
      <c r="G2014" s="113" t="s">
        <v>97</v>
      </c>
      <c r="H2014" s="113"/>
      <c r="I2014" s="113" t="str">
        <f>_xlfn.XLOOKUP($C2014,'Cost Centers'!$A$2:$A$11,'Cost Centers'!$C$2:$C$11,"")</f>
        <v>Programs</v>
      </c>
      <c r="J2014" s="23">
        <f>MROUND(SUMIFS('Allocated Transactions'!$J:$J,'Allocated Transactions'!$D:$D,$E2014,'Allocated Transactions'!$C:$C,$C2014,'Allocated Transactions'!$A:$A,"&gt;="&amp;$A2014,'Allocated Transactions'!$A:$A,"&lt;="&amp;EOMONTH($A2014,0))*0.99,100)</f>
        <v>0</v>
      </c>
      <c r="K2014" s="113" t="s">
        <v>637</v>
      </c>
    </row>
    <row r="2015" spans="1:11" ht="15" customHeight="1">
      <c r="A2015" s="112">
        <f t="shared" si="134"/>
        <v>45931</v>
      </c>
      <c r="B2015" s="113">
        <v>10</v>
      </c>
      <c r="C2015" s="18" t="str">
        <f t="shared" si="133"/>
        <v>2050</v>
      </c>
      <c r="D2015" s="113" t="str">
        <f>_xlfn.XLOOKUP($C2015,'Cost Centers'!$A$2:$A$11,'Cost Centers'!$B$2:$B$11,"")</f>
        <v>SE Asia</v>
      </c>
      <c r="E2015" s="113" t="s">
        <v>121</v>
      </c>
      <c r="F2015" s="113" t="str">
        <f>_xlfn.XLOOKUP(E2015,'Allocated Transactions'!D:D,'Allocated Transactions'!E:E,"")</f>
        <v>Bank Fees</v>
      </c>
      <c r="G2015" s="113" t="s">
        <v>97</v>
      </c>
      <c r="H2015" s="113"/>
      <c r="I2015" s="113" t="str">
        <f>_xlfn.XLOOKUP($C2015,'Cost Centers'!$A$2:$A$11,'Cost Centers'!$C$2:$C$11,"")</f>
        <v>Programs</v>
      </c>
      <c r="J2015" s="23">
        <f>MROUND(SUMIFS('Allocated Transactions'!$J:$J,'Allocated Transactions'!$D:$D,$E2015,'Allocated Transactions'!$C:$C,$C2015,'Allocated Transactions'!$A:$A,"&gt;="&amp;$A2015,'Allocated Transactions'!$A:$A,"&lt;="&amp;EOMONTH($A2015,0))*0.99,100)</f>
        <v>0</v>
      </c>
      <c r="K2015" s="113" t="s">
        <v>637</v>
      </c>
    </row>
    <row r="2016" spans="1:11" ht="15" customHeight="1">
      <c r="A2016" s="112">
        <f t="shared" si="134"/>
        <v>45931</v>
      </c>
      <c r="B2016" s="113">
        <v>10</v>
      </c>
      <c r="C2016" s="18" t="str">
        <f t="shared" si="133"/>
        <v>2050</v>
      </c>
      <c r="D2016" s="113" t="str">
        <f>_xlfn.XLOOKUP($C2016,'Cost Centers'!$A$2:$A$11,'Cost Centers'!$B$2:$B$11,"")</f>
        <v>SE Asia</v>
      </c>
      <c r="E2016" s="113" t="s">
        <v>123</v>
      </c>
      <c r="F2016" s="113" t="str">
        <f>_xlfn.XLOOKUP(E2016,'Allocated Transactions'!D:D,'Allocated Transactions'!E:E,"")</f>
        <v>Interest Expense</v>
      </c>
      <c r="G2016" s="113" t="s">
        <v>97</v>
      </c>
      <c r="H2016" s="113"/>
      <c r="I2016" s="113" t="str">
        <f>_xlfn.XLOOKUP($C2016,'Cost Centers'!$A$2:$A$11,'Cost Centers'!$C$2:$C$11,"")</f>
        <v>Programs</v>
      </c>
      <c r="J2016" s="23">
        <f>MROUND(SUMIFS('Allocated Transactions'!$J:$J,'Allocated Transactions'!$D:$D,$E2016,'Allocated Transactions'!$C:$C,$C2016,'Allocated Transactions'!$A:$A,"&gt;="&amp;$A2016,'Allocated Transactions'!$A:$A,"&lt;="&amp;EOMONTH($A2016,0))*0.99,100)</f>
        <v>0</v>
      </c>
      <c r="K2016" s="113" t="s">
        <v>637</v>
      </c>
    </row>
    <row r="2017" spans="1:11" ht="15" customHeight="1">
      <c r="A2017" s="112">
        <f t="shared" si="134"/>
        <v>45931</v>
      </c>
      <c r="B2017" s="113">
        <v>10</v>
      </c>
      <c r="C2017" s="18" t="str">
        <f t="shared" si="133"/>
        <v>2050</v>
      </c>
      <c r="D2017" s="113" t="str">
        <f>_xlfn.XLOOKUP($C2017,'Cost Centers'!$A$2:$A$11,'Cost Centers'!$B$2:$B$11,"")</f>
        <v>SE Asia</v>
      </c>
      <c r="E2017" s="113" t="s">
        <v>125</v>
      </c>
      <c r="F2017" s="113" t="str">
        <f>_xlfn.XLOOKUP(E2017,'Allocated Transactions'!D:D,'Allocated Transactions'!E:E,"")</f>
        <v>Miscellaneous Expense</v>
      </c>
      <c r="G2017" s="113" t="s">
        <v>97</v>
      </c>
      <c r="H2017" s="113"/>
      <c r="I2017" s="113" t="str">
        <f>_xlfn.XLOOKUP($C2017,'Cost Centers'!$A$2:$A$11,'Cost Centers'!$C$2:$C$11,"")</f>
        <v>Programs</v>
      </c>
      <c r="J2017" s="23">
        <f>MROUND(SUMIFS('Allocated Transactions'!$J:$J,'Allocated Transactions'!$D:$D,$E2017,'Allocated Transactions'!$C:$C,$C2017,'Allocated Transactions'!$A:$A,"&gt;="&amp;$A2017,'Allocated Transactions'!$A:$A,"&lt;="&amp;EOMONTH($A2017,0))*0.99,100)</f>
        <v>0</v>
      </c>
      <c r="K2017" s="113" t="s">
        <v>637</v>
      </c>
    </row>
    <row r="2018" spans="1:11" ht="15" customHeight="1">
      <c r="A2018" s="112">
        <f t="shared" si="134"/>
        <v>45962</v>
      </c>
      <c r="B2018" s="113">
        <v>10</v>
      </c>
      <c r="C2018" s="18" t="s">
        <v>20</v>
      </c>
      <c r="D2018" s="113" t="str">
        <f>_xlfn.XLOOKUP($C2018,'Cost Centers'!$A$2:$A$11,'Cost Centers'!$B$2:$B$11,"")</f>
        <v>SE Asia</v>
      </c>
      <c r="E2018" s="113" t="s">
        <v>28</v>
      </c>
      <c r="F2018" s="113" t="str">
        <f>_xlfn.XLOOKUP(E2018,'Allocated Transactions'!D:D,'Allocated Transactions'!E:E,"")</f>
        <v>Salaries and Wages</v>
      </c>
      <c r="G2018" s="113" t="s">
        <v>97</v>
      </c>
      <c r="H2018" s="113"/>
      <c r="I2018" s="113" t="str">
        <f>_xlfn.XLOOKUP($C2018,'Cost Centers'!$A$2:$A$11,'Cost Centers'!$C$2:$C$11,"")</f>
        <v>Programs</v>
      </c>
      <c r="J2018" s="23">
        <f>MROUND(SUMIFS('Allocated Transactions'!$J:$J,'Allocated Transactions'!$D:$D,$E2018,'Allocated Transactions'!$C:$C,$C2018,'Allocated Transactions'!$A:$A,"&gt;="&amp;$A2018,'Allocated Transactions'!$A:$A,"&lt;="&amp;EOMONTH($A2018,0))*0.99,100)</f>
        <v>19000</v>
      </c>
      <c r="K2018" s="113" t="s">
        <v>637</v>
      </c>
    </row>
    <row r="2019" spans="1:11" ht="15" customHeight="1">
      <c r="A2019" s="112">
        <f t="shared" si="134"/>
        <v>45962</v>
      </c>
      <c r="B2019" s="113">
        <v>10</v>
      </c>
      <c r="C2019" s="18" t="str">
        <f t="shared" ref="C2019:C2035" si="135">C2018</f>
        <v>2050</v>
      </c>
      <c r="D2019" s="113" t="str">
        <f>_xlfn.XLOOKUP($C2019,'Cost Centers'!$A$2:$A$11,'Cost Centers'!$B$2:$B$11,"")</f>
        <v>SE Asia</v>
      </c>
      <c r="E2019" s="113" t="s">
        <v>29</v>
      </c>
      <c r="F2019" s="113" t="str">
        <f>_xlfn.XLOOKUP(E2019,'Allocated Transactions'!D:D,'Allocated Transactions'!E:E,"")</f>
        <v>Payroll Taxes</v>
      </c>
      <c r="G2019" s="113" t="s">
        <v>97</v>
      </c>
      <c r="H2019" s="113"/>
      <c r="I2019" s="113" t="str">
        <f>_xlfn.XLOOKUP($C2019,'Cost Centers'!$A$2:$A$11,'Cost Centers'!$C$2:$C$11,"")</f>
        <v>Programs</v>
      </c>
      <c r="J2019" s="23">
        <f>MROUND(SUMIFS('Allocated Transactions'!$J:$J,'Allocated Transactions'!$D:$D,$E2019,'Allocated Transactions'!$C:$C,$C2019,'Allocated Transactions'!$A:$A,"&gt;="&amp;$A2019,'Allocated Transactions'!$A:$A,"&lt;="&amp;EOMONTH($A2019,0))*0.99,100)</f>
        <v>1500</v>
      </c>
      <c r="K2019" s="113" t="s">
        <v>637</v>
      </c>
    </row>
    <row r="2020" spans="1:11" ht="15" customHeight="1">
      <c r="A2020" s="112">
        <f t="shared" si="134"/>
        <v>45962</v>
      </c>
      <c r="B2020" s="113">
        <v>10</v>
      </c>
      <c r="C2020" s="18" t="str">
        <f t="shared" si="135"/>
        <v>2050</v>
      </c>
      <c r="D2020" s="113" t="str">
        <f>_xlfn.XLOOKUP($C2020,'Cost Centers'!$A$2:$A$11,'Cost Centers'!$B$2:$B$11,"")</f>
        <v>SE Asia</v>
      </c>
      <c r="E2020" s="113" t="s">
        <v>30</v>
      </c>
      <c r="F2020" s="113" t="str">
        <f>_xlfn.XLOOKUP(E2020,'Allocated Transactions'!D:D,'Allocated Transactions'!E:E,"")</f>
        <v>Employee Benefits</v>
      </c>
      <c r="G2020" s="113" t="s">
        <v>97</v>
      </c>
      <c r="H2020" s="113"/>
      <c r="I2020" s="113" t="str">
        <f>_xlfn.XLOOKUP($C2020,'Cost Centers'!$A$2:$A$11,'Cost Centers'!$C$2:$C$11,"")</f>
        <v>Programs</v>
      </c>
      <c r="J2020" s="23">
        <f>MROUND(SUMIFS('Allocated Transactions'!$J:$J,'Allocated Transactions'!$D:$D,$E2020,'Allocated Transactions'!$C:$C,$C2020,'Allocated Transactions'!$A:$A,"&gt;="&amp;$A2020,'Allocated Transactions'!$A:$A,"&lt;="&amp;EOMONTH($A2020,0))*0.99,100)</f>
        <v>5300</v>
      </c>
      <c r="K2020" s="113" t="s">
        <v>637</v>
      </c>
    </row>
    <row r="2021" spans="1:11" ht="15" customHeight="1">
      <c r="A2021" s="112">
        <f t="shared" si="134"/>
        <v>45962</v>
      </c>
      <c r="B2021" s="113">
        <v>10</v>
      </c>
      <c r="C2021" s="18" t="str">
        <f t="shared" si="135"/>
        <v>2050</v>
      </c>
      <c r="D2021" s="113" t="str">
        <f>_xlfn.XLOOKUP($C2021,'Cost Centers'!$A$2:$A$11,'Cost Centers'!$B$2:$B$11,"")</f>
        <v>SE Asia</v>
      </c>
      <c r="E2021" s="113" t="s">
        <v>31</v>
      </c>
      <c r="F2021" s="113" t="str">
        <f>_xlfn.XLOOKUP(E2021,'Allocated Transactions'!D:D,'Allocated Transactions'!E:E,"")</f>
        <v>Retirement Contributions</v>
      </c>
      <c r="G2021" s="113" t="s">
        <v>97</v>
      </c>
      <c r="H2021" s="113"/>
      <c r="I2021" s="113" t="str">
        <f>_xlfn.XLOOKUP($C2021,'Cost Centers'!$A$2:$A$11,'Cost Centers'!$C$2:$C$11,"")</f>
        <v>Programs</v>
      </c>
      <c r="J2021" s="23">
        <f>MROUND(SUMIFS('Allocated Transactions'!$J:$J,'Allocated Transactions'!$D:$D,$E2021,'Allocated Transactions'!$C:$C,$C2021,'Allocated Transactions'!$A:$A,"&gt;="&amp;$A2021,'Allocated Transactions'!$A:$A,"&lt;="&amp;EOMONTH($A2021,0))*0.99,100)</f>
        <v>600</v>
      </c>
      <c r="K2021" s="113" t="s">
        <v>637</v>
      </c>
    </row>
    <row r="2022" spans="1:11" ht="15" customHeight="1">
      <c r="A2022" s="112">
        <f t="shared" si="134"/>
        <v>45962</v>
      </c>
      <c r="B2022" s="113">
        <v>10</v>
      </c>
      <c r="C2022" s="18" t="str">
        <f t="shared" si="135"/>
        <v>2050</v>
      </c>
      <c r="D2022" s="113" t="str">
        <f>_xlfn.XLOOKUP($C2022,'Cost Centers'!$A$2:$A$11,'Cost Centers'!$B$2:$B$11,"")</f>
        <v>SE Asia</v>
      </c>
      <c r="E2022" s="113" t="s">
        <v>101</v>
      </c>
      <c r="F2022" s="113" t="str">
        <f>_xlfn.XLOOKUP(E2022,'Allocated Transactions'!D:D,'Allocated Transactions'!E:E,"")</f>
        <v>Contract Labor / Consultants</v>
      </c>
      <c r="G2022" s="113" t="s">
        <v>97</v>
      </c>
      <c r="H2022" s="113"/>
      <c r="I2022" s="113" t="str">
        <f>_xlfn.XLOOKUP($C2022,'Cost Centers'!$A$2:$A$11,'Cost Centers'!$C$2:$C$11,"")</f>
        <v>Programs</v>
      </c>
      <c r="J2022" s="23">
        <f>MROUND(SUMIFS('Allocated Transactions'!$J:$J,'Allocated Transactions'!$D:$D,$E2022,'Allocated Transactions'!$C:$C,$C2022,'Allocated Transactions'!$A:$A,"&gt;="&amp;$A2022,'Allocated Transactions'!$A:$A,"&lt;="&amp;EOMONTH($A2022,0))*0.99,100)</f>
        <v>0</v>
      </c>
      <c r="K2022" s="113" t="s">
        <v>637</v>
      </c>
    </row>
    <row r="2023" spans="1:11" ht="15" customHeight="1">
      <c r="A2023" s="112">
        <f t="shared" si="134"/>
        <v>45962</v>
      </c>
      <c r="B2023" s="113">
        <v>10</v>
      </c>
      <c r="C2023" s="18" t="str">
        <f t="shared" si="135"/>
        <v>2050</v>
      </c>
      <c r="D2023" s="113" t="str">
        <f>_xlfn.XLOOKUP($C2023,'Cost Centers'!$A$2:$A$11,'Cost Centers'!$B$2:$B$11,"")</f>
        <v>SE Asia</v>
      </c>
      <c r="E2023" s="113" t="s">
        <v>32</v>
      </c>
      <c r="F2023" s="113" t="str">
        <f>_xlfn.XLOOKUP(E2023,'Allocated Transactions'!D:D,'Allocated Transactions'!E:E,"")</f>
        <v>Rent</v>
      </c>
      <c r="G2023" s="113" t="s">
        <v>97</v>
      </c>
      <c r="H2023" s="113"/>
      <c r="I2023" s="113" t="str">
        <f>_xlfn.XLOOKUP($C2023,'Cost Centers'!$A$2:$A$11,'Cost Centers'!$C$2:$C$11,"")</f>
        <v>Programs</v>
      </c>
      <c r="J2023" s="23">
        <f>MROUND(SUMIFS('Allocated Transactions'!$J:$J,'Allocated Transactions'!$D:$D,$E2023,'Allocated Transactions'!$C:$C,$C2023,'Allocated Transactions'!$A:$A,"&gt;="&amp;$A2023,'Allocated Transactions'!$A:$A,"&lt;="&amp;EOMONTH($A2023,0))*0.99,100)</f>
        <v>1500</v>
      </c>
      <c r="K2023" s="113" t="s">
        <v>637</v>
      </c>
    </row>
    <row r="2024" spans="1:11" ht="15" customHeight="1">
      <c r="A2024" s="112">
        <f t="shared" si="134"/>
        <v>45962</v>
      </c>
      <c r="B2024" s="113">
        <v>10</v>
      </c>
      <c r="C2024" s="18" t="str">
        <f t="shared" si="135"/>
        <v>2050</v>
      </c>
      <c r="D2024" s="113" t="str">
        <f>_xlfn.XLOOKUP($C2024,'Cost Centers'!$A$2:$A$11,'Cost Centers'!$B$2:$B$11,"")</f>
        <v>SE Asia</v>
      </c>
      <c r="E2024" s="113" t="s">
        <v>33</v>
      </c>
      <c r="F2024" s="113" t="str">
        <f>_xlfn.XLOOKUP(E2024,'Allocated Transactions'!D:D,'Allocated Transactions'!E:E,"")</f>
        <v>Utilities</v>
      </c>
      <c r="G2024" s="113" t="s">
        <v>97</v>
      </c>
      <c r="H2024" s="113"/>
      <c r="I2024" s="113" t="str">
        <f>_xlfn.XLOOKUP($C2024,'Cost Centers'!$A$2:$A$11,'Cost Centers'!$C$2:$C$11,"")</f>
        <v>Programs</v>
      </c>
      <c r="J2024" s="23">
        <f>MROUND(SUMIFS('Allocated Transactions'!$J:$J,'Allocated Transactions'!$D:$D,$E2024,'Allocated Transactions'!$C:$C,$C2024,'Allocated Transactions'!$A:$A,"&gt;="&amp;$A2024,'Allocated Transactions'!$A:$A,"&lt;="&amp;EOMONTH($A2024,0))*0.99,100)</f>
        <v>200</v>
      </c>
      <c r="K2024" s="113" t="s">
        <v>637</v>
      </c>
    </row>
    <row r="2025" spans="1:11" ht="15" customHeight="1">
      <c r="A2025" s="112">
        <f t="shared" si="134"/>
        <v>45962</v>
      </c>
      <c r="B2025" s="113">
        <v>10</v>
      </c>
      <c r="C2025" s="18" t="str">
        <f t="shared" si="135"/>
        <v>2050</v>
      </c>
      <c r="D2025" s="113" t="str">
        <f>_xlfn.XLOOKUP($C2025,'Cost Centers'!$A$2:$A$11,'Cost Centers'!$B$2:$B$11,"")</f>
        <v>SE Asia</v>
      </c>
      <c r="E2025" s="113" t="s">
        <v>105</v>
      </c>
      <c r="F2025" s="113" t="str">
        <f>_xlfn.XLOOKUP(E2025,'Allocated Transactions'!D:D,'Allocated Transactions'!E:E,"")</f>
        <v>Office Supplies</v>
      </c>
      <c r="G2025" s="113" t="s">
        <v>97</v>
      </c>
      <c r="H2025" s="113"/>
      <c r="I2025" s="113" t="str">
        <f>_xlfn.XLOOKUP($C2025,'Cost Centers'!$A$2:$A$11,'Cost Centers'!$C$2:$C$11,"")</f>
        <v>Programs</v>
      </c>
      <c r="J2025" s="23">
        <f>MROUND(SUMIFS('Allocated Transactions'!$J:$J,'Allocated Transactions'!$D:$D,$E2025,'Allocated Transactions'!$C:$C,$C2025,'Allocated Transactions'!$A:$A,"&gt;="&amp;$A2025,'Allocated Transactions'!$A:$A,"&lt;="&amp;EOMONTH($A2025,0))*0.99,100)</f>
        <v>800</v>
      </c>
      <c r="K2025" s="113" t="s">
        <v>637</v>
      </c>
    </row>
    <row r="2026" spans="1:11" ht="15" customHeight="1">
      <c r="A2026" s="112">
        <f t="shared" si="134"/>
        <v>45962</v>
      </c>
      <c r="B2026" s="113">
        <v>10</v>
      </c>
      <c r="C2026" s="18" t="str">
        <f t="shared" si="135"/>
        <v>2050</v>
      </c>
      <c r="D2026" s="113" t="str">
        <f>_xlfn.XLOOKUP($C2026,'Cost Centers'!$A$2:$A$11,'Cost Centers'!$B$2:$B$11,"")</f>
        <v>SE Asia</v>
      </c>
      <c r="E2026" s="113" t="s">
        <v>107</v>
      </c>
      <c r="F2026" s="113" t="str">
        <f>_xlfn.XLOOKUP(E2026,'Allocated Transactions'!D:D,'Allocated Transactions'!E:E,"")</f>
        <v>Software and Subscriptions</v>
      </c>
      <c r="G2026" s="113" t="s">
        <v>97</v>
      </c>
      <c r="H2026" s="113"/>
      <c r="I2026" s="113" t="str">
        <f>_xlfn.XLOOKUP($C2026,'Cost Centers'!$A$2:$A$11,'Cost Centers'!$C$2:$C$11,"")</f>
        <v>Programs</v>
      </c>
      <c r="J2026" s="23">
        <f>MROUND(SUMIFS('Allocated Transactions'!$J:$J,'Allocated Transactions'!$D:$D,$E2026,'Allocated Transactions'!$C:$C,$C2026,'Allocated Transactions'!$A:$A,"&gt;="&amp;$A2026,'Allocated Transactions'!$A:$A,"&lt;="&amp;EOMONTH($A2026,0))*0.99,100)</f>
        <v>0</v>
      </c>
      <c r="K2026" s="113" t="s">
        <v>637</v>
      </c>
    </row>
    <row r="2027" spans="1:11" ht="15" customHeight="1">
      <c r="A2027" s="112">
        <f t="shared" si="134"/>
        <v>45962</v>
      </c>
      <c r="B2027" s="113">
        <v>10</v>
      </c>
      <c r="C2027" s="18" t="str">
        <f t="shared" si="135"/>
        <v>2050</v>
      </c>
      <c r="D2027" s="113" t="str">
        <f>_xlfn.XLOOKUP($C2027,'Cost Centers'!$A$2:$A$11,'Cost Centers'!$B$2:$B$11,"")</f>
        <v>SE Asia</v>
      </c>
      <c r="E2027" s="113" t="s">
        <v>109</v>
      </c>
      <c r="F2027" s="113" t="str">
        <f>_xlfn.XLOOKUP(E2027,'Allocated Transactions'!D:D,'Allocated Transactions'!E:E,"")</f>
        <v>Travel</v>
      </c>
      <c r="G2027" s="113" t="s">
        <v>97</v>
      </c>
      <c r="H2027" s="113"/>
      <c r="I2027" s="113" t="str">
        <f>_xlfn.XLOOKUP($C2027,'Cost Centers'!$A$2:$A$11,'Cost Centers'!$C$2:$C$11,"")</f>
        <v>Programs</v>
      </c>
      <c r="J2027" s="23">
        <f>MROUND(SUMIFS('Allocated Transactions'!$J:$J,'Allocated Transactions'!$D:$D,$E2027,'Allocated Transactions'!$C:$C,$C2027,'Allocated Transactions'!$A:$A,"&gt;="&amp;$A2027,'Allocated Transactions'!$A:$A,"&lt;="&amp;EOMONTH($A2027,0))*0.99,100)</f>
        <v>0</v>
      </c>
      <c r="K2027" s="113" t="s">
        <v>637</v>
      </c>
    </row>
    <row r="2028" spans="1:11" ht="15" customHeight="1">
      <c r="A2028" s="112">
        <f t="shared" si="134"/>
        <v>45962</v>
      </c>
      <c r="B2028" s="113">
        <v>10</v>
      </c>
      <c r="C2028" s="18" t="str">
        <f t="shared" si="135"/>
        <v>2050</v>
      </c>
      <c r="D2028" s="113" t="str">
        <f>_xlfn.XLOOKUP($C2028,'Cost Centers'!$A$2:$A$11,'Cost Centers'!$B$2:$B$11,"")</f>
        <v>SE Asia</v>
      </c>
      <c r="E2028" s="113" t="s">
        <v>111</v>
      </c>
      <c r="F2028" s="113" t="str">
        <f>_xlfn.XLOOKUP(E2028,'Allocated Transactions'!D:D,'Allocated Transactions'!E:E,"")</f>
        <v>Meals and Entertainment</v>
      </c>
      <c r="G2028" s="113" t="s">
        <v>97</v>
      </c>
      <c r="H2028" s="113"/>
      <c r="I2028" s="113" t="str">
        <f>_xlfn.XLOOKUP($C2028,'Cost Centers'!$A$2:$A$11,'Cost Centers'!$C$2:$C$11,"")</f>
        <v>Programs</v>
      </c>
      <c r="J2028" s="23">
        <f>MROUND(SUMIFS('Allocated Transactions'!$J:$J,'Allocated Transactions'!$D:$D,$E2028,'Allocated Transactions'!$C:$C,$C2028,'Allocated Transactions'!$A:$A,"&gt;="&amp;$A2028,'Allocated Transactions'!$A:$A,"&lt;="&amp;EOMONTH($A2028,0))*0.99,100)</f>
        <v>0</v>
      </c>
      <c r="K2028" s="113" t="s">
        <v>637</v>
      </c>
    </row>
    <row r="2029" spans="1:11" ht="15" customHeight="1">
      <c r="A2029" s="112">
        <f t="shared" si="134"/>
        <v>45962</v>
      </c>
      <c r="B2029" s="113">
        <v>10</v>
      </c>
      <c r="C2029" s="18" t="str">
        <f t="shared" si="135"/>
        <v>2050</v>
      </c>
      <c r="D2029" s="113" t="str">
        <f>_xlfn.XLOOKUP($C2029,'Cost Centers'!$A$2:$A$11,'Cost Centers'!$B$2:$B$11,"")</f>
        <v>SE Asia</v>
      </c>
      <c r="E2029" s="113" t="s">
        <v>113</v>
      </c>
      <c r="F2029" s="113" t="str">
        <f>_xlfn.XLOOKUP(E2029,'Allocated Transactions'!D:D,'Allocated Transactions'!E:E,"")</f>
        <v>Professional Fees - Legal</v>
      </c>
      <c r="G2029" s="113" t="s">
        <v>97</v>
      </c>
      <c r="H2029" s="113"/>
      <c r="I2029" s="113" t="str">
        <f>_xlfn.XLOOKUP($C2029,'Cost Centers'!$A$2:$A$11,'Cost Centers'!$C$2:$C$11,"")</f>
        <v>Programs</v>
      </c>
      <c r="J2029" s="23">
        <f>MROUND(SUMIFS('Allocated Transactions'!$J:$J,'Allocated Transactions'!$D:$D,$E2029,'Allocated Transactions'!$C:$C,$C2029,'Allocated Transactions'!$A:$A,"&gt;="&amp;$A2029,'Allocated Transactions'!$A:$A,"&lt;="&amp;EOMONTH($A2029,0))*0.99,100)</f>
        <v>0</v>
      </c>
      <c r="K2029" s="113" t="s">
        <v>637</v>
      </c>
    </row>
    <row r="2030" spans="1:11" ht="15" customHeight="1">
      <c r="A2030" s="112">
        <f t="shared" si="134"/>
        <v>45962</v>
      </c>
      <c r="B2030" s="113">
        <v>10</v>
      </c>
      <c r="C2030" s="18" t="str">
        <f t="shared" si="135"/>
        <v>2050</v>
      </c>
      <c r="D2030" s="113" t="str">
        <f>_xlfn.XLOOKUP($C2030,'Cost Centers'!$A$2:$A$11,'Cost Centers'!$B$2:$B$11,"")</f>
        <v>SE Asia</v>
      </c>
      <c r="E2030" s="113" t="s">
        <v>115</v>
      </c>
      <c r="F2030" s="113" t="str">
        <f>_xlfn.XLOOKUP(E2030,'Allocated Transactions'!D:D,'Allocated Transactions'!E:E,"")</f>
        <v>Professional Fees - Accounting/Audit</v>
      </c>
      <c r="G2030" s="113" t="s">
        <v>97</v>
      </c>
      <c r="H2030" s="113"/>
      <c r="I2030" s="113" t="str">
        <f>_xlfn.XLOOKUP($C2030,'Cost Centers'!$A$2:$A$11,'Cost Centers'!$C$2:$C$11,"")</f>
        <v>Programs</v>
      </c>
      <c r="J2030" s="23">
        <f>MROUND(SUMIFS('Allocated Transactions'!$J:$J,'Allocated Transactions'!$D:$D,$E2030,'Allocated Transactions'!$C:$C,$C2030,'Allocated Transactions'!$A:$A,"&gt;="&amp;$A2030,'Allocated Transactions'!$A:$A,"&lt;="&amp;EOMONTH($A2030,0))*0.99,100)</f>
        <v>0</v>
      </c>
      <c r="K2030" s="113" t="s">
        <v>637</v>
      </c>
    </row>
    <row r="2031" spans="1:11" ht="15" customHeight="1">
      <c r="A2031" s="112">
        <f t="shared" si="134"/>
        <v>45962</v>
      </c>
      <c r="B2031" s="113">
        <v>10</v>
      </c>
      <c r="C2031" s="18" t="str">
        <f t="shared" si="135"/>
        <v>2050</v>
      </c>
      <c r="D2031" s="113" t="str">
        <f>_xlfn.XLOOKUP($C2031,'Cost Centers'!$A$2:$A$11,'Cost Centers'!$B$2:$B$11,"")</f>
        <v>SE Asia</v>
      </c>
      <c r="E2031" s="113" t="s">
        <v>117</v>
      </c>
      <c r="F2031" s="113" t="str">
        <f>_xlfn.XLOOKUP(E2031,'Allocated Transactions'!D:D,'Allocated Transactions'!E:E,"")</f>
        <v>Insurance</v>
      </c>
      <c r="G2031" s="113" t="s">
        <v>97</v>
      </c>
      <c r="H2031" s="113"/>
      <c r="I2031" s="113" t="str">
        <f>_xlfn.XLOOKUP($C2031,'Cost Centers'!$A$2:$A$11,'Cost Centers'!$C$2:$C$11,"")</f>
        <v>Programs</v>
      </c>
      <c r="J2031" s="23">
        <f>MROUND(SUMIFS('Allocated Transactions'!$J:$J,'Allocated Transactions'!$D:$D,$E2031,'Allocated Transactions'!$C:$C,$C2031,'Allocated Transactions'!$A:$A,"&gt;="&amp;$A2031,'Allocated Transactions'!$A:$A,"&lt;="&amp;EOMONTH($A2031,0))*0.99,100)</f>
        <v>100</v>
      </c>
      <c r="K2031" s="113" t="s">
        <v>637</v>
      </c>
    </row>
    <row r="2032" spans="1:11" ht="15" customHeight="1">
      <c r="A2032" s="112">
        <f t="shared" si="134"/>
        <v>45962</v>
      </c>
      <c r="B2032" s="113">
        <v>10</v>
      </c>
      <c r="C2032" s="18" t="str">
        <f t="shared" si="135"/>
        <v>2050</v>
      </c>
      <c r="D2032" s="113" t="str">
        <f>_xlfn.XLOOKUP($C2032,'Cost Centers'!$A$2:$A$11,'Cost Centers'!$B$2:$B$11,"")</f>
        <v>SE Asia</v>
      </c>
      <c r="E2032" s="113" t="s">
        <v>119</v>
      </c>
      <c r="F2032" s="113" t="str">
        <f>_xlfn.XLOOKUP(E2032,'Allocated Transactions'!D:D,'Allocated Transactions'!E:E,"")</f>
        <v>Depreciation Expense</v>
      </c>
      <c r="G2032" s="113" t="s">
        <v>97</v>
      </c>
      <c r="H2032" s="113"/>
      <c r="I2032" s="113" t="str">
        <f>_xlfn.XLOOKUP($C2032,'Cost Centers'!$A$2:$A$11,'Cost Centers'!$C$2:$C$11,"")</f>
        <v>Programs</v>
      </c>
      <c r="J2032" s="23">
        <f>MROUND(SUMIFS('Allocated Transactions'!$J:$J,'Allocated Transactions'!$D:$D,$E2032,'Allocated Transactions'!$C:$C,$C2032,'Allocated Transactions'!$A:$A,"&gt;="&amp;$A2032,'Allocated Transactions'!$A:$A,"&lt;="&amp;EOMONTH($A2032,0))*0.99,100)</f>
        <v>0</v>
      </c>
      <c r="K2032" s="113" t="s">
        <v>637</v>
      </c>
    </row>
    <row r="2033" spans="1:11" ht="15" customHeight="1">
      <c r="A2033" s="112">
        <f t="shared" si="134"/>
        <v>45962</v>
      </c>
      <c r="B2033" s="113">
        <v>10</v>
      </c>
      <c r="C2033" s="18" t="str">
        <f t="shared" si="135"/>
        <v>2050</v>
      </c>
      <c r="D2033" s="113" t="str">
        <f>_xlfn.XLOOKUP($C2033,'Cost Centers'!$A$2:$A$11,'Cost Centers'!$B$2:$B$11,"")</f>
        <v>SE Asia</v>
      </c>
      <c r="E2033" s="113" t="s">
        <v>121</v>
      </c>
      <c r="F2033" s="113" t="str">
        <f>_xlfn.XLOOKUP(E2033,'Allocated Transactions'!D:D,'Allocated Transactions'!E:E,"")</f>
        <v>Bank Fees</v>
      </c>
      <c r="G2033" s="113" t="s">
        <v>97</v>
      </c>
      <c r="H2033" s="113"/>
      <c r="I2033" s="113" t="str">
        <f>_xlfn.XLOOKUP($C2033,'Cost Centers'!$A$2:$A$11,'Cost Centers'!$C$2:$C$11,"")</f>
        <v>Programs</v>
      </c>
      <c r="J2033" s="23">
        <f>MROUND(SUMIFS('Allocated Transactions'!$J:$J,'Allocated Transactions'!$D:$D,$E2033,'Allocated Transactions'!$C:$C,$C2033,'Allocated Transactions'!$A:$A,"&gt;="&amp;$A2033,'Allocated Transactions'!$A:$A,"&lt;="&amp;EOMONTH($A2033,0))*0.99,100)</f>
        <v>0</v>
      </c>
      <c r="K2033" s="113" t="s">
        <v>637</v>
      </c>
    </row>
    <row r="2034" spans="1:11" ht="15" customHeight="1">
      <c r="A2034" s="112">
        <f t="shared" si="134"/>
        <v>45962</v>
      </c>
      <c r="B2034" s="113">
        <v>10</v>
      </c>
      <c r="C2034" s="18" t="str">
        <f t="shared" si="135"/>
        <v>2050</v>
      </c>
      <c r="D2034" s="113" t="str">
        <f>_xlfn.XLOOKUP($C2034,'Cost Centers'!$A$2:$A$11,'Cost Centers'!$B$2:$B$11,"")</f>
        <v>SE Asia</v>
      </c>
      <c r="E2034" s="113" t="s">
        <v>123</v>
      </c>
      <c r="F2034" s="113" t="str">
        <f>_xlfn.XLOOKUP(E2034,'Allocated Transactions'!D:D,'Allocated Transactions'!E:E,"")</f>
        <v>Interest Expense</v>
      </c>
      <c r="G2034" s="113" t="s">
        <v>97</v>
      </c>
      <c r="H2034" s="113"/>
      <c r="I2034" s="113" t="str">
        <f>_xlfn.XLOOKUP($C2034,'Cost Centers'!$A$2:$A$11,'Cost Centers'!$C$2:$C$11,"")</f>
        <v>Programs</v>
      </c>
      <c r="J2034" s="23">
        <f>MROUND(SUMIFS('Allocated Transactions'!$J:$J,'Allocated Transactions'!$D:$D,$E2034,'Allocated Transactions'!$C:$C,$C2034,'Allocated Transactions'!$A:$A,"&gt;="&amp;$A2034,'Allocated Transactions'!$A:$A,"&lt;="&amp;EOMONTH($A2034,0))*0.99,100)</f>
        <v>0</v>
      </c>
      <c r="K2034" s="113" t="s">
        <v>637</v>
      </c>
    </row>
    <row r="2035" spans="1:11" ht="15" customHeight="1">
      <c r="A2035" s="112">
        <f t="shared" si="134"/>
        <v>45962</v>
      </c>
      <c r="B2035" s="113">
        <v>10</v>
      </c>
      <c r="C2035" s="18" t="str">
        <f t="shared" si="135"/>
        <v>2050</v>
      </c>
      <c r="D2035" s="113" t="str">
        <f>_xlfn.XLOOKUP($C2035,'Cost Centers'!$A$2:$A$11,'Cost Centers'!$B$2:$B$11,"")</f>
        <v>SE Asia</v>
      </c>
      <c r="E2035" s="113" t="s">
        <v>125</v>
      </c>
      <c r="F2035" s="113" t="str">
        <f>_xlfn.XLOOKUP(E2035,'Allocated Transactions'!D:D,'Allocated Transactions'!E:E,"")</f>
        <v>Miscellaneous Expense</v>
      </c>
      <c r="G2035" s="113" t="s">
        <v>97</v>
      </c>
      <c r="H2035" s="113"/>
      <c r="I2035" s="113" t="str">
        <f>_xlfn.XLOOKUP($C2035,'Cost Centers'!$A$2:$A$11,'Cost Centers'!$C$2:$C$11,"")</f>
        <v>Programs</v>
      </c>
      <c r="J2035" s="23">
        <f>MROUND(SUMIFS('Allocated Transactions'!$J:$J,'Allocated Transactions'!$D:$D,$E2035,'Allocated Transactions'!$C:$C,$C2035,'Allocated Transactions'!$A:$A,"&gt;="&amp;$A2035,'Allocated Transactions'!$A:$A,"&lt;="&amp;EOMONTH($A2035,0))*0.99,100)</f>
        <v>0</v>
      </c>
      <c r="K2035" s="113" t="s">
        <v>637</v>
      </c>
    </row>
    <row r="2036" spans="1:11" ht="15" customHeight="1">
      <c r="A2036" s="112">
        <f t="shared" si="134"/>
        <v>45992</v>
      </c>
      <c r="B2036" s="113">
        <v>10</v>
      </c>
      <c r="C2036" s="18" t="s">
        <v>20</v>
      </c>
      <c r="D2036" s="113" t="str">
        <f>_xlfn.XLOOKUP($C2036,'Cost Centers'!$A$2:$A$11,'Cost Centers'!$B$2:$B$11,"")</f>
        <v>SE Asia</v>
      </c>
      <c r="E2036" s="113" t="s">
        <v>28</v>
      </c>
      <c r="F2036" s="113" t="str">
        <f>_xlfn.XLOOKUP(E2036,'Allocated Transactions'!D:D,'Allocated Transactions'!E:E,"")</f>
        <v>Salaries and Wages</v>
      </c>
      <c r="G2036" s="113" t="s">
        <v>97</v>
      </c>
      <c r="H2036" s="113"/>
      <c r="I2036" s="113" t="str">
        <f>_xlfn.XLOOKUP($C2036,'Cost Centers'!$A$2:$A$11,'Cost Centers'!$C$2:$C$11,"")</f>
        <v>Programs</v>
      </c>
      <c r="J2036" s="23">
        <f>MROUND(SUMIFS('Allocated Transactions'!$J:$J,'Allocated Transactions'!$D:$D,$E2036,'Allocated Transactions'!$C:$C,$C2036,'Allocated Transactions'!$A:$A,"&gt;="&amp;$A2036,'Allocated Transactions'!$A:$A,"&lt;="&amp;EOMONTH($A2036,0))*0.99,100)</f>
        <v>19300</v>
      </c>
      <c r="K2036" s="113" t="s">
        <v>637</v>
      </c>
    </row>
    <row r="2037" spans="1:11" ht="15" customHeight="1">
      <c r="A2037" s="112">
        <f t="shared" si="134"/>
        <v>45992</v>
      </c>
      <c r="B2037" s="113">
        <v>10</v>
      </c>
      <c r="C2037" s="18" t="str">
        <f t="shared" ref="C2037:C2053" si="136">C2036</f>
        <v>2050</v>
      </c>
      <c r="D2037" s="113" t="str">
        <f>_xlfn.XLOOKUP($C2037,'Cost Centers'!$A$2:$A$11,'Cost Centers'!$B$2:$B$11,"")</f>
        <v>SE Asia</v>
      </c>
      <c r="E2037" s="113" t="s">
        <v>29</v>
      </c>
      <c r="F2037" s="113" t="str">
        <f>_xlfn.XLOOKUP(E2037,'Allocated Transactions'!D:D,'Allocated Transactions'!E:E,"")</f>
        <v>Payroll Taxes</v>
      </c>
      <c r="G2037" s="113" t="s">
        <v>97</v>
      </c>
      <c r="H2037" s="113"/>
      <c r="I2037" s="113" t="str">
        <f>_xlfn.XLOOKUP($C2037,'Cost Centers'!$A$2:$A$11,'Cost Centers'!$C$2:$C$11,"")</f>
        <v>Programs</v>
      </c>
      <c r="J2037" s="23">
        <f>MROUND(SUMIFS('Allocated Transactions'!$J:$J,'Allocated Transactions'!$D:$D,$E2037,'Allocated Transactions'!$C:$C,$C2037,'Allocated Transactions'!$A:$A,"&gt;="&amp;$A2037,'Allocated Transactions'!$A:$A,"&lt;="&amp;EOMONTH($A2037,0))*0.99,100)</f>
        <v>1500</v>
      </c>
      <c r="K2037" s="113" t="s">
        <v>637</v>
      </c>
    </row>
    <row r="2038" spans="1:11" ht="15" customHeight="1">
      <c r="A2038" s="112">
        <f t="shared" si="134"/>
        <v>45992</v>
      </c>
      <c r="B2038" s="113">
        <v>10</v>
      </c>
      <c r="C2038" s="18" t="str">
        <f t="shared" si="136"/>
        <v>2050</v>
      </c>
      <c r="D2038" s="113" t="str">
        <f>_xlfn.XLOOKUP($C2038,'Cost Centers'!$A$2:$A$11,'Cost Centers'!$B$2:$B$11,"")</f>
        <v>SE Asia</v>
      </c>
      <c r="E2038" s="113" t="s">
        <v>30</v>
      </c>
      <c r="F2038" s="113" t="str">
        <f>_xlfn.XLOOKUP(E2038,'Allocated Transactions'!D:D,'Allocated Transactions'!E:E,"")</f>
        <v>Employee Benefits</v>
      </c>
      <c r="G2038" s="113" t="s">
        <v>97</v>
      </c>
      <c r="H2038" s="113"/>
      <c r="I2038" s="113" t="str">
        <f>_xlfn.XLOOKUP($C2038,'Cost Centers'!$A$2:$A$11,'Cost Centers'!$C$2:$C$11,"")</f>
        <v>Programs</v>
      </c>
      <c r="J2038" s="23">
        <f>MROUND(SUMIFS('Allocated Transactions'!$J:$J,'Allocated Transactions'!$D:$D,$E2038,'Allocated Transactions'!$C:$C,$C2038,'Allocated Transactions'!$A:$A,"&gt;="&amp;$A2038,'Allocated Transactions'!$A:$A,"&lt;="&amp;EOMONTH($A2038,0))*0.99,100)</f>
        <v>5700</v>
      </c>
      <c r="K2038" s="113" t="s">
        <v>637</v>
      </c>
    </row>
    <row r="2039" spans="1:11" ht="15" customHeight="1">
      <c r="A2039" s="112">
        <f t="shared" si="134"/>
        <v>45992</v>
      </c>
      <c r="B2039" s="113">
        <v>10</v>
      </c>
      <c r="C2039" s="18" t="str">
        <f t="shared" si="136"/>
        <v>2050</v>
      </c>
      <c r="D2039" s="113" t="str">
        <f>_xlfn.XLOOKUP($C2039,'Cost Centers'!$A$2:$A$11,'Cost Centers'!$B$2:$B$11,"")</f>
        <v>SE Asia</v>
      </c>
      <c r="E2039" s="113" t="s">
        <v>31</v>
      </c>
      <c r="F2039" s="113" t="str">
        <f>_xlfn.XLOOKUP(E2039,'Allocated Transactions'!D:D,'Allocated Transactions'!E:E,"")</f>
        <v>Retirement Contributions</v>
      </c>
      <c r="G2039" s="113" t="s">
        <v>97</v>
      </c>
      <c r="H2039" s="113"/>
      <c r="I2039" s="113" t="str">
        <f>_xlfn.XLOOKUP($C2039,'Cost Centers'!$A$2:$A$11,'Cost Centers'!$C$2:$C$11,"")</f>
        <v>Programs</v>
      </c>
      <c r="J2039" s="23">
        <f>MROUND(SUMIFS('Allocated Transactions'!$J:$J,'Allocated Transactions'!$D:$D,$E2039,'Allocated Transactions'!$C:$C,$C2039,'Allocated Transactions'!$A:$A,"&gt;="&amp;$A2039,'Allocated Transactions'!$A:$A,"&lt;="&amp;EOMONTH($A2039,0))*0.99,100)</f>
        <v>600</v>
      </c>
      <c r="K2039" s="113" t="s">
        <v>637</v>
      </c>
    </row>
    <row r="2040" spans="1:11" ht="15" customHeight="1">
      <c r="A2040" s="112">
        <f t="shared" si="134"/>
        <v>45992</v>
      </c>
      <c r="B2040" s="113">
        <v>10</v>
      </c>
      <c r="C2040" s="18" t="str">
        <f t="shared" si="136"/>
        <v>2050</v>
      </c>
      <c r="D2040" s="113" t="str">
        <f>_xlfn.XLOOKUP($C2040,'Cost Centers'!$A$2:$A$11,'Cost Centers'!$B$2:$B$11,"")</f>
        <v>SE Asia</v>
      </c>
      <c r="E2040" s="113" t="s">
        <v>101</v>
      </c>
      <c r="F2040" s="113" t="str">
        <f>_xlfn.XLOOKUP(E2040,'Allocated Transactions'!D:D,'Allocated Transactions'!E:E,"")</f>
        <v>Contract Labor / Consultants</v>
      </c>
      <c r="G2040" s="113" t="s">
        <v>97</v>
      </c>
      <c r="H2040" s="113"/>
      <c r="I2040" s="113" t="str">
        <f>_xlfn.XLOOKUP($C2040,'Cost Centers'!$A$2:$A$11,'Cost Centers'!$C$2:$C$11,"")</f>
        <v>Programs</v>
      </c>
      <c r="J2040" s="23">
        <f>MROUND(SUMIFS('Allocated Transactions'!$J:$J,'Allocated Transactions'!$D:$D,$E2040,'Allocated Transactions'!$C:$C,$C2040,'Allocated Transactions'!$A:$A,"&gt;="&amp;$A2040,'Allocated Transactions'!$A:$A,"&lt;="&amp;EOMONTH($A2040,0))*0.99,100)</f>
        <v>0</v>
      </c>
      <c r="K2040" s="113" t="s">
        <v>637</v>
      </c>
    </row>
    <row r="2041" spans="1:11" ht="15" customHeight="1">
      <c r="A2041" s="112">
        <f t="shared" si="134"/>
        <v>45992</v>
      </c>
      <c r="B2041" s="113">
        <v>10</v>
      </c>
      <c r="C2041" s="18" t="str">
        <f t="shared" si="136"/>
        <v>2050</v>
      </c>
      <c r="D2041" s="113" t="str">
        <f>_xlfn.XLOOKUP($C2041,'Cost Centers'!$A$2:$A$11,'Cost Centers'!$B$2:$B$11,"")</f>
        <v>SE Asia</v>
      </c>
      <c r="E2041" s="113" t="s">
        <v>32</v>
      </c>
      <c r="F2041" s="113" t="str">
        <f>_xlfn.XLOOKUP(E2041,'Allocated Transactions'!D:D,'Allocated Transactions'!E:E,"")</f>
        <v>Rent</v>
      </c>
      <c r="G2041" s="113" t="s">
        <v>97</v>
      </c>
      <c r="H2041" s="113"/>
      <c r="I2041" s="113" t="str">
        <f>_xlfn.XLOOKUP($C2041,'Cost Centers'!$A$2:$A$11,'Cost Centers'!$C$2:$C$11,"")</f>
        <v>Programs</v>
      </c>
      <c r="J2041" s="23">
        <f>MROUND(SUMIFS('Allocated Transactions'!$J:$J,'Allocated Transactions'!$D:$D,$E2041,'Allocated Transactions'!$C:$C,$C2041,'Allocated Transactions'!$A:$A,"&gt;="&amp;$A2041,'Allocated Transactions'!$A:$A,"&lt;="&amp;EOMONTH($A2041,0))*0.99,100)</f>
        <v>1500</v>
      </c>
      <c r="K2041" s="113" t="s">
        <v>637</v>
      </c>
    </row>
    <row r="2042" spans="1:11" ht="15" customHeight="1">
      <c r="A2042" s="112">
        <f t="shared" si="134"/>
        <v>45992</v>
      </c>
      <c r="B2042" s="113">
        <v>10</v>
      </c>
      <c r="C2042" s="18" t="str">
        <f t="shared" si="136"/>
        <v>2050</v>
      </c>
      <c r="D2042" s="113" t="str">
        <f>_xlfn.XLOOKUP($C2042,'Cost Centers'!$A$2:$A$11,'Cost Centers'!$B$2:$B$11,"")</f>
        <v>SE Asia</v>
      </c>
      <c r="E2042" s="113" t="s">
        <v>33</v>
      </c>
      <c r="F2042" s="113" t="str">
        <f>_xlfn.XLOOKUP(E2042,'Allocated Transactions'!D:D,'Allocated Transactions'!E:E,"")</f>
        <v>Utilities</v>
      </c>
      <c r="G2042" s="113" t="s">
        <v>97</v>
      </c>
      <c r="H2042" s="113"/>
      <c r="I2042" s="113" t="str">
        <f>_xlfn.XLOOKUP($C2042,'Cost Centers'!$A$2:$A$11,'Cost Centers'!$C$2:$C$11,"")</f>
        <v>Programs</v>
      </c>
      <c r="J2042" s="23">
        <f>MROUND(SUMIFS('Allocated Transactions'!$J:$J,'Allocated Transactions'!$D:$D,$E2042,'Allocated Transactions'!$C:$C,$C2042,'Allocated Transactions'!$A:$A,"&gt;="&amp;$A2042,'Allocated Transactions'!$A:$A,"&lt;="&amp;EOMONTH($A2042,0))*0.99,100)</f>
        <v>200</v>
      </c>
      <c r="K2042" s="113" t="s">
        <v>637</v>
      </c>
    </row>
    <row r="2043" spans="1:11" ht="15" customHeight="1">
      <c r="A2043" s="112">
        <f t="shared" si="134"/>
        <v>45992</v>
      </c>
      <c r="B2043" s="113">
        <v>10</v>
      </c>
      <c r="C2043" s="18" t="str">
        <f t="shared" si="136"/>
        <v>2050</v>
      </c>
      <c r="D2043" s="113" t="str">
        <f>_xlfn.XLOOKUP($C2043,'Cost Centers'!$A$2:$A$11,'Cost Centers'!$B$2:$B$11,"")</f>
        <v>SE Asia</v>
      </c>
      <c r="E2043" s="113" t="s">
        <v>105</v>
      </c>
      <c r="F2043" s="113" t="str">
        <f>_xlfn.XLOOKUP(E2043,'Allocated Transactions'!D:D,'Allocated Transactions'!E:E,"")</f>
        <v>Office Supplies</v>
      </c>
      <c r="G2043" s="113" t="s">
        <v>97</v>
      </c>
      <c r="H2043" s="113"/>
      <c r="I2043" s="113" t="str">
        <f>_xlfn.XLOOKUP($C2043,'Cost Centers'!$A$2:$A$11,'Cost Centers'!$C$2:$C$11,"")</f>
        <v>Programs</v>
      </c>
      <c r="J2043" s="23">
        <f>MROUND(SUMIFS('Allocated Transactions'!$J:$J,'Allocated Transactions'!$D:$D,$E2043,'Allocated Transactions'!$C:$C,$C2043,'Allocated Transactions'!$A:$A,"&gt;="&amp;$A2043,'Allocated Transactions'!$A:$A,"&lt;="&amp;EOMONTH($A2043,0))*0.99,100)</f>
        <v>0</v>
      </c>
      <c r="K2043" s="113" t="s">
        <v>637</v>
      </c>
    </row>
    <row r="2044" spans="1:11" ht="15" customHeight="1">
      <c r="A2044" s="112">
        <f t="shared" si="134"/>
        <v>45992</v>
      </c>
      <c r="B2044" s="113">
        <v>10</v>
      </c>
      <c r="C2044" s="18" t="str">
        <f t="shared" si="136"/>
        <v>2050</v>
      </c>
      <c r="D2044" s="113" t="str">
        <f>_xlfn.XLOOKUP($C2044,'Cost Centers'!$A$2:$A$11,'Cost Centers'!$B$2:$B$11,"")</f>
        <v>SE Asia</v>
      </c>
      <c r="E2044" s="113" t="s">
        <v>107</v>
      </c>
      <c r="F2044" s="113" t="str">
        <f>_xlfn.XLOOKUP(E2044,'Allocated Transactions'!D:D,'Allocated Transactions'!E:E,"")</f>
        <v>Software and Subscriptions</v>
      </c>
      <c r="G2044" s="113" t="s">
        <v>97</v>
      </c>
      <c r="H2044" s="113"/>
      <c r="I2044" s="113" t="str">
        <f>_xlfn.XLOOKUP($C2044,'Cost Centers'!$A$2:$A$11,'Cost Centers'!$C$2:$C$11,"")</f>
        <v>Programs</v>
      </c>
      <c r="J2044" s="23">
        <f>MROUND(SUMIFS('Allocated Transactions'!$J:$J,'Allocated Transactions'!$D:$D,$E2044,'Allocated Transactions'!$C:$C,$C2044,'Allocated Transactions'!$A:$A,"&gt;="&amp;$A2044,'Allocated Transactions'!$A:$A,"&lt;="&amp;EOMONTH($A2044,0))*0.99,100)</f>
        <v>0</v>
      </c>
      <c r="K2044" s="113" t="s">
        <v>637</v>
      </c>
    </row>
    <row r="2045" spans="1:11" ht="15" customHeight="1">
      <c r="A2045" s="112">
        <f t="shared" si="134"/>
        <v>45992</v>
      </c>
      <c r="B2045" s="113">
        <v>10</v>
      </c>
      <c r="C2045" s="18" t="str">
        <f t="shared" si="136"/>
        <v>2050</v>
      </c>
      <c r="D2045" s="113" t="str">
        <f>_xlfn.XLOOKUP($C2045,'Cost Centers'!$A$2:$A$11,'Cost Centers'!$B$2:$B$11,"")</f>
        <v>SE Asia</v>
      </c>
      <c r="E2045" s="113" t="s">
        <v>109</v>
      </c>
      <c r="F2045" s="113" t="str">
        <f>_xlfn.XLOOKUP(E2045,'Allocated Transactions'!D:D,'Allocated Transactions'!E:E,"")</f>
        <v>Travel</v>
      </c>
      <c r="G2045" s="113" t="s">
        <v>97</v>
      </c>
      <c r="H2045" s="113"/>
      <c r="I2045" s="113" t="str">
        <f>_xlfn.XLOOKUP($C2045,'Cost Centers'!$A$2:$A$11,'Cost Centers'!$C$2:$C$11,"")</f>
        <v>Programs</v>
      </c>
      <c r="J2045" s="23">
        <f>MROUND(SUMIFS('Allocated Transactions'!$J:$J,'Allocated Transactions'!$D:$D,$E2045,'Allocated Transactions'!$C:$C,$C2045,'Allocated Transactions'!$A:$A,"&gt;="&amp;$A2045,'Allocated Transactions'!$A:$A,"&lt;="&amp;EOMONTH($A2045,0))*0.99,100)</f>
        <v>3200</v>
      </c>
      <c r="K2045" s="113" t="s">
        <v>637</v>
      </c>
    </row>
    <row r="2046" spans="1:11" ht="15" customHeight="1">
      <c r="A2046" s="112">
        <f t="shared" si="134"/>
        <v>45992</v>
      </c>
      <c r="B2046" s="113">
        <v>10</v>
      </c>
      <c r="C2046" s="18" t="str">
        <f t="shared" si="136"/>
        <v>2050</v>
      </c>
      <c r="D2046" s="113" t="str">
        <f>_xlfn.XLOOKUP($C2046,'Cost Centers'!$A$2:$A$11,'Cost Centers'!$B$2:$B$11,"")</f>
        <v>SE Asia</v>
      </c>
      <c r="E2046" s="113" t="s">
        <v>111</v>
      </c>
      <c r="F2046" s="113" t="str">
        <f>_xlfn.XLOOKUP(E2046,'Allocated Transactions'!D:D,'Allocated Transactions'!E:E,"")</f>
        <v>Meals and Entertainment</v>
      </c>
      <c r="G2046" s="113" t="s">
        <v>97</v>
      </c>
      <c r="H2046" s="113"/>
      <c r="I2046" s="113" t="str">
        <f>_xlfn.XLOOKUP($C2046,'Cost Centers'!$A$2:$A$11,'Cost Centers'!$C$2:$C$11,"")</f>
        <v>Programs</v>
      </c>
      <c r="J2046" s="23">
        <f>MROUND(SUMIFS('Allocated Transactions'!$J:$J,'Allocated Transactions'!$D:$D,$E2046,'Allocated Transactions'!$C:$C,$C2046,'Allocated Transactions'!$A:$A,"&gt;="&amp;$A2046,'Allocated Transactions'!$A:$A,"&lt;="&amp;EOMONTH($A2046,0))*0.99,100)</f>
        <v>500</v>
      </c>
      <c r="K2046" s="113" t="s">
        <v>637</v>
      </c>
    </row>
    <row r="2047" spans="1:11" ht="15" customHeight="1">
      <c r="A2047" s="112">
        <f t="shared" si="134"/>
        <v>45992</v>
      </c>
      <c r="B2047" s="113">
        <v>10</v>
      </c>
      <c r="C2047" s="18" t="str">
        <f t="shared" si="136"/>
        <v>2050</v>
      </c>
      <c r="D2047" s="113" t="str">
        <f>_xlfn.XLOOKUP($C2047,'Cost Centers'!$A$2:$A$11,'Cost Centers'!$B$2:$B$11,"")</f>
        <v>SE Asia</v>
      </c>
      <c r="E2047" s="113" t="s">
        <v>113</v>
      </c>
      <c r="F2047" s="113" t="str">
        <f>_xlfn.XLOOKUP(E2047,'Allocated Transactions'!D:D,'Allocated Transactions'!E:E,"")</f>
        <v>Professional Fees - Legal</v>
      </c>
      <c r="G2047" s="113" t="s">
        <v>97</v>
      </c>
      <c r="H2047" s="113"/>
      <c r="I2047" s="113" t="str">
        <f>_xlfn.XLOOKUP($C2047,'Cost Centers'!$A$2:$A$11,'Cost Centers'!$C$2:$C$11,"")</f>
        <v>Programs</v>
      </c>
      <c r="J2047" s="23">
        <f>MROUND(SUMIFS('Allocated Transactions'!$J:$J,'Allocated Transactions'!$D:$D,$E2047,'Allocated Transactions'!$C:$C,$C2047,'Allocated Transactions'!$A:$A,"&gt;="&amp;$A2047,'Allocated Transactions'!$A:$A,"&lt;="&amp;EOMONTH($A2047,0))*0.99,100)</f>
        <v>0</v>
      </c>
      <c r="K2047" s="113" t="s">
        <v>637</v>
      </c>
    </row>
    <row r="2048" spans="1:11" ht="15" customHeight="1">
      <c r="A2048" s="112">
        <f t="shared" si="134"/>
        <v>45992</v>
      </c>
      <c r="B2048" s="113">
        <v>10</v>
      </c>
      <c r="C2048" s="18" t="str">
        <f t="shared" si="136"/>
        <v>2050</v>
      </c>
      <c r="D2048" s="113" t="str">
        <f>_xlfn.XLOOKUP($C2048,'Cost Centers'!$A$2:$A$11,'Cost Centers'!$B$2:$B$11,"")</f>
        <v>SE Asia</v>
      </c>
      <c r="E2048" s="113" t="s">
        <v>115</v>
      </c>
      <c r="F2048" s="113" t="str">
        <f>_xlfn.XLOOKUP(E2048,'Allocated Transactions'!D:D,'Allocated Transactions'!E:E,"")</f>
        <v>Professional Fees - Accounting/Audit</v>
      </c>
      <c r="G2048" s="113" t="s">
        <v>97</v>
      </c>
      <c r="H2048" s="113"/>
      <c r="I2048" s="113" t="str">
        <f>_xlfn.XLOOKUP($C2048,'Cost Centers'!$A$2:$A$11,'Cost Centers'!$C$2:$C$11,"")</f>
        <v>Programs</v>
      </c>
      <c r="J2048" s="23">
        <f>MROUND(SUMIFS('Allocated Transactions'!$J:$J,'Allocated Transactions'!$D:$D,$E2048,'Allocated Transactions'!$C:$C,$C2048,'Allocated Transactions'!$A:$A,"&gt;="&amp;$A2048,'Allocated Transactions'!$A:$A,"&lt;="&amp;EOMONTH($A2048,0))*0.99,100)</f>
        <v>0</v>
      </c>
      <c r="K2048" s="113" t="s">
        <v>637</v>
      </c>
    </row>
    <row r="2049" spans="1:11" ht="15" customHeight="1">
      <c r="A2049" s="112">
        <f t="shared" si="134"/>
        <v>45992</v>
      </c>
      <c r="B2049" s="113">
        <v>10</v>
      </c>
      <c r="C2049" s="18" t="str">
        <f t="shared" si="136"/>
        <v>2050</v>
      </c>
      <c r="D2049" s="113" t="str">
        <f>_xlfn.XLOOKUP($C2049,'Cost Centers'!$A$2:$A$11,'Cost Centers'!$B$2:$B$11,"")</f>
        <v>SE Asia</v>
      </c>
      <c r="E2049" s="113" t="s">
        <v>117</v>
      </c>
      <c r="F2049" s="113" t="str">
        <f>_xlfn.XLOOKUP(E2049,'Allocated Transactions'!D:D,'Allocated Transactions'!E:E,"")</f>
        <v>Insurance</v>
      </c>
      <c r="G2049" s="113" t="s">
        <v>97</v>
      </c>
      <c r="H2049" s="113"/>
      <c r="I2049" s="113" t="str">
        <f>_xlfn.XLOOKUP($C2049,'Cost Centers'!$A$2:$A$11,'Cost Centers'!$C$2:$C$11,"")</f>
        <v>Programs</v>
      </c>
      <c r="J2049" s="23">
        <f>MROUND(SUMIFS('Allocated Transactions'!$J:$J,'Allocated Transactions'!$D:$D,$E2049,'Allocated Transactions'!$C:$C,$C2049,'Allocated Transactions'!$A:$A,"&gt;="&amp;$A2049,'Allocated Transactions'!$A:$A,"&lt;="&amp;EOMONTH($A2049,0))*0.99,100)</f>
        <v>100</v>
      </c>
      <c r="K2049" s="113" t="s">
        <v>637</v>
      </c>
    </row>
    <row r="2050" spans="1:11" ht="15" customHeight="1">
      <c r="A2050" s="112">
        <f t="shared" si="134"/>
        <v>45992</v>
      </c>
      <c r="B2050" s="113">
        <v>10</v>
      </c>
      <c r="C2050" s="18" t="str">
        <f t="shared" si="136"/>
        <v>2050</v>
      </c>
      <c r="D2050" s="113" t="str">
        <f>_xlfn.XLOOKUP($C2050,'Cost Centers'!$A$2:$A$11,'Cost Centers'!$B$2:$B$11,"")</f>
        <v>SE Asia</v>
      </c>
      <c r="E2050" s="113" t="s">
        <v>119</v>
      </c>
      <c r="F2050" s="113" t="str">
        <f>_xlfn.XLOOKUP(E2050,'Allocated Transactions'!D:D,'Allocated Transactions'!E:E,"")</f>
        <v>Depreciation Expense</v>
      </c>
      <c r="G2050" s="113" t="s">
        <v>97</v>
      </c>
      <c r="H2050" s="113"/>
      <c r="I2050" s="113" t="str">
        <f>_xlfn.XLOOKUP($C2050,'Cost Centers'!$A$2:$A$11,'Cost Centers'!$C$2:$C$11,"")</f>
        <v>Programs</v>
      </c>
      <c r="J2050" s="23">
        <f>MROUND(SUMIFS('Allocated Transactions'!$J:$J,'Allocated Transactions'!$D:$D,$E2050,'Allocated Transactions'!$C:$C,$C2050,'Allocated Transactions'!$A:$A,"&gt;="&amp;$A2050,'Allocated Transactions'!$A:$A,"&lt;="&amp;EOMONTH($A2050,0))*0.99,100)</f>
        <v>0</v>
      </c>
      <c r="K2050" s="113" t="s">
        <v>637</v>
      </c>
    </row>
    <row r="2051" spans="1:11" ht="15" customHeight="1">
      <c r="A2051" s="112">
        <f t="shared" si="134"/>
        <v>45992</v>
      </c>
      <c r="B2051" s="113">
        <v>10</v>
      </c>
      <c r="C2051" s="18" t="str">
        <f t="shared" si="136"/>
        <v>2050</v>
      </c>
      <c r="D2051" s="113" t="str">
        <f>_xlfn.XLOOKUP($C2051,'Cost Centers'!$A$2:$A$11,'Cost Centers'!$B$2:$B$11,"")</f>
        <v>SE Asia</v>
      </c>
      <c r="E2051" s="113" t="s">
        <v>121</v>
      </c>
      <c r="F2051" s="113" t="str">
        <f>_xlfn.XLOOKUP(E2051,'Allocated Transactions'!D:D,'Allocated Transactions'!E:E,"")</f>
        <v>Bank Fees</v>
      </c>
      <c r="G2051" s="113" t="s">
        <v>97</v>
      </c>
      <c r="H2051" s="113"/>
      <c r="I2051" s="113" t="str">
        <f>_xlfn.XLOOKUP($C2051,'Cost Centers'!$A$2:$A$11,'Cost Centers'!$C$2:$C$11,"")</f>
        <v>Programs</v>
      </c>
      <c r="J2051" s="23">
        <f>MROUND(SUMIFS('Allocated Transactions'!$J:$J,'Allocated Transactions'!$D:$D,$E2051,'Allocated Transactions'!$C:$C,$C2051,'Allocated Transactions'!$A:$A,"&gt;="&amp;$A2051,'Allocated Transactions'!$A:$A,"&lt;="&amp;EOMONTH($A2051,0))*0.99,100)</f>
        <v>0</v>
      </c>
      <c r="K2051" s="113" t="s">
        <v>637</v>
      </c>
    </row>
    <row r="2052" spans="1:11" ht="15" customHeight="1">
      <c r="A2052" s="112">
        <f t="shared" si="134"/>
        <v>45992</v>
      </c>
      <c r="B2052" s="113">
        <v>10</v>
      </c>
      <c r="C2052" s="18" t="str">
        <f t="shared" si="136"/>
        <v>2050</v>
      </c>
      <c r="D2052" s="113" t="str">
        <f>_xlfn.XLOOKUP($C2052,'Cost Centers'!$A$2:$A$11,'Cost Centers'!$B$2:$B$11,"")</f>
        <v>SE Asia</v>
      </c>
      <c r="E2052" s="113" t="s">
        <v>123</v>
      </c>
      <c r="F2052" s="113" t="str">
        <f>_xlfn.XLOOKUP(E2052,'Allocated Transactions'!D:D,'Allocated Transactions'!E:E,"")</f>
        <v>Interest Expense</v>
      </c>
      <c r="G2052" s="113" t="s">
        <v>97</v>
      </c>
      <c r="H2052" s="113"/>
      <c r="I2052" s="113" t="str">
        <f>_xlfn.XLOOKUP($C2052,'Cost Centers'!$A$2:$A$11,'Cost Centers'!$C$2:$C$11,"")</f>
        <v>Programs</v>
      </c>
      <c r="J2052" s="23">
        <f>MROUND(SUMIFS('Allocated Transactions'!$J:$J,'Allocated Transactions'!$D:$D,$E2052,'Allocated Transactions'!$C:$C,$C2052,'Allocated Transactions'!$A:$A,"&gt;="&amp;$A2052,'Allocated Transactions'!$A:$A,"&lt;="&amp;EOMONTH($A2052,0))*0.99,100)</f>
        <v>0</v>
      </c>
      <c r="K2052" s="113" t="s">
        <v>637</v>
      </c>
    </row>
    <row r="2053" spans="1:11" ht="15" customHeight="1">
      <c r="A2053" s="112">
        <f t="shared" si="134"/>
        <v>45992</v>
      </c>
      <c r="B2053" s="113">
        <v>10</v>
      </c>
      <c r="C2053" s="18" t="str">
        <f t="shared" si="136"/>
        <v>2050</v>
      </c>
      <c r="D2053" s="113" t="str">
        <f>_xlfn.XLOOKUP($C2053,'Cost Centers'!$A$2:$A$11,'Cost Centers'!$B$2:$B$11,"")</f>
        <v>SE Asia</v>
      </c>
      <c r="E2053" s="113" t="s">
        <v>125</v>
      </c>
      <c r="F2053" s="113" t="str">
        <f>_xlfn.XLOOKUP(E2053,'Allocated Transactions'!D:D,'Allocated Transactions'!E:E,"")</f>
        <v>Miscellaneous Expense</v>
      </c>
      <c r="G2053" s="113" t="s">
        <v>97</v>
      </c>
      <c r="H2053" s="113"/>
      <c r="I2053" s="113" t="str">
        <f>_xlfn.XLOOKUP($C2053,'Cost Centers'!$A$2:$A$11,'Cost Centers'!$C$2:$C$11,"")</f>
        <v>Programs</v>
      </c>
      <c r="J2053" s="23">
        <f>MROUND(SUMIFS('Allocated Transactions'!$J:$J,'Allocated Transactions'!$D:$D,$E2053,'Allocated Transactions'!$C:$C,$C2053,'Allocated Transactions'!$A:$A,"&gt;="&amp;$A2053,'Allocated Transactions'!$A:$A,"&lt;="&amp;EOMONTH($A2053,0))*0.99,100)</f>
        <v>0</v>
      </c>
      <c r="K2053" s="113" t="s">
        <v>637</v>
      </c>
    </row>
    <row r="2054" spans="1:11" ht="15" customHeight="1">
      <c r="A2054" s="112">
        <f t="shared" si="134"/>
        <v>46023</v>
      </c>
      <c r="B2054" s="113">
        <v>10</v>
      </c>
      <c r="C2054" s="18" t="s">
        <v>20</v>
      </c>
      <c r="D2054" s="113" t="str">
        <f>_xlfn.XLOOKUP($C2054,'Cost Centers'!$A$2:$A$11,'Cost Centers'!$B$2:$B$11,"")</f>
        <v>SE Asia</v>
      </c>
      <c r="E2054" s="113" t="s">
        <v>28</v>
      </c>
      <c r="F2054" s="113" t="str">
        <f>_xlfn.XLOOKUP(E2054,'Allocated Transactions'!D:D,'Allocated Transactions'!E:E,"")</f>
        <v>Salaries and Wages</v>
      </c>
      <c r="G2054" s="113" t="s">
        <v>97</v>
      </c>
      <c r="H2054" s="113"/>
      <c r="I2054" s="113" t="str">
        <f>_xlfn.XLOOKUP($C2054,'Cost Centers'!$A$2:$A$11,'Cost Centers'!$C$2:$C$11,"")</f>
        <v>Programs</v>
      </c>
      <c r="J2054" s="23">
        <f>MROUND(SUMIFS('Allocated Transactions'!$J:$J,'Allocated Transactions'!$D:$D,$E2054,'Allocated Transactions'!$C:$C,$C2054,'Allocated Transactions'!$A:$A,"&gt;="&amp;$A2054,'Allocated Transactions'!$A:$A,"&lt;="&amp;EOMONTH($A2054,0))*0.99,100)</f>
        <v>19900</v>
      </c>
      <c r="K2054" s="113" t="s">
        <v>637</v>
      </c>
    </row>
    <row r="2055" spans="1:11" ht="15" customHeight="1">
      <c r="A2055" s="112">
        <f t="shared" si="134"/>
        <v>46023</v>
      </c>
      <c r="B2055" s="113">
        <v>10</v>
      </c>
      <c r="C2055" s="18" t="str">
        <f t="shared" ref="C2055:C2071" si="137">C2054</f>
        <v>2050</v>
      </c>
      <c r="D2055" s="113" t="str">
        <f>_xlfn.XLOOKUP($C2055,'Cost Centers'!$A$2:$A$11,'Cost Centers'!$B$2:$B$11,"")</f>
        <v>SE Asia</v>
      </c>
      <c r="E2055" s="113" t="s">
        <v>29</v>
      </c>
      <c r="F2055" s="113" t="str">
        <f>_xlfn.XLOOKUP(E2055,'Allocated Transactions'!D:D,'Allocated Transactions'!E:E,"")</f>
        <v>Payroll Taxes</v>
      </c>
      <c r="G2055" s="113" t="s">
        <v>97</v>
      </c>
      <c r="H2055" s="113"/>
      <c r="I2055" s="113" t="str">
        <f>_xlfn.XLOOKUP($C2055,'Cost Centers'!$A$2:$A$11,'Cost Centers'!$C$2:$C$11,"")</f>
        <v>Programs</v>
      </c>
      <c r="J2055" s="23">
        <f>MROUND(SUMIFS('Allocated Transactions'!$J:$J,'Allocated Transactions'!$D:$D,$E2055,'Allocated Transactions'!$C:$C,$C2055,'Allocated Transactions'!$A:$A,"&gt;="&amp;$A2055,'Allocated Transactions'!$A:$A,"&lt;="&amp;EOMONTH($A2055,0))*0.99,100)</f>
        <v>1500</v>
      </c>
      <c r="K2055" s="113" t="s">
        <v>637</v>
      </c>
    </row>
    <row r="2056" spans="1:11" ht="15" customHeight="1">
      <c r="A2056" s="112">
        <f t="shared" si="134"/>
        <v>46023</v>
      </c>
      <c r="B2056" s="113">
        <v>10</v>
      </c>
      <c r="C2056" s="18" t="str">
        <f t="shared" si="137"/>
        <v>2050</v>
      </c>
      <c r="D2056" s="113" t="str">
        <f>_xlfn.XLOOKUP($C2056,'Cost Centers'!$A$2:$A$11,'Cost Centers'!$B$2:$B$11,"")</f>
        <v>SE Asia</v>
      </c>
      <c r="E2056" s="113" t="s">
        <v>30</v>
      </c>
      <c r="F2056" s="113" t="str">
        <f>_xlfn.XLOOKUP(E2056,'Allocated Transactions'!D:D,'Allocated Transactions'!E:E,"")</f>
        <v>Employee Benefits</v>
      </c>
      <c r="G2056" s="113" t="s">
        <v>97</v>
      </c>
      <c r="H2056" s="113"/>
      <c r="I2056" s="113" t="str">
        <f>_xlfn.XLOOKUP($C2056,'Cost Centers'!$A$2:$A$11,'Cost Centers'!$C$2:$C$11,"")</f>
        <v>Programs</v>
      </c>
      <c r="J2056" s="23">
        <f>MROUND(SUMIFS('Allocated Transactions'!$J:$J,'Allocated Transactions'!$D:$D,$E2056,'Allocated Transactions'!$C:$C,$C2056,'Allocated Transactions'!$A:$A,"&gt;="&amp;$A2056,'Allocated Transactions'!$A:$A,"&lt;="&amp;EOMONTH($A2056,0))*0.99,100)</f>
        <v>7000</v>
      </c>
      <c r="K2056" s="113" t="s">
        <v>637</v>
      </c>
    </row>
    <row r="2057" spans="1:11" ht="15" customHeight="1">
      <c r="A2057" s="112">
        <f t="shared" si="134"/>
        <v>46023</v>
      </c>
      <c r="B2057" s="113">
        <v>10</v>
      </c>
      <c r="C2057" s="18" t="str">
        <f t="shared" si="137"/>
        <v>2050</v>
      </c>
      <c r="D2057" s="113" t="str">
        <f>_xlfn.XLOOKUP($C2057,'Cost Centers'!$A$2:$A$11,'Cost Centers'!$B$2:$B$11,"")</f>
        <v>SE Asia</v>
      </c>
      <c r="E2057" s="113" t="s">
        <v>31</v>
      </c>
      <c r="F2057" s="113" t="str">
        <f>_xlfn.XLOOKUP(E2057,'Allocated Transactions'!D:D,'Allocated Transactions'!E:E,"")</f>
        <v>Retirement Contributions</v>
      </c>
      <c r="G2057" s="113" t="s">
        <v>97</v>
      </c>
      <c r="H2057" s="113"/>
      <c r="I2057" s="113" t="str">
        <f>_xlfn.XLOOKUP($C2057,'Cost Centers'!$A$2:$A$11,'Cost Centers'!$C$2:$C$11,"")</f>
        <v>Programs</v>
      </c>
      <c r="J2057" s="23">
        <f>MROUND(SUMIFS('Allocated Transactions'!$J:$J,'Allocated Transactions'!$D:$D,$E2057,'Allocated Transactions'!$C:$C,$C2057,'Allocated Transactions'!$A:$A,"&gt;="&amp;$A2057,'Allocated Transactions'!$A:$A,"&lt;="&amp;EOMONTH($A2057,0))*0.99,100)</f>
        <v>600</v>
      </c>
      <c r="K2057" s="113" t="s">
        <v>637</v>
      </c>
    </row>
    <row r="2058" spans="1:11" ht="15" customHeight="1">
      <c r="A2058" s="112">
        <f t="shared" si="134"/>
        <v>46023</v>
      </c>
      <c r="B2058" s="113">
        <v>10</v>
      </c>
      <c r="C2058" s="18" t="str">
        <f t="shared" si="137"/>
        <v>2050</v>
      </c>
      <c r="D2058" s="113" t="str">
        <f>_xlfn.XLOOKUP($C2058,'Cost Centers'!$A$2:$A$11,'Cost Centers'!$B$2:$B$11,"")</f>
        <v>SE Asia</v>
      </c>
      <c r="E2058" s="113" t="s">
        <v>101</v>
      </c>
      <c r="F2058" s="113" t="str">
        <f>_xlfn.XLOOKUP(E2058,'Allocated Transactions'!D:D,'Allocated Transactions'!E:E,"")</f>
        <v>Contract Labor / Consultants</v>
      </c>
      <c r="G2058" s="113" t="s">
        <v>97</v>
      </c>
      <c r="H2058" s="113"/>
      <c r="I2058" s="113" t="str">
        <f>_xlfn.XLOOKUP($C2058,'Cost Centers'!$A$2:$A$11,'Cost Centers'!$C$2:$C$11,"")</f>
        <v>Programs</v>
      </c>
      <c r="J2058" s="23">
        <f>MROUND(SUMIFS('Allocated Transactions'!$J:$J,'Allocated Transactions'!$D:$D,$E2058,'Allocated Transactions'!$C:$C,$C2058,'Allocated Transactions'!$A:$A,"&gt;="&amp;$A2058,'Allocated Transactions'!$A:$A,"&lt;="&amp;EOMONTH($A2058,0))*0.99,100)</f>
        <v>9300</v>
      </c>
      <c r="K2058" s="113" t="s">
        <v>637</v>
      </c>
    </row>
    <row r="2059" spans="1:11" ht="15" customHeight="1">
      <c r="A2059" s="112">
        <f t="shared" si="134"/>
        <v>46023</v>
      </c>
      <c r="B2059" s="113">
        <v>10</v>
      </c>
      <c r="C2059" s="18" t="str">
        <f t="shared" si="137"/>
        <v>2050</v>
      </c>
      <c r="D2059" s="113" t="str">
        <f>_xlfn.XLOOKUP($C2059,'Cost Centers'!$A$2:$A$11,'Cost Centers'!$B$2:$B$11,"")</f>
        <v>SE Asia</v>
      </c>
      <c r="E2059" s="113" t="s">
        <v>32</v>
      </c>
      <c r="F2059" s="113" t="str">
        <f>_xlfn.XLOOKUP(E2059,'Allocated Transactions'!D:D,'Allocated Transactions'!E:E,"")</f>
        <v>Rent</v>
      </c>
      <c r="G2059" s="113" t="s">
        <v>97</v>
      </c>
      <c r="H2059" s="113"/>
      <c r="I2059" s="113" t="str">
        <f>_xlfn.XLOOKUP($C2059,'Cost Centers'!$A$2:$A$11,'Cost Centers'!$C$2:$C$11,"")</f>
        <v>Programs</v>
      </c>
      <c r="J2059" s="23">
        <f>MROUND(SUMIFS('Allocated Transactions'!$J:$J,'Allocated Transactions'!$D:$D,$E2059,'Allocated Transactions'!$C:$C,$C2059,'Allocated Transactions'!$A:$A,"&gt;="&amp;$A2059,'Allocated Transactions'!$A:$A,"&lt;="&amp;EOMONTH($A2059,0))*0.99,100)</f>
        <v>1600</v>
      </c>
      <c r="K2059" s="113" t="s">
        <v>637</v>
      </c>
    </row>
    <row r="2060" spans="1:11" ht="15" customHeight="1">
      <c r="A2060" s="112">
        <f t="shared" si="134"/>
        <v>46023</v>
      </c>
      <c r="B2060" s="113">
        <v>10</v>
      </c>
      <c r="C2060" s="18" t="str">
        <f t="shared" si="137"/>
        <v>2050</v>
      </c>
      <c r="D2060" s="113" t="str">
        <f>_xlfn.XLOOKUP($C2060,'Cost Centers'!$A$2:$A$11,'Cost Centers'!$B$2:$B$11,"")</f>
        <v>SE Asia</v>
      </c>
      <c r="E2060" s="113" t="s">
        <v>33</v>
      </c>
      <c r="F2060" s="113" t="str">
        <f>_xlfn.XLOOKUP(E2060,'Allocated Transactions'!D:D,'Allocated Transactions'!E:E,"")</f>
        <v>Utilities</v>
      </c>
      <c r="G2060" s="113" t="s">
        <v>97</v>
      </c>
      <c r="H2060" s="113"/>
      <c r="I2060" s="113" t="str">
        <f>_xlfn.XLOOKUP($C2060,'Cost Centers'!$A$2:$A$11,'Cost Centers'!$C$2:$C$11,"")</f>
        <v>Programs</v>
      </c>
      <c r="J2060" s="23">
        <f>MROUND(SUMIFS('Allocated Transactions'!$J:$J,'Allocated Transactions'!$D:$D,$E2060,'Allocated Transactions'!$C:$C,$C2060,'Allocated Transactions'!$A:$A,"&gt;="&amp;$A2060,'Allocated Transactions'!$A:$A,"&lt;="&amp;EOMONTH($A2060,0))*0.99,100)</f>
        <v>200</v>
      </c>
      <c r="K2060" s="113" t="s">
        <v>637</v>
      </c>
    </row>
    <row r="2061" spans="1:11" ht="15" customHeight="1">
      <c r="A2061" s="112">
        <f t="shared" si="134"/>
        <v>46023</v>
      </c>
      <c r="B2061" s="113">
        <v>10</v>
      </c>
      <c r="C2061" s="18" t="str">
        <f t="shared" si="137"/>
        <v>2050</v>
      </c>
      <c r="D2061" s="113" t="str">
        <f>_xlfn.XLOOKUP($C2061,'Cost Centers'!$A$2:$A$11,'Cost Centers'!$B$2:$B$11,"")</f>
        <v>SE Asia</v>
      </c>
      <c r="E2061" s="113" t="s">
        <v>105</v>
      </c>
      <c r="F2061" s="113" t="str">
        <f>_xlfn.XLOOKUP(E2061,'Allocated Transactions'!D:D,'Allocated Transactions'!E:E,"")</f>
        <v>Office Supplies</v>
      </c>
      <c r="G2061" s="113" t="s">
        <v>97</v>
      </c>
      <c r="H2061" s="113"/>
      <c r="I2061" s="113" t="str">
        <f>_xlfn.XLOOKUP($C2061,'Cost Centers'!$A$2:$A$11,'Cost Centers'!$C$2:$C$11,"")</f>
        <v>Programs</v>
      </c>
      <c r="J2061" s="23">
        <f>MROUND(SUMIFS('Allocated Transactions'!$J:$J,'Allocated Transactions'!$D:$D,$E2061,'Allocated Transactions'!$C:$C,$C2061,'Allocated Transactions'!$A:$A,"&gt;="&amp;$A2061,'Allocated Transactions'!$A:$A,"&lt;="&amp;EOMONTH($A2061,0))*0.99,100)</f>
        <v>0</v>
      </c>
      <c r="K2061" s="113" t="s">
        <v>637</v>
      </c>
    </row>
    <row r="2062" spans="1:11" ht="15" customHeight="1">
      <c r="A2062" s="112">
        <f t="shared" si="134"/>
        <v>46023</v>
      </c>
      <c r="B2062" s="113">
        <v>10</v>
      </c>
      <c r="C2062" s="18" t="str">
        <f t="shared" si="137"/>
        <v>2050</v>
      </c>
      <c r="D2062" s="113" t="str">
        <f>_xlfn.XLOOKUP($C2062,'Cost Centers'!$A$2:$A$11,'Cost Centers'!$B$2:$B$11,"")</f>
        <v>SE Asia</v>
      </c>
      <c r="E2062" s="113" t="s">
        <v>107</v>
      </c>
      <c r="F2062" s="113" t="str">
        <f>_xlfn.XLOOKUP(E2062,'Allocated Transactions'!D:D,'Allocated Transactions'!E:E,"")</f>
        <v>Software and Subscriptions</v>
      </c>
      <c r="G2062" s="113" t="s">
        <v>97</v>
      </c>
      <c r="H2062" s="113"/>
      <c r="I2062" s="113" t="str">
        <f>_xlfn.XLOOKUP($C2062,'Cost Centers'!$A$2:$A$11,'Cost Centers'!$C$2:$C$11,"")</f>
        <v>Programs</v>
      </c>
      <c r="J2062" s="23">
        <f>MROUND(SUMIFS('Allocated Transactions'!$J:$J,'Allocated Transactions'!$D:$D,$E2062,'Allocated Transactions'!$C:$C,$C2062,'Allocated Transactions'!$A:$A,"&gt;="&amp;$A2062,'Allocated Transactions'!$A:$A,"&lt;="&amp;EOMONTH($A2062,0))*0.99,100)</f>
        <v>0</v>
      </c>
      <c r="K2062" s="113" t="s">
        <v>637</v>
      </c>
    </row>
    <row r="2063" spans="1:11" ht="15" customHeight="1">
      <c r="A2063" s="112">
        <f t="shared" si="134"/>
        <v>46023</v>
      </c>
      <c r="B2063" s="113">
        <v>10</v>
      </c>
      <c r="C2063" s="18" t="str">
        <f t="shared" si="137"/>
        <v>2050</v>
      </c>
      <c r="D2063" s="113" t="str">
        <f>_xlfn.XLOOKUP($C2063,'Cost Centers'!$A$2:$A$11,'Cost Centers'!$B$2:$B$11,"")</f>
        <v>SE Asia</v>
      </c>
      <c r="E2063" s="113" t="s">
        <v>109</v>
      </c>
      <c r="F2063" s="113" t="str">
        <f>_xlfn.XLOOKUP(E2063,'Allocated Transactions'!D:D,'Allocated Transactions'!E:E,"")</f>
        <v>Travel</v>
      </c>
      <c r="G2063" s="113" t="s">
        <v>97</v>
      </c>
      <c r="H2063" s="113"/>
      <c r="I2063" s="113" t="str">
        <f>_xlfn.XLOOKUP($C2063,'Cost Centers'!$A$2:$A$11,'Cost Centers'!$C$2:$C$11,"")</f>
        <v>Programs</v>
      </c>
      <c r="J2063" s="23">
        <f>MROUND(SUMIFS('Allocated Transactions'!$J:$J,'Allocated Transactions'!$D:$D,$E2063,'Allocated Transactions'!$C:$C,$C2063,'Allocated Transactions'!$A:$A,"&gt;="&amp;$A2063,'Allocated Transactions'!$A:$A,"&lt;="&amp;EOMONTH($A2063,0))*0.99,100)</f>
        <v>0</v>
      </c>
      <c r="K2063" s="113" t="s">
        <v>637</v>
      </c>
    </row>
    <row r="2064" spans="1:11" ht="15" customHeight="1">
      <c r="A2064" s="112">
        <f t="shared" si="134"/>
        <v>46023</v>
      </c>
      <c r="B2064" s="113">
        <v>10</v>
      </c>
      <c r="C2064" s="18" t="str">
        <f t="shared" si="137"/>
        <v>2050</v>
      </c>
      <c r="D2064" s="113" t="str">
        <f>_xlfn.XLOOKUP($C2064,'Cost Centers'!$A$2:$A$11,'Cost Centers'!$B$2:$B$11,"")</f>
        <v>SE Asia</v>
      </c>
      <c r="E2064" s="113" t="s">
        <v>111</v>
      </c>
      <c r="F2064" s="113" t="str">
        <f>_xlfn.XLOOKUP(E2064,'Allocated Transactions'!D:D,'Allocated Transactions'!E:E,"")</f>
        <v>Meals and Entertainment</v>
      </c>
      <c r="G2064" s="113" t="s">
        <v>97</v>
      </c>
      <c r="H2064" s="113"/>
      <c r="I2064" s="113" t="str">
        <f>_xlfn.XLOOKUP($C2064,'Cost Centers'!$A$2:$A$11,'Cost Centers'!$C$2:$C$11,"")</f>
        <v>Programs</v>
      </c>
      <c r="J2064" s="23">
        <f>MROUND(SUMIFS('Allocated Transactions'!$J:$J,'Allocated Transactions'!$D:$D,$E2064,'Allocated Transactions'!$C:$C,$C2064,'Allocated Transactions'!$A:$A,"&gt;="&amp;$A2064,'Allocated Transactions'!$A:$A,"&lt;="&amp;EOMONTH($A2064,0))*0.99,100)</f>
        <v>0</v>
      </c>
      <c r="K2064" s="113" t="s">
        <v>637</v>
      </c>
    </row>
    <row r="2065" spans="1:11" ht="15" customHeight="1">
      <c r="A2065" s="112">
        <f t="shared" si="134"/>
        <v>46023</v>
      </c>
      <c r="B2065" s="113">
        <v>10</v>
      </c>
      <c r="C2065" s="18" t="str">
        <f t="shared" si="137"/>
        <v>2050</v>
      </c>
      <c r="D2065" s="113" t="str">
        <f>_xlfn.XLOOKUP($C2065,'Cost Centers'!$A$2:$A$11,'Cost Centers'!$B$2:$B$11,"")</f>
        <v>SE Asia</v>
      </c>
      <c r="E2065" s="113" t="s">
        <v>113</v>
      </c>
      <c r="F2065" s="113" t="str">
        <f>_xlfn.XLOOKUP(E2065,'Allocated Transactions'!D:D,'Allocated Transactions'!E:E,"")</f>
        <v>Professional Fees - Legal</v>
      </c>
      <c r="G2065" s="113" t="s">
        <v>97</v>
      </c>
      <c r="H2065" s="113"/>
      <c r="I2065" s="113" t="str">
        <f>_xlfn.XLOOKUP($C2065,'Cost Centers'!$A$2:$A$11,'Cost Centers'!$C$2:$C$11,"")</f>
        <v>Programs</v>
      </c>
      <c r="J2065" s="23">
        <f>MROUND(SUMIFS('Allocated Transactions'!$J:$J,'Allocated Transactions'!$D:$D,$E2065,'Allocated Transactions'!$C:$C,$C2065,'Allocated Transactions'!$A:$A,"&gt;="&amp;$A2065,'Allocated Transactions'!$A:$A,"&lt;="&amp;EOMONTH($A2065,0))*0.99,100)</f>
        <v>0</v>
      </c>
      <c r="K2065" s="113" t="s">
        <v>637</v>
      </c>
    </row>
    <row r="2066" spans="1:11" ht="15" customHeight="1">
      <c r="A2066" s="112">
        <f t="shared" si="134"/>
        <v>46023</v>
      </c>
      <c r="B2066" s="113">
        <v>10</v>
      </c>
      <c r="C2066" s="18" t="str">
        <f t="shared" si="137"/>
        <v>2050</v>
      </c>
      <c r="D2066" s="113" t="str">
        <f>_xlfn.XLOOKUP($C2066,'Cost Centers'!$A$2:$A$11,'Cost Centers'!$B$2:$B$11,"")</f>
        <v>SE Asia</v>
      </c>
      <c r="E2066" s="113" t="s">
        <v>115</v>
      </c>
      <c r="F2066" s="113" t="str">
        <f>_xlfn.XLOOKUP(E2066,'Allocated Transactions'!D:D,'Allocated Transactions'!E:E,"")</f>
        <v>Professional Fees - Accounting/Audit</v>
      </c>
      <c r="G2066" s="113" t="s">
        <v>97</v>
      </c>
      <c r="H2066" s="113"/>
      <c r="I2066" s="113" t="str">
        <f>_xlfn.XLOOKUP($C2066,'Cost Centers'!$A$2:$A$11,'Cost Centers'!$C$2:$C$11,"")</f>
        <v>Programs</v>
      </c>
      <c r="J2066" s="23">
        <f>MROUND(SUMIFS('Allocated Transactions'!$J:$J,'Allocated Transactions'!$D:$D,$E2066,'Allocated Transactions'!$C:$C,$C2066,'Allocated Transactions'!$A:$A,"&gt;="&amp;$A2066,'Allocated Transactions'!$A:$A,"&lt;="&amp;EOMONTH($A2066,0))*0.99,100)</f>
        <v>0</v>
      </c>
      <c r="K2066" s="113" t="s">
        <v>637</v>
      </c>
    </row>
    <row r="2067" spans="1:11" ht="15" customHeight="1">
      <c r="A2067" s="112">
        <f t="shared" si="134"/>
        <v>46023</v>
      </c>
      <c r="B2067" s="113">
        <v>10</v>
      </c>
      <c r="C2067" s="18" t="str">
        <f t="shared" si="137"/>
        <v>2050</v>
      </c>
      <c r="D2067" s="113" t="str">
        <f>_xlfn.XLOOKUP($C2067,'Cost Centers'!$A$2:$A$11,'Cost Centers'!$B$2:$B$11,"")</f>
        <v>SE Asia</v>
      </c>
      <c r="E2067" s="113" t="s">
        <v>117</v>
      </c>
      <c r="F2067" s="113" t="str">
        <f>_xlfn.XLOOKUP(E2067,'Allocated Transactions'!D:D,'Allocated Transactions'!E:E,"")</f>
        <v>Insurance</v>
      </c>
      <c r="G2067" s="113" t="s">
        <v>97</v>
      </c>
      <c r="H2067" s="113"/>
      <c r="I2067" s="113" t="str">
        <f>_xlfn.XLOOKUP($C2067,'Cost Centers'!$A$2:$A$11,'Cost Centers'!$C$2:$C$11,"")</f>
        <v>Programs</v>
      </c>
      <c r="J2067" s="23">
        <f>MROUND(SUMIFS('Allocated Transactions'!$J:$J,'Allocated Transactions'!$D:$D,$E2067,'Allocated Transactions'!$C:$C,$C2067,'Allocated Transactions'!$A:$A,"&gt;="&amp;$A2067,'Allocated Transactions'!$A:$A,"&lt;="&amp;EOMONTH($A2067,0))*0.99,100)</f>
        <v>100</v>
      </c>
      <c r="K2067" s="113" t="s">
        <v>637</v>
      </c>
    </row>
    <row r="2068" spans="1:11" ht="15" customHeight="1">
      <c r="A2068" s="112">
        <f t="shared" si="134"/>
        <v>46023</v>
      </c>
      <c r="B2068" s="113">
        <v>10</v>
      </c>
      <c r="C2068" s="18" t="str">
        <f t="shared" si="137"/>
        <v>2050</v>
      </c>
      <c r="D2068" s="113" t="str">
        <f>_xlfn.XLOOKUP($C2068,'Cost Centers'!$A$2:$A$11,'Cost Centers'!$B$2:$B$11,"")</f>
        <v>SE Asia</v>
      </c>
      <c r="E2068" s="113" t="s">
        <v>119</v>
      </c>
      <c r="F2068" s="113" t="str">
        <f>_xlfn.XLOOKUP(E2068,'Allocated Transactions'!D:D,'Allocated Transactions'!E:E,"")</f>
        <v>Depreciation Expense</v>
      </c>
      <c r="G2068" s="113" t="s">
        <v>97</v>
      </c>
      <c r="H2068" s="113"/>
      <c r="I2068" s="113" t="str">
        <f>_xlfn.XLOOKUP($C2068,'Cost Centers'!$A$2:$A$11,'Cost Centers'!$C$2:$C$11,"")</f>
        <v>Programs</v>
      </c>
      <c r="J2068" s="23">
        <f>MROUND(SUMIFS('Allocated Transactions'!$J:$J,'Allocated Transactions'!$D:$D,$E2068,'Allocated Transactions'!$C:$C,$C2068,'Allocated Transactions'!$A:$A,"&gt;="&amp;$A2068,'Allocated Transactions'!$A:$A,"&lt;="&amp;EOMONTH($A2068,0))*0.99,100)</f>
        <v>0</v>
      </c>
      <c r="K2068" s="113" t="s">
        <v>637</v>
      </c>
    </row>
    <row r="2069" spans="1:11" ht="15" customHeight="1">
      <c r="A2069" s="112">
        <f t="shared" si="134"/>
        <v>46023</v>
      </c>
      <c r="B2069" s="113">
        <v>10</v>
      </c>
      <c r="C2069" s="18" t="str">
        <f t="shared" si="137"/>
        <v>2050</v>
      </c>
      <c r="D2069" s="113" t="str">
        <f>_xlfn.XLOOKUP($C2069,'Cost Centers'!$A$2:$A$11,'Cost Centers'!$B$2:$B$11,"")</f>
        <v>SE Asia</v>
      </c>
      <c r="E2069" s="113" t="s">
        <v>121</v>
      </c>
      <c r="F2069" s="113" t="str">
        <f>_xlfn.XLOOKUP(E2069,'Allocated Transactions'!D:D,'Allocated Transactions'!E:E,"")</f>
        <v>Bank Fees</v>
      </c>
      <c r="G2069" s="113" t="s">
        <v>97</v>
      </c>
      <c r="H2069" s="113"/>
      <c r="I2069" s="113" t="str">
        <f>_xlfn.XLOOKUP($C2069,'Cost Centers'!$A$2:$A$11,'Cost Centers'!$C$2:$C$11,"")</f>
        <v>Programs</v>
      </c>
      <c r="J2069" s="23">
        <f>MROUND(SUMIFS('Allocated Transactions'!$J:$J,'Allocated Transactions'!$D:$D,$E2069,'Allocated Transactions'!$C:$C,$C2069,'Allocated Transactions'!$A:$A,"&gt;="&amp;$A2069,'Allocated Transactions'!$A:$A,"&lt;="&amp;EOMONTH($A2069,0))*0.99,100)</f>
        <v>0</v>
      </c>
      <c r="K2069" s="113" t="s">
        <v>637</v>
      </c>
    </row>
    <row r="2070" spans="1:11" ht="15" customHeight="1">
      <c r="A2070" s="112">
        <f t="shared" si="134"/>
        <v>46023</v>
      </c>
      <c r="B2070" s="113">
        <v>10</v>
      </c>
      <c r="C2070" s="18" t="str">
        <f t="shared" si="137"/>
        <v>2050</v>
      </c>
      <c r="D2070" s="113" t="str">
        <f>_xlfn.XLOOKUP($C2070,'Cost Centers'!$A$2:$A$11,'Cost Centers'!$B$2:$B$11,"")</f>
        <v>SE Asia</v>
      </c>
      <c r="E2070" s="113" t="s">
        <v>123</v>
      </c>
      <c r="F2070" s="113" t="str">
        <f>_xlfn.XLOOKUP(E2070,'Allocated Transactions'!D:D,'Allocated Transactions'!E:E,"")</f>
        <v>Interest Expense</v>
      </c>
      <c r="G2070" s="113" t="s">
        <v>97</v>
      </c>
      <c r="H2070" s="113"/>
      <c r="I2070" s="113" t="str">
        <f>_xlfn.XLOOKUP($C2070,'Cost Centers'!$A$2:$A$11,'Cost Centers'!$C$2:$C$11,"")</f>
        <v>Programs</v>
      </c>
      <c r="J2070" s="23">
        <f>MROUND(SUMIFS('Allocated Transactions'!$J:$J,'Allocated Transactions'!$D:$D,$E2070,'Allocated Transactions'!$C:$C,$C2070,'Allocated Transactions'!$A:$A,"&gt;="&amp;$A2070,'Allocated Transactions'!$A:$A,"&lt;="&amp;EOMONTH($A2070,0))*0.99,100)</f>
        <v>0</v>
      </c>
      <c r="K2070" s="113" t="s">
        <v>637</v>
      </c>
    </row>
    <row r="2071" spans="1:11" ht="15" customHeight="1">
      <c r="A2071" s="112">
        <f t="shared" si="134"/>
        <v>46023</v>
      </c>
      <c r="B2071" s="113">
        <v>10</v>
      </c>
      <c r="C2071" s="18" t="str">
        <f t="shared" si="137"/>
        <v>2050</v>
      </c>
      <c r="D2071" s="113" t="str">
        <f>_xlfn.XLOOKUP($C2071,'Cost Centers'!$A$2:$A$11,'Cost Centers'!$B$2:$B$11,"")</f>
        <v>SE Asia</v>
      </c>
      <c r="E2071" s="113" t="s">
        <v>125</v>
      </c>
      <c r="F2071" s="113" t="str">
        <f>_xlfn.XLOOKUP(E2071,'Allocated Transactions'!D:D,'Allocated Transactions'!E:E,"")</f>
        <v>Miscellaneous Expense</v>
      </c>
      <c r="G2071" s="113" t="s">
        <v>97</v>
      </c>
      <c r="H2071" s="113"/>
      <c r="I2071" s="113" t="str">
        <f>_xlfn.XLOOKUP($C2071,'Cost Centers'!$A$2:$A$11,'Cost Centers'!$C$2:$C$11,"")</f>
        <v>Programs</v>
      </c>
      <c r="J2071" s="23">
        <f>MROUND(SUMIFS('Allocated Transactions'!$J:$J,'Allocated Transactions'!$D:$D,$E2071,'Allocated Transactions'!$C:$C,$C2071,'Allocated Transactions'!$A:$A,"&gt;="&amp;$A2071,'Allocated Transactions'!$A:$A,"&lt;="&amp;EOMONTH($A2071,0))*0.99,100)</f>
        <v>0</v>
      </c>
      <c r="K2071" s="113" t="s">
        <v>637</v>
      </c>
    </row>
    <row r="2072" spans="1:11" ht="15" customHeight="1">
      <c r="A2072" s="112">
        <f t="shared" si="134"/>
        <v>46054</v>
      </c>
      <c r="B2072" s="113">
        <v>10</v>
      </c>
      <c r="C2072" s="18" t="s">
        <v>20</v>
      </c>
      <c r="D2072" s="113" t="str">
        <f>_xlfn.XLOOKUP($C2072,'Cost Centers'!$A$2:$A$11,'Cost Centers'!$B$2:$B$11,"")</f>
        <v>SE Asia</v>
      </c>
      <c r="E2072" s="113" t="s">
        <v>28</v>
      </c>
      <c r="F2072" s="113" t="str">
        <f>_xlfn.XLOOKUP(E2072,'Allocated Transactions'!D:D,'Allocated Transactions'!E:E,"")</f>
        <v>Salaries and Wages</v>
      </c>
      <c r="G2072" s="113" t="s">
        <v>97</v>
      </c>
      <c r="H2072" s="113"/>
      <c r="I2072" s="113" t="str">
        <f>_xlfn.XLOOKUP($C2072,'Cost Centers'!$A$2:$A$11,'Cost Centers'!$C$2:$C$11,"")</f>
        <v>Programs</v>
      </c>
      <c r="J2072" s="23">
        <f>MROUND(SUMIFS('Allocated Transactions'!$J:$J,'Allocated Transactions'!$D:$D,$E2072,'Allocated Transactions'!$C:$C,$C2072,'Allocated Transactions'!$A:$A,"&gt;="&amp;$A2072,'Allocated Transactions'!$A:$A,"&lt;="&amp;EOMONTH($A2072,0))*0.99,100)</f>
        <v>19600</v>
      </c>
      <c r="K2072" s="113" t="s">
        <v>637</v>
      </c>
    </row>
    <row r="2073" spans="1:11" ht="15" customHeight="1">
      <c r="A2073" s="112">
        <f t="shared" ref="A2073:A2136" si="138">IF(C2073&lt;&gt;C2072,DATE(2025,7,1),IF(E2073="5000",EOMONTH(A2072,0)+1,A2072))</f>
        <v>46054</v>
      </c>
      <c r="B2073" s="113">
        <v>10</v>
      </c>
      <c r="C2073" s="18" t="str">
        <f t="shared" ref="C2073:C2089" si="139">C2072</f>
        <v>2050</v>
      </c>
      <c r="D2073" s="113" t="str">
        <f>_xlfn.XLOOKUP($C2073,'Cost Centers'!$A$2:$A$11,'Cost Centers'!$B$2:$B$11,"")</f>
        <v>SE Asia</v>
      </c>
      <c r="E2073" s="113" t="s">
        <v>29</v>
      </c>
      <c r="F2073" s="113" t="str">
        <f>_xlfn.XLOOKUP(E2073,'Allocated Transactions'!D:D,'Allocated Transactions'!E:E,"")</f>
        <v>Payroll Taxes</v>
      </c>
      <c r="G2073" s="113" t="s">
        <v>97</v>
      </c>
      <c r="H2073" s="113"/>
      <c r="I2073" s="113" t="str">
        <f>_xlfn.XLOOKUP($C2073,'Cost Centers'!$A$2:$A$11,'Cost Centers'!$C$2:$C$11,"")</f>
        <v>Programs</v>
      </c>
      <c r="J2073" s="23">
        <f>MROUND(SUMIFS('Allocated Transactions'!$J:$J,'Allocated Transactions'!$D:$D,$E2073,'Allocated Transactions'!$C:$C,$C2073,'Allocated Transactions'!$A:$A,"&gt;="&amp;$A2073,'Allocated Transactions'!$A:$A,"&lt;="&amp;EOMONTH($A2073,0))*0.99,100)</f>
        <v>1500</v>
      </c>
      <c r="K2073" s="113" t="s">
        <v>637</v>
      </c>
    </row>
    <row r="2074" spans="1:11" ht="15" customHeight="1">
      <c r="A2074" s="112">
        <f t="shared" si="138"/>
        <v>46054</v>
      </c>
      <c r="B2074" s="113">
        <v>10</v>
      </c>
      <c r="C2074" s="18" t="str">
        <f t="shared" si="139"/>
        <v>2050</v>
      </c>
      <c r="D2074" s="113" t="str">
        <f>_xlfn.XLOOKUP($C2074,'Cost Centers'!$A$2:$A$11,'Cost Centers'!$B$2:$B$11,"")</f>
        <v>SE Asia</v>
      </c>
      <c r="E2074" s="113" t="s">
        <v>30</v>
      </c>
      <c r="F2074" s="113" t="str">
        <f>_xlfn.XLOOKUP(E2074,'Allocated Transactions'!D:D,'Allocated Transactions'!E:E,"")</f>
        <v>Employee Benefits</v>
      </c>
      <c r="G2074" s="113" t="s">
        <v>97</v>
      </c>
      <c r="H2074" s="113"/>
      <c r="I2074" s="113" t="str">
        <f>_xlfn.XLOOKUP($C2074,'Cost Centers'!$A$2:$A$11,'Cost Centers'!$C$2:$C$11,"")</f>
        <v>Programs</v>
      </c>
      <c r="J2074" s="23">
        <f>MROUND(SUMIFS('Allocated Transactions'!$J:$J,'Allocated Transactions'!$D:$D,$E2074,'Allocated Transactions'!$C:$C,$C2074,'Allocated Transactions'!$A:$A,"&gt;="&amp;$A2074,'Allocated Transactions'!$A:$A,"&lt;="&amp;EOMONTH($A2074,0))*0.99,100)</f>
        <v>7600</v>
      </c>
      <c r="K2074" s="113" t="s">
        <v>637</v>
      </c>
    </row>
    <row r="2075" spans="1:11" ht="15" customHeight="1">
      <c r="A2075" s="112">
        <f t="shared" si="138"/>
        <v>46054</v>
      </c>
      <c r="B2075" s="113">
        <v>10</v>
      </c>
      <c r="C2075" s="18" t="str">
        <f t="shared" si="139"/>
        <v>2050</v>
      </c>
      <c r="D2075" s="113" t="str">
        <f>_xlfn.XLOOKUP($C2075,'Cost Centers'!$A$2:$A$11,'Cost Centers'!$B$2:$B$11,"")</f>
        <v>SE Asia</v>
      </c>
      <c r="E2075" s="113" t="s">
        <v>31</v>
      </c>
      <c r="F2075" s="113" t="str">
        <f>_xlfn.XLOOKUP(E2075,'Allocated Transactions'!D:D,'Allocated Transactions'!E:E,"")</f>
        <v>Retirement Contributions</v>
      </c>
      <c r="G2075" s="113" t="s">
        <v>97</v>
      </c>
      <c r="H2075" s="113"/>
      <c r="I2075" s="113" t="str">
        <f>_xlfn.XLOOKUP($C2075,'Cost Centers'!$A$2:$A$11,'Cost Centers'!$C$2:$C$11,"")</f>
        <v>Programs</v>
      </c>
      <c r="J2075" s="23">
        <f>MROUND(SUMIFS('Allocated Transactions'!$J:$J,'Allocated Transactions'!$D:$D,$E2075,'Allocated Transactions'!$C:$C,$C2075,'Allocated Transactions'!$A:$A,"&gt;="&amp;$A2075,'Allocated Transactions'!$A:$A,"&lt;="&amp;EOMONTH($A2075,0))*0.99,100)</f>
        <v>600</v>
      </c>
      <c r="K2075" s="113" t="s">
        <v>637</v>
      </c>
    </row>
    <row r="2076" spans="1:11" ht="15" customHeight="1">
      <c r="A2076" s="112">
        <f t="shared" si="138"/>
        <v>46054</v>
      </c>
      <c r="B2076" s="113">
        <v>10</v>
      </c>
      <c r="C2076" s="18" t="str">
        <f t="shared" si="139"/>
        <v>2050</v>
      </c>
      <c r="D2076" s="113" t="str">
        <f>_xlfn.XLOOKUP($C2076,'Cost Centers'!$A$2:$A$11,'Cost Centers'!$B$2:$B$11,"")</f>
        <v>SE Asia</v>
      </c>
      <c r="E2076" s="113" t="s">
        <v>101</v>
      </c>
      <c r="F2076" s="113" t="str">
        <f>_xlfn.XLOOKUP(E2076,'Allocated Transactions'!D:D,'Allocated Transactions'!E:E,"")</f>
        <v>Contract Labor / Consultants</v>
      </c>
      <c r="G2076" s="113" t="s">
        <v>97</v>
      </c>
      <c r="H2076" s="113"/>
      <c r="I2076" s="113" t="str">
        <f>_xlfn.XLOOKUP($C2076,'Cost Centers'!$A$2:$A$11,'Cost Centers'!$C$2:$C$11,"")</f>
        <v>Programs</v>
      </c>
      <c r="J2076" s="23">
        <f>MROUND(SUMIFS('Allocated Transactions'!$J:$J,'Allocated Transactions'!$D:$D,$E2076,'Allocated Transactions'!$C:$C,$C2076,'Allocated Transactions'!$A:$A,"&gt;="&amp;$A2076,'Allocated Transactions'!$A:$A,"&lt;="&amp;EOMONTH($A2076,0))*0.99,100)</f>
        <v>0</v>
      </c>
      <c r="K2076" s="113" t="s">
        <v>637</v>
      </c>
    </row>
    <row r="2077" spans="1:11" ht="15" customHeight="1">
      <c r="A2077" s="112">
        <f t="shared" si="138"/>
        <v>46054</v>
      </c>
      <c r="B2077" s="113">
        <v>10</v>
      </c>
      <c r="C2077" s="18" t="str">
        <f t="shared" si="139"/>
        <v>2050</v>
      </c>
      <c r="D2077" s="113" t="str">
        <f>_xlfn.XLOOKUP($C2077,'Cost Centers'!$A$2:$A$11,'Cost Centers'!$B$2:$B$11,"")</f>
        <v>SE Asia</v>
      </c>
      <c r="E2077" s="113" t="s">
        <v>32</v>
      </c>
      <c r="F2077" s="113" t="str">
        <f>_xlfn.XLOOKUP(E2077,'Allocated Transactions'!D:D,'Allocated Transactions'!E:E,"")</f>
        <v>Rent</v>
      </c>
      <c r="G2077" s="113" t="s">
        <v>97</v>
      </c>
      <c r="H2077" s="113"/>
      <c r="I2077" s="113" t="str">
        <f>_xlfn.XLOOKUP($C2077,'Cost Centers'!$A$2:$A$11,'Cost Centers'!$C$2:$C$11,"")</f>
        <v>Programs</v>
      </c>
      <c r="J2077" s="23">
        <f>MROUND(SUMIFS('Allocated Transactions'!$J:$J,'Allocated Transactions'!$D:$D,$E2077,'Allocated Transactions'!$C:$C,$C2077,'Allocated Transactions'!$A:$A,"&gt;="&amp;$A2077,'Allocated Transactions'!$A:$A,"&lt;="&amp;EOMONTH($A2077,0))*0.99,100)</f>
        <v>1500</v>
      </c>
      <c r="K2077" s="113" t="s">
        <v>637</v>
      </c>
    </row>
    <row r="2078" spans="1:11" ht="15" customHeight="1">
      <c r="A2078" s="112">
        <f t="shared" si="138"/>
        <v>46054</v>
      </c>
      <c r="B2078" s="113">
        <v>10</v>
      </c>
      <c r="C2078" s="18" t="str">
        <f t="shared" si="139"/>
        <v>2050</v>
      </c>
      <c r="D2078" s="113" t="str">
        <f>_xlfn.XLOOKUP($C2078,'Cost Centers'!$A$2:$A$11,'Cost Centers'!$B$2:$B$11,"")</f>
        <v>SE Asia</v>
      </c>
      <c r="E2078" s="113" t="s">
        <v>33</v>
      </c>
      <c r="F2078" s="113" t="str">
        <f>_xlfn.XLOOKUP(E2078,'Allocated Transactions'!D:D,'Allocated Transactions'!E:E,"")</f>
        <v>Utilities</v>
      </c>
      <c r="G2078" s="113" t="s">
        <v>97</v>
      </c>
      <c r="H2078" s="113"/>
      <c r="I2078" s="113" t="str">
        <f>_xlfn.XLOOKUP($C2078,'Cost Centers'!$A$2:$A$11,'Cost Centers'!$C$2:$C$11,"")</f>
        <v>Programs</v>
      </c>
      <c r="J2078" s="23">
        <f>MROUND(SUMIFS('Allocated Transactions'!$J:$J,'Allocated Transactions'!$D:$D,$E2078,'Allocated Transactions'!$C:$C,$C2078,'Allocated Transactions'!$A:$A,"&gt;="&amp;$A2078,'Allocated Transactions'!$A:$A,"&lt;="&amp;EOMONTH($A2078,0))*0.99,100)</f>
        <v>200</v>
      </c>
      <c r="K2078" s="113" t="s">
        <v>637</v>
      </c>
    </row>
    <row r="2079" spans="1:11" ht="15" customHeight="1">
      <c r="A2079" s="112">
        <f t="shared" si="138"/>
        <v>46054</v>
      </c>
      <c r="B2079" s="113">
        <v>10</v>
      </c>
      <c r="C2079" s="18" t="str">
        <f t="shared" si="139"/>
        <v>2050</v>
      </c>
      <c r="D2079" s="113" t="str">
        <f>_xlfn.XLOOKUP($C2079,'Cost Centers'!$A$2:$A$11,'Cost Centers'!$B$2:$B$11,"")</f>
        <v>SE Asia</v>
      </c>
      <c r="E2079" s="113" t="s">
        <v>105</v>
      </c>
      <c r="F2079" s="113" t="str">
        <f>_xlfn.XLOOKUP(E2079,'Allocated Transactions'!D:D,'Allocated Transactions'!E:E,"")</f>
        <v>Office Supplies</v>
      </c>
      <c r="G2079" s="113" t="s">
        <v>97</v>
      </c>
      <c r="H2079" s="113"/>
      <c r="I2079" s="113" t="str">
        <f>_xlfn.XLOOKUP($C2079,'Cost Centers'!$A$2:$A$11,'Cost Centers'!$C$2:$C$11,"")</f>
        <v>Programs</v>
      </c>
      <c r="J2079" s="23">
        <f>MROUND(SUMIFS('Allocated Transactions'!$J:$J,'Allocated Transactions'!$D:$D,$E2079,'Allocated Transactions'!$C:$C,$C2079,'Allocated Transactions'!$A:$A,"&gt;="&amp;$A2079,'Allocated Transactions'!$A:$A,"&lt;="&amp;EOMONTH($A2079,0))*0.99,100)</f>
        <v>1600</v>
      </c>
      <c r="K2079" s="113" t="s">
        <v>637</v>
      </c>
    </row>
    <row r="2080" spans="1:11" ht="15" customHeight="1">
      <c r="A2080" s="112">
        <f t="shared" si="138"/>
        <v>46054</v>
      </c>
      <c r="B2080" s="113">
        <v>10</v>
      </c>
      <c r="C2080" s="18" t="str">
        <f t="shared" si="139"/>
        <v>2050</v>
      </c>
      <c r="D2080" s="113" t="str">
        <f>_xlfn.XLOOKUP($C2080,'Cost Centers'!$A$2:$A$11,'Cost Centers'!$B$2:$B$11,"")</f>
        <v>SE Asia</v>
      </c>
      <c r="E2080" s="113" t="s">
        <v>107</v>
      </c>
      <c r="F2080" s="113" t="str">
        <f>_xlfn.XLOOKUP(E2080,'Allocated Transactions'!D:D,'Allocated Transactions'!E:E,"")</f>
        <v>Software and Subscriptions</v>
      </c>
      <c r="G2080" s="113" t="s">
        <v>97</v>
      </c>
      <c r="H2080" s="113"/>
      <c r="I2080" s="113" t="str">
        <f>_xlfn.XLOOKUP($C2080,'Cost Centers'!$A$2:$A$11,'Cost Centers'!$C$2:$C$11,"")</f>
        <v>Programs</v>
      </c>
      <c r="J2080" s="23">
        <f>MROUND(SUMIFS('Allocated Transactions'!$J:$J,'Allocated Transactions'!$D:$D,$E2080,'Allocated Transactions'!$C:$C,$C2080,'Allocated Transactions'!$A:$A,"&gt;="&amp;$A2080,'Allocated Transactions'!$A:$A,"&lt;="&amp;EOMONTH($A2080,0))*0.99,100)</f>
        <v>0</v>
      </c>
      <c r="K2080" s="113" t="s">
        <v>637</v>
      </c>
    </row>
    <row r="2081" spans="1:11" ht="15" customHeight="1">
      <c r="A2081" s="112">
        <f t="shared" si="138"/>
        <v>46054</v>
      </c>
      <c r="B2081" s="113">
        <v>10</v>
      </c>
      <c r="C2081" s="18" t="str">
        <f t="shared" si="139"/>
        <v>2050</v>
      </c>
      <c r="D2081" s="113" t="str">
        <f>_xlfn.XLOOKUP($C2081,'Cost Centers'!$A$2:$A$11,'Cost Centers'!$B$2:$B$11,"")</f>
        <v>SE Asia</v>
      </c>
      <c r="E2081" s="113" t="s">
        <v>109</v>
      </c>
      <c r="F2081" s="113" t="str">
        <f>_xlfn.XLOOKUP(E2081,'Allocated Transactions'!D:D,'Allocated Transactions'!E:E,"")</f>
        <v>Travel</v>
      </c>
      <c r="G2081" s="113" t="s">
        <v>97</v>
      </c>
      <c r="H2081" s="113"/>
      <c r="I2081" s="113" t="str">
        <f>_xlfn.XLOOKUP($C2081,'Cost Centers'!$A$2:$A$11,'Cost Centers'!$C$2:$C$11,"")</f>
        <v>Programs</v>
      </c>
      <c r="J2081" s="23">
        <f>MROUND(SUMIFS('Allocated Transactions'!$J:$J,'Allocated Transactions'!$D:$D,$E2081,'Allocated Transactions'!$C:$C,$C2081,'Allocated Transactions'!$A:$A,"&gt;="&amp;$A2081,'Allocated Transactions'!$A:$A,"&lt;="&amp;EOMONTH($A2081,0))*0.99,100)</f>
        <v>0</v>
      </c>
      <c r="K2081" s="113" t="s">
        <v>637</v>
      </c>
    </row>
    <row r="2082" spans="1:11" ht="15" customHeight="1">
      <c r="A2082" s="112">
        <f t="shared" si="138"/>
        <v>46054</v>
      </c>
      <c r="B2082" s="113">
        <v>10</v>
      </c>
      <c r="C2082" s="18" t="str">
        <f t="shared" si="139"/>
        <v>2050</v>
      </c>
      <c r="D2082" s="113" t="str">
        <f>_xlfn.XLOOKUP($C2082,'Cost Centers'!$A$2:$A$11,'Cost Centers'!$B$2:$B$11,"")</f>
        <v>SE Asia</v>
      </c>
      <c r="E2082" s="113" t="s">
        <v>111</v>
      </c>
      <c r="F2082" s="113" t="str">
        <f>_xlfn.XLOOKUP(E2082,'Allocated Transactions'!D:D,'Allocated Transactions'!E:E,"")</f>
        <v>Meals and Entertainment</v>
      </c>
      <c r="G2082" s="113" t="s">
        <v>97</v>
      </c>
      <c r="H2082" s="113"/>
      <c r="I2082" s="113" t="str">
        <f>_xlfn.XLOOKUP($C2082,'Cost Centers'!$A$2:$A$11,'Cost Centers'!$C$2:$C$11,"")</f>
        <v>Programs</v>
      </c>
      <c r="J2082" s="23">
        <f>MROUND(SUMIFS('Allocated Transactions'!$J:$J,'Allocated Transactions'!$D:$D,$E2082,'Allocated Transactions'!$C:$C,$C2082,'Allocated Transactions'!$A:$A,"&gt;="&amp;$A2082,'Allocated Transactions'!$A:$A,"&lt;="&amp;EOMONTH($A2082,0))*0.99,100)</f>
        <v>0</v>
      </c>
      <c r="K2082" s="113" t="s">
        <v>637</v>
      </c>
    </row>
    <row r="2083" spans="1:11" ht="15" customHeight="1">
      <c r="A2083" s="112">
        <f t="shared" si="138"/>
        <v>46054</v>
      </c>
      <c r="B2083" s="113">
        <v>10</v>
      </c>
      <c r="C2083" s="18" t="str">
        <f t="shared" si="139"/>
        <v>2050</v>
      </c>
      <c r="D2083" s="113" t="str">
        <f>_xlfn.XLOOKUP($C2083,'Cost Centers'!$A$2:$A$11,'Cost Centers'!$B$2:$B$11,"")</f>
        <v>SE Asia</v>
      </c>
      <c r="E2083" s="113" t="s">
        <v>113</v>
      </c>
      <c r="F2083" s="113" t="str">
        <f>_xlfn.XLOOKUP(E2083,'Allocated Transactions'!D:D,'Allocated Transactions'!E:E,"")</f>
        <v>Professional Fees - Legal</v>
      </c>
      <c r="G2083" s="113" t="s">
        <v>97</v>
      </c>
      <c r="H2083" s="113"/>
      <c r="I2083" s="113" t="str">
        <f>_xlfn.XLOOKUP($C2083,'Cost Centers'!$A$2:$A$11,'Cost Centers'!$C$2:$C$11,"")</f>
        <v>Programs</v>
      </c>
      <c r="J2083" s="23">
        <f>MROUND(SUMIFS('Allocated Transactions'!$J:$J,'Allocated Transactions'!$D:$D,$E2083,'Allocated Transactions'!$C:$C,$C2083,'Allocated Transactions'!$A:$A,"&gt;="&amp;$A2083,'Allocated Transactions'!$A:$A,"&lt;="&amp;EOMONTH($A2083,0))*0.99,100)</f>
        <v>0</v>
      </c>
      <c r="K2083" s="113" t="s">
        <v>637</v>
      </c>
    </row>
    <row r="2084" spans="1:11" ht="15" customHeight="1">
      <c r="A2084" s="112">
        <f t="shared" si="138"/>
        <v>46054</v>
      </c>
      <c r="B2084" s="113">
        <v>10</v>
      </c>
      <c r="C2084" s="18" t="str">
        <f t="shared" si="139"/>
        <v>2050</v>
      </c>
      <c r="D2084" s="113" t="str">
        <f>_xlfn.XLOOKUP($C2084,'Cost Centers'!$A$2:$A$11,'Cost Centers'!$B$2:$B$11,"")</f>
        <v>SE Asia</v>
      </c>
      <c r="E2084" s="113" t="s">
        <v>115</v>
      </c>
      <c r="F2084" s="113" t="str">
        <f>_xlfn.XLOOKUP(E2084,'Allocated Transactions'!D:D,'Allocated Transactions'!E:E,"")</f>
        <v>Professional Fees - Accounting/Audit</v>
      </c>
      <c r="G2084" s="113" t="s">
        <v>97</v>
      </c>
      <c r="H2084" s="113"/>
      <c r="I2084" s="113" t="str">
        <f>_xlfn.XLOOKUP($C2084,'Cost Centers'!$A$2:$A$11,'Cost Centers'!$C$2:$C$11,"")</f>
        <v>Programs</v>
      </c>
      <c r="J2084" s="23">
        <f>MROUND(SUMIFS('Allocated Transactions'!$J:$J,'Allocated Transactions'!$D:$D,$E2084,'Allocated Transactions'!$C:$C,$C2084,'Allocated Transactions'!$A:$A,"&gt;="&amp;$A2084,'Allocated Transactions'!$A:$A,"&lt;="&amp;EOMONTH($A2084,0))*0.99,100)</f>
        <v>0</v>
      </c>
      <c r="K2084" s="113" t="s">
        <v>637</v>
      </c>
    </row>
    <row r="2085" spans="1:11" ht="15" customHeight="1">
      <c r="A2085" s="112">
        <f t="shared" si="138"/>
        <v>46054</v>
      </c>
      <c r="B2085" s="113">
        <v>10</v>
      </c>
      <c r="C2085" s="18" t="str">
        <f t="shared" si="139"/>
        <v>2050</v>
      </c>
      <c r="D2085" s="113" t="str">
        <f>_xlfn.XLOOKUP($C2085,'Cost Centers'!$A$2:$A$11,'Cost Centers'!$B$2:$B$11,"")</f>
        <v>SE Asia</v>
      </c>
      <c r="E2085" s="113" t="s">
        <v>117</v>
      </c>
      <c r="F2085" s="113" t="str">
        <f>_xlfn.XLOOKUP(E2085,'Allocated Transactions'!D:D,'Allocated Transactions'!E:E,"")</f>
        <v>Insurance</v>
      </c>
      <c r="G2085" s="113" t="s">
        <v>97</v>
      </c>
      <c r="H2085" s="113"/>
      <c r="I2085" s="113" t="str">
        <f>_xlfn.XLOOKUP($C2085,'Cost Centers'!$A$2:$A$11,'Cost Centers'!$C$2:$C$11,"")</f>
        <v>Programs</v>
      </c>
      <c r="J2085" s="23">
        <f>MROUND(SUMIFS('Allocated Transactions'!$J:$J,'Allocated Transactions'!$D:$D,$E2085,'Allocated Transactions'!$C:$C,$C2085,'Allocated Transactions'!$A:$A,"&gt;="&amp;$A2085,'Allocated Transactions'!$A:$A,"&lt;="&amp;EOMONTH($A2085,0))*0.99,100)</f>
        <v>100</v>
      </c>
      <c r="K2085" s="113" t="s">
        <v>637</v>
      </c>
    </row>
    <row r="2086" spans="1:11" ht="15" customHeight="1">
      <c r="A2086" s="112">
        <f t="shared" si="138"/>
        <v>46054</v>
      </c>
      <c r="B2086" s="113">
        <v>10</v>
      </c>
      <c r="C2086" s="18" t="str">
        <f t="shared" si="139"/>
        <v>2050</v>
      </c>
      <c r="D2086" s="113" t="str">
        <f>_xlfn.XLOOKUP($C2086,'Cost Centers'!$A$2:$A$11,'Cost Centers'!$B$2:$B$11,"")</f>
        <v>SE Asia</v>
      </c>
      <c r="E2086" s="113" t="s">
        <v>119</v>
      </c>
      <c r="F2086" s="113" t="str">
        <f>_xlfn.XLOOKUP(E2086,'Allocated Transactions'!D:D,'Allocated Transactions'!E:E,"")</f>
        <v>Depreciation Expense</v>
      </c>
      <c r="G2086" s="113" t="s">
        <v>97</v>
      </c>
      <c r="H2086" s="113"/>
      <c r="I2086" s="113" t="str">
        <f>_xlfn.XLOOKUP($C2086,'Cost Centers'!$A$2:$A$11,'Cost Centers'!$C$2:$C$11,"")</f>
        <v>Programs</v>
      </c>
      <c r="J2086" s="23">
        <f>MROUND(SUMIFS('Allocated Transactions'!$J:$J,'Allocated Transactions'!$D:$D,$E2086,'Allocated Transactions'!$C:$C,$C2086,'Allocated Transactions'!$A:$A,"&gt;="&amp;$A2086,'Allocated Transactions'!$A:$A,"&lt;="&amp;EOMONTH($A2086,0))*0.99,100)</f>
        <v>0</v>
      </c>
      <c r="K2086" s="113" t="s">
        <v>637</v>
      </c>
    </row>
    <row r="2087" spans="1:11" ht="15" customHeight="1">
      <c r="A2087" s="112">
        <f t="shared" si="138"/>
        <v>46054</v>
      </c>
      <c r="B2087" s="113">
        <v>10</v>
      </c>
      <c r="C2087" s="18" t="str">
        <f t="shared" si="139"/>
        <v>2050</v>
      </c>
      <c r="D2087" s="113" t="str">
        <f>_xlfn.XLOOKUP($C2087,'Cost Centers'!$A$2:$A$11,'Cost Centers'!$B$2:$B$11,"")</f>
        <v>SE Asia</v>
      </c>
      <c r="E2087" s="113" t="s">
        <v>121</v>
      </c>
      <c r="F2087" s="113" t="str">
        <f>_xlfn.XLOOKUP(E2087,'Allocated Transactions'!D:D,'Allocated Transactions'!E:E,"")</f>
        <v>Bank Fees</v>
      </c>
      <c r="G2087" s="113" t="s">
        <v>97</v>
      </c>
      <c r="H2087" s="113"/>
      <c r="I2087" s="113" t="str">
        <f>_xlfn.XLOOKUP($C2087,'Cost Centers'!$A$2:$A$11,'Cost Centers'!$C$2:$C$11,"")</f>
        <v>Programs</v>
      </c>
      <c r="J2087" s="23">
        <f>MROUND(SUMIFS('Allocated Transactions'!$J:$J,'Allocated Transactions'!$D:$D,$E2087,'Allocated Transactions'!$C:$C,$C2087,'Allocated Transactions'!$A:$A,"&gt;="&amp;$A2087,'Allocated Transactions'!$A:$A,"&lt;="&amp;EOMONTH($A2087,0))*0.99,100)</f>
        <v>0</v>
      </c>
      <c r="K2087" s="113" t="s">
        <v>637</v>
      </c>
    </row>
    <row r="2088" spans="1:11" ht="15" customHeight="1">
      <c r="A2088" s="112">
        <f t="shared" si="138"/>
        <v>46054</v>
      </c>
      <c r="B2088" s="113">
        <v>10</v>
      </c>
      <c r="C2088" s="18" t="str">
        <f t="shared" si="139"/>
        <v>2050</v>
      </c>
      <c r="D2088" s="113" t="str">
        <f>_xlfn.XLOOKUP($C2088,'Cost Centers'!$A$2:$A$11,'Cost Centers'!$B$2:$B$11,"")</f>
        <v>SE Asia</v>
      </c>
      <c r="E2088" s="113" t="s">
        <v>123</v>
      </c>
      <c r="F2088" s="113" t="str">
        <f>_xlfn.XLOOKUP(E2088,'Allocated Transactions'!D:D,'Allocated Transactions'!E:E,"")</f>
        <v>Interest Expense</v>
      </c>
      <c r="G2088" s="113" t="s">
        <v>97</v>
      </c>
      <c r="H2088" s="113"/>
      <c r="I2088" s="113" t="str">
        <f>_xlfn.XLOOKUP($C2088,'Cost Centers'!$A$2:$A$11,'Cost Centers'!$C$2:$C$11,"")</f>
        <v>Programs</v>
      </c>
      <c r="J2088" s="23">
        <f>MROUND(SUMIFS('Allocated Transactions'!$J:$J,'Allocated Transactions'!$D:$D,$E2088,'Allocated Transactions'!$C:$C,$C2088,'Allocated Transactions'!$A:$A,"&gt;="&amp;$A2088,'Allocated Transactions'!$A:$A,"&lt;="&amp;EOMONTH($A2088,0))*0.99,100)</f>
        <v>0</v>
      </c>
      <c r="K2088" s="113" t="s">
        <v>637</v>
      </c>
    </row>
    <row r="2089" spans="1:11" ht="15" customHeight="1">
      <c r="A2089" s="112">
        <f t="shared" si="138"/>
        <v>46054</v>
      </c>
      <c r="B2089" s="113">
        <v>10</v>
      </c>
      <c r="C2089" s="18" t="str">
        <f t="shared" si="139"/>
        <v>2050</v>
      </c>
      <c r="D2089" s="113" t="str">
        <f>_xlfn.XLOOKUP($C2089,'Cost Centers'!$A$2:$A$11,'Cost Centers'!$B$2:$B$11,"")</f>
        <v>SE Asia</v>
      </c>
      <c r="E2089" s="113" t="s">
        <v>125</v>
      </c>
      <c r="F2089" s="113" t="str">
        <f>_xlfn.XLOOKUP(E2089,'Allocated Transactions'!D:D,'Allocated Transactions'!E:E,"")</f>
        <v>Miscellaneous Expense</v>
      </c>
      <c r="G2089" s="113" t="s">
        <v>97</v>
      </c>
      <c r="H2089" s="113"/>
      <c r="I2089" s="113" t="str">
        <f>_xlfn.XLOOKUP($C2089,'Cost Centers'!$A$2:$A$11,'Cost Centers'!$C$2:$C$11,"")</f>
        <v>Programs</v>
      </c>
      <c r="J2089" s="23">
        <f>MROUND(SUMIFS('Allocated Transactions'!$J:$J,'Allocated Transactions'!$D:$D,$E2089,'Allocated Transactions'!$C:$C,$C2089,'Allocated Transactions'!$A:$A,"&gt;="&amp;$A2089,'Allocated Transactions'!$A:$A,"&lt;="&amp;EOMONTH($A2089,0))*0.99,100)</f>
        <v>0</v>
      </c>
      <c r="K2089" s="113" t="s">
        <v>637</v>
      </c>
    </row>
    <row r="2090" spans="1:11" ht="15" customHeight="1">
      <c r="A2090" s="112">
        <f t="shared" si="138"/>
        <v>46082</v>
      </c>
      <c r="B2090" s="113">
        <v>10</v>
      </c>
      <c r="C2090" s="18" t="s">
        <v>20</v>
      </c>
      <c r="D2090" s="113" t="str">
        <f>_xlfn.XLOOKUP($C2090,'Cost Centers'!$A$2:$A$11,'Cost Centers'!$B$2:$B$11,"")</f>
        <v>SE Asia</v>
      </c>
      <c r="E2090" s="113" t="s">
        <v>28</v>
      </c>
      <c r="F2090" s="113" t="str">
        <f>_xlfn.XLOOKUP(E2090,'Allocated Transactions'!D:D,'Allocated Transactions'!E:E,"")</f>
        <v>Salaries and Wages</v>
      </c>
      <c r="G2090" s="113" t="s">
        <v>97</v>
      </c>
      <c r="H2090" s="113"/>
      <c r="I2090" s="113" t="str">
        <f>_xlfn.XLOOKUP($C2090,'Cost Centers'!$A$2:$A$11,'Cost Centers'!$C$2:$C$11,"")</f>
        <v>Programs</v>
      </c>
      <c r="J2090" s="23">
        <f>MROUND(SUMIFS('Allocated Transactions'!$J:$J,'Allocated Transactions'!$D:$D,$E2090,'Allocated Transactions'!$C:$C,$C2090,'Allocated Transactions'!$A:$A,"&gt;="&amp;$A2090,'Allocated Transactions'!$A:$A,"&lt;="&amp;EOMONTH($A2090,0))*0.99,100)</f>
        <v>24000</v>
      </c>
      <c r="K2090" s="113" t="s">
        <v>637</v>
      </c>
    </row>
    <row r="2091" spans="1:11" ht="15" customHeight="1">
      <c r="A2091" s="112">
        <f t="shared" si="138"/>
        <v>46082</v>
      </c>
      <c r="B2091" s="113">
        <v>10</v>
      </c>
      <c r="C2091" s="18" t="str">
        <f t="shared" ref="C2091:C2107" si="140">C2090</f>
        <v>2050</v>
      </c>
      <c r="D2091" s="113" t="str">
        <f>_xlfn.XLOOKUP($C2091,'Cost Centers'!$A$2:$A$11,'Cost Centers'!$B$2:$B$11,"")</f>
        <v>SE Asia</v>
      </c>
      <c r="E2091" s="113" t="s">
        <v>29</v>
      </c>
      <c r="F2091" s="113" t="str">
        <f>_xlfn.XLOOKUP(E2091,'Allocated Transactions'!D:D,'Allocated Transactions'!E:E,"")</f>
        <v>Payroll Taxes</v>
      </c>
      <c r="G2091" s="113" t="s">
        <v>97</v>
      </c>
      <c r="H2091" s="113"/>
      <c r="I2091" s="113" t="str">
        <f>_xlfn.XLOOKUP($C2091,'Cost Centers'!$A$2:$A$11,'Cost Centers'!$C$2:$C$11,"")</f>
        <v>Programs</v>
      </c>
      <c r="J2091" s="23">
        <f>MROUND(SUMIFS('Allocated Transactions'!$J:$J,'Allocated Transactions'!$D:$D,$E2091,'Allocated Transactions'!$C:$C,$C2091,'Allocated Transactions'!$A:$A,"&gt;="&amp;$A2091,'Allocated Transactions'!$A:$A,"&lt;="&amp;EOMONTH($A2091,0))*0.99,100)</f>
        <v>1800</v>
      </c>
      <c r="K2091" s="113" t="s">
        <v>637</v>
      </c>
    </row>
    <row r="2092" spans="1:11" ht="15" customHeight="1">
      <c r="A2092" s="112">
        <f t="shared" si="138"/>
        <v>46082</v>
      </c>
      <c r="B2092" s="113">
        <v>10</v>
      </c>
      <c r="C2092" s="18" t="str">
        <f t="shared" si="140"/>
        <v>2050</v>
      </c>
      <c r="D2092" s="113" t="str">
        <f>_xlfn.XLOOKUP($C2092,'Cost Centers'!$A$2:$A$11,'Cost Centers'!$B$2:$B$11,"")</f>
        <v>SE Asia</v>
      </c>
      <c r="E2092" s="113" t="s">
        <v>30</v>
      </c>
      <c r="F2092" s="113" t="str">
        <f>_xlfn.XLOOKUP(E2092,'Allocated Transactions'!D:D,'Allocated Transactions'!E:E,"")</f>
        <v>Employee Benefits</v>
      </c>
      <c r="G2092" s="113" t="s">
        <v>97</v>
      </c>
      <c r="H2092" s="113"/>
      <c r="I2092" s="113" t="str">
        <f>_xlfn.XLOOKUP($C2092,'Cost Centers'!$A$2:$A$11,'Cost Centers'!$C$2:$C$11,"")</f>
        <v>Programs</v>
      </c>
      <c r="J2092" s="23">
        <f>MROUND(SUMIFS('Allocated Transactions'!$J:$J,'Allocated Transactions'!$D:$D,$E2092,'Allocated Transactions'!$C:$C,$C2092,'Allocated Transactions'!$A:$A,"&gt;="&amp;$A2092,'Allocated Transactions'!$A:$A,"&lt;="&amp;EOMONTH($A2092,0))*0.99,100)</f>
        <v>7100</v>
      </c>
      <c r="K2092" s="113" t="s">
        <v>637</v>
      </c>
    </row>
    <row r="2093" spans="1:11" ht="15" customHeight="1">
      <c r="A2093" s="112">
        <f t="shared" si="138"/>
        <v>46082</v>
      </c>
      <c r="B2093" s="113">
        <v>10</v>
      </c>
      <c r="C2093" s="18" t="str">
        <f t="shared" si="140"/>
        <v>2050</v>
      </c>
      <c r="D2093" s="113" t="str">
        <f>_xlfn.XLOOKUP($C2093,'Cost Centers'!$A$2:$A$11,'Cost Centers'!$B$2:$B$11,"")</f>
        <v>SE Asia</v>
      </c>
      <c r="E2093" s="113" t="s">
        <v>31</v>
      </c>
      <c r="F2093" s="113" t="str">
        <f>_xlfn.XLOOKUP(E2093,'Allocated Transactions'!D:D,'Allocated Transactions'!E:E,"")</f>
        <v>Retirement Contributions</v>
      </c>
      <c r="G2093" s="113" t="s">
        <v>97</v>
      </c>
      <c r="H2093" s="113"/>
      <c r="I2093" s="113" t="str">
        <f>_xlfn.XLOOKUP($C2093,'Cost Centers'!$A$2:$A$11,'Cost Centers'!$C$2:$C$11,"")</f>
        <v>Programs</v>
      </c>
      <c r="J2093" s="23">
        <f>MROUND(SUMIFS('Allocated Transactions'!$J:$J,'Allocated Transactions'!$D:$D,$E2093,'Allocated Transactions'!$C:$C,$C2093,'Allocated Transactions'!$A:$A,"&gt;="&amp;$A2093,'Allocated Transactions'!$A:$A,"&lt;="&amp;EOMONTH($A2093,0))*0.99,100)</f>
        <v>700</v>
      </c>
      <c r="K2093" s="113" t="s">
        <v>637</v>
      </c>
    </row>
    <row r="2094" spans="1:11" ht="15" customHeight="1">
      <c r="A2094" s="112">
        <f t="shared" si="138"/>
        <v>46082</v>
      </c>
      <c r="B2094" s="113">
        <v>10</v>
      </c>
      <c r="C2094" s="18" t="str">
        <f t="shared" si="140"/>
        <v>2050</v>
      </c>
      <c r="D2094" s="113" t="str">
        <f>_xlfn.XLOOKUP($C2094,'Cost Centers'!$A$2:$A$11,'Cost Centers'!$B$2:$B$11,"")</f>
        <v>SE Asia</v>
      </c>
      <c r="E2094" s="113" t="s">
        <v>101</v>
      </c>
      <c r="F2094" s="113" t="str">
        <f>_xlfn.XLOOKUP(E2094,'Allocated Transactions'!D:D,'Allocated Transactions'!E:E,"")</f>
        <v>Contract Labor / Consultants</v>
      </c>
      <c r="G2094" s="113" t="s">
        <v>97</v>
      </c>
      <c r="H2094" s="113"/>
      <c r="I2094" s="113" t="str">
        <f>_xlfn.XLOOKUP($C2094,'Cost Centers'!$A$2:$A$11,'Cost Centers'!$C$2:$C$11,"")</f>
        <v>Programs</v>
      </c>
      <c r="J2094" s="23">
        <f>MROUND(SUMIFS('Allocated Transactions'!$J:$J,'Allocated Transactions'!$D:$D,$E2094,'Allocated Transactions'!$C:$C,$C2094,'Allocated Transactions'!$A:$A,"&gt;="&amp;$A2094,'Allocated Transactions'!$A:$A,"&lt;="&amp;EOMONTH($A2094,0))*0.99,100)</f>
        <v>0</v>
      </c>
      <c r="K2094" s="113" t="s">
        <v>637</v>
      </c>
    </row>
    <row r="2095" spans="1:11" ht="15" customHeight="1">
      <c r="A2095" s="112">
        <f t="shared" si="138"/>
        <v>46082</v>
      </c>
      <c r="B2095" s="113">
        <v>10</v>
      </c>
      <c r="C2095" s="18" t="str">
        <f t="shared" si="140"/>
        <v>2050</v>
      </c>
      <c r="D2095" s="113" t="str">
        <f>_xlfn.XLOOKUP($C2095,'Cost Centers'!$A$2:$A$11,'Cost Centers'!$B$2:$B$11,"")</f>
        <v>SE Asia</v>
      </c>
      <c r="E2095" s="113" t="s">
        <v>32</v>
      </c>
      <c r="F2095" s="113" t="str">
        <f>_xlfn.XLOOKUP(E2095,'Allocated Transactions'!D:D,'Allocated Transactions'!E:E,"")</f>
        <v>Rent</v>
      </c>
      <c r="G2095" s="113" t="s">
        <v>97</v>
      </c>
      <c r="H2095" s="113"/>
      <c r="I2095" s="113" t="str">
        <f>_xlfn.XLOOKUP($C2095,'Cost Centers'!$A$2:$A$11,'Cost Centers'!$C$2:$C$11,"")</f>
        <v>Programs</v>
      </c>
      <c r="J2095" s="23">
        <f>MROUND(SUMIFS('Allocated Transactions'!$J:$J,'Allocated Transactions'!$D:$D,$E2095,'Allocated Transactions'!$C:$C,$C2095,'Allocated Transactions'!$A:$A,"&gt;="&amp;$A2095,'Allocated Transactions'!$A:$A,"&lt;="&amp;EOMONTH($A2095,0))*0.99,100)</f>
        <v>1900</v>
      </c>
      <c r="K2095" s="113" t="s">
        <v>637</v>
      </c>
    </row>
    <row r="2096" spans="1:11" ht="15" customHeight="1">
      <c r="A2096" s="112">
        <f t="shared" si="138"/>
        <v>46082</v>
      </c>
      <c r="B2096" s="113">
        <v>10</v>
      </c>
      <c r="C2096" s="18" t="str">
        <f t="shared" si="140"/>
        <v>2050</v>
      </c>
      <c r="D2096" s="113" t="str">
        <f>_xlfn.XLOOKUP($C2096,'Cost Centers'!$A$2:$A$11,'Cost Centers'!$B$2:$B$11,"")</f>
        <v>SE Asia</v>
      </c>
      <c r="E2096" s="113" t="s">
        <v>33</v>
      </c>
      <c r="F2096" s="113" t="str">
        <f>_xlfn.XLOOKUP(E2096,'Allocated Transactions'!D:D,'Allocated Transactions'!E:E,"")</f>
        <v>Utilities</v>
      </c>
      <c r="G2096" s="113" t="s">
        <v>97</v>
      </c>
      <c r="H2096" s="113"/>
      <c r="I2096" s="113" t="str">
        <f>_xlfn.XLOOKUP($C2096,'Cost Centers'!$A$2:$A$11,'Cost Centers'!$C$2:$C$11,"")</f>
        <v>Programs</v>
      </c>
      <c r="J2096" s="23">
        <f>MROUND(SUMIFS('Allocated Transactions'!$J:$J,'Allocated Transactions'!$D:$D,$E2096,'Allocated Transactions'!$C:$C,$C2096,'Allocated Transactions'!$A:$A,"&gt;="&amp;$A2096,'Allocated Transactions'!$A:$A,"&lt;="&amp;EOMONTH($A2096,0))*0.99,100)</f>
        <v>200</v>
      </c>
      <c r="K2096" s="113" t="s">
        <v>637</v>
      </c>
    </row>
    <row r="2097" spans="1:11" ht="15" customHeight="1">
      <c r="A2097" s="112">
        <f t="shared" si="138"/>
        <v>46082</v>
      </c>
      <c r="B2097" s="113">
        <v>10</v>
      </c>
      <c r="C2097" s="18" t="str">
        <f t="shared" si="140"/>
        <v>2050</v>
      </c>
      <c r="D2097" s="113" t="str">
        <f>_xlfn.XLOOKUP($C2097,'Cost Centers'!$A$2:$A$11,'Cost Centers'!$B$2:$B$11,"")</f>
        <v>SE Asia</v>
      </c>
      <c r="E2097" s="113" t="s">
        <v>105</v>
      </c>
      <c r="F2097" s="113" t="str">
        <f>_xlfn.XLOOKUP(E2097,'Allocated Transactions'!D:D,'Allocated Transactions'!E:E,"")</f>
        <v>Office Supplies</v>
      </c>
      <c r="G2097" s="113" t="s">
        <v>97</v>
      </c>
      <c r="H2097" s="113"/>
      <c r="I2097" s="113" t="str">
        <f>_xlfn.XLOOKUP($C2097,'Cost Centers'!$A$2:$A$11,'Cost Centers'!$C$2:$C$11,"")</f>
        <v>Programs</v>
      </c>
      <c r="J2097" s="23">
        <f>MROUND(SUMIFS('Allocated Transactions'!$J:$J,'Allocated Transactions'!$D:$D,$E2097,'Allocated Transactions'!$C:$C,$C2097,'Allocated Transactions'!$A:$A,"&gt;="&amp;$A2097,'Allocated Transactions'!$A:$A,"&lt;="&amp;EOMONTH($A2097,0))*0.99,100)</f>
        <v>0</v>
      </c>
      <c r="K2097" s="113" t="s">
        <v>637</v>
      </c>
    </row>
    <row r="2098" spans="1:11" ht="15" customHeight="1">
      <c r="A2098" s="112">
        <f t="shared" si="138"/>
        <v>46082</v>
      </c>
      <c r="B2098" s="113">
        <v>10</v>
      </c>
      <c r="C2098" s="18" t="str">
        <f t="shared" si="140"/>
        <v>2050</v>
      </c>
      <c r="D2098" s="113" t="str">
        <f>_xlfn.XLOOKUP($C2098,'Cost Centers'!$A$2:$A$11,'Cost Centers'!$B$2:$B$11,"")</f>
        <v>SE Asia</v>
      </c>
      <c r="E2098" s="113" t="s">
        <v>107</v>
      </c>
      <c r="F2098" s="113" t="str">
        <f>_xlfn.XLOOKUP(E2098,'Allocated Transactions'!D:D,'Allocated Transactions'!E:E,"")</f>
        <v>Software and Subscriptions</v>
      </c>
      <c r="G2098" s="113" t="s">
        <v>97</v>
      </c>
      <c r="H2098" s="113"/>
      <c r="I2098" s="113" t="str">
        <f>_xlfn.XLOOKUP($C2098,'Cost Centers'!$A$2:$A$11,'Cost Centers'!$C$2:$C$11,"")</f>
        <v>Programs</v>
      </c>
      <c r="J2098" s="23">
        <f>MROUND(SUMIFS('Allocated Transactions'!$J:$J,'Allocated Transactions'!$D:$D,$E2098,'Allocated Transactions'!$C:$C,$C2098,'Allocated Transactions'!$A:$A,"&gt;="&amp;$A2098,'Allocated Transactions'!$A:$A,"&lt;="&amp;EOMONTH($A2098,0))*0.99,100)</f>
        <v>0</v>
      </c>
      <c r="K2098" s="113" t="s">
        <v>637</v>
      </c>
    </row>
    <row r="2099" spans="1:11" ht="15" customHeight="1">
      <c r="A2099" s="112">
        <f t="shared" si="138"/>
        <v>46082</v>
      </c>
      <c r="B2099" s="113">
        <v>10</v>
      </c>
      <c r="C2099" s="18" t="str">
        <f t="shared" si="140"/>
        <v>2050</v>
      </c>
      <c r="D2099" s="113" t="str">
        <f>_xlfn.XLOOKUP($C2099,'Cost Centers'!$A$2:$A$11,'Cost Centers'!$B$2:$B$11,"")</f>
        <v>SE Asia</v>
      </c>
      <c r="E2099" s="113" t="s">
        <v>109</v>
      </c>
      <c r="F2099" s="113" t="str">
        <f>_xlfn.XLOOKUP(E2099,'Allocated Transactions'!D:D,'Allocated Transactions'!E:E,"")</f>
        <v>Travel</v>
      </c>
      <c r="G2099" s="113" t="s">
        <v>97</v>
      </c>
      <c r="H2099" s="113"/>
      <c r="I2099" s="113" t="str">
        <f>_xlfn.XLOOKUP($C2099,'Cost Centers'!$A$2:$A$11,'Cost Centers'!$C$2:$C$11,"")</f>
        <v>Programs</v>
      </c>
      <c r="J2099" s="23">
        <f>MROUND(SUMIFS('Allocated Transactions'!$J:$J,'Allocated Transactions'!$D:$D,$E2099,'Allocated Transactions'!$C:$C,$C2099,'Allocated Transactions'!$A:$A,"&gt;="&amp;$A2099,'Allocated Transactions'!$A:$A,"&lt;="&amp;EOMONTH($A2099,0))*0.99,100)</f>
        <v>0</v>
      </c>
      <c r="K2099" s="113" t="s">
        <v>637</v>
      </c>
    </row>
    <row r="2100" spans="1:11" ht="15" customHeight="1">
      <c r="A2100" s="112">
        <f t="shared" si="138"/>
        <v>46082</v>
      </c>
      <c r="B2100" s="113">
        <v>10</v>
      </c>
      <c r="C2100" s="18" t="str">
        <f t="shared" si="140"/>
        <v>2050</v>
      </c>
      <c r="D2100" s="113" t="str">
        <f>_xlfn.XLOOKUP($C2100,'Cost Centers'!$A$2:$A$11,'Cost Centers'!$B$2:$B$11,"")</f>
        <v>SE Asia</v>
      </c>
      <c r="E2100" s="113" t="s">
        <v>111</v>
      </c>
      <c r="F2100" s="113" t="str">
        <f>_xlfn.XLOOKUP(E2100,'Allocated Transactions'!D:D,'Allocated Transactions'!E:E,"")</f>
        <v>Meals and Entertainment</v>
      </c>
      <c r="G2100" s="113" t="s">
        <v>97</v>
      </c>
      <c r="H2100" s="113"/>
      <c r="I2100" s="113" t="str">
        <f>_xlfn.XLOOKUP($C2100,'Cost Centers'!$A$2:$A$11,'Cost Centers'!$C$2:$C$11,"")</f>
        <v>Programs</v>
      </c>
      <c r="J2100" s="23">
        <f>MROUND(SUMIFS('Allocated Transactions'!$J:$J,'Allocated Transactions'!$D:$D,$E2100,'Allocated Transactions'!$C:$C,$C2100,'Allocated Transactions'!$A:$A,"&gt;="&amp;$A2100,'Allocated Transactions'!$A:$A,"&lt;="&amp;EOMONTH($A2100,0))*0.99,100)</f>
        <v>500</v>
      </c>
      <c r="K2100" s="113" t="s">
        <v>637</v>
      </c>
    </row>
    <row r="2101" spans="1:11" ht="15" customHeight="1">
      <c r="A2101" s="112">
        <f t="shared" si="138"/>
        <v>46082</v>
      </c>
      <c r="B2101" s="113">
        <v>10</v>
      </c>
      <c r="C2101" s="18" t="str">
        <f t="shared" si="140"/>
        <v>2050</v>
      </c>
      <c r="D2101" s="113" t="str">
        <f>_xlfn.XLOOKUP($C2101,'Cost Centers'!$A$2:$A$11,'Cost Centers'!$B$2:$B$11,"")</f>
        <v>SE Asia</v>
      </c>
      <c r="E2101" s="113" t="s">
        <v>113</v>
      </c>
      <c r="F2101" s="113" t="str">
        <f>_xlfn.XLOOKUP(E2101,'Allocated Transactions'!D:D,'Allocated Transactions'!E:E,"")</f>
        <v>Professional Fees - Legal</v>
      </c>
      <c r="G2101" s="113" t="s">
        <v>97</v>
      </c>
      <c r="H2101" s="113"/>
      <c r="I2101" s="113" t="str">
        <f>_xlfn.XLOOKUP($C2101,'Cost Centers'!$A$2:$A$11,'Cost Centers'!$C$2:$C$11,"")</f>
        <v>Programs</v>
      </c>
      <c r="J2101" s="23">
        <f>MROUND(SUMIFS('Allocated Transactions'!$J:$J,'Allocated Transactions'!$D:$D,$E2101,'Allocated Transactions'!$C:$C,$C2101,'Allocated Transactions'!$A:$A,"&gt;="&amp;$A2101,'Allocated Transactions'!$A:$A,"&lt;="&amp;EOMONTH($A2101,0))*0.99,100)</f>
        <v>0</v>
      </c>
      <c r="K2101" s="113" t="s">
        <v>637</v>
      </c>
    </row>
    <row r="2102" spans="1:11" ht="15" customHeight="1">
      <c r="A2102" s="112">
        <f t="shared" si="138"/>
        <v>46082</v>
      </c>
      <c r="B2102" s="113">
        <v>10</v>
      </c>
      <c r="C2102" s="18" t="str">
        <f t="shared" si="140"/>
        <v>2050</v>
      </c>
      <c r="D2102" s="113" t="str">
        <f>_xlfn.XLOOKUP($C2102,'Cost Centers'!$A$2:$A$11,'Cost Centers'!$B$2:$B$11,"")</f>
        <v>SE Asia</v>
      </c>
      <c r="E2102" s="113" t="s">
        <v>115</v>
      </c>
      <c r="F2102" s="113" t="str">
        <f>_xlfn.XLOOKUP(E2102,'Allocated Transactions'!D:D,'Allocated Transactions'!E:E,"")</f>
        <v>Professional Fees - Accounting/Audit</v>
      </c>
      <c r="G2102" s="113" t="s">
        <v>97</v>
      </c>
      <c r="H2102" s="113"/>
      <c r="I2102" s="113" t="str">
        <f>_xlfn.XLOOKUP($C2102,'Cost Centers'!$A$2:$A$11,'Cost Centers'!$C$2:$C$11,"")</f>
        <v>Programs</v>
      </c>
      <c r="J2102" s="23">
        <f>MROUND(SUMIFS('Allocated Transactions'!$J:$J,'Allocated Transactions'!$D:$D,$E2102,'Allocated Transactions'!$C:$C,$C2102,'Allocated Transactions'!$A:$A,"&gt;="&amp;$A2102,'Allocated Transactions'!$A:$A,"&lt;="&amp;EOMONTH($A2102,0))*0.99,100)</f>
        <v>0</v>
      </c>
      <c r="K2102" s="113" t="s">
        <v>637</v>
      </c>
    </row>
    <row r="2103" spans="1:11" ht="15" customHeight="1">
      <c r="A2103" s="112">
        <f t="shared" si="138"/>
        <v>46082</v>
      </c>
      <c r="B2103" s="113">
        <v>10</v>
      </c>
      <c r="C2103" s="18" t="str">
        <f t="shared" si="140"/>
        <v>2050</v>
      </c>
      <c r="D2103" s="113" t="str">
        <f>_xlfn.XLOOKUP($C2103,'Cost Centers'!$A$2:$A$11,'Cost Centers'!$B$2:$B$11,"")</f>
        <v>SE Asia</v>
      </c>
      <c r="E2103" s="113" t="s">
        <v>117</v>
      </c>
      <c r="F2103" s="113" t="str">
        <f>_xlfn.XLOOKUP(E2103,'Allocated Transactions'!D:D,'Allocated Transactions'!E:E,"")</f>
        <v>Insurance</v>
      </c>
      <c r="G2103" s="113" t="s">
        <v>97</v>
      </c>
      <c r="H2103" s="113"/>
      <c r="I2103" s="113" t="str">
        <f>_xlfn.XLOOKUP($C2103,'Cost Centers'!$A$2:$A$11,'Cost Centers'!$C$2:$C$11,"")</f>
        <v>Programs</v>
      </c>
      <c r="J2103" s="23">
        <f>MROUND(SUMIFS('Allocated Transactions'!$J:$J,'Allocated Transactions'!$D:$D,$E2103,'Allocated Transactions'!$C:$C,$C2103,'Allocated Transactions'!$A:$A,"&gt;="&amp;$A2103,'Allocated Transactions'!$A:$A,"&lt;="&amp;EOMONTH($A2103,0))*0.99,100)</f>
        <v>100</v>
      </c>
      <c r="K2103" s="113" t="s">
        <v>637</v>
      </c>
    </row>
    <row r="2104" spans="1:11" ht="15" customHeight="1">
      <c r="A2104" s="112">
        <f t="shared" si="138"/>
        <v>46082</v>
      </c>
      <c r="B2104" s="113">
        <v>10</v>
      </c>
      <c r="C2104" s="18" t="str">
        <f t="shared" si="140"/>
        <v>2050</v>
      </c>
      <c r="D2104" s="113" t="str">
        <f>_xlfn.XLOOKUP($C2104,'Cost Centers'!$A$2:$A$11,'Cost Centers'!$B$2:$B$11,"")</f>
        <v>SE Asia</v>
      </c>
      <c r="E2104" s="113" t="s">
        <v>119</v>
      </c>
      <c r="F2104" s="113" t="str">
        <f>_xlfn.XLOOKUP(E2104,'Allocated Transactions'!D:D,'Allocated Transactions'!E:E,"")</f>
        <v>Depreciation Expense</v>
      </c>
      <c r="G2104" s="113" t="s">
        <v>97</v>
      </c>
      <c r="H2104" s="113"/>
      <c r="I2104" s="113" t="str">
        <f>_xlfn.XLOOKUP($C2104,'Cost Centers'!$A$2:$A$11,'Cost Centers'!$C$2:$C$11,"")</f>
        <v>Programs</v>
      </c>
      <c r="J2104" s="23">
        <f>MROUND(SUMIFS('Allocated Transactions'!$J:$J,'Allocated Transactions'!$D:$D,$E2104,'Allocated Transactions'!$C:$C,$C2104,'Allocated Transactions'!$A:$A,"&gt;="&amp;$A2104,'Allocated Transactions'!$A:$A,"&lt;="&amp;EOMONTH($A2104,0))*0.99,100)</f>
        <v>0</v>
      </c>
      <c r="K2104" s="113" t="s">
        <v>637</v>
      </c>
    </row>
    <row r="2105" spans="1:11" ht="15" customHeight="1">
      <c r="A2105" s="112">
        <f t="shared" si="138"/>
        <v>46082</v>
      </c>
      <c r="B2105" s="113">
        <v>10</v>
      </c>
      <c r="C2105" s="18" t="str">
        <f t="shared" si="140"/>
        <v>2050</v>
      </c>
      <c r="D2105" s="113" t="str">
        <f>_xlfn.XLOOKUP($C2105,'Cost Centers'!$A$2:$A$11,'Cost Centers'!$B$2:$B$11,"")</f>
        <v>SE Asia</v>
      </c>
      <c r="E2105" s="113" t="s">
        <v>121</v>
      </c>
      <c r="F2105" s="113" t="str">
        <f>_xlfn.XLOOKUP(E2105,'Allocated Transactions'!D:D,'Allocated Transactions'!E:E,"")</f>
        <v>Bank Fees</v>
      </c>
      <c r="G2105" s="113" t="s">
        <v>97</v>
      </c>
      <c r="H2105" s="113"/>
      <c r="I2105" s="113" t="str">
        <f>_xlfn.XLOOKUP($C2105,'Cost Centers'!$A$2:$A$11,'Cost Centers'!$C$2:$C$11,"")</f>
        <v>Programs</v>
      </c>
      <c r="J2105" s="23">
        <f>MROUND(SUMIFS('Allocated Transactions'!$J:$J,'Allocated Transactions'!$D:$D,$E2105,'Allocated Transactions'!$C:$C,$C2105,'Allocated Transactions'!$A:$A,"&gt;="&amp;$A2105,'Allocated Transactions'!$A:$A,"&lt;="&amp;EOMONTH($A2105,0))*0.99,100)</f>
        <v>0</v>
      </c>
      <c r="K2105" s="113" t="s">
        <v>637</v>
      </c>
    </row>
    <row r="2106" spans="1:11" ht="15" customHeight="1">
      <c r="A2106" s="112">
        <f t="shared" si="138"/>
        <v>46082</v>
      </c>
      <c r="B2106" s="113">
        <v>10</v>
      </c>
      <c r="C2106" s="18" t="str">
        <f t="shared" si="140"/>
        <v>2050</v>
      </c>
      <c r="D2106" s="113" t="str">
        <f>_xlfn.XLOOKUP($C2106,'Cost Centers'!$A$2:$A$11,'Cost Centers'!$B$2:$B$11,"")</f>
        <v>SE Asia</v>
      </c>
      <c r="E2106" s="113" t="s">
        <v>123</v>
      </c>
      <c r="F2106" s="113" t="str">
        <f>_xlfn.XLOOKUP(E2106,'Allocated Transactions'!D:D,'Allocated Transactions'!E:E,"")</f>
        <v>Interest Expense</v>
      </c>
      <c r="G2106" s="113" t="s">
        <v>97</v>
      </c>
      <c r="H2106" s="113"/>
      <c r="I2106" s="113" t="str">
        <f>_xlfn.XLOOKUP($C2106,'Cost Centers'!$A$2:$A$11,'Cost Centers'!$C$2:$C$11,"")</f>
        <v>Programs</v>
      </c>
      <c r="J2106" s="23">
        <f>MROUND(SUMIFS('Allocated Transactions'!$J:$J,'Allocated Transactions'!$D:$D,$E2106,'Allocated Transactions'!$C:$C,$C2106,'Allocated Transactions'!$A:$A,"&gt;="&amp;$A2106,'Allocated Transactions'!$A:$A,"&lt;="&amp;EOMONTH($A2106,0))*0.99,100)</f>
        <v>0</v>
      </c>
      <c r="K2106" s="113" t="s">
        <v>637</v>
      </c>
    </row>
    <row r="2107" spans="1:11" ht="15" customHeight="1">
      <c r="A2107" s="112">
        <f t="shared" si="138"/>
        <v>46082</v>
      </c>
      <c r="B2107" s="113">
        <v>10</v>
      </c>
      <c r="C2107" s="18" t="str">
        <f t="shared" si="140"/>
        <v>2050</v>
      </c>
      <c r="D2107" s="113" t="str">
        <f>_xlfn.XLOOKUP($C2107,'Cost Centers'!$A$2:$A$11,'Cost Centers'!$B$2:$B$11,"")</f>
        <v>SE Asia</v>
      </c>
      <c r="E2107" s="113" t="s">
        <v>125</v>
      </c>
      <c r="F2107" s="113" t="str">
        <f>_xlfn.XLOOKUP(E2107,'Allocated Transactions'!D:D,'Allocated Transactions'!E:E,"")</f>
        <v>Miscellaneous Expense</v>
      </c>
      <c r="G2107" s="113" t="s">
        <v>97</v>
      </c>
      <c r="H2107" s="113"/>
      <c r="I2107" s="113" t="str">
        <f>_xlfn.XLOOKUP($C2107,'Cost Centers'!$A$2:$A$11,'Cost Centers'!$C$2:$C$11,"")</f>
        <v>Programs</v>
      </c>
      <c r="J2107" s="23">
        <f>MROUND(SUMIFS('Allocated Transactions'!$J:$J,'Allocated Transactions'!$D:$D,$E2107,'Allocated Transactions'!$C:$C,$C2107,'Allocated Transactions'!$A:$A,"&gt;="&amp;$A2107,'Allocated Transactions'!$A:$A,"&lt;="&amp;EOMONTH($A2107,0))*0.99,100)</f>
        <v>0</v>
      </c>
      <c r="K2107" s="113" t="s">
        <v>637</v>
      </c>
    </row>
    <row r="2108" spans="1:11" ht="15" customHeight="1">
      <c r="A2108" s="112">
        <f t="shared" si="138"/>
        <v>46113</v>
      </c>
      <c r="B2108" s="113">
        <v>10</v>
      </c>
      <c r="C2108" s="18" t="s">
        <v>20</v>
      </c>
      <c r="D2108" s="113" t="str">
        <f>_xlfn.XLOOKUP($C2108,'Cost Centers'!$A$2:$A$11,'Cost Centers'!$B$2:$B$11,"")</f>
        <v>SE Asia</v>
      </c>
      <c r="E2108" s="113" t="s">
        <v>28</v>
      </c>
      <c r="F2108" s="113" t="str">
        <f>_xlfn.XLOOKUP(E2108,'Allocated Transactions'!D:D,'Allocated Transactions'!E:E,"")</f>
        <v>Salaries and Wages</v>
      </c>
      <c r="G2108" s="113" t="s">
        <v>97</v>
      </c>
      <c r="H2108" s="113"/>
      <c r="I2108" s="113" t="str">
        <f>_xlfn.XLOOKUP($C2108,'Cost Centers'!$A$2:$A$11,'Cost Centers'!$C$2:$C$11,"")</f>
        <v>Programs</v>
      </c>
      <c r="J2108" s="23">
        <f>MROUND(SUMIFS('Allocated Transactions'!$J:$J,'Allocated Transactions'!$D:$D,$E2108,'Allocated Transactions'!$C:$C,$C2108,'Allocated Transactions'!$A:$A,"&gt;="&amp;$A2108,'Allocated Transactions'!$A:$A,"&lt;="&amp;EOMONTH($A2108,0))*0.99,100)</f>
        <v>24200</v>
      </c>
      <c r="K2108" s="113" t="s">
        <v>637</v>
      </c>
    </row>
    <row r="2109" spans="1:11" ht="15" customHeight="1">
      <c r="A2109" s="112">
        <f t="shared" si="138"/>
        <v>46113</v>
      </c>
      <c r="B2109" s="113">
        <v>10</v>
      </c>
      <c r="C2109" s="18" t="str">
        <f t="shared" ref="C2109:C2125" si="141">C2108</f>
        <v>2050</v>
      </c>
      <c r="D2109" s="113" t="str">
        <f>_xlfn.XLOOKUP($C2109,'Cost Centers'!$A$2:$A$11,'Cost Centers'!$B$2:$B$11,"")</f>
        <v>SE Asia</v>
      </c>
      <c r="E2109" s="113" t="s">
        <v>29</v>
      </c>
      <c r="F2109" s="113" t="str">
        <f>_xlfn.XLOOKUP(E2109,'Allocated Transactions'!D:D,'Allocated Transactions'!E:E,"")</f>
        <v>Payroll Taxes</v>
      </c>
      <c r="G2109" s="113" t="s">
        <v>97</v>
      </c>
      <c r="H2109" s="113"/>
      <c r="I2109" s="113" t="str">
        <f>_xlfn.XLOOKUP($C2109,'Cost Centers'!$A$2:$A$11,'Cost Centers'!$C$2:$C$11,"")</f>
        <v>Programs</v>
      </c>
      <c r="J2109" s="23">
        <f>MROUND(SUMIFS('Allocated Transactions'!$J:$J,'Allocated Transactions'!$D:$D,$E2109,'Allocated Transactions'!$C:$C,$C2109,'Allocated Transactions'!$A:$A,"&gt;="&amp;$A2109,'Allocated Transactions'!$A:$A,"&lt;="&amp;EOMONTH($A2109,0))*0.99,100)</f>
        <v>1900</v>
      </c>
      <c r="K2109" s="113" t="s">
        <v>637</v>
      </c>
    </row>
    <row r="2110" spans="1:11" ht="15" customHeight="1">
      <c r="A2110" s="112">
        <f t="shared" si="138"/>
        <v>46113</v>
      </c>
      <c r="B2110" s="113">
        <v>10</v>
      </c>
      <c r="C2110" s="18" t="str">
        <f t="shared" si="141"/>
        <v>2050</v>
      </c>
      <c r="D2110" s="113" t="str">
        <f>_xlfn.XLOOKUP($C2110,'Cost Centers'!$A$2:$A$11,'Cost Centers'!$B$2:$B$11,"")</f>
        <v>SE Asia</v>
      </c>
      <c r="E2110" s="113" t="s">
        <v>30</v>
      </c>
      <c r="F2110" s="113" t="str">
        <f>_xlfn.XLOOKUP(E2110,'Allocated Transactions'!D:D,'Allocated Transactions'!E:E,"")</f>
        <v>Employee Benefits</v>
      </c>
      <c r="G2110" s="113" t="s">
        <v>97</v>
      </c>
      <c r="H2110" s="113"/>
      <c r="I2110" s="113" t="str">
        <f>_xlfn.XLOOKUP($C2110,'Cost Centers'!$A$2:$A$11,'Cost Centers'!$C$2:$C$11,"")</f>
        <v>Programs</v>
      </c>
      <c r="J2110" s="23">
        <f>MROUND(SUMIFS('Allocated Transactions'!$J:$J,'Allocated Transactions'!$D:$D,$E2110,'Allocated Transactions'!$C:$C,$C2110,'Allocated Transactions'!$A:$A,"&gt;="&amp;$A2110,'Allocated Transactions'!$A:$A,"&lt;="&amp;EOMONTH($A2110,0))*0.99,100)</f>
        <v>7500</v>
      </c>
      <c r="K2110" s="113" t="s">
        <v>637</v>
      </c>
    </row>
    <row r="2111" spans="1:11" ht="15" customHeight="1">
      <c r="A2111" s="112">
        <f t="shared" si="138"/>
        <v>46113</v>
      </c>
      <c r="B2111" s="113">
        <v>10</v>
      </c>
      <c r="C2111" s="18" t="str">
        <f t="shared" si="141"/>
        <v>2050</v>
      </c>
      <c r="D2111" s="113" t="str">
        <f>_xlfn.XLOOKUP($C2111,'Cost Centers'!$A$2:$A$11,'Cost Centers'!$B$2:$B$11,"")</f>
        <v>SE Asia</v>
      </c>
      <c r="E2111" s="113" t="s">
        <v>31</v>
      </c>
      <c r="F2111" s="113" t="str">
        <f>_xlfn.XLOOKUP(E2111,'Allocated Transactions'!D:D,'Allocated Transactions'!E:E,"")</f>
        <v>Retirement Contributions</v>
      </c>
      <c r="G2111" s="113" t="s">
        <v>97</v>
      </c>
      <c r="H2111" s="113"/>
      <c r="I2111" s="113" t="str">
        <f>_xlfn.XLOOKUP($C2111,'Cost Centers'!$A$2:$A$11,'Cost Centers'!$C$2:$C$11,"")</f>
        <v>Programs</v>
      </c>
      <c r="J2111" s="23">
        <f>MROUND(SUMIFS('Allocated Transactions'!$J:$J,'Allocated Transactions'!$D:$D,$E2111,'Allocated Transactions'!$C:$C,$C2111,'Allocated Transactions'!$A:$A,"&gt;="&amp;$A2111,'Allocated Transactions'!$A:$A,"&lt;="&amp;EOMONTH($A2111,0))*0.99,100)</f>
        <v>700</v>
      </c>
      <c r="K2111" s="113" t="s">
        <v>637</v>
      </c>
    </row>
    <row r="2112" spans="1:11" ht="15" customHeight="1">
      <c r="A2112" s="112">
        <f t="shared" si="138"/>
        <v>46113</v>
      </c>
      <c r="B2112" s="113">
        <v>10</v>
      </c>
      <c r="C2112" s="18" t="str">
        <f t="shared" si="141"/>
        <v>2050</v>
      </c>
      <c r="D2112" s="113" t="str">
        <f>_xlfn.XLOOKUP($C2112,'Cost Centers'!$A$2:$A$11,'Cost Centers'!$B$2:$B$11,"")</f>
        <v>SE Asia</v>
      </c>
      <c r="E2112" s="113" t="s">
        <v>101</v>
      </c>
      <c r="F2112" s="113" t="str">
        <f>_xlfn.XLOOKUP(E2112,'Allocated Transactions'!D:D,'Allocated Transactions'!E:E,"")</f>
        <v>Contract Labor / Consultants</v>
      </c>
      <c r="G2112" s="113" t="s">
        <v>97</v>
      </c>
      <c r="H2112" s="113"/>
      <c r="I2112" s="113" t="str">
        <f>_xlfn.XLOOKUP($C2112,'Cost Centers'!$A$2:$A$11,'Cost Centers'!$C$2:$C$11,"")</f>
        <v>Programs</v>
      </c>
      <c r="J2112" s="23">
        <f>MROUND(SUMIFS('Allocated Transactions'!$J:$J,'Allocated Transactions'!$D:$D,$E2112,'Allocated Transactions'!$C:$C,$C2112,'Allocated Transactions'!$A:$A,"&gt;="&amp;$A2112,'Allocated Transactions'!$A:$A,"&lt;="&amp;EOMONTH($A2112,0))*0.99,100)</f>
        <v>0</v>
      </c>
      <c r="K2112" s="113" t="s">
        <v>637</v>
      </c>
    </row>
    <row r="2113" spans="1:11" ht="15" customHeight="1">
      <c r="A2113" s="112">
        <f t="shared" si="138"/>
        <v>46113</v>
      </c>
      <c r="B2113" s="113">
        <v>10</v>
      </c>
      <c r="C2113" s="18" t="str">
        <f t="shared" si="141"/>
        <v>2050</v>
      </c>
      <c r="D2113" s="113" t="str">
        <f>_xlfn.XLOOKUP($C2113,'Cost Centers'!$A$2:$A$11,'Cost Centers'!$B$2:$B$11,"")</f>
        <v>SE Asia</v>
      </c>
      <c r="E2113" s="113" t="s">
        <v>32</v>
      </c>
      <c r="F2113" s="113" t="str">
        <f>_xlfn.XLOOKUP(E2113,'Allocated Transactions'!D:D,'Allocated Transactions'!E:E,"")</f>
        <v>Rent</v>
      </c>
      <c r="G2113" s="113" t="s">
        <v>97</v>
      </c>
      <c r="H2113" s="113"/>
      <c r="I2113" s="113" t="str">
        <f>_xlfn.XLOOKUP($C2113,'Cost Centers'!$A$2:$A$11,'Cost Centers'!$C$2:$C$11,"")</f>
        <v>Programs</v>
      </c>
      <c r="J2113" s="23">
        <f>MROUND(SUMIFS('Allocated Transactions'!$J:$J,'Allocated Transactions'!$D:$D,$E2113,'Allocated Transactions'!$C:$C,$C2113,'Allocated Transactions'!$A:$A,"&gt;="&amp;$A2113,'Allocated Transactions'!$A:$A,"&lt;="&amp;EOMONTH($A2113,0))*0.99,100)</f>
        <v>1900</v>
      </c>
      <c r="K2113" s="113" t="s">
        <v>637</v>
      </c>
    </row>
    <row r="2114" spans="1:11" ht="15" customHeight="1">
      <c r="A2114" s="112">
        <f t="shared" si="138"/>
        <v>46113</v>
      </c>
      <c r="B2114" s="113">
        <v>10</v>
      </c>
      <c r="C2114" s="18" t="str">
        <f t="shared" si="141"/>
        <v>2050</v>
      </c>
      <c r="D2114" s="113" t="str">
        <f>_xlfn.XLOOKUP($C2114,'Cost Centers'!$A$2:$A$11,'Cost Centers'!$B$2:$B$11,"")</f>
        <v>SE Asia</v>
      </c>
      <c r="E2114" s="113" t="s">
        <v>33</v>
      </c>
      <c r="F2114" s="113" t="str">
        <f>_xlfn.XLOOKUP(E2114,'Allocated Transactions'!D:D,'Allocated Transactions'!E:E,"")</f>
        <v>Utilities</v>
      </c>
      <c r="G2114" s="113" t="s">
        <v>97</v>
      </c>
      <c r="H2114" s="113"/>
      <c r="I2114" s="113" t="str">
        <f>_xlfn.XLOOKUP($C2114,'Cost Centers'!$A$2:$A$11,'Cost Centers'!$C$2:$C$11,"")</f>
        <v>Programs</v>
      </c>
      <c r="J2114" s="23">
        <f>MROUND(SUMIFS('Allocated Transactions'!$J:$J,'Allocated Transactions'!$D:$D,$E2114,'Allocated Transactions'!$C:$C,$C2114,'Allocated Transactions'!$A:$A,"&gt;="&amp;$A2114,'Allocated Transactions'!$A:$A,"&lt;="&amp;EOMONTH($A2114,0))*0.99,100)</f>
        <v>200</v>
      </c>
      <c r="K2114" s="113" t="s">
        <v>637</v>
      </c>
    </row>
    <row r="2115" spans="1:11" ht="15" customHeight="1">
      <c r="A2115" s="112">
        <f t="shared" si="138"/>
        <v>46113</v>
      </c>
      <c r="B2115" s="113">
        <v>10</v>
      </c>
      <c r="C2115" s="18" t="str">
        <f t="shared" si="141"/>
        <v>2050</v>
      </c>
      <c r="D2115" s="113" t="str">
        <f>_xlfn.XLOOKUP($C2115,'Cost Centers'!$A$2:$A$11,'Cost Centers'!$B$2:$B$11,"")</f>
        <v>SE Asia</v>
      </c>
      <c r="E2115" s="113" t="s">
        <v>105</v>
      </c>
      <c r="F2115" s="113" t="str">
        <f>_xlfn.XLOOKUP(E2115,'Allocated Transactions'!D:D,'Allocated Transactions'!E:E,"")</f>
        <v>Office Supplies</v>
      </c>
      <c r="G2115" s="113" t="s">
        <v>97</v>
      </c>
      <c r="H2115" s="113"/>
      <c r="I2115" s="113" t="str">
        <f>_xlfn.XLOOKUP($C2115,'Cost Centers'!$A$2:$A$11,'Cost Centers'!$C$2:$C$11,"")</f>
        <v>Programs</v>
      </c>
      <c r="J2115" s="23">
        <f>MROUND(SUMIFS('Allocated Transactions'!$J:$J,'Allocated Transactions'!$D:$D,$E2115,'Allocated Transactions'!$C:$C,$C2115,'Allocated Transactions'!$A:$A,"&gt;="&amp;$A2115,'Allocated Transactions'!$A:$A,"&lt;="&amp;EOMONTH($A2115,0))*0.99,100)</f>
        <v>0</v>
      </c>
      <c r="K2115" s="113" t="s">
        <v>637</v>
      </c>
    </row>
    <row r="2116" spans="1:11" ht="15" customHeight="1">
      <c r="A2116" s="112">
        <f t="shared" si="138"/>
        <v>46113</v>
      </c>
      <c r="B2116" s="113">
        <v>10</v>
      </c>
      <c r="C2116" s="18" t="str">
        <f t="shared" si="141"/>
        <v>2050</v>
      </c>
      <c r="D2116" s="113" t="str">
        <f>_xlfn.XLOOKUP($C2116,'Cost Centers'!$A$2:$A$11,'Cost Centers'!$B$2:$B$11,"")</f>
        <v>SE Asia</v>
      </c>
      <c r="E2116" s="113" t="s">
        <v>107</v>
      </c>
      <c r="F2116" s="113" t="str">
        <f>_xlfn.XLOOKUP(E2116,'Allocated Transactions'!D:D,'Allocated Transactions'!E:E,"")</f>
        <v>Software and Subscriptions</v>
      </c>
      <c r="G2116" s="113" t="s">
        <v>97</v>
      </c>
      <c r="H2116" s="113"/>
      <c r="I2116" s="113" t="str">
        <f>_xlfn.XLOOKUP($C2116,'Cost Centers'!$A$2:$A$11,'Cost Centers'!$C$2:$C$11,"")</f>
        <v>Programs</v>
      </c>
      <c r="J2116" s="23">
        <f>MROUND(SUMIFS('Allocated Transactions'!$J:$J,'Allocated Transactions'!$D:$D,$E2116,'Allocated Transactions'!$C:$C,$C2116,'Allocated Transactions'!$A:$A,"&gt;="&amp;$A2116,'Allocated Transactions'!$A:$A,"&lt;="&amp;EOMONTH($A2116,0))*0.99,100)</f>
        <v>0</v>
      </c>
      <c r="K2116" s="113" t="s">
        <v>637</v>
      </c>
    </row>
    <row r="2117" spans="1:11" ht="15" customHeight="1">
      <c r="A2117" s="112">
        <f t="shared" si="138"/>
        <v>46113</v>
      </c>
      <c r="B2117" s="113">
        <v>10</v>
      </c>
      <c r="C2117" s="18" t="str">
        <f t="shared" si="141"/>
        <v>2050</v>
      </c>
      <c r="D2117" s="113" t="str">
        <f>_xlfn.XLOOKUP($C2117,'Cost Centers'!$A$2:$A$11,'Cost Centers'!$B$2:$B$11,"")</f>
        <v>SE Asia</v>
      </c>
      <c r="E2117" s="113" t="s">
        <v>109</v>
      </c>
      <c r="F2117" s="113" t="str">
        <f>_xlfn.XLOOKUP(E2117,'Allocated Transactions'!D:D,'Allocated Transactions'!E:E,"")</f>
        <v>Travel</v>
      </c>
      <c r="G2117" s="113" t="s">
        <v>97</v>
      </c>
      <c r="H2117" s="113"/>
      <c r="I2117" s="113" t="str">
        <f>_xlfn.XLOOKUP($C2117,'Cost Centers'!$A$2:$A$11,'Cost Centers'!$C$2:$C$11,"")</f>
        <v>Programs</v>
      </c>
      <c r="J2117" s="23">
        <f>MROUND(SUMIFS('Allocated Transactions'!$J:$J,'Allocated Transactions'!$D:$D,$E2117,'Allocated Transactions'!$C:$C,$C2117,'Allocated Transactions'!$A:$A,"&gt;="&amp;$A2117,'Allocated Transactions'!$A:$A,"&lt;="&amp;EOMONTH($A2117,0))*0.99,100)</f>
        <v>0</v>
      </c>
      <c r="K2117" s="113" t="s">
        <v>637</v>
      </c>
    </row>
    <row r="2118" spans="1:11" ht="15" customHeight="1">
      <c r="A2118" s="112">
        <f t="shared" si="138"/>
        <v>46113</v>
      </c>
      <c r="B2118" s="113">
        <v>10</v>
      </c>
      <c r="C2118" s="18" t="str">
        <f t="shared" si="141"/>
        <v>2050</v>
      </c>
      <c r="D2118" s="113" t="str">
        <f>_xlfn.XLOOKUP($C2118,'Cost Centers'!$A$2:$A$11,'Cost Centers'!$B$2:$B$11,"")</f>
        <v>SE Asia</v>
      </c>
      <c r="E2118" s="113" t="s">
        <v>111</v>
      </c>
      <c r="F2118" s="113" t="str">
        <f>_xlfn.XLOOKUP(E2118,'Allocated Transactions'!D:D,'Allocated Transactions'!E:E,"")</f>
        <v>Meals and Entertainment</v>
      </c>
      <c r="G2118" s="113" t="s">
        <v>97</v>
      </c>
      <c r="H2118" s="113"/>
      <c r="I2118" s="113" t="str">
        <f>_xlfn.XLOOKUP($C2118,'Cost Centers'!$A$2:$A$11,'Cost Centers'!$C$2:$C$11,"")</f>
        <v>Programs</v>
      </c>
      <c r="J2118" s="23">
        <f>MROUND(SUMIFS('Allocated Transactions'!$J:$J,'Allocated Transactions'!$D:$D,$E2118,'Allocated Transactions'!$C:$C,$C2118,'Allocated Transactions'!$A:$A,"&gt;="&amp;$A2118,'Allocated Transactions'!$A:$A,"&lt;="&amp;EOMONTH($A2118,0))*0.99,100)</f>
        <v>0</v>
      </c>
      <c r="K2118" s="113" t="s">
        <v>637</v>
      </c>
    </row>
    <row r="2119" spans="1:11" ht="15" customHeight="1">
      <c r="A2119" s="112">
        <f t="shared" si="138"/>
        <v>46113</v>
      </c>
      <c r="B2119" s="113">
        <v>10</v>
      </c>
      <c r="C2119" s="18" t="str">
        <f t="shared" si="141"/>
        <v>2050</v>
      </c>
      <c r="D2119" s="113" t="str">
        <f>_xlfn.XLOOKUP($C2119,'Cost Centers'!$A$2:$A$11,'Cost Centers'!$B$2:$B$11,"")</f>
        <v>SE Asia</v>
      </c>
      <c r="E2119" s="113" t="s">
        <v>113</v>
      </c>
      <c r="F2119" s="113" t="str">
        <f>_xlfn.XLOOKUP(E2119,'Allocated Transactions'!D:D,'Allocated Transactions'!E:E,"")</f>
        <v>Professional Fees - Legal</v>
      </c>
      <c r="G2119" s="113" t="s">
        <v>97</v>
      </c>
      <c r="H2119" s="113"/>
      <c r="I2119" s="113" t="str">
        <f>_xlfn.XLOOKUP($C2119,'Cost Centers'!$A$2:$A$11,'Cost Centers'!$C$2:$C$11,"")</f>
        <v>Programs</v>
      </c>
      <c r="J2119" s="23">
        <f>MROUND(SUMIFS('Allocated Transactions'!$J:$J,'Allocated Transactions'!$D:$D,$E2119,'Allocated Transactions'!$C:$C,$C2119,'Allocated Transactions'!$A:$A,"&gt;="&amp;$A2119,'Allocated Transactions'!$A:$A,"&lt;="&amp;EOMONTH($A2119,0))*0.99,100)</f>
        <v>0</v>
      </c>
      <c r="K2119" s="113" t="s">
        <v>637</v>
      </c>
    </row>
    <row r="2120" spans="1:11" ht="15" customHeight="1">
      <c r="A2120" s="112">
        <f t="shared" si="138"/>
        <v>46113</v>
      </c>
      <c r="B2120" s="113">
        <v>10</v>
      </c>
      <c r="C2120" s="18" t="str">
        <f t="shared" si="141"/>
        <v>2050</v>
      </c>
      <c r="D2120" s="113" t="str">
        <f>_xlfn.XLOOKUP($C2120,'Cost Centers'!$A$2:$A$11,'Cost Centers'!$B$2:$B$11,"")</f>
        <v>SE Asia</v>
      </c>
      <c r="E2120" s="113" t="s">
        <v>115</v>
      </c>
      <c r="F2120" s="113" t="str">
        <f>_xlfn.XLOOKUP(E2120,'Allocated Transactions'!D:D,'Allocated Transactions'!E:E,"")</f>
        <v>Professional Fees - Accounting/Audit</v>
      </c>
      <c r="G2120" s="113" t="s">
        <v>97</v>
      </c>
      <c r="H2120" s="113"/>
      <c r="I2120" s="113" t="str">
        <f>_xlfn.XLOOKUP($C2120,'Cost Centers'!$A$2:$A$11,'Cost Centers'!$C$2:$C$11,"")</f>
        <v>Programs</v>
      </c>
      <c r="J2120" s="23">
        <f>MROUND(SUMIFS('Allocated Transactions'!$J:$J,'Allocated Transactions'!$D:$D,$E2120,'Allocated Transactions'!$C:$C,$C2120,'Allocated Transactions'!$A:$A,"&gt;="&amp;$A2120,'Allocated Transactions'!$A:$A,"&lt;="&amp;EOMONTH($A2120,0))*0.99,100)</f>
        <v>0</v>
      </c>
      <c r="K2120" s="113" t="s">
        <v>637</v>
      </c>
    </row>
    <row r="2121" spans="1:11" ht="15" customHeight="1">
      <c r="A2121" s="112">
        <f t="shared" si="138"/>
        <v>46113</v>
      </c>
      <c r="B2121" s="113">
        <v>10</v>
      </c>
      <c r="C2121" s="18" t="str">
        <f t="shared" si="141"/>
        <v>2050</v>
      </c>
      <c r="D2121" s="113" t="str">
        <f>_xlfn.XLOOKUP($C2121,'Cost Centers'!$A$2:$A$11,'Cost Centers'!$B$2:$B$11,"")</f>
        <v>SE Asia</v>
      </c>
      <c r="E2121" s="113" t="s">
        <v>117</v>
      </c>
      <c r="F2121" s="113" t="str">
        <f>_xlfn.XLOOKUP(E2121,'Allocated Transactions'!D:D,'Allocated Transactions'!E:E,"")</f>
        <v>Insurance</v>
      </c>
      <c r="G2121" s="113" t="s">
        <v>97</v>
      </c>
      <c r="H2121" s="113"/>
      <c r="I2121" s="113" t="str">
        <f>_xlfn.XLOOKUP($C2121,'Cost Centers'!$A$2:$A$11,'Cost Centers'!$C$2:$C$11,"")</f>
        <v>Programs</v>
      </c>
      <c r="J2121" s="23">
        <f>MROUND(SUMIFS('Allocated Transactions'!$J:$J,'Allocated Transactions'!$D:$D,$E2121,'Allocated Transactions'!$C:$C,$C2121,'Allocated Transactions'!$A:$A,"&gt;="&amp;$A2121,'Allocated Transactions'!$A:$A,"&lt;="&amp;EOMONTH($A2121,0))*0.99,100)</f>
        <v>100</v>
      </c>
      <c r="K2121" s="113" t="s">
        <v>637</v>
      </c>
    </row>
    <row r="2122" spans="1:11" ht="15" customHeight="1">
      <c r="A2122" s="112">
        <f t="shared" si="138"/>
        <v>46113</v>
      </c>
      <c r="B2122" s="113">
        <v>10</v>
      </c>
      <c r="C2122" s="18" t="str">
        <f t="shared" si="141"/>
        <v>2050</v>
      </c>
      <c r="D2122" s="113" t="str">
        <f>_xlfn.XLOOKUP($C2122,'Cost Centers'!$A$2:$A$11,'Cost Centers'!$B$2:$B$11,"")</f>
        <v>SE Asia</v>
      </c>
      <c r="E2122" s="113" t="s">
        <v>119</v>
      </c>
      <c r="F2122" s="113" t="str">
        <f>_xlfn.XLOOKUP(E2122,'Allocated Transactions'!D:D,'Allocated Transactions'!E:E,"")</f>
        <v>Depreciation Expense</v>
      </c>
      <c r="G2122" s="113" t="s">
        <v>97</v>
      </c>
      <c r="H2122" s="113"/>
      <c r="I2122" s="113" t="str">
        <f>_xlfn.XLOOKUP($C2122,'Cost Centers'!$A$2:$A$11,'Cost Centers'!$C$2:$C$11,"")</f>
        <v>Programs</v>
      </c>
      <c r="J2122" s="23">
        <f>MROUND(SUMIFS('Allocated Transactions'!$J:$J,'Allocated Transactions'!$D:$D,$E2122,'Allocated Transactions'!$C:$C,$C2122,'Allocated Transactions'!$A:$A,"&gt;="&amp;$A2122,'Allocated Transactions'!$A:$A,"&lt;="&amp;EOMONTH($A2122,0))*0.99,100)</f>
        <v>0</v>
      </c>
      <c r="K2122" s="113" t="s">
        <v>637</v>
      </c>
    </row>
    <row r="2123" spans="1:11" ht="15" customHeight="1">
      <c r="A2123" s="112">
        <f t="shared" si="138"/>
        <v>46113</v>
      </c>
      <c r="B2123" s="113">
        <v>10</v>
      </c>
      <c r="C2123" s="18" t="str">
        <f t="shared" si="141"/>
        <v>2050</v>
      </c>
      <c r="D2123" s="113" t="str">
        <f>_xlfn.XLOOKUP($C2123,'Cost Centers'!$A$2:$A$11,'Cost Centers'!$B$2:$B$11,"")</f>
        <v>SE Asia</v>
      </c>
      <c r="E2123" s="113" t="s">
        <v>121</v>
      </c>
      <c r="F2123" s="113" t="str">
        <f>_xlfn.XLOOKUP(E2123,'Allocated Transactions'!D:D,'Allocated Transactions'!E:E,"")</f>
        <v>Bank Fees</v>
      </c>
      <c r="G2123" s="113" t="s">
        <v>97</v>
      </c>
      <c r="H2123" s="113"/>
      <c r="I2123" s="113" t="str">
        <f>_xlfn.XLOOKUP($C2123,'Cost Centers'!$A$2:$A$11,'Cost Centers'!$C$2:$C$11,"")</f>
        <v>Programs</v>
      </c>
      <c r="J2123" s="23">
        <f>MROUND(SUMIFS('Allocated Transactions'!$J:$J,'Allocated Transactions'!$D:$D,$E2123,'Allocated Transactions'!$C:$C,$C2123,'Allocated Transactions'!$A:$A,"&gt;="&amp;$A2123,'Allocated Transactions'!$A:$A,"&lt;="&amp;EOMONTH($A2123,0))*0.99,100)</f>
        <v>0</v>
      </c>
      <c r="K2123" s="113" t="s">
        <v>637</v>
      </c>
    </row>
    <row r="2124" spans="1:11" ht="15" customHeight="1">
      <c r="A2124" s="112">
        <f t="shared" si="138"/>
        <v>46113</v>
      </c>
      <c r="B2124" s="113">
        <v>10</v>
      </c>
      <c r="C2124" s="18" t="str">
        <f t="shared" si="141"/>
        <v>2050</v>
      </c>
      <c r="D2124" s="113" t="str">
        <f>_xlfn.XLOOKUP($C2124,'Cost Centers'!$A$2:$A$11,'Cost Centers'!$B$2:$B$11,"")</f>
        <v>SE Asia</v>
      </c>
      <c r="E2124" s="113" t="s">
        <v>123</v>
      </c>
      <c r="F2124" s="113" t="str">
        <f>_xlfn.XLOOKUP(E2124,'Allocated Transactions'!D:D,'Allocated Transactions'!E:E,"")</f>
        <v>Interest Expense</v>
      </c>
      <c r="G2124" s="113" t="s">
        <v>97</v>
      </c>
      <c r="H2124" s="113"/>
      <c r="I2124" s="113" t="str">
        <f>_xlfn.XLOOKUP($C2124,'Cost Centers'!$A$2:$A$11,'Cost Centers'!$C$2:$C$11,"")</f>
        <v>Programs</v>
      </c>
      <c r="J2124" s="23">
        <f>MROUND(SUMIFS('Allocated Transactions'!$J:$J,'Allocated Transactions'!$D:$D,$E2124,'Allocated Transactions'!$C:$C,$C2124,'Allocated Transactions'!$A:$A,"&gt;="&amp;$A2124,'Allocated Transactions'!$A:$A,"&lt;="&amp;EOMONTH($A2124,0))*0.99,100)</f>
        <v>0</v>
      </c>
      <c r="K2124" s="113" t="s">
        <v>637</v>
      </c>
    </row>
    <row r="2125" spans="1:11" ht="15" customHeight="1">
      <c r="A2125" s="112">
        <f t="shared" si="138"/>
        <v>46113</v>
      </c>
      <c r="B2125" s="113">
        <v>10</v>
      </c>
      <c r="C2125" s="18" t="str">
        <f t="shared" si="141"/>
        <v>2050</v>
      </c>
      <c r="D2125" s="113" t="str">
        <f>_xlfn.XLOOKUP($C2125,'Cost Centers'!$A$2:$A$11,'Cost Centers'!$B$2:$B$11,"")</f>
        <v>SE Asia</v>
      </c>
      <c r="E2125" s="113" t="s">
        <v>125</v>
      </c>
      <c r="F2125" s="113" t="str">
        <f>_xlfn.XLOOKUP(E2125,'Allocated Transactions'!D:D,'Allocated Transactions'!E:E,"")</f>
        <v>Miscellaneous Expense</v>
      </c>
      <c r="G2125" s="113" t="s">
        <v>97</v>
      </c>
      <c r="H2125" s="113"/>
      <c r="I2125" s="113" t="str">
        <f>_xlfn.XLOOKUP($C2125,'Cost Centers'!$A$2:$A$11,'Cost Centers'!$C$2:$C$11,"")</f>
        <v>Programs</v>
      </c>
      <c r="J2125" s="23">
        <f>MROUND(SUMIFS('Allocated Transactions'!$J:$J,'Allocated Transactions'!$D:$D,$E2125,'Allocated Transactions'!$C:$C,$C2125,'Allocated Transactions'!$A:$A,"&gt;="&amp;$A2125,'Allocated Transactions'!$A:$A,"&lt;="&amp;EOMONTH($A2125,0))*0.99,100)</f>
        <v>0</v>
      </c>
      <c r="K2125" s="113" t="s">
        <v>637</v>
      </c>
    </row>
    <row r="2126" spans="1:11" ht="15" customHeight="1">
      <c r="A2126" s="112">
        <f t="shared" si="138"/>
        <v>46143</v>
      </c>
      <c r="B2126" s="113">
        <v>10</v>
      </c>
      <c r="C2126" s="18" t="s">
        <v>20</v>
      </c>
      <c r="D2126" s="113" t="str">
        <f>_xlfn.XLOOKUP($C2126,'Cost Centers'!$A$2:$A$11,'Cost Centers'!$B$2:$B$11,"")</f>
        <v>SE Asia</v>
      </c>
      <c r="E2126" s="113" t="s">
        <v>28</v>
      </c>
      <c r="F2126" s="113" t="str">
        <f>_xlfn.XLOOKUP(E2126,'Allocated Transactions'!D:D,'Allocated Transactions'!E:E,"")</f>
        <v>Salaries and Wages</v>
      </c>
      <c r="G2126" s="113" t="s">
        <v>97</v>
      </c>
      <c r="H2126" s="113"/>
      <c r="I2126" s="113" t="str">
        <f>_xlfn.XLOOKUP($C2126,'Cost Centers'!$A$2:$A$11,'Cost Centers'!$C$2:$C$11,"")</f>
        <v>Programs</v>
      </c>
      <c r="J2126" s="23">
        <f>MROUND(SUMIFS('Allocated Transactions'!$J:$J,'Allocated Transactions'!$D:$D,$E2126,'Allocated Transactions'!$C:$C,$C2126,'Allocated Transactions'!$A:$A,"&gt;="&amp;$A2126,'Allocated Transactions'!$A:$A,"&lt;="&amp;EOMONTH($A2126,0))*0.99,100)</f>
        <v>22600</v>
      </c>
      <c r="K2126" s="113" t="s">
        <v>637</v>
      </c>
    </row>
    <row r="2127" spans="1:11" ht="15" customHeight="1">
      <c r="A2127" s="112">
        <f t="shared" si="138"/>
        <v>46143</v>
      </c>
      <c r="B2127" s="113">
        <v>10</v>
      </c>
      <c r="C2127" s="18" t="str">
        <f t="shared" ref="C2127:C2143" si="142">C2126</f>
        <v>2050</v>
      </c>
      <c r="D2127" s="113" t="str">
        <f>_xlfn.XLOOKUP($C2127,'Cost Centers'!$A$2:$A$11,'Cost Centers'!$B$2:$B$11,"")</f>
        <v>SE Asia</v>
      </c>
      <c r="E2127" s="113" t="s">
        <v>29</v>
      </c>
      <c r="F2127" s="113" t="str">
        <f>_xlfn.XLOOKUP(E2127,'Allocated Transactions'!D:D,'Allocated Transactions'!E:E,"")</f>
        <v>Payroll Taxes</v>
      </c>
      <c r="G2127" s="113" t="s">
        <v>97</v>
      </c>
      <c r="H2127" s="113"/>
      <c r="I2127" s="113" t="str">
        <f>_xlfn.XLOOKUP($C2127,'Cost Centers'!$A$2:$A$11,'Cost Centers'!$C$2:$C$11,"")</f>
        <v>Programs</v>
      </c>
      <c r="J2127" s="23">
        <f>MROUND(SUMIFS('Allocated Transactions'!$J:$J,'Allocated Transactions'!$D:$D,$E2127,'Allocated Transactions'!$C:$C,$C2127,'Allocated Transactions'!$A:$A,"&gt;="&amp;$A2127,'Allocated Transactions'!$A:$A,"&lt;="&amp;EOMONTH($A2127,0))*0.99,100)</f>
        <v>1700</v>
      </c>
      <c r="K2127" s="113" t="s">
        <v>637</v>
      </c>
    </row>
    <row r="2128" spans="1:11" ht="15" customHeight="1">
      <c r="A2128" s="112">
        <f t="shared" si="138"/>
        <v>46143</v>
      </c>
      <c r="B2128" s="113">
        <v>10</v>
      </c>
      <c r="C2128" s="18" t="str">
        <f t="shared" si="142"/>
        <v>2050</v>
      </c>
      <c r="D2128" s="113" t="str">
        <f>_xlfn.XLOOKUP($C2128,'Cost Centers'!$A$2:$A$11,'Cost Centers'!$B$2:$B$11,"")</f>
        <v>SE Asia</v>
      </c>
      <c r="E2128" s="113" t="s">
        <v>30</v>
      </c>
      <c r="F2128" s="113" t="str">
        <f>_xlfn.XLOOKUP(E2128,'Allocated Transactions'!D:D,'Allocated Transactions'!E:E,"")</f>
        <v>Employee Benefits</v>
      </c>
      <c r="G2128" s="113" t="s">
        <v>97</v>
      </c>
      <c r="H2128" s="113"/>
      <c r="I2128" s="113" t="str">
        <f>_xlfn.XLOOKUP($C2128,'Cost Centers'!$A$2:$A$11,'Cost Centers'!$C$2:$C$11,"")</f>
        <v>Programs</v>
      </c>
      <c r="J2128" s="23">
        <f>MROUND(SUMIFS('Allocated Transactions'!$J:$J,'Allocated Transactions'!$D:$D,$E2128,'Allocated Transactions'!$C:$C,$C2128,'Allocated Transactions'!$A:$A,"&gt;="&amp;$A2128,'Allocated Transactions'!$A:$A,"&lt;="&amp;EOMONTH($A2128,0))*0.99,100)</f>
        <v>7800</v>
      </c>
      <c r="K2128" s="113" t="s">
        <v>637</v>
      </c>
    </row>
    <row r="2129" spans="1:11" ht="15" customHeight="1">
      <c r="A2129" s="112">
        <f t="shared" si="138"/>
        <v>46143</v>
      </c>
      <c r="B2129" s="113">
        <v>10</v>
      </c>
      <c r="C2129" s="18" t="str">
        <f t="shared" si="142"/>
        <v>2050</v>
      </c>
      <c r="D2129" s="113" t="str">
        <f>_xlfn.XLOOKUP($C2129,'Cost Centers'!$A$2:$A$11,'Cost Centers'!$B$2:$B$11,"")</f>
        <v>SE Asia</v>
      </c>
      <c r="E2129" s="113" t="s">
        <v>31</v>
      </c>
      <c r="F2129" s="113" t="str">
        <f>_xlfn.XLOOKUP(E2129,'Allocated Transactions'!D:D,'Allocated Transactions'!E:E,"")</f>
        <v>Retirement Contributions</v>
      </c>
      <c r="G2129" s="113" t="s">
        <v>97</v>
      </c>
      <c r="H2129" s="113"/>
      <c r="I2129" s="113" t="str">
        <f>_xlfn.XLOOKUP($C2129,'Cost Centers'!$A$2:$A$11,'Cost Centers'!$C$2:$C$11,"")</f>
        <v>Programs</v>
      </c>
      <c r="J2129" s="23">
        <f>MROUND(SUMIFS('Allocated Transactions'!$J:$J,'Allocated Transactions'!$D:$D,$E2129,'Allocated Transactions'!$C:$C,$C2129,'Allocated Transactions'!$A:$A,"&gt;="&amp;$A2129,'Allocated Transactions'!$A:$A,"&lt;="&amp;EOMONTH($A2129,0))*0.99,100)</f>
        <v>700</v>
      </c>
      <c r="K2129" s="113" t="s">
        <v>637</v>
      </c>
    </row>
    <row r="2130" spans="1:11" ht="15" customHeight="1">
      <c r="A2130" s="112">
        <f t="shared" si="138"/>
        <v>46143</v>
      </c>
      <c r="B2130" s="113">
        <v>10</v>
      </c>
      <c r="C2130" s="18" t="str">
        <f t="shared" si="142"/>
        <v>2050</v>
      </c>
      <c r="D2130" s="113" t="str">
        <f>_xlfn.XLOOKUP($C2130,'Cost Centers'!$A$2:$A$11,'Cost Centers'!$B$2:$B$11,"")</f>
        <v>SE Asia</v>
      </c>
      <c r="E2130" s="113" t="s">
        <v>101</v>
      </c>
      <c r="F2130" s="113" t="str">
        <f>_xlfn.XLOOKUP(E2130,'Allocated Transactions'!D:D,'Allocated Transactions'!E:E,"")</f>
        <v>Contract Labor / Consultants</v>
      </c>
      <c r="G2130" s="113" t="s">
        <v>97</v>
      </c>
      <c r="H2130" s="113"/>
      <c r="I2130" s="113" t="str">
        <f>_xlfn.XLOOKUP($C2130,'Cost Centers'!$A$2:$A$11,'Cost Centers'!$C$2:$C$11,"")</f>
        <v>Programs</v>
      </c>
      <c r="J2130" s="23">
        <f>MROUND(SUMIFS('Allocated Transactions'!$J:$J,'Allocated Transactions'!$D:$D,$E2130,'Allocated Transactions'!$C:$C,$C2130,'Allocated Transactions'!$A:$A,"&gt;="&amp;$A2130,'Allocated Transactions'!$A:$A,"&lt;="&amp;EOMONTH($A2130,0))*0.99,100)</f>
        <v>0</v>
      </c>
      <c r="K2130" s="113" t="s">
        <v>637</v>
      </c>
    </row>
    <row r="2131" spans="1:11" ht="15" customHeight="1">
      <c r="A2131" s="112">
        <f t="shared" si="138"/>
        <v>46143</v>
      </c>
      <c r="B2131" s="113">
        <v>10</v>
      </c>
      <c r="C2131" s="18" t="str">
        <f t="shared" si="142"/>
        <v>2050</v>
      </c>
      <c r="D2131" s="113" t="str">
        <f>_xlfn.XLOOKUP($C2131,'Cost Centers'!$A$2:$A$11,'Cost Centers'!$B$2:$B$11,"")</f>
        <v>SE Asia</v>
      </c>
      <c r="E2131" s="113" t="s">
        <v>32</v>
      </c>
      <c r="F2131" s="113" t="str">
        <f>_xlfn.XLOOKUP(E2131,'Allocated Transactions'!D:D,'Allocated Transactions'!E:E,"")</f>
        <v>Rent</v>
      </c>
      <c r="G2131" s="113" t="s">
        <v>97</v>
      </c>
      <c r="H2131" s="113"/>
      <c r="I2131" s="113" t="str">
        <f>_xlfn.XLOOKUP($C2131,'Cost Centers'!$A$2:$A$11,'Cost Centers'!$C$2:$C$11,"")</f>
        <v>Programs</v>
      </c>
      <c r="J2131" s="23">
        <f>MROUND(SUMIFS('Allocated Transactions'!$J:$J,'Allocated Transactions'!$D:$D,$E2131,'Allocated Transactions'!$C:$C,$C2131,'Allocated Transactions'!$A:$A,"&gt;="&amp;$A2131,'Allocated Transactions'!$A:$A,"&lt;="&amp;EOMONTH($A2131,0))*0.99,100)</f>
        <v>1900</v>
      </c>
      <c r="K2131" s="113" t="s">
        <v>637</v>
      </c>
    </row>
    <row r="2132" spans="1:11" ht="15" customHeight="1">
      <c r="A2132" s="112">
        <f t="shared" si="138"/>
        <v>46143</v>
      </c>
      <c r="B2132" s="113">
        <v>10</v>
      </c>
      <c r="C2132" s="18" t="str">
        <f t="shared" si="142"/>
        <v>2050</v>
      </c>
      <c r="D2132" s="113" t="str">
        <f>_xlfn.XLOOKUP($C2132,'Cost Centers'!$A$2:$A$11,'Cost Centers'!$B$2:$B$11,"")</f>
        <v>SE Asia</v>
      </c>
      <c r="E2132" s="113" t="s">
        <v>33</v>
      </c>
      <c r="F2132" s="113" t="str">
        <f>_xlfn.XLOOKUP(E2132,'Allocated Transactions'!D:D,'Allocated Transactions'!E:E,"")</f>
        <v>Utilities</v>
      </c>
      <c r="G2132" s="113" t="s">
        <v>97</v>
      </c>
      <c r="H2132" s="113"/>
      <c r="I2132" s="113" t="str">
        <f>_xlfn.XLOOKUP($C2132,'Cost Centers'!$A$2:$A$11,'Cost Centers'!$C$2:$C$11,"")</f>
        <v>Programs</v>
      </c>
      <c r="J2132" s="23">
        <f>MROUND(SUMIFS('Allocated Transactions'!$J:$J,'Allocated Transactions'!$D:$D,$E2132,'Allocated Transactions'!$C:$C,$C2132,'Allocated Transactions'!$A:$A,"&gt;="&amp;$A2132,'Allocated Transactions'!$A:$A,"&lt;="&amp;EOMONTH($A2132,0))*0.99,100)</f>
        <v>200</v>
      </c>
      <c r="K2132" s="113" t="s">
        <v>637</v>
      </c>
    </row>
    <row r="2133" spans="1:11" ht="15" customHeight="1">
      <c r="A2133" s="112">
        <f t="shared" si="138"/>
        <v>46143</v>
      </c>
      <c r="B2133" s="113">
        <v>10</v>
      </c>
      <c r="C2133" s="18" t="str">
        <f t="shared" si="142"/>
        <v>2050</v>
      </c>
      <c r="D2133" s="113" t="str">
        <f>_xlfn.XLOOKUP($C2133,'Cost Centers'!$A$2:$A$11,'Cost Centers'!$B$2:$B$11,"")</f>
        <v>SE Asia</v>
      </c>
      <c r="E2133" s="113" t="s">
        <v>105</v>
      </c>
      <c r="F2133" s="113" t="str">
        <f>_xlfn.XLOOKUP(E2133,'Allocated Transactions'!D:D,'Allocated Transactions'!E:E,"")</f>
        <v>Office Supplies</v>
      </c>
      <c r="G2133" s="113" t="s">
        <v>97</v>
      </c>
      <c r="H2133" s="113"/>
      <c r="I2133" s="113" t="str">
        <f>_xlfn.XLOOKUP($C2133,'Cost Centers'!$A$2:$A$11,'Cost Centers'!$C$2:$C$11,"")</f>
        <v>Programs</v>
      </c>
      <c r="J2133" s="23">
        <f>MROUND(SUMIFS('Allocated Transactions'!$J:$J,'Allocated Transactions'!$D:$D,$E2133,'Allocated Transactions'!$C:$C,$C2133,'Allocated Transactions'!$A:$A,"&gt;="&amp;$A2133,'Allocated Transactions'!$A:$A,"&lt;="&amp;EOMONTH($A2133,0))*0.99,100)</f>
        <v>0</v>
      </c>
      <c r="K2133" s="113" t="s">
        <v>637</v>
      </c>
    </row>
    <row r="2134" spans="1:11" ht="15" customHeight="1">
      <c r="A2134" s="112">
        <f t="shared" si="138"/>
        <v>46143</v>
      </c>
      <c r="B2134" s="113">
        <v>10</v>
      </c>
      <c r="C2134" s="18" t="str">
        <f t="shared" si="142"/>
        <v>2050</v>
      </c>
      <c r="D2134" s="113" t="str">
        <f>_xlfn.XLOOKUP($C2134,'Cost Centers'!$A$2:$A$11,'Cost Centers'!$B$2:$B$11,"")</f>
        <v>SE Asia</v>
      </c>
      <c r="E2134" s="113" t="s">
        <v>107</v>
      </c>
      <c r="F2134" s="113" t="str">
        <f>_xlfn.XLOOKUP(E2134,'Allocated Transactions'!D:D,'Allocated Transactions'!E:E,"")</f>
        <v>Software and Subscriptions</v>
      </c>
      <c r="G2134" s="113" t="s">
        <v>97</v>
      </c>
      <c r="H2134" s="113"/>
      <c r="I2134" s="113" t="str">
        <f>_xlfn.XLOOKUP($C2134,'Cost Centers'!$A$2:$A$11,'Cost Centers'!$C$2:$C$11,"")</f>
        <v>Programs</v>
      </c>
      <c r="J2134" s="23">
        <f>MROUND(SUMIFS('Allocated Transactions'!$J:$J,'Allocated Transactions'!$D:$D,$E2134,'Allocated Transactions'!$C:$C,$C2134,'Allocated Transactions'!$A:$A,"&gt;="&amp;$A2134,'Allocated Transactions'!$A:$A,"&lt;="&amp;EOMONTH($A2134,0))*0.99,100)</f>
        <v>3300</v>
      </c>
      <c r="K2134" s="113" t="s">
        <v>637</v>
      </c>
    </row>
    <row r="2135" spans="1:11" ht="15" customHeight="1">
      <c r="A2135" s="112">
        <f t="shared" si="138"/>
        <v>46143</v>
      </c>
      <c r="B2135" s="113">
        <v>10</v>
      </c>
      <c r="C2135" s="18" t="str">
        <f t="shared" si="142"/>
        <v>2050</v>
      </c>
      <c r="D2135" s="113" t="str">
        <f>_xlfn.XLOOKUP($C2135,'Cost Centers'!$A$2:$A$11,'Cost Centers'!$B$2:$B$11,"")</f>
        <v>SE Asia</v>
      </c>
      <c r="E2135" s="113" t="s">
        <v>109</v>
      </c>
      <c r="F2135" s="113" t="str">
        <f>_xlfn.XLOOKUP(E2135,'Allocated Transactions'!D:D,'Allocated Transactions'!E:E,"")</f>
        <v>Travel</v>
      </c>
      <c r="G2135" s="113" t="s">
        <v>97</v>
      </c>
      <c r="H2135" s="113"/>
      <c r="I2135" s="113" t="str">
        <f>_xlfn.XLOOKUP($C2135,'Cost Centers'!$A$2:$A$11,'Cost Centers'!$C$2:$C$11,"")</f>
        <v>Programs</v>
      </c>
      <c r="J2135" s="23">
        <f>MROUND(SUMIFS('Allocated Transactions'!$J:$J,'Allocated Transactions'!$D:$D,$E2135,'Allocated Transactions'!$C:$C,$C2135,'Allocated Transactions'!$A:$A,"&gt;="&amp;$A2135,'Allocated Transactions'!$A:$A,"&lt;="&amp;EOMONTH($A2135,0))*0.99,100)</f>
        <v>2200</v>
      </c>
      <c r="K2135" s="113" t="s">
        <v>637</v>
      </c>
    </row>
    <row r="2136" spans="1:11" ht="15" customHeight="1">
      <c r="A2136" s="112">
        <f t="shared" si="138"/>
        <v>46143</v>
      </c>
      <c r="B2136" s="113">
        <v>10</v>
      </c>
      <c r="C2136" s="18" t="str">
        <f t="shared" si="142"/>
        <v>2050</v>
      </c>
      <c r="D2136" s="113" t="str">
        <f>_xlfn.XLOOKUP($C2136,'Cost Centers'!$A$2:$A$11,'Cost Centers'!$B$2:$B$11,"")</f>
        <v>SE Asia</v>
      </c>
      <c r="E2136" s="113" t="s">
        <v>111</v>
      </c>
      <c r="F2136" s="113" t="str">
        <f>_xlfn.XLOOKUP(E2136,'Allocated Transactions'!D:D,'Allocated Transactions'!E:E,"")</f>
        <v>Meals and Entertainment</v>
      </c>
      <c r="G2136" s="113" t="s">
        <v>97</v>
      </c>
      <c r="H2136" s="113"/>
      <c r="I2136" s="113" t="str">
        <f>_xlfn.XLOOKUP($C2136,'Cost Centers'!$A$2:$A$11,'Cost Centers'!$C$2:$C$11,"")</f>
        <v>Programs</v>
      </c>
      <c r="J2136" s="23">
        <f>MROUND(SUMIFS('Allocated Transactions'!$J:$J,'Allocated Transactions'!$D:$D,$E2136,'Allocated Transactions'!$C:$C,$C2136,'Allocated Transactions'!$A:$A,"&gt;="&amp;$A2136,'Allocated Transactions'!$A:$A,"&lt;="&amp;EOMONTH($A2136,0))*0.99,100)</f>
        <v>0</v>
      </c>
      <c r="K2136" s="113" t="s">
        <v>637</v>
      </c>
    </row>
    <row r="2137" spans="1:11" ht="15" customHeight="1">
      <c r="A2137" s="112">
        <f t="shared" ref="A2137:A2161" si="143">IF(C2137&lt;&gt;C2136,DATE(2025,7,1),IF(E2137="5000",EOMONTH(A2136,0)+1,A2136))</f>
        <v>46143</v>
      </c>
      <c r="B2137" s="113">
        <v>10</v>
      </c>
      <c r="C2137" s="18" t="str">
        <f t="shared" si="142"/>
        <v>2050</v>
      </c>
      <c r="D2137" s="113" t="str">
        <f>_xlfn.XLOOKUP($C2137,'Cost Centers'!$A$2:$A$11,'Cost Centers'!$B$2:$B$11,"")</f>
        <v>SE Asia</v>
      </c>
      <c r="E2137" s="113" t="s">
        <v>113</v>
      </c>
      <c r="F2137" s="113" t="str">
        <f>_xlfn.XLOOKUP(E2137,'Allocated Transactions'!D:D,'Allocated Transactions'!E:E,"")</f>
        <v>Professional Fees - Legal</v>
      </c>
      <c r="G2137" s="113" t="s">
        <v>97</v>
      </c>
      <c r="H2137" s="113"/>
      <c r="I2137" s="113" t="str">
        <f>_xlfn.XLOOKUP($C2137,'Cost Centers'!$A$2:$A$11,'Cost Centers'!$C$2:$C$11,"")</f>
        <v>Programs</v>
      </c>
      <c r="J2137" s="23">
        <f>MROUND(SUMIFS('Allocated Transactions'!$J:$J,'Allocated Transactions'!$D:$D,$E2137,'Allocated Transactions'!$C:$C,$C2137,'Allocated Transactions'!$A:$A,"&gt;="&amp;$A2137,'Allocated Transactions'!$A:$A,"&lt;="&amp;EOMONTH($A2137,0))*0.99,100)</f>
        <v>0</v>
      </c>
      <c r="K2137" s="113" t="s">
        <v>637</v>
      </c>
    </row>
    <row r="2138" spans="1:11" ht="15" customHeight="1">
      <c r="A2138" s="112">
        <f t="shared" si="143"/>
        <v>46143</v>
      </c>
      <c r="B2138" s="113">
        <v>10</v>
      </c>
      <c r="C2138" s="18" t="str">
        <f t="shared" si="142"/>
        <v>2050</v>
      </c>
      <c r="D2138" s="113" t="str">
        <f>_xlfn.XLOOKUP($C2138,'Cost Centers'!$A$2:$A$11,'Cost Centers'!$B$2:$B$11,"")</f>
        <v>SE Asia</v>
      </c>
      <c r="E2138" s="113" t="s">
        <v>115</v>
      </c>
      <c r="F2138" s="113" t="str">
        <f>_xlfn.XLOOKUP(E2138,'Allocated Transactions'!D:D,'Allocated Transactions'!E:E,"")</f>
        <v>Professional Fees - Accounting/Audit</v>
      </c>
      <c r="G2138" s="113" t="s">
        <v>97</v>
      </c>
      <c r="H2138" s="113"/>
      <c r="I2138" s="113" t="str">
        <f>_xlfn.XLOOKUP($C2138,'Cost Centers'!$A$2:$A$11,'Cost Centers'!$C$2:$C$11,"")</f>
        <v>Programs</v>
      </c>
      <c r="J2138" s="23">
        <f>MROUND(SUMIFS('Allocated Transactions'!$J:$J,'Allocated Transactions'!$D:$D,$E2138,'Allocated Transactions'!$C:$C,$C2138,'Allocated Transactions'!$A:$A,"&gt;="&amp;$A2138,'Allocated Transactions'!$A:$A,"&lt;="&amp;EOMONTH($A2138,0))*0.99,100)</f>
        <v>0</v>
      </c>
      <c r="K2138" s="113" t="s">
        <v>637</v>
      </c>
    </row>
    <row r="2139" spans="1:11" ht="15" customHeight="1">
      <c r="A2139" s="112">
        <f t="shared" si="143"/>
        <v>46143</v>
      </c>
      <c r="B2139" s="113">
        <v>10</v>
      </c>
      <c r="C2139" s="18" t="str">
        <f t="shared" si="142"/>
        <v>2050</v>
      </c>
      <c r="D2139" s="113" t="str">
        <f>_xlfn.XLOOKUP($C2139,'Cost Centers'!$A$2:$A$11,'Cost Centers'!$B$2:$B$11,"")</f>
        <v>SE Asia</v>
      </c>
      <c r="E2139" s="113" t="s">
        <v>117</v>
      </c>
      <c r="F2139" s="113" t="str">
        <f>_xlfn.XLOOKUP(E2139,'Allocated Transactions'!D:D,'Allocated Transactions'!E:E,"")</f>
        <v>Insurance</v>
      </c>
      <c r="G2139" s="113" t="s">
        <v>97</v>
      </c>
      <c r="H2139" s="113"/>
      <c r="I2139" s="113" t="str">
        <f>_xlfn.XLOOKUP($C2139,'Cost Centers'!$A$2:$A$11,'Cost Centers'!$C$2:$C$11,"")</f>
        <v>Programs</v>
      </c>
      <c r="J2139" s="23">
        <f>MROUND(SUMIFS('Allocated Transactions'!$J:$J,'Allocated Transactions'!$D:$D,$E2139,'Allocated Transactions'!$C:$C,$C2139,'Allocated Transactions'!$A:$A,"&gt;="&amp;$A2139,'Allocated Transactions'!$A:$A,"&lt;="&amp;EOMONTH($A2139,0))*0.99,100)</f>
        <v>200</v>
      </c>
      <c r="K2139" s="113" t="s">
        <v>637</v>
      </c>
    </row>
    <row r="2140" spans="1:11" ht="15" customHeight="1">
      <c r="A2140" s="112">
        <f t="shared" si="143"/>
        <v>46143</v>
      </c>
      <c r="B2140" s="113">
        <v>10</v>
      </c>
      <c r="C2140" s="18" t="str">
        <f t="shared" si="142"/>
        <v>2050</v>
      </c>
      <c r="D2140" s="113" t="str">
        <f>_xlfn.XLOOKUP($C2140,'Cost Centers'!$A$2:$A$11,'Cost Centers'!$B$2:$B$11,"")</f>
        <v>SE Asia</v>
      </c>
      <c r="E2140" s="113" t="s">
        <v>119</v>
      </c>
      <c r="F2140" s="113" t="str">
        <f>_xlfn.XLOOKUP(E2140,'Allocated Transactions'!D:D,'Allocated Transactions'!E:E,"")</f>
        <v>Depreciation Expense</v>
      </c>
      <c r="G2140" s="113" t="s">
        <v>97</v>
      </c>
      <c r="H2140" s="113"/>
      <c r="I2140" s="113" t="str">
        <f>_xlfn.XLOOKUP($C2140,'Cost Centers'!$A$2:$A$11,'Cost Centers'!$C$2:$C$11,"")</f>
        <v>Programs</v>
      </c>
      <c r="J2140" s="23">
        <f>MROUND(SUMIFS('Allocated Transactions'!$J:$J,'Allocated Transactions'!$D:$D,$E2140,'Allocated Transactions'!$C:$C,$C2140,'Allocated Transactions'!$A:$A,"&gt;="&amp;$A2140,'Allocated Transactions'!$A:$A,"&lt;="&amp;EOMONTH($A2140,0))*0.99,100)</f>
        <v>0</v>
      </c>
      <c r="K2140" s="113" t="s">
        <v>637</v>
      </c>
    </row>
    <row r="2141" spans="1:11" ht="15" customHeight="1">
      <c r="A2141" s="112">
        <f t="shared" si="143"/>
        <v>46143</v>
      </c>
      <c r="B2141" s="113">
        <v>10</v>
      </c>
      <c r="C2141" s="18" t="str">
        <f t="shared" si="142"/>
        <v>2050</v>
      </c>
      <c r="D2141" s="113" t="str">
        <f>_xlfn.XLOOKUP($C2141,'Cost Centers'!$A$2:$A$11,'Cost Centers'!$B$2:$B$11,"")</f>
        <v>SE Asia</v>
      </c>
      <c r="E2141" s="113" t="s">
        <v>121</v>
      </c>
      <c r="F2141" s="113" t="str">
        <f>_xlfn.XLOOKUP(E2141,'Allocated Transactions'!D:D,'Allocated Transactions'!E:E,"")</f>
        <v>Bank Fees</v>
      </c>
      <c r="G2141" s="113" t="s">
        <v>97</v>
      </c>
      <c r="H2141" s="113"/>
      <c r="I2141" s="113" t="str">
        <f>_xlfn.XLOOKUP($C2141,'Cost Centers'!$A$2:$A$11,'Cost Centers'!$C$2:$C$11,"")</f>
        <v>Programs</v>
      </c>
      <c r="J2141" s="23">
        <f>MROUND(SUMIFS('Allocated Transactions'!$J:$J,'Allocated Transactions'!$D:$D,$E2141,'Allocated Transactions'!$C:$C,$C2141,'Allocated Transactions'!$A:$A,"&gt;="&amp;$A2141,'Allocated Transactions'!$A:$A,"&lt;="&amp;EOMONTH($A2141,0))*0.99,100)</f>
        <v>0</v>
      </c>
      <c r="K2141" s="113" t="s">
        <v>637</v>
      </c>
    </row>
    <row r="2142" spans="1:11" ht="15" customHeight="1">
      <c r="A2142" s="112">
        <f t="shared" si="143"/>
        <v>46143</v>
      </c>
      <c r="B2142" s="113">
        <v>10</v>
      </c>
      <c r="C2142" s="18" t="str">
        <f t="shared" si="142"/>
        <v>2050</v>
      </c>
      <c r="D2142" s="113" t="str">
        <f>_xlfn.XLOOKUP($C2142,'Cost Centers'!$A$2:$A$11,'Cost Centers'!$B$2:$B$11,"")</f>
        <v>SE Asia</v>
      </c>
      <c r="E2142" s="113" t="s">
        <v>123</v>
      </c>
      <c r="F2142" s="113" t="str">
        <f>_xlfn.XLOOKUP(E2142,'Allocated Transactions'!D:D,'Allocated Transactions'!E:E,"")</f>
        <v>Interest Expense</v>
      </c>
      <c r="G2142" s="113" t="s">
        <v>97</v>
      </c>
      <c r="H2142" s="113"/>
      <c r="I2142" s="113" t="str">
        <f>_xlfn.XLOOKUP($C2142,'Cost Centers'!$A$2:$A$11,'Cost Centers'!$C$2:$C$11,"")</f>
        <v>Programs</v>
      </c>
      <c r="J2142" s="23">
        <f>MROUND(SUMIFS('Allocated Transactions'!$J:$J,'Allocated Transactions'!$D:$D,$E2142,'Allocated Transactions'!$C:$C,$C2142,'Allocated Transactions'!$A:$A,"&gt;="&amp;$A2142,'Allocated Transactions'!$A:$A,"&lt;="&amp;EOMONTH($A2142,0))*0.99,100)</f>
        <v>0</v>
      </c>
      <c r="K2142" s="113" t="s">
        <v>637</v>
      </c>
    </row>
    <row r="2143" spans="1:11" ht="15" customHeight="1">
      <c r="A2143" s="112">
        <f t="shared" si="143"/>
        <v>46143</v>
      </c>
      <c r="B2143" s="113">
        <v>10</v>
      </c>
      <c r="C2143" s="18" t="str">
        <f t="shared" si="142"/>
        <v>2050</v>
      </c>
      <c r="D2143" s="113" t="str">
        <f>_xlfn.XLOOKUP($C2143,'Cost Centers'!$A$2:$A$11,'Cost Centers'!$B$2:$B$11,"")</f>
        <v>SE Asia</v>
      </c>
      <c r="E2143" s="113" t="s">
        <v>125</v>
      </c>
      <c r="F2143" s="113" t="str">
        <f>_xlfn.XLOOKUP(E2143,'Allocated Transactions'!D:D,'Allocated Transactions'!E:E,"")</f>
        <v>Miscellaneous Expense</v>
      </c>
      <c r="G2143" s="113" t="s">
        <v>97</v>
      </c>
      <c r="H2143" s="113"/>
      <c r="I2143" s="113" t="str">
        <f>_xlfn.XLOOKUP($C2143,'Cost Centers'!$A$2:$A$11,'Cost Centers'!$C$2:$C$11,"")</f>
        <v>Programs</v>
      </c>
      <c r="J2143" s="23">
        <f>MROUND(SUMIFS('Allocated Transactions'!$J:$J,'Allocated Transactions'!$D:$D,$E2143,'Allocated Transactions'!$C:$C,$C2143,'Allocated Transactions'!$A:$A,"&gt;="&amp;$A2143,'Allocated Transactions'!$A:$A,"&lt;="&amp;EOMONTH($A2143,0))*0.99,100)</f>
        <v>0</v>
      </c>
      <c r="K2143" s="113" t="s">
        <v>637</v>
      </c>
    </row>
    <row r="2144" spans="1:11" ht="15" customHeight="1">
      <c r="A2144" s="112">
        <f t="shared" si="143"/>
        <v>46174</v>
      </c>
      <c r="B2144" s="113">
        <v>10</v>
      </c>
      <c r="C2144" s="18" t="s">
        <v>20</v>
      </c>
      <c r="D2144" s="113" t="str">
        <f>_xlfn.XLOOKUP($C2144,'Cost Centers'!$A$2:$A$11,'Cost Centers'!$B$2:$B$11,"")</f>
        <v>SE Asia</v>
      </c>
      <c r="E2144" s="113" t="s">
        <v>28</v>
      </c>
      <c r="F2144" s="113" t="str">
        <f>_xlfn.XLOOKUP(E2144,'Allocated Transactions'!D:D,'Allocated Transactions'!E:E,"")</f>
        <v>Salaries and Wages</v>
      </c>
      <c r="G2144" s="113" t="s">
        <v>97</v>
      </c>
      <c r="H2144" s="113"/>
      <c r="I2144" s="113" t="str">
        <f>_xlfn.XLOOKUP($C2144,'Cost Centers'!$A$2:$A$11,'Cost Centers'!$C$2:$C$11,"")</f>
        <v>Programs</v>
      </c>
      <c r="J2144" s="23">
        <f>MROUND(SUMIFS('Allocated Transactions'!$J:$J,'Allocated Transactions'!$D:$D,$E2144,'Allocated Transactions'!$C:$C,$C2144,'Allocated Transactions'!$A:$A,"&gt;="&amp;$A2144,'Allocated Transactions'!$A:$A,"&lt;="&amp;EOMONTH($A2144,0))*0.99,100)</f>
        <v>23700</v>
      </c>
      <c r="K2144" s="113" t="s">
        <v>637</v>
      </c>
    </row>
    <row r="2145" spans="1:11" ht="15" customHeight="1">
      <c r="A2145" s="112">
        <f t="shared" si="143"/>
        <v>46174</v>
      </c>
      <c r="B2145" s="113">
        <v>10</v>
      </c>
      <c r="C2145" s="18" t="str">
        <f t="shared" ref="C2145:C2161" si="144">C2144</f>
        <v>2050</v>
      </c>
      <c r="D2145" s="113" t="str">
        <f>_xlfn.XLOOKUP($C2145,'Cost Centers'!$A$2:$A$11,'Cost Centers'!$B$2:$B$11,"")</f>
        <v>SE Asia</v>
      </c>
      <c r="E2145" s="113" t="s">
        <v>29</v>
      </c>
      <c r="F2145" s="113" t="str">
        <f>_xlfn.XLOOKUP(E2145,'Allocated Transactions'!D:D,'Allocated Transactions'!E:E,"")</f>
        <v>Payroll Taxes</v>
      </c>
      <c r="G2145" s="113" t="s">
        <v>97</v>
      </c>
      <c r="H2145" s="113"/>
      <c r="I2145" s="113" t="str">
        <f>_xlfn.XLOOKUP($C2145,'Cost Centers'!$A$2:$A$11,'Cost Centers'!$C$2:$C$11,"")</f>
        <v>Programs</v>
      </c>
      <c r="J2145" s="23">
        <f>MROUND(SUMIFS('Allocated Transactions'!$J:$J,'Allocated Transactions'!$D:$D,$E2145,'Allocated Transactions'!$C:$C,$C2145,'Allocated Transactions'!$A:$A,"&gt;="&amp;$A2145,'Allocated Transactions'!$A:$A,"&lt;="&amp;EOMONTH($A2145,0))*0.99,100)</f>
        <v>1800</v>
      </c>
      <c r="K2145" s="113" t="s">
        <v>637</v>
      </c>
    </row>
    <row r="2146" spans="1:11" ht="15" customHeight="1">
      <c r="A2146" s="112">
        <f t="shared" si="143"/>
        <v>46174</v>
      </c>
      <c r="B2146" s="113">
        <v>10</v>
      </c>
      <c r="C2146" s="18" t="str">
        <f t="shared" si="144"/>
        <v>2050</v>
      </c>
      <c r="D2146" s="113" t="str">
        <f>_xlfn.XLOOKUP($C2146,'Cost Centers'!$A$2:$A$11,'Cost Centers'!$B$2:$B$11,"")</f>
        <v>SE Asia</v>
      </c>
      <c r="E2146" s="113" t="s">
        <v>30</v>
      </c>
      <c r="F2146" s="113" t="str">
        <f>_xlfn.XLOOKUP(E2146,'Allocated Transactions'!D:D,'Allocated Transactions'!E:E,"")</f>
        <v>Employee Benefits</v>
      </c>
      <c r="G2146" s="113" t="s">
        <v>97</v>
      </c>
      <c r="H2146" s="113"/>
      <c r="I2146" s="113" t="str">
        <f>_xlfn.XLOOKUP($C2146,'Cost Centers'!$A$2:$A$11,'Cost Centers'!$C$2:$C$11,"")</f>
        <v>Programs</v>
      </c>
      <c r="J2146" s="23">
        <f>MROUND(SUMIFS('Allocated Transactions'!$J:$J,'Allocated Transactions'!$D:$D,$E2146,'Allocated Transactions'!$C:$C,$C2146,'Allocated Transactions'!$A:$A,"&gt;="&amp;$A2146,'Allocated Transactions'!$A:$A,"&lt;="&amp;EOMONTH($A2146,0))*0.99,100)</f>
        <v>8600</v>
      </c>
      <c r="K2146" s="113" t="s">
        <v>637</v>
      </c>
    </row>
    <row r="2147" spans="1:11" ht="15" customHeight="1">
      <c r="A2147" s="112">
        <f t="shared" si="143"/>
        <v>46174</v>
      </c>
      <c r="B2147" s="113">
        <v>10</v>
      </c>
      <c r="C2147" s="18" t="str">
        <f t="shared" si="144"/>
        <v>2050</v>
      </c>
      <c r="D2147" s="113" t="str">
        <f>_xlfn.XLOOKUP($C2147,'Cost Centers'!$A$2:$A$11,'Cost Centers'!$B$2:$B$11,"")</f>
        <v>SE Asia</v>
      </c>
      <c r="E2147" s="113" t="s">
        <v>31</v>
      </c>
      <c r="F2147" s="113" t="str">
        <f>_xlfn.XLOOKUP(E2147,'Allocated Transactions'!D:D,'Allocated Transactions'!E:E,"")</f>
        <v>Retirement Contributions</v>
      </c>
      <c r="G2147" s="113" t="s">
        <v>97</v>
      </c>
      <c r="H2147" s="113"/>
      <c r="I2147" s="113" t="str">
        <f>_xlfn.XLOOKUP($C2147,'Cost Centers'!$A$2:$A$11,'Cost Centers'!$C$2:$C$11,"")</f>
        <v>Programs</v>
      </c>
      <c r="J2147" s="23">
        <f>MROUND(SUMIFS('Allocated Transactions'!$J:$J,'Allocated Transactions'!$D:$D,$E2147,'Allocated Transactions'!$C:$C,$C2147,'Allocated Transactions'!$A:$A,"&gt;="&amp;$A2147,'Allocated Transactions'!$A:$A,"&lt;="&amp;EOMONTH($A2147,0))*0.99,100)</f>
        <v>700</v>
      </c>
      <c r="K2147" s="113" t="s">
        <v>637</v>
      </c>
    </row>
    <row r="2148" spans="1:11" ht="15" customHeight="1">
      <c r="A2148" s="112">
        <f t="shared" si="143"/>
        <v>46174</v>
      </c>
      <c r="B2148" s="113">
        <v>10</v>
      </c>
      <c r="C2148" s="18" t="str">
        <f t="shared" si="144"/>
        <v>2050</v>
      </c>
      <c r="D2148" s="113" t="str">
        <f>_xlfn.XLOOKUP($C2148,'Cost Centers'!$A$2:$A$11,'Cost Centers'!$B$2:$B$11,"")</f>
        <v>SE Asia</v>
      </c>
      <c r="E2148" s="113" t="s">
        <v>101</v>
      </c>
      <c r="F2148" s="113" t="str">
        <f>_xlfn.XLOOKUP(E2148,'Allocated Transactions'!D:D,'Allocated Transactions'!E:E,"")</f>
        <v>Contract Labor / Consultants</v>
      </c>
      <c r="G2148" s="113" t="s">
        <v>97</v>
      </c>
      <c r="H2148" s="113"/>
      <c r="I2148" s="113" t="str">
        <f>_xlfn.XLOOKUP($C2148,'Cost Centers'!$A$2:$A$11,'Cost Centers'!$C$2:$C$11,"")</f>
        <v>Programs</v>
      </c>
      <c r="J2148" s="23">
        <f>MROUND(SUMIFS('Allocated Transactions'!$J:$J,'Allocated Transactions'!$D:$D,$E2148,'Allocated Transactions'!$C:$C,$C2148,'Allocated Transactions'!$A:$A,"&gt;="&amp;$A2148,'Allocated Transactions'!$A:$A,"&lt;="&amp;EOMONTH($A2148,0))*0.99,100)</f>
        <v>0</v>
      </c>
      <c r="K2148" s="113" t="s">
        <v>637</v>
      </c>
    </row>
    <row r="2149" spans="1:11" ht="15" customHeight="1">
      <c r="A2149" s="112">
        <f t="shared" si="143"/>
        <v>46174</v>
      </c>
      <c r="B2149" s="113">
        <v>10</v>
      </c>
      <c r="C2149" s="18" t="str">
        <f t="shared" si="144"/>
        <v>2050</v>
      </c>
      <c r="D2149" s="113" t="str">
        <f>_xlfn.XLOOKUP($C2149,'Cost Centers'!$A$2:$A$11,'Cost Centers'!$B$2:$B$11,"")</f>
        <v>SE Asia</v>
      </c>
      <c r="E2149" s="113" t="s">
        <v>32</v>
      </c>
      <c r="F2149" s="113" t="str">
        <f>_xlfn.XLOOKUP(E2149,'Allocated Transactions'!D:D,'Allocated Transactions'!E:E,"")</f>
        <v>Rent</v>
      </c>
      <c r="G2149" s="113" t="s">
        <v>97</v>
      </c>
      <c r="H2149" s="113"/>
      <c r="I2149" s="113" t="str">
        <f>_xlfn.XLOOKUP($C2149,'Cost Centers'!$A$2:$A$11,'Cost Centers'!$C$2:$C$11,"")</f>
        <v>Programs</v>
      </c>
      <c r="J2149" s="23">
        <f>MROUND(SUMIFS('Allocated Transactions'!$J:$J,'Allocated Transactions'!$D:$D,$E2149,'Allocated Transactions'!$C:$C,$C2149,'Allocated Transactions'!$A:$A,"&gt;="&amp;$A2149,'Allocated Transactions'!$A:$A,"&lt;="&amp;EOMONTH($A2149,0))*0.99,100)</f>
        <v>1900</v>
      </c>
      <c r="K2149" s="113" t="s">
        <v>637</v>
      </c>
    </row>
    <row r="2150" spans="1:11" ht="15" customHeight="1">
      <c r="A2150" s="112">
        <f t="shared" si="143"/>
        <v>46174</v>
      </c>
      <c r="B2150" s="113">
        <v>10</v>
      </c>
      <c r="C2150" s="18" t="str">
        <f t="shared" si="144"/>
        <v>2050</v>
      </c>
      <c r="D2150" s="113" t="str">
        <f>_xlfn.XLOOKUP($C2150,'Cost Centers'!$A$2:$A$11,'Cost Centers'!$B$2:$B$11,"")</f>
        <v>SE Asia</v>
      </c>
      <c r="E2150" s="113" t="s">
        <v>33</v>
      </c>
      <c r="F2150" s="113" t="str">
        <f>_xlfn.XLOOKUP(E2150,'Allocated Transactions'!D:D,'Allocated Transactions'!E:E,"")</f>
        <v>Utilities</v>
      </c>
      <c r="G2150" s="113" t="s">
        <v>97</v>
      </c>
      <c r="H2150" s="113"/>
      <c r="I2150" s="113" t="str">
        <f>_xlfn.XLOOKUP($C2150,'Cost Centers'!$A$2:$A$11,'Cost Centers'!$C$2:$C$11,"")</f>
        <v>Programs</v>
      </c>
      <c r="J2150" s="23">
        <f>MROUND(SUMIFS('Allocated Transactions'!$J:$J,'Allocated Transactions'!$D:$D,$E2150,'Allocated Transactions'!$C:$C,$C2150,'Allocated Transactions'!$A:$A,"&gt;="&amp;$A2150,'Allocated Transactions'!$A:$A,"&lt;="&amp;EOMONTH($A2150,0))*0.99,100)</f>
        <v>200</v>
      </c>
      <c r="K2150" s="113" t="s">
        <v>637</v>
      </c>
    </row>
    <row r="2151" spans="1:11" ht="15" customHeight="1">
      <c r="A2151" s="112">
        <f t="shared" si="143"/>
        <v>46174</v>
      </c>
      <c r="B2151" s="113">
        <v>10</v>
      </c>
      <c r="C2151" s="18" t="str">
        <f t="shared" si="144"/>
        <v>2050</v>
      </c>
      <c r="D2151" s="113" t="str">
        <f>_xlfn.XLOOKUP($C2151,'Cost Centers'!$A$2:$A$11,'Cost Centers'!$B$2:$B$11,"")</f>
        <v>SE Asia</v>
      </c>
      <c r="E2151" s="113" t="s">
        <v>105</v>
      </c>
      <c r="F2151" s="113" t="str">
        <f>_xlfn.XLOOKUP(E2151,'Allocated Transactions'!D:D,'Allocated Transactions'!E:E,"")</f>
        <v>Office Supplies</v>
      </c>
      <c r="G2151" s="113" t="s">
        <v>97</v>
      </c>
      <c r="H2151" s="113"/>
      <c r="I2151" s="113" t="str">
        <f>_xlfn.XLOOKUP($C2151,'Cost Centers'!$A$2:$A$11,'Cost Centers'!$C$2:$C$11,"")</f>
        <v>Programs</v>
      </c>
      <c r="J2151" s="23">
        <f>MROUND(SUMIFS('Allocated Transactions'!$J:$J,'Allocated Transactions'!$D:$D,$E2151,'Allocated Transactions'!$C:$C,$C2151,'Allocated Transactions'!$A:$A,"&gt;="&amp;$A2151,'Allocated Transactions'!$A:$A,"&lt;="&amp;EOMONTH($A2151,0))*0.99,100)</f>
        <v>0</v>
      </c>
      <c r="K2151" s="113" t="s">
        <v>637</v>
      </c>
    </row>
    <row r="2152" spans="1:11" ht="15" customHeight="1">
      <c r="A2152" s="112">
        <f t="shared" si="143"/>
        <v>46174</v>
      </c>
      <c r="B2152" s="113">
        <v>10</v>
      </c>
      <c r="C2152" s="18" t="str">
        <f t="shared" si="144"/>
        <v>2050</v>
      </c>
      <c r="D2152" s="113" t="str">
        <f>_xlfn.XLOOKUP($C2152,'Cost Centers'!$A$2:$A$11,'Cost Centers'!$B$2:$B$11,"")</f>
        <v>SE Asia</v>
      </c>
      <c r="E2152" s="113" t="s">
        <v>107</v>
      </c>
      <c r="F2152" s="113" t="str">
        <f>_xlfn.XLOOKUP(E2152,'Allocated Transactions'!D:D,'Allocated Transactions'!E:E,"")</f>
        <v>Software and Subscriptions</v>
      </c>
      <c r="G2152" s="113" t="s">
        <v>97</v>
      </c>
      <c r="H2152" s="113"/>
      <c r="I2152" s="113" t="str">
        <f>_xlfn.XLOOKUP($C2152,'Cost Centers'!$A$2:$A$11,'Cost Centers'!$C$2:$C$11,"")</f>
        <v>Programs</v>
      </c>
      <c r="J2152" s="23">
        <f>MROUND(SUMIFS('Allocated Transactions'!$J:$J,'Allocated Transactions'!$D:$D,$E2152,'Allocated Transactions'!$C:$C,$C2152,'Allocated Transactions'!$A:$A,"&gt;="&amp;$A2152,'Allocated Transactions'!$A:$A,"&lt;="&amp;EOMONTH($A2152,0))*0.99,100)</f>
        <v>0</v>
      </c>
      <c r="K2152" s="113" t="s">
        <v>637</v>
      </c>
    </row>
    <row r="2153" spans="1:11" ht="15" customHeight="1">
      <c r="A2153" s="112">
        <f t="shared" si="143"/>
        <v>46174</v>
      </c>
      <c r="B2153" s="113">
        <v>10</v>
      </c>
      <c r="C2153" s="18" t="str">
        <f t="shared" si="144"/>
        <v>2050</v>
      </c>
      <c r="D2153" s="113" t="str">
        <f>_xlfn.XLOOKUP($C2153,'Cost Centers'!$A$2:$A$11,'Cost Centers'!$B$2:$B$11,"")</f>
        <v>SE Asia</v>
      </c>
      <c r="E2153" s="113" t="s">
        <v>109</v>
      </c>
      <c r="F2153" s="113" t="str">
        <f>_xlfn.XLOOKUP(E2153,'Allocated Transactions'!D:D,'Allocated Transactions'!E:E,"")</f>
        <v>Travel</v>
      </c>
      <c r="G2153" s="113" t="s">
        <v>97</v>
      </c>
      <c r="H2153" s="113"/>
      <c r="I2153" s="113" t="str">
        <f>_xlfn.XLOOKUP($C2153,'Cost Centers'!$A$2:$A$11,'Cost Centers'!$C$2:$C$11,"")</f>
        <v>Programs</v>
      </c>
      <c r="J2153" s="23">
        <f>MROUND(SUMIFS('Allocated Transactions'!$J:$J,'Allocated Transactions'!$D:$D,$E2153,'Allocated Transactions'!$C:$C,$C2153,'Allocated Transactions'!$A:$A,"&gt;="&amp;$A2153,'Allocated Transactions'!$A:$A,"&lt;="&amp;EOMONTH($A2153,0))*0.99,100)</f>
        <v>0</v>
      </c>
      <c r="K2153" s="113" t="s">
        <v>637</v>
      </c>
    </row>
    <row r="2154" spans="1:11" ht="15" customHeight="1">
      <c r="A2154" s="112">
        <f t="shared" si="143"/>
        <v>46174</v>
      </c>
      <c r="B2154" s="113">
        <v>10</v>
      </c>
      <c r="C2154" s="18" t="str">
        <f t="shared" si="144"/>
        <v>2050</v>
      </c>
      <c r="D2154" s="113" t="str">
        <f>_xlfn.XLOOKUP($C2154,'Cost Centers'!$A$2:$A$11,'Cost Centers'!$B$2:$B$11,"")</f>
        <v>SE Asia</v>
      </c>
      <c r="E2154" s="113" t="s">
        <v>111</v>
      </c>
      <c r="F2154" s="113" t="str">
        <f>_xlfn.XLOOKUP(E2154,'Allocated Transactions'!D:D,'Allocated Transactions'!E:E,"")</f>
        <v>Meals and Entertainment</v>
      </c>
      <c r="G2154" s="113" t="s">
        <v>97</v>
      </c>
      <c r="H2154" s="113"/>
      <c r="I2154" s="113" t="str">
        <f>_xlfn.XLOOKUP($C2154,'Cost Centers'!$A$2:$A$11,'Cost Centers'!$C$2:$C$11,"")</f>
        <v>Programs</v>
      </c>
      <c r="J2154" s="23">
        <f>MROUND(SUMIFS('Allocated Transactions'!$J:$J,'Allocated Transactions'!$D:$D,$E2154,'Allocated Transactions'!$C:$C,$C2154,'Allocated Transactions'!$A:$A,"&gt;="&amp;$A2154,'Allocated Transactions'!$A:$A,"&lt;="&amp;EOMONTH($A2154,0))*0.99,100)</f>
        <v>0</v>
      </c>
      <c r="K2154" s="113" t="s">
        <v>637</v>
      </c>
    </row>
    <row r="2155" spans="1:11" ht="15" customHeight="1">
      <c r="A2155" s="112">
        <f t="shared" si="143"/>
        <v>46174</v>
      </c>
      <c r="B2155" s="113">
        <v>10</v>
      </c>
      <c r="C2155" s="18" t="str">
        <f t="shared" si="144"/>
        <v>2050</v>
      </c>
      <c r="D2155" s="113" t="str">
        <f>_xlfn.XLOOKUP($C2155,'Cost Centers'!$A$2:$A$11,'Cost Centers'!$B$2:$B$11,"")</f>
        <v>SE Asia</v>
      </c>
      <c r="E2155" s="113" t="s">
        <v>113</v>
      </c>
      <c r="F2155" s="113" t="str">
        <f>_xlfn.XLOOKUP(E2155,'Allocated Transactions'!D:D,'Allocated Transactions'!E:E,"")</f>
        <v>Professional Fees - Legal</v>
      </c>
      <c r="G2155" s="113" t="s">
        <v>97</v>
      </c>
      <c r="H2155" s="113"/>
      <c r="I2155" s="113" t="str">
        <f>_xlfn.XLOOKUP($C2155,'Cost Centers'!$A$2:$A$11,'Cost Centers'!$C$2:$C$11,"")</f>
        <v>Programs</v>
      </c>
      <c r="J2155" s="23">
        <f>MROUND(SUMIFS('Allocated Transactions'!$J:$J,'Allocated Transactions'!$D:$D,$E2155,'Allocated Transactions'!$C:$C,$C2155,'Allocated Transactions'!$A:$A,"&gt;="&amp;$A2155,'Allocated Transactions'!$A:$A,"&lt;="&amp;EOMONTH($A2155,0))*0.99,100)</f>
        <v>0</v>
      </c>
      <c r="K2155" s="113" t="s">
        <v>637</v>
      </c>
    </row>
    <row r="2156" spans="1:11" ht="15" customHeight="1">
      <c r="A2156" s="112">
        <f t="shared" si="143"/>
        <v>46174</v>
      </c>
      <c r="B2156" s="113">
        <v>10</v>
      </c>
      <c r="C2156" s="18" t="str">
        <f t="shared" si="144"/>
        <v>2050</v>
      </c>
      <c r="D2156" s="113" t="str">
        <f>_xlfn.XLOOKUP($C2156,'Cost Centers'!$A$2:$A$11,'Cost Centers'!$B$2:$B$11,"")</f>
        <v>SE Asia</v>
      </c>
      <c r="E2156" s="113" t="s">
        <v>115</v>
      </c>
      <c r="F2156" s="113" t="str">
        <f>_xlfn.XLOOKUP(E2156,'Allocated Transactions'!D:D,'Allocated Transactions'!E:E,"")</f>
        <v>Professional Fees - Accounting/Audit</v>
      </c>
      <c r="G2156" s="113" t="s">
        <v>97</v>
      </c>
      <c r="H2156" s="113"/>
      <c r="I2156" s="113" t="str">
        <f>_xlfn.XLOOKUP($C2156,'Cost Centers'!$A$2:$A$11,'Cost Centers'!$C$2:$C$11,"")</f>
        <v>Programs</v>
      </c>
      <c r="J2156" s="23">
        <f>MROUND(SUMIFS('Allocated Transactions'!$J:$J,'Allocated Transactions'!$D:$D,$E2156,'Allocated Transactions'!$C:$C,$C2156,'Allocated Transactions'!$A:$A,"&gt;="&amp;$A2156,'Allocated Transactions'!$A:$A,"&lt;="&amp;EOMONTH($A2156,0))*0.99,100)</f>
        <v>0</v>
      </c>
      <c r="K2156" s="113" t="s">
        <v>637</v>
      </c>
    </row>
    <row r="2157" spans="1:11" ht="15" customHeight="1">
      <c r="A2157" s="112">
        <f t="shared" si="143"/>
        <v>46174</v>
      </c>
      <c r="B2157" s="113">
        <v>10</v>
      </c>
      <c r="C2157" s="18" t="str">
        <f t="shared" si="144"/>
        <v>2050</v>
      </c>
      <c r="D2157" s="113" t="str">
        <f>_xlfn.XLOOKUP($C2157,'Cost Centers'!$A$2:$A$11,'Cost Centers'!$B$2:$B$11,"")</f>
        <v>SE Asia</v>
      </c>
      <c r="E2157" s="113" t="s">
        <v>117</v>
      </c>
      <c r="F2157" s="113" t="str">
        <f>_xlfn.XLOOKUP(E2157,'Allocated Transactions'!D:D,'Allocated Transactions'!E:E,"")</f>
        <v>Insurance</v>
      </c>
      <c r="G2157" s="113" t="s">
        <v>97</v>
      </c>
      <c r="H2157" s="113"/>
      <c r="I2157" s="113" t="str">
        <f>_xlfn.XLOOKUP($C2157,'Cost Centers'!$A$2:$A$11,'Cost Centers'!$C$2:$C$11,"")</f>
        <v>Programs</v>
      </c>
      <c r="J2157" s="23">
        <f>MROUND(SUMIFS('Allocated Transactions'!$J:$J,'Allocated Transactions'!$D:$D,$E2157,'Allocated Transactions'!$C:$C,$C2157,'Allocated Transactions'!$A:$A,"&gt;="&amp;$A2157,'Allocated Transactions'!$A:$A,"&lt;="&amp;EOMONTH($A2157,0))*0.99,100)</f>
        <v>200</v>
      </c>
      <c r="K2157" s="113" t="s">
        <v>637</v>
      </c>
    </row>
    <row r="2158" spans="1:11" ht="15" customHeight="1">
      <c r="A2158" s="112">
        <f t="shared" si="143"/>
        <v>46174</v>
      </c>
      <c r="B2158" s="113">
        <v>10</v>
      </c>
      <c r="C2158" s="18" t="str">
        <f t="shared" si="144"/>
        <v>2050</v>
      </c>
      <c r="D2158" s="113" t="str">
        <f>_xlfn.XLOOKUP($C2158,'Cost Centers'!$A$2:$A$11,'Cost Centers'!$B$2:$B$11,"")</f>
        <v>SE Asia</v>
      </c>
      <c r="E2158" s="113" t="s">
        <v>119</v>
      </c>
      <c r="F2158" s="113" t="str">
        <f>_xlfn.XLOOKUP(E2158,'Allocated Transactions'!D:D,'Allocated Transactions'!E:E,"")</f>
        <v>Depreciation Expense</v>
      </c>
      <c r="G2158" s="113" t="s">
        <v>97</v>
      </c>
      <c r="H2158" s="113"/>
      <c r="I2158" s="113" t="str">
        <f>_xlfn.XLOOKUP($C2158,'Cost Centers'!$A$2:$A$11,'Cost Centers'!$C$2:$C$11,"")</f>
        <v>Programs</v>
      </c>
      <c r="J2158" s="23">
        <f>MROUND(SUMIFS('Allocated Transactions'!$J:$J,'Allocated Transactions'!$D:$D,$E2158,'Allocated Transactions'!$C:$C,$C2158,'Allocated Transactions'!$A:$A,"&gt;="&amp;$A2158,'Allocated Transactions'!$A:$A,"&lt;="&amp;EOMONTH($A2158,0))*0.99,100)</f>
        <v>0</v>
      </c>
      <c r="K2158" s="113" t="s">
        <v>637</v>
      </c>
    </row>
    <row r="2159" spans="1:11" ht="15" customHeight="1">
      <c r="A2159" s="112">
        <f t="shared" si="143"/>
        <v>46174</v>
      </c>
      <c r="B2159" s="113">
        <v>10</v>
      </c>
      <c r="C2159" s="18" t="str">
        <f t="shared" si="144"/>
        <v>2050</v>
      </c>
      <c r="D2159" s="113" t="str">
        <f>_xlfn.XLOOKUP($C2159,'Cost Centers'!$A$2:$A$11,'Cost Centers'!$B$2:$B$11,"")</f>
        <v>SE Asia</v>
      </c>
      <c r="E2159" s="113" t="s">
        <v>121</v>
      </c>
      <c r="F2159" s="113" t="str">
        <f>_xlfn.XLOOKUP(E2159,'Allocated Transactions'!D:D,'Allocated Transactions'!E:E,"")</f>
        <v>Bank Fees</v>
      </c>
      <c r="G2159" s="113" t="s">
        <v>97</v>
      </c>
      <c r="H2159" s="113"/>
      <c r="I2159" s="113" t="str">
        <f>_xlfn.XLOOKUP($C2159,'Cost Centers'!$A$2:$A$11,'Cost Centers'!$C$2:$C$11,"")</f>
        <v>Programs</v>
      </c>
      <c r="J2159" s="23">
        <f>MROUND(SUMIFS('Allocated Transactions'!$J:$J,'Allocated Transactions'!$D:$D,$E2159,'Allocated Transactions'!$C:$C,$C2159,'Allocated Transactions'!$A:$A,"&gt;="&amp;$A2159,'Allocated Transactions'!$A:$A,"&lt;="&amp;EOMONTH($A2159,0))*0.99,100)</f>
        <v>0</v>
      </c>
      <c r="K2159" s="113" t="s">
        <v>637</v>
      </c>
    </row>
    <row r="2160" spans="1:11" ht="15" customHeight="1">
      <c r="A2160" s="112">
        <f t="shared" si="143"/>
        <v>46174</v>
      </c>
      <c r="B2160" s="113">
        <v>10</v>
      </c>
      <c r="C2160" s="18" t="str">
        <f t="shared" si="144"/>
        <v>2050</v>
      </c>
      <c r="D2160" s="113" t="str">
        <f>_xlfn.XLOOKUP($C2160,'Cost Centers'!$A$2:$A$11,'Cost Centers'!$B$2:$B$11,"")</f>
        <v>SE Asia</v>
      </c>
      <c r="E2160" s="113" t="s">
        <v>123</v>
      </c>
      <c r="F2160" s="113" t="str">
        <f>_xlfn.XLOOKUP(E2160,'Allocated Transactions'!D:D,'Allocated Transactions'!E:E,"")</f>
        <v>Interest Expense</v>
      </c>
      <c r="G2160" s="113" t="s">
        <v>97</v>
      </c>
      <c r="H2160" s="113"/>
      <c r="I2160" s="113" t="str">
        <f>_xlfn.XLOOKUP($C2160,'Cost Centers'!$A$2:$A$11,'Cost Centers'!$C$2:$C$11,"")</f>
        <v>Programs</v>
      </c>
      <c r="J2160" s="23">
        <f>MROUND(SUMIFS('Allocated Transactions'!$J:$J,'Allocated Transactions'!$D:$D,$E2160,'Allocated Transactions'!$C:$C,$C2160,'Allocated Transactions'!$A:$A,"&gt;="&amp;$A2160,'Allocated Transactions'!$A:$A,"&lt;="&amp;EOMONTH($A2160,0))*0.99,100)</f>
        <v>0</v>
      </c>
      <c r="K2160" s="113" t="s">
        <v>637</v>
      </c>
    </row>
    <row r="2161" spans="1:11" ht="15" customHeight="1">
      <c r="A2161" s="112">
        <f t="shared" si="143"/>
        <v>46174</v>
      </c>
      <c r="B2161" s="113">
        <v>10</v>
      </c>
      <c r="C2161" s="18" t="str">
        <f t="shared" si="144"/>
        <v>2050</v>
      </c>
      <c r="D2161" s="113" t="str">
        <f>_xlfn.XLOOKUP($C2161,'Cost Centers'!$A$2:$A$11,'Cost Centers'!$B$2:$B$11,"")</f>
        <v>SE Asia</v>
      </c>
      <c r="E2161" s="113" t="s">
        <v>125</v>
      </c>
      <c r="F2161" s="113" t="str">
        <f>_xlfn.XLOOKUP(E2161,'Allocated Transactions'!D:D,'Allocated Transactions'!E:E,"")</f>
        <v>Miscellaneous Expense</v>
      </c>
      <c r="G2161" s="113" t="s">
        <v>97</v>
      </c>
      <c r="H2161" s="113"/>
      <c r="I2161" s="113" t="str">
        <f>_xlfn.XLOOKUP($C2161,'Cost Centers'!$A$2:$A$11,'Cost Centers'!$C$2:$C$11,"")</f>
        <v>Programs</v>
      </c>
      <c r="J2161" s="23">
        <f>MROUND(SUMIFS('Allocated Transactions'!$J:$J,'Allocated Transactions'!$D:$D,$E2161,'Allocated Transactions'!$C:$C,$C2161,'Allocated Transactions'!$A:$A,"&gt;="&amp;$A2161,'Allocated Transactions'!$A:$A,"&lt;="&amp;EOMONTH($A2161,0))*0.99,100)</f>
        <v>0</v>
      </c>
      <c r="K2161" s="113" t="s">
        <v>637</v>
      </c>
    </row>
    <row r="2162" spans="1:11" ht="15" customHeight="1">
      <c r="A2162" s="112">
        <v>45839</v>
      </c>
      <c r="B2162" s="113">
        <v>11</v>
      </c>
      <c r="C2162" s="18" t="s">
        <v>4</v>
      </c>
      <c r="D2162" s="113" t="str">
        <f>_xlfn.XLOOKUP($C2162,'Cost Centers'!$A$2:$A$11,'Cost Centers'!$B$2:$B$11,"")</f>
        <v>Executive</v>
      </c>
      <c r="E2162" s="113" t="s">
        <v>127</v>
      </c>
      <c r="F2162" s="113" t="str">
        <f>_xlfn.XLOOKUP(E2162,'Allocated Transactions'!D:D,'Allocated Transactions'!E:E,"")</f>
        <v>Indirect Cost Allocation</v>
      </c>
      <c r="G2162" s="113" t="s">
        <v>129</v>
      </c>
      <c r="H2162" s="113" t="s">
        <v>335</v>
      </c>
      <c r="I2162" s="113" t="str">
        <f>_xlfn.XLOOKUP($C2162,'Cost Centers'!$A$2:$A$11,'Cost Centers'!$C$2:$C$11,"")</f>
        <v>Admin</v>
      </c>
      <c r="J2162" s="23">
        <f t="array" ref="J2162">INDEX('Indirect Pool - Budget'!$A$2:$AA$38, MATCH(1, ('Indirect Pool - Budget'!$A$2:$A$38=C2162)*('Indirect Pool - Budget'!$C$2:$C$38=H2162), 0), MATCH(A2162,'Indirect Pool - Budget'!$A$2:$AA$2, 0))</f>
        <v>-2185.6370656370659</v>
      </c>
      <c r="K2162" s="113" t="s">
        <v>637</v>
      </c>
    </row>
    <row r="2163" spans="1:11" ht="15" customHeight="1">
      <c r="A2163" s="112">
        <v>45839</v>
      </c>
      <c r="B2163" s="113">
        <v>11</v>
      </c>
      <c r="C2163" s="18" t="s">
        <v>4</v>
      </c>
      <c r="D2163" s="113" t="str">
        <f>_xlfn.XLOOKUP($C2163,'Cost Centers'!$A$2:$A$11,'Cost Centers'!$B$2:$B$11,"")</f>
        <v>Executive</v>
      </c>
      <c r="E2163" s="113" t="s">
        <v>127</v>
      </c>
      <c r="F2163" s="113" t="str">
        <f>_xlfn.XLOOKUP(E2163,'Allocated Transactions'!D:D,'Allocated Transactions'!E:E,"")</f>
        <v>Indirect Cost Allocation</v>
      </c>
      <c r="G2163" s="113" t="s">
        <v>129</v>
      </c>
      <c r="H2163" s="113" t="s">
        <v>336</v>
      </c>
      <c r="I2163" s="113" t="str">
        <f>_xlfn.XLOOKUP($C2163,'Cost Centers'!$A$2:$A$11,'Cost Centers'!$C$2:$C$11,"")</f>
        <v>Admin</v>
      </c>
      <c r="J2163" s="23">
        <f t="array" ref="J2163">INDEX('Indirect Pool - Budget'!$A$2:$AA$38, MATCH(1, ('Indirect Pool - Budget'!$A$2:$A$38=C2163)*('Indirect Pool - Budget'!$C$2:$C$38=H2163), 0), MATCH(A2163,'Indirect Pool - Budget'!$A$2:$AA$2, 0))</f>
        <v>-1845.2509652509652</v>
      </c>
      <c r="K2163" s="113" t="s">
        <v>637</v>
      </c>
    </row>
    <row r="2164" spans="1:11" ht="15" customHeight="1">
      <c r="A2164" s="112">
        <v>45839</v>
      </c>
      <c r="B2164" s="113">
        <v>11</v>
      </c>
      <c r="C2164" s="18" t="s">
        <v>4</v>
      </c>
      <c r="D2164" s="113" t="str">
        <f>_xlfn.XLOOKUP($C2164,'Cost Centers'!$A$2:$A$11,'Cost Centers'!$B$2:$B$11,"")</f>
        <v>Executive</v>
      </c>
      <c r="E2164" s="113" t="s">
        <v>127</v>
      </c>
      <c r="F2164" s="113" t="str">
        <f>_xlfn.XLOOKUP(E2164,'Allocated Transactions'!D:D,'Allocated Transactions'!E:E,"")</f>
        <v>Indirect Cost Allocation</v>
      </c>
      <c r="G2164" s="113" t="s">
        <v>129</v>
      </c>
      <c r="H2164" s="113" t="s">
        <v>337</v>
      </c>
      <c r="I2164" s="113" t="str">
        <f>_xlfn.XLOOKUP($C2164,'Cost Centers'!$A$2:$A$11,'Cost Centers'!$C$2:$C$11,"")</f>
        <v>Admin</v>
      </c>
      <c r="J2164" s="23">
        <f t="array" ref="J2164">INDEX('Indirect Pool - Budget'!$A$2:$AA$38, MATCH(1, ('Indirect Pool - Budget'!$A$2:$A$38=C2164)*('Indirect Pool - Budget'!$C$2:$C$38=H2164), 0), MATCH(A2164,'Indirect Pool - Budget'!$A$2:$AA$2, 0))</f>
        <v>-2212.5096525096524</v>
      </c>
      <c r="K2164" s="113" t="s">
        <v>637</v>
      </c>
    </row>
    <row r="2165" spans="1:11" ht="15" customHeight="1">
      <c r="A2165" s="112">
        <v>45839</v>
      </c>
      <c r="B2165" s="113">
        <v>11</v>
      </c>
      <c r="C2165" s="18" t="s">
        <v>4</v>
      </c>
      <c r="D2165" s="113" t="str">
        <f>_xlfn.XLOOKUP($C2165,'Cost Centers'!$A$2:$A$11,'Cost Centers'!$B$2:$B$11,"")</f>
        <v>Executive</v>
      </c>
      <c r="E2165" s="113" t="s">
        <v>127</v>
      </c>
      <c r="F2165" s="113" t="str">
        <f>_xlfn.XLOOKUP(E2165,'Allocated Transactions'!D:D,'Allocated Transactions'!E:E,"")</f>
        <v>Indirect Cost Allocation</v>
      </c>
      <c r="G2165" s="113" t="s">
        <v>129</v>
      </c>
      <c r="H2165" s="113" t="s">
        <v>338</v>
      </c>
      <c r="I2165" s="113" t="str">
        <f>_xlfn.XLOOKUP($C2165,'Cost Centers'!$A$2:$A$11,'Cost Centers'!$C$2:$C$11,"")</f>
        <v>Admin</v>
      </c>
      <c r="J2165" s="23">
        <f t="array" ref="J2165">INDEX('Indirect Pool - Budget'!$A$2:$AA$38, MATCH(1, ('Indirect Pool - Budget'!$A$2:$A$38=C2165)*('Indirect Pool - Budget'!$C$2:$C$38=H2165), 0), MATCH(A2165,'Indirect Pool - Budget'!$A$2:$AA$2, 0))</f>
        <v>-2660.3861003861002</v>
      </c>
      <c r="K2165" s="113" t="s">
        <v>637</v>
      </c>
    </row>
    <row r="2166" spans="1:11" ht="15" customHeight="1">
      <c r="A2166" s="112">
        <v>45839</v>
      </c>
      <c r="B2166" s="113">
        <v>11</v>
      </c>
      <c r="C2166" s="18" t="s">
        <v>4</v>
      </c>
      <c r="D2166" s="113" t="str">
        <f>_xlfn.XLOOKUP($C2166,'Cost Centers'!$A$2:$A$11,'Cost Centers'!$B$2:$B$11,"")</f>
        <v>Executive</v>
      </c>
      <c r="E2166" s="113" t="s">
        <v>127</v>
      </c>
      <c r="F2166" s="113" t="str">
        <f>_xlfn.XLOOKUP(E2166,'Allocated Transactions'!D:D,'Allocated Transactions'!E:E,"")</f>
        <v>Indirect Cost Allocation</v>
      </c>
      <c r="G2166" s="113" t="s">
        <v>129</v>
      </c>
      <c r="H2166" s="113" t="s">
        <v>339</v>
      </c>
      <c r="I2166" s="113" t="str">
        <f>_xlfn.XLOOKUP($C2166,'Cost Centers'!$A$2:$A$11,'Cost Centers'!$C$2:$C$11,"")</f>
        <v>Admin</v>
      </c>
      <c r="J2166" s="23">
        <f t="array" ref="J2166">INDEX('Indirect Pool - Budget'!$A$2:$AA$38, MATCH(1, ('Indirect Pool - Budget'!$A$2:$A$38=C2166)*('Indirect Pool - Budget'!$C$2:$C$38=H2166), 0), MATCH(A2166,'Indirect Pool - Budget'!$A$2:$AA$2, 0))</f>
        <v>-2696.2162162162163</v>
      </c>
      <c r="K2166" s="113" t="s">
        <v>637</v>
      </c>
    </row>
    <row r="2167" spans="1:11" ht="15" customHeight="1">
      <c r="A2167" s="112">
        <v>45839</v>
      </c>
      <c r="B2167" s="113">
        <v>11</v>
      </c>
      <c r="C2167" s="18" t="s">
        <v>6</v>
      </c>
      <c r="D2167" s="113" t="str">
        <f>_xlfn.XLOOKUP($C2167,'Cost Centers'!$A$2:$A$11,'Cost Centers'!$B$2:$B$11,"")</f>
        <v>Human Resources</v>
      </c>
      <c r="E2167" s="113" t="s">
        <v>127</v>
      </c>
      <c r="F2167" s="113" t="str">
        <f>_xlfn.XLOOKUP(E2167,'Allocated Transactions'!D:D,'Allocated Transactions'!E:E,"")</f>
        <v>Indirect Cost Allocation</v>
      </c>
      <c r="G2167" s="113" t="s">
        <v>129</v>
      </c>
      <c r="H2167" s="113" t="s">
        <v>335</v>
      </c>
      <c r="I2167" s="113" t="str">
        <f>_xlfn.XLOOKUP($C2167,'Cost Centers'!$A$2:$A$11,'Cost Centers'!$C$2:$C$11,"")</f>
        <v>Admin</v>
      </c>
      <c r="J2167" s="23">
        <f t="array" ref="J2167">INDEX('Indirect Pool - Budget'!$A$2:$AA$38, MATCH(1, ('Indirect Pool - Budget'!$A$2:$A$38=C2167)*('Indirect Pool - Budget'!$C$2:$C$38=H2167), 0), MATCH(A2167,'Indirect Pool - Budget'!$A$2:$AA$2, 0))</f>
        <v>-2788.5714285714284</v>
      </c>
      <c r="K2167" s="113" t="s">
        <v>637</v>
      </c>
    </row>
    <row r="2168" spans="1:11" ht="15" customHeight="1">
      <c r="A2168" s="112">
        <v>45839</v>
      </c>
      <c r="B2168" s="113">
        <v>11</v>
      </c>
      <c r="C2168" s="18" t="s">
        <v>6</v>
      </c>
      <c r="D2168" s="113" t="str">
        <f>_xlfn.XLOOKUP($C2168,'Cost Centers'!$A$2:$A$11,'Cost Centers'!$B$2:$B$11,"")</f>
        <v>Human Resources</v>
      </c>
      <c r="E2168" s="113" t="s">
        <v>127</v>
      </c>
      <c r="F2168" s="113" t="str">
        <f>_xlfn.XLOOKUP(E2168,'Allocated Transactions'!D:D,'Allocated Transactions'!E:E,"")</f>
        <v>Indirect Cost Allocation</v>
      </c>
      <c r="G2168" s="113" t="s">
        <v>129</v>
      </c>
      <c r="H2168" s="113" t="s">
        <v>336</v>
      </c>
      <c r="I2168" s="113" t="str">
        <f>_xlfn.XLOOKUP($C2168,'Cost Centers'!$A$2:$A$11,'Cost Centers'!$C$2:$C$11,"")</f>
        <v>Admin</v>
      </c>
      <c r="J2168" s="23">
        <f t="array" ref="J2168">INDEX('Indirect Pool - Budget'!$A$2:$AA$38, MATCH(1, ('Indirect Pool - Budget'!$A$2:$A$38=C2168)*('Indirect Pool - Budget'!$C$2:$C$38=H2168), 0), MATCH(A2168,'Indirect Pool - Budget'!$A$2:$AA$2, 0))</f>
        <v>-2354.2857142857142</v>
      </c>
      <c r="K2168" s="113" t="s">
        <v>637</v>
      </c>
    </row>
    <row r="2169" spans="1:11" ht="15" customHeight="1">
      <c r="A2169" s="112">
        <v>45839</v>
      </c>
      <c r="B2169" s="113">
        <v>11</v>
      </c>
      <c r="C2169" s="18" t="s">
        <v>6</v>
      </c>
      <c r="D2169" s="113" t="str">
        <f>_xlfn.XLOOKUP($C2169,'Cost Centers'!$A$2:$A$11,'Cost Centers'!$B$2:$B$11,"")</f>
        <v>Human Resources</v>
      </c>
      <c r="E2169" s="113" t="s">
        <v>127</v>
      </c>
      <c r="F2169" s="113" t="str">
        <f>_xlfn.XLOOKUP(E2169,'Allocated Transactions'!D:D,'Allocated Transactions'!E:E,"")</f>
        <v>Indirect Cost Allocation</v>
      </c>
      <c r="G2169" s="113" t="s">
        <v>129</v>
      </c>
      <c r="H2169" s="113" t="s">
        <v>337</v>
      </c>
      <c r="I2169" s="113" t="str">
        <f>_xlfn.XLOOKUP($C2169,'Cost Centers'!$A$2:$A$11,'Cost Centers'!$C$2:$C$11,"")</f>
        <v>Admin</v>
      </c>
      <c r="J2169" s="23">
        <f t="array" ref="J2169">INDEX('Indirect Pool - Budget'!$A$2:$AA$38, MATCH(1, ('Indirect Pool - Budget'!$A$2:$A$38=C2169)*('Indirect Pool - Budget'!$C$2:$C$38=H2169), 0), MATCH(A2169,'Indirect Pool - Budget'!$A$2:$AA$2, 0))</f>
        <v>-2822.8571428571427</v>
      </c>
      <c r="K2169" s="113" t="s">
        <v>637</v>
      </c>
    </row>
    <row r="2170" spans="1:11" ht="15" customHeight="1">
      <c r="A2170" s="112">
        <v>45839</v>
      </c>
      <c r="B2170" s="113">
        <v>11</v>
      </c>
      <c r="C2170" s="18" t="s">
        <v>6</v>
      </c>
      <c r="D2170" s="113" t="str">
        <f>_xlfn.XLOOKUP($C2170,'Cost Centers'!$A$2:$A$11,'Cost Centers'!$B$2:$B$11,"")</f>
        <v>Human Resources</v>
      </c>
      <c r="E2170" s="113" t="s">
        <v>127</v>
      </c>
      <c r="F2170" s="113" t="str">
        <f>_xlfn.XLOOKUP(E2170,'Allocated Transactions'!D:D,'Allocated Transactions'!E:E,"")</f>
        <v>Indirect Cost Allocation</v>
      </c>
      <c r="G2170" s="113" t="s">
        <v>129</v>
      </c>
      <c r="H2170" s="113" t="s">
        <v>338</v>
      </c>
      <c r="I2170" s="113" t="str">
        <f>_xlfn.XLOOKUP($C2170,'Cost Centers'!$A$2:$A$11,'Cost Centers'!$C$2:$C$11,"")</f>
        <v>Admin</v>
      </c>
      <c r="J2170" s="23">
        <f t="array" ref="J2170">INDEX('Indirect Pool - Budget'!$A$2:$AA$38, MATCH(1, ('Indirect Pool - Budget'!$A$2:$A$38=C2170)*('Indirect Pool - Budget'!$C$2:$C$38=H2170), 0), MATCH(A2170,'Indirect Pool - Budget'!$A$2:$AA$2, 0))</f>
        <v>-3394.2857142857142</v>
      </c>
      <c r="K2170" s="113" t="s">
        <v>637</v>
      </c>
    </row>
    <row r="2171" spans="1:11" ht="15" customHeight="1">
      <c r="A2171" s="112">
        <v>45839</v>
      </c>
      <c r="B2171" s="113">
        <v>11</v>
      </c>
      <c r="C2171" s="18" t="s">
        <v>6</v>
      </c>
      <c r="D2171" s="113" t="str">
        <f>_xlfn.XLOOKUP($C2171,'Cost Centers'!$A$2:$A$11,'Cost Centers'!$B$2:$B$11,"")</f>
        <v>Human Resources</v>
      </c>
      <c r="E2171" s="113" t="s">
        <v>127</v>
      </c>
      <c r="F2171" s="113" t="str">
        <f>_xlfn.XLOOKUP(E2171,'Allocated Transactions'!D:D,'Allocated Transactions'!E:E,"")</f>
        <v>Indirect Cost Allocation</v>
      </c>
      <c r="G2171" s="113" t="s">
        <v>129</v>
      </c>
      <c r="H2171" s="113" t="s">
        <v>339</v>
      </c>
      <c r="I2171" s="113" t="str">
        <f>_xlfn.XLOOKUP($C2171,'Cost Centers'!$A$2:$A$11,'Cost Centers'!$C$2:$C$11,"")</f>
        <v>Admin</v>
      </c>
      <c r="J2171" s="23">
        <f t="array" ref="J2171">INDEX('Indirect Pool - Budget'!$A$2:$AA$38, MATCH(1, ('Indirect Pool - Budget'!$A$2:$A$38=C2171)*('Indirect Pool - Budget'!$C$2:$C$38=H2171), 0), MATCH(A2171,'Indirect Pool - Budget'!$A$2:$AA$2, 0))</f>
        <v>-3440</v>
      </c>
      <c r="K2171" s="113" t="s">
        <v>637</v>
      </c>
    </row>
    <row r="2172" spans="1:11" ht="15" customHeight="1">
      <c r="A2172" s="112">
        <v>45839</v>
      </c>
      <c r="B2172" s="113">
        <v>11</v>
      </c>
      <c r="C2172" s="18" t="s">
        <v>8</v>
      </c>
      <c r="D2172" s="113" t="str">
        <f>_xlfn.XLOOKUP($C2172,'Cost Centers'!$A$2:$A$11,'Cost Centers'!$B$2:$B$11,"")</f>
        <v>Finance</v>
      </c>
      <c r="E2172" s="113" t="s">
        <v>127</v>
      </c>
      <c r="F2172" s="113" t="str">
        <f>_xlfn.XLOOKUP(E2172,'Allocated Transactions'!D:D,'Allocated Transactions'!E:E,"")</f>
        <v>Indirect Cost Allocation</v>
      </c>
      <c r="G2172" s="113" t="s">
        <v>129</v>
      </c>
      <c r="H2172" s="113" t="s">
        <v>335</v>
      </c>
      <c r="I2172" s="113" t="str">
        <f>_xlfn.XLOOKUP($C2172,'Cost Centers'!$A$2:$A$11,'Cost Centers'!$C$2:$C$11,"")</f>
        <v>Admin</v>
      </c>
      <c r="J2172" s="23">
        <f t="array" ref="J2172">INDEX('Indirect Pool - Budget'!$A$2:$AA$38, MATCH(1, ('Indirect Pool - Budget'!$A$2:$A$38=C2172)*('Indirect Pool - Budget'!$C$2:$C$38=H2172), 0), MATCH(A2172,'Indirect Pool - Budget'!$A$2:$AA$2, 0))</f>
        <v>-2618.9961389961391</v>
      </c>
      <c r="K2172" s="113" t="s">
        <v>637</v>
      </c>
    </row>
    <row r="2173" spans="1:11" ht="15" customHeight="1">
      <c r="A2173" s="112">
        <v>45839</v>
      </c>
      <c r="B2173" s="113">
        <v>11</v>
      </c>
      <c r="C2173" s="18" t="s">
        <v>8</v>
      </c>
      <c r="D2173" s="113" t="str">
        <f>_xlfn.XLOOKUP($C2173,'Cost Centers'!$A$2:$A$11,'Cost Centers'!$B$2:$B$11,"")</f>
        <v>Finance</v>
      </c>
      <c r="E2173" s="113" t="s">
        <v>127</v>
      </c>
      <c r="F2173" s="113" t="str">
        <f>_xlfn.XLOOKUP(E2173,'Allocated Transactions'!D:D,'Allocated Transactions'!E:E,"")</f>
        <v>Indirect Cost Allocation</v>
      </c>
      <c r="G2173" s="113" t="s">
        <v>129</v>
      </c>
      <c r="H2173" s="113" t="s">
        <v>336</v>
      </c>
      <c r="I2173" s="113" t="str">
        <f>_xlfn.XLOOKUP($C2173,'Cost Centers'!$A$2:$A$11,'Cost Centers'!$C$2:$C$11,"")</f>
        <v>Admin</v>
      </c>
      <c r="J2173" s="23">
        <f t="array" ref="J2173">INDEX('Indirect Pool - Budget'!$A$2:$AA$38, MATCH(1, ('Indirect Pool - Budget'!$A$2:$A$38=C2173)*('Indirect Pool - Budget'!$C$2:$C$38=H2173), 0), MATCH(A2173,'Indirect Pool - Budget'!$A$2:$AA$2, 0))</f>
        <v>-2211.1196911196912</v>
      </c>
      <c r="K2173" s="113" t="s">
        <v>637</v>
      </c>
    </row>
    <row r="2174" spans="1:11" ht="15" customHeight="1">
      <c r="A2174" s="112">
        <v>45839</v>
      </c>
      <c r="B2174" s="113">
        <v>11</v>
      </c>
      <c r="C2174" s="18" t="s">
        <v>8</v>
      </c>
      <c r="D2174" s="113" t="str">
        <f>_xlfn.XLOOKUP($C2174,'Cost Centers'!$A$2:$A$11,'Cost Centers'!$B$2:$B$11,"")</f>
        <v>Finance</v>
      </c>
      <c r="E2174" s="113" t="s">
        <v>127</v>
      </c>
      <c r="F2174" s="113" t="str">
        <f>_xlfn.XLOOKUP(E2174,'Allocated Transactions'!D:D,'Allocated Transactions'!E:E,"")</f>
        <v>Indirect Cost Allocation</v>
      </c>
      <c r="G2174" s="113" t="s">
        <v>129</v>
      </c>
      <c r="H2174" s="113" t="s">
        <v>337</v>
      </c>
      <c r="I2174" s="113" t="str">
        <f>_xlfn.XLOOKUP($C2174,'Cost Centers'!$A$2:$A$11,'Cost Centers'!$C$2:$C$11,"")</f>
        <v>Admin</v>
      </c>
      <c r="J2174" s="23">
        <f t="array" ref="J2174">INDEX('Indirect Pool - Budget'!$A$2:$AA$38, MATCH(1, ('Indirect Pool - Budget'!$A$2:$A$38=C2174)*('Indirect Pool - Budget'!$C$2:$C$38=H2174), 0), MATCH(A2174,'Indirect Pool - Budget'!$A$2:$AA$2, 0))</f>
        <v>-2651.1969111969111</v>
      </c>
      <c r="K2174" s="113" t="s">
        <v>637</v>
      </c>
    </row>
    <row r="2175" spans="1:11" ht="15" customHeight="1">
      <c r="A2175" s="112">
        <v>45839</v>
      </c>
      <c r="B2175" s="113">
        <v>11</v>
      </c>
      <c r="C2175" s="18" t="s">
        <v>8</v>
      </c>
      <c r="D2175" s="113" t="str">
        <f>_xlfn.XLOOKUP($C2175,'Cost Centers'!$A$2:$A$11,'Cost Centers'!$B$2:$B$11,"")</f>
        <v>Finance</v>
      </c>
      <c r="E2175" s="113" t="s">
        <v>127</v>
      </c>
      <c r="F2175" s="113" t="str">
        <f>_xlfn.XLOOKUP(E2175,'Allocated Transactions'!D:D,'Allocated Transactions'!E:E,"")</f>
        <v>Indirect Cost Allocation</v>
      </c>
      <c r="G2175" s="113" t="s">
        <v>129</v>
      </c>
      <c r="H2175" s="113" t="s">
        <v>338</v>
      </c>
      <c r="I2175" s="113" t="str">
        <f>_xlfn.XLOOKUP($C2175,'Cost Centers'!$A$2:$A$11,'Cost Centers'!$C$2:$C$11,"")</f>
        <v>Admin</v>
      </c>
      <c r="J2175" s="23">
        <f t="array" ref="J2175">INDEX('Indirect Pool - Budget'!$A$2:$AA$38, MATCH(1, ('Indirect Pool - Budget'!$A$2:$A$38=C2175)*('Indirect Pool - Budget'!$C$2:$C$38=H2175), 0), MATCH(A2175,'Indirect Pool - Budget'!$A$2:$AA$2, 0))</f>
        <v>-3187.8764478764479</v>
      </c>
      <c r="K2175" s="113" t="s">
        <v>637</v>
      </c>
    </row>
    <row r="2176" spans="1:11" ht="15" customHeight="1">
      <c r="A2176" s="112">
        <v>45839</v>
      </c>
      <c r="B2176" s="113">
        <v>11</v>
      </c>
      <c r="C2176" s="18" t="s">
        <v>8</v>
      </c>
      <c r="D2176" s="113" t="str">
        <f>_xlfn.XLOOKUP($C2176,'Cost Centers'!$A$2:$A$11,'Cost Centers'!$B$2:$B$11,"")</f>
        <v>Finance</v>
      </c>
      <c r="E2176" s="113" t="s">
        <v>127</v>
      </c>
      <c r="F2176" s="113" t="str">
        <f>_xlfn.XLOOKUP(E2176,'Allocated Transactions'!D:D,'Allocated Transactions'!E:E,"")</f>
        <v>Indirect Cost Allocation</v>
      </c>
      <c r="G2176" s="113" t="s">
        <v>129</v>
      </c>
      <c r="H2176" s="113" t="s">
        <v>339</v>
      </c>
      <c r="I2176" s="113" t="str">
        <f>_xlfn.XLOOKUP($C2176,'Cost Centers'!$A$2:$A$11,'Cost Centers'!$C$2:$C$11,"")</f>
        <v>Admin</v>
      </c>
      <c r="J2176" s="23">
        <f t="array" ref="J2176">INDEX('Indirect Pool - Budget'!$A$2:$AA$38, MATCH(1, ('Indirect Pool - Budget'!$A$2:$A$38=C2176)*('Indirect Pool - Budget'!$C$2:$C$38=H2176), 0), MATCH(A2176,'Indirect Pool - Budget'!$A$2:$AA$2, 0))</f>
        <v>-3230.8108108108108</v>
      </c>
      <c r="K2176" s="113" t="s">
        <v>637</v>
      </c>
    </row>
    <row r="2177" spans="1:11" ht="15" customHeight="1">
      <c r="A2177" s="112">
        <v>45839</v>
      </c>
      <c r="B2177" s="113">
        <v>11</v>
      </c>
      <c r="C2177" s="18" t="s">
        <v>10</v>
      </c>
      <c r="D2177" s="113" t="str">
        <f>_xlfn.XLOOKUP($C2177,'Cost Centers'!$A$2:$A$11,'Cost Centers'!$B$2:$B$11,"")</f>
        <v>Business Development</v>
      </c>
      <c r="E2177" s="113" t="s">
        <v>127</v>
      </c>
      <c r="F2177" s="113" t="str">
        <f>_xlfn.XLOOKUP(E2177,'Allocated Transactions'!D:D,'Allocated Transactions'!E:E,"")</f>
        <v>Indirect Cost Allocation</v>
      </c>
      <c r="G2177" s="113" t="s">
        <v>129</v>
      </c>
      <c r="H2177" s="113" t="s">
        <v>335</v>
      </c>
      <c r="I2177" s="113" t="str">
        <f>_xlfn.XLOOKUP($C2177,'Cost Centers'!$A$2:$A$11,'Cost Centers'!$C$2:$C$11,"")</f>
        <v>Admin</v>
      </c>
      <c r="J2177" s="23">
        <f t="array" ref="J2177">INDEX('Indirect Pool - Budget'!$A$2:$AA$38, MATCH(1, ('Indirect Pool - Budget'!$A$2:$A$38=C2177)*('Indirect Pool - Budget'!$C$2:$C$38=H2177), 0), MATCH(A2177,'Indirect Pool - Budget'!$A$2:$AA$2, 0))</f>
        <v>-2939.3050193050194</v>
      </c>
      <c r="K2177" s="113" t="s">
        <v>637</v>
      </c>
    </row>
    <row r="2178" spans="1:11" ht="15" customHeight="1">
      <c r="A2178" s="112">
        <v>45839</v>
      </c>
      <c r="B2178" s="113">
        <v>11</v>
      </c>
      <c r="C2178" s="18" t="s">
        <v>10</v>
      </c>
      <c r="D2178" s="113" t="str">
        <f>_xlfn.XLOOKUP($C2178,'Cost Centers'!$A$2:$A$11,'Cost Centers'!$B$2:$B$11,"")</f>
        <v>Business Development</v>
      </c>
      <c r="E2178" s="113" t="s">
        <v>127</v>
      </c>
      <c r="F2178" s="113" t="str">
        <f>_xlfn.XLOOKUP(E2178,'Allocated Transactions'!D:D,'Allocated Transactions'!E:E,"")</f>
        <v>Indirect Cost Allocation</v>
      </c>
      <c r="G2178" s="113" t="s">
        <v>129</v>
      </c>
      <c r="H2178" s="113" t="s">
        <v>336</v>
      </c>
      <c r="I2178" s="113" t="str">
        <f>_xlfn.XLOOKUP($C2178,'Cost Centers'!$A$2:$A$11,'Cost Centers'!$C$2:$C$11,"")</f>
        <v>Admin</v>
      </c>
      <c r="J2178" s="23">
        <f t="array" ref="J2178">INDEX('Indirect Pool - Budget'!$A$2:$AA$38, MATCH(1, ('Indirect Pool - Budget'!$A$2:$A$38=C2178)*('Indirect Pool - Budget'!$C$2:$C$38=H2178), 0), MATCH(A2178,'Indirect Pool - Budget'!$A$2:$AA$2, 0))</f>
        <v>-2481.5444015444014</v>
      </c>
      <c r="K2178" s="113" t="s">
        <v>637</v>
      </c>
    </row>
    <row r="2179" spans="1:11" ht="15" customHeight="1">
      <c r="A2179" s="112">
        <v>45839</v>
      </c>
      <c r="B2179" s="113">
        <v>11</v>
      </c>
      <c r="C2179" s="18" t="s">
        <v>10</v>
      </c>
      <c r="D2179" s="113" t="str">
        <f>_xlfn.XLOOKUP($C2179,'Cost Centers'!$A$2:$A$11,'Cost Centers'!$B$2:$B$11,"")</f>
        <v>Business Development</v>
      </c>
      <c r="E2179" s="113" t="s">
        <v>127</v>
      </c>
      <c r="F2179" s="113" t="str">
        <f>_xlfn.XLOOKUP(E2179,'Allocated Transactions'!D:D,'Allocated Transactions'!E:E,"")</f>
        <v>Indirect Cost Allocation</v>
      </c>
      <c r="G2179" s="113" t="s">
        <v>129</v>
      </c>
      <c r="H2179" s="113" t="s">
        <v>337</v>
      </c>
      <c r="I2179" s="113" t="str">
        <f>_xlfn.XLOOKUP($C2179,'Cost Centers'!$A$2:$A$11,'Cost Centers'!$C$2:$C$11,"")</f>
        <v>Admin</v>
      </c>
      <c r="J2179" s="23">
        <f t="array" ref="J2179">INDEX('Indirect Pool - Budget'!$A$2:$AA$38, MATCH(1, ('Indirect Pool - Budget'!$A$2:$A$38=C2179)*('Indirect Pool - Budget'!$C$2:$C$38=H2179), 0), MATCH(A2179,'Indirect Pool - Budget'!$A$2:$AA$2, 0))</f>
        <v>-2975.4440154440153</v>
      </c>
      <c r="K2179" s="113" t="s">
        <v>637</v>
      </c>
    </row>
    <row r="2180" spans="1:11" ht="15" customHeight="1">
      <c r="A2180" s="112">
        <v>45839</v>
      </c>
      <c r="B2180" s="113">
        <v>11</v>
      </c>
      <c r="C2180" s="18" t="s">
        <v>10</v>
      </c>
      <c r="D2180" s="113" t="str">
        <f>_xlfn.XLOOKUP($C2180,'Cost Centers'!$A$2:$A$11,'Cost Centers'!$B$2:$B$11,"")</f>
        <v>Business Development</v>
      </c>
      <c r="E2180" s="113" t="s">
        <v>127</v>
      </c>
      <c r="F2180" s="113" t="str">
        <f>_xlfn.XLOOKUP(E2180,'Allocated Transactions'!D:D,'Allocated Transactions'!E:E,"")</f>
        <v>Indirect Cost Allocation</v>
      </c>
      <c r="G2180" s="113" t="s">
        <v>129</v>
      </c>
      <c r="H2180" s="113" t="s">
        <v>338</v>
      </c>
      <c r="I2180" s="113" t="str">
        <f>_xlfn.XLOOKUP($C2180,'Cost Centers'!$A$2:$A$11,'Cost Centers'!$C$2:$C$11,"")</f>
        <v>Admin</v>
      </c>
      <c r="J2180" s="23">
        <f t="array" ref="J2180">INDEX('Indirect Pool - Budget'!$A$2:$AA$38, MATCH(1, ('Indirect Pool - Budget'!$A$2:$A$38=C2180)*('Indirect Pool - Budget'!$C$2:$C$38=H2180), 0), MATCH(A2180,'Indirect Pool - Budget'!$A$2:$AA$2, 0))</f>
        <v>-3577.7606177606176</v>
      </c>
      <c r="K2180" s="113" t="s">
        <v>637</v>
      </c>
    </row>
    <row r="2181" spans="1:11" ht="15" customHeight="1">
      <c r="A2181" s="112">
        <v>45839</v>
      </c>
      <c r="B2181" s="113">
        <v>11</v>
      </c>
      <c r="C2181" s="18" t="s">
        <v>10</v>
      </c>
      <c r="D2181" s="113" t="str">
        <f>_xlfn.XLOOKUP($C2181,'Cost Centers'!$A$2:$A$11,'Cost Centers'!$B$2:$B$11,"")</f>
        <v>Business Development</v>
      </c>
      <c r="E2181" s="113" t="s">
        <v>127</v>
      </c>
      <c r="F2181" s="113" t="str">
        <f>_xlfn.XLOOKUP(E2181,'Allocated Transactions'!D:D,'Allocated Transactions'!E:E,"")</f>
        <v>Indirect Cost Allocation</v>
      </c>
      <c r="G2181" s="113" t="s">
        <v>129</v>
      </c>
      <c r="H2181" s="113" t="s">
        <v>339</v>
      </c>
      <c r="I2181" s="113" t="str">
        <f>_xlfn.XLOOKUP($C2181,'Cost Centers'!$A$2:$A$11,'Cost Centers'!$C$2:$C$11,"")</f>
        <v>Admin</v>
      </c>
      <c r="J2181" s="23">
        <f t="array" ref="J2181">INDEX('Indirect Pool - Budget'!$A$2:$AA$38, MATCH(1, ('Indirect Pool - Budget'!$A$2:$A$38=C2181)*('Indirect Pool - Budget'!$C$2:$C$38=H2181), 0), MATCH(A2181,'Indirect Pool - Budget'!$A$2:$AA$2, 0))</f>
        <v>-3625.9459459459463</v>
      </c>
      <c r="K2181" s="113" t="s">
        <v>637</v>
      </c>
    </row>
    <row r="2182" spans="1:11" ht="15" customHeight="1">
      <c r="A2182" s="112">
        <f t="shared" ref="A2182:A2245" si="145">IF(C2181&amp;C2182="10501010",EOMONTH(A2181,0)+1,A2181)</f>
        <v>45870</v>
      </c>
      <c r="B2182" s="113">
        <v>12</v>
      </c>
      <c r="C2182" s="18" t="s">
        <v>4</v>
      </c>
      <c r="D2182" s="113" t="str">
        <f>_xlfn.XLOOKUP($C2182,'Cost Centers'!$A$2:$A$11,'Cost Centers'!$B$2:$B$11,"")</f>
        <v>Executive</v>
      </c>
      <c r="E2182" s="113" t="s">
        <v>127</v>
      </c>
      <c r="F2182" s="113" t="str">
        <f>_xlfn.XLOOKUP(E2182,'Allocated Transactions'!D:D,'Allocated Transactions'!E:E,"")</f>
        <v>Indirect Cost Allocation</v>
      </c>
      <c r="G2182" s="113" t="s">
        <v>129</v>
      </c>
      <c r="H2182" s="113" t="s">
        <v>335</v>
      </c>
      <c r="I2182" s="113" t="str">
        <f>_xlfn.XLOOKUP($C2182,'Cost Centers'!$A$2:$A$11,'Cost Centers'!$C$2:$C$11,"")</f>
        <v>Admin</v>
      </c>
      <c r="J2182" s="23">
        <f t="array" ref="J2182">INDEX('Indirect Pool - Budget'!$A$2:$AA$38, MATCH(1, ('Indirect Pool - Budget'!$A$2:$A$38=C2182)*('Indirect Pool - Budget'!$C$2:$C$38=H2182), 0), MATCH(A2182,'Indirect Pool - Budget'!$A$2:$AA$2, 0))</f>
        <v>-2468.5778108711838</v>
      </c>
      <c r="K2182" s="113" t="s">
        <v>637</v>
      </c>
    </row>
    <row r="2183" spans="1:11" ht="15" customHeight="1">
      <c r="A2183" s="112">
        <f t="shared" si="145"/>
        <v>45870</v>
      </c>
      <c r="B2183" s="113">
        <v>12</v>
      </c>
      <c r="C2183" s="18" t="s">
        <v>4</v>
      </c>
      <c r="D2183" s="113" t="str">
        <f>_xlfn.XLOOKUP($C2183,'Cost Centers'!$A$2:$A$11,'Cost Centers'!$B$2:$B$11,"")</f>
        <v>Executive</v>
      </c>
      <c r="E2183" s="113" t="s">
        <v>127</v>
      </c>
      <c r="F2183" s="113" t="str">
        <f>_xlfn.XLOOKUP(E2183,'Allocated Transactions'!D:D,'Allocated Transactions'!E:E,"")</f>
        <v>Indirect Cost Allocation</v>
      </c>
      <c r="G2183" s="113" t="s">
        <v>129</v>
      </c>
      <c r="H2183" s="113" t="s">
        <v>336</v>
      </c>
      <c r="I2183" s="113" t="str">
        <f>_xlfn.XLOOKUP($C2183,'Cost Centers'!$A$2:$A$11,'Cost Centers'!$C$2:$C$11,"")</f>
        <v>Admin</v>
      </c>
      <c r="J2183" s="23">
        <f t="array" ref="J2183">INDEX('Indirect Pool - Budget'!$A$2:$AA$38, MATCH(1, ('Indirect Pool - Budget'!$A$2:$A$38=C2183)*('Indirect Pool - Budget'!$C$2:$C$38=H2183), 0), MATCH(A2183,'Indirect Pool - Budget'!$A$2:$AA$2, 0))</f>
        <v>-2074.7580044676097</v>
      </c>
      <c r="K2183" s="113" t="s">
        <v>637</v>
      </c>
    </row>
    <row r="2184" spans="1:11" ht="15" customHeight="1">
      <c r="A2184" s="112">
        <f t="shared" si="145"/>
        <v>45870</v>
      </c>
      <c r="B2184" s="113">
        <v>12</v>
      </c>
      <c r="C2184" s="18" t="s">
        <v>4</v>
      </c>
      <c r="D2184" s="113" t="str">
        <f>_xlfn.XLOOKUP($C2184,'Cost Centers'!$A$2:$A$11,'Cost Centers'!$B$2:$B$11,"")</f>
        <v>Executive</v>
      </c>
      <c r="E2184" s="113" t="s">
        <v>127</v>
      </c>
      <c r="F2184" s="113" t="str">
        <f>_xlfn.XLOOKUP(E2184,'Allocated Transactions'!D:D,'Allocated Transactions'!E:E,"")</f>
        <v>Indirect Cost Allocation</v>
      </c>
      <c r="G2184" s="113" t="s">
        <v>129</v>
      </c>
      <c r="H2184" s="113" t="s">
        <v>337</v>
      </c>
      <c r="I2184" s="113" t="str">
        <f>_xlfn.XLOOKUP($C2184,'Cost Centers'!$A$2:$A$11,'Cost Centers'!$C$2:$C$11,"")</f>
        <v>Admin</v>
      </c>
      <c r="J2184" s="23">
        <f t="array" ref="J2184">INDEX('Indirect Pool - Budget'!$A$2:$AA$38, MATCH(1, ('Indirect Pool - Budget'!$A$2:$A$38=C2184)*('Indirect Pool - Budget'!$C$2:$C$38=H2184), 0), MATCH(A2184,'Indirect Pool - Budget'!$A$2:$AA$2, 0))</f>
        <v>-2161.2062546537604</v>
      </c>
      <c r="K2184" s="113" t="s">
        <v>637</v>
      </c>
    </row>
    <row r="2185" spans="1:11" ht="15" customHeight="1">
      <c r="A2185" s="112">
        <f t="shared" si="145"/>
        <v>45870</v>
      </c>
      <c r="B2185" s="113">
        <v>12</v>
      </c>
      <c r="C2185" s="18" t="s">
        <v>4</v>
      </c>
      <c r="D2185" s="113" t="str">
        <f>_xlfn.XLOOKUP($C2185,'Cost Centers'!$A$2:$A$11,'Cost Centers'!$B$2:$B$11,"")</f>
        <v>Executive</v>
      </c>
      <c r="E2185" s="113" t="s">
        <v>127</v>
      </c>
      <c r="F2185" s="113" t="str">
        <f>_xlfn.XLOOKUP(E2185,'Allocated Transactions'!D:D,'Allocated Transactions'!E:E,"")</f>
        <v>Indirect Cost Allocation</v>
      </c>
      <c r="G2185" s="113" t="s">
        <v>129</v>
      </c>
      <c r="H2185" s="113" t="s">
        <v>338</v>
      </c>
      <c r="I2185" s="113" t="str">
        <f>_xlfn.XLOOKUP($C2185,'Cost Centers'!$A$2:$A$11,'Cost Centers'!$C$2:$C$11,"")</f>
        <v>Admin</v>
      </c>
      <c r="J2185" s="23">
        <f t="array" ref="J2185">INDEX('Indirect Pool - Budget'!$A$2:$AA$38, MATCH(1, ('Indirect Pool - Budget'!$A$2:$A$38=C2185)*('Indirect Pool - Budget'!$C$2:$C$38=H2185), 0), MATCH(A2185,'Indirect Pool - Budget'!$A$2:$AA$2, 0))</f>
        <v>-3409.9032017870441</v>
      </c>
      <c r="K2185" s="113" t="s">
        <v>637</v>
      </c>
    </row>
    <row r="2186" spans="1:11" ht="15" customHeight="1">
      <c r="A2186" s="112">
        <f t="shared" si="145"/>
        <v>45870</v>
      </c>
      <c r="B2186" s="113">
        <v>12</v>
      </c>
      <c r="C2186" s="18" t="s">
        <v>4</v>
      </c>
      <c r="D2186" s="113" t="str">
        <f>_xlfn.XLOOKUP($C2186,'Cost Centers'!$A$2:$A$11,'Cost Centers'!$B$2:$B$11,"")</f>
        <v>Executive</v>
      </c>
      <c r="E2186" s="113" t="s">
        <v>127</v>
      </c>
      <c r="F2186" s="113" t="str">
        <f>_xlfn.XLOOKUP(E2186,'Allocated Transactions'!D:D,'Allocated Transactions'!E:E,"")</f>
        <v>Indirect Cost Allocation</v>
      </c>
      <c r="G2186" s="113" t="s">
        <v>129</v>
      </c>
      <c r="H2186" s="113" t="s">
        <v>339</v>
      </c>
      <c r="I2186" s="113" t="str">
        <f>_xlfn.XLOOKUP($C2186,'Cost Centers'!$A$2:$A$11,'Cost Centers'!$C$2:$C$11,"")</f>
        <v>Admin</v>
      </c>
      <c r="J2186" s="23">
        <f t="array" ref="J2186">INDEX('Indirect Pool - Budget'!$A$2:$AA$38, MATCH(1, ('Indirect Pool - Budget'!$A$2:$A$38=C2186)*('Indirect Pool - Budget'!$C$2:$C$38=H2186), 0), MATCH(A2186,'Indirect Pool - Budget'!$A$2:$AA$2, 0))</f>
        <v>-2785.554728220402</v>
      </c>
      <c r="K2186" s="113" t="s">
        <v>637</v>
      </c>
    </row>
    <row r="2187" spans="1:11" ht="15" customHeight="1">
      <c r="A2187" s="112">
        <f t="shared" si="145"/>
        <v>45870</v>
      </c>
      <c r="B2187" s="113">
        <v>12</v>
      </c>
      <c r="C2187" s="18" t="s">
        <v>6</v>
      </c>
      <c r="D2187" s="113" t="str">
        <f>_xlfn.XLOOKUP($C2187,'Cost Centers'!$A$2:$A$11,'Cost Centers'!$B$2:$B$11,"")</f>
        <v>Human Resources</v>
      </c>
      <c r="E2187" s="113" t="s">
        <v>127</v>
      </c>
      <c r="F2187" s="113" t="str">
        <f>_xlfn.XLOOKUP(E2187,'Allocated Transactions'!D:D,'Allocated Transactions'!E:E,"")</f>
        <v>Indirect Cost Allocation</v>
      </c>
      <c r="G2187" s="113" t="s">
        <v>129</v>
      </c>
      <c r="H2187" s="113" t="s">
        <v>335</v>
      </c>
      <c r="I2187" s="113" t="str">
        <f>_xlfn.XLOOKUP($C2187,'Cost Centers'!$A$2:$A$11,'Cost Centers'!$C$2:$C$11,"")</f>
        <v>Admin</v>
      </c>
      <c r="J2187" s="23">
        <f t="array" ref="J2187">INDEX('Indirect Pool - Budget'!$A$2:$AA$38, MATCH(1, ('Indirect Pool - Budget'!$A$2:$A$38=C2187)*('Indirect Pool - Budget'!$C$2:$C$38=H2187), 0), MATCH(A2187,'Indirect Pool - Budget'!$A$2:$AA$2, 0))</f>
        <v>-3042.6656738644824</v>
      </c>
      <c r="K2187" s="113" t="s">
        <v>637</v>
      </c>
    </row>
    <row r="2188" spans="1:11" ht="15" customHeight="1">
      <c r="A2188" s="112">
        <f t="shared" si="145"/>
        <v>45870</v>
      </c>
      <c r="B2188" s="113">
        <v>12</v>
      </c>
      <c r="C2188" s="18" t="s">
        <v>6</v>
      </c>
      <c r="D2188" s="113" t="str">
        <f>_xlfn.XLOOKUP($C2188,'Cost Centers'!$A$2:$A$11,'Cost Centers'!$B$2:$B$11,"")</f>
        <v>Human Resources</v>
      </c>
      <c r="E2188" s="113" t="s">
        <v>127</v>
      </c>
      <c r="F2188" s="113" t="str">
        <f>_xlfn.XLOOKUP(E2188,'Allocated Transactions'!D:D,'Allocated Transactions'!E:E,"")</f>
        <v>Indirect Cost Allocation</v>
      </c>
      <c r="G2188" s="113" t="s">
        <v>129</v>
      </c>
      <c r="H2188" s="113" t="s">
        <v>336</v>
      </c>
      <c r="I2188" s="113" t="str">
        <f>_xlfn.XLOOKUP($C2188,'Cost Centers'!$A$2:$A$11,'Cost Centers'!$C$2:$C$11,"")</f>
        <v>Admin</v>
      </c>
      <c r="J2188" s="23">
        <f t="array" ref="J2188">INDEX('Indirect Pool - Budget'!$A$2:$AA$38, MATCH(1, ('Indirect Pool - Budget'!$A$2:$A$38=C2188)*('Indirect Pool - Budget'!$C$2:$C$38=H2188), 0), MATCH(A2188,'Indirect Pool - Budget'!$A$2:$AA$2, 0))</f>
        <v>-2557.259865971705</v>
      </c>
      <c r="K2188" s="113" t="s">
        <v>637</v>
      </c>
    </row>
    <row r="2189" spans="1:11" ht="15" customHeight="1">
      <c r="A2189" s="112">
        <f t="shared" si="145"/>
        <v>45870</v>
      </c>
      <c r="B2189" s="113">
        <v>12</v>
      </c>
      <c r="C2189" s="18" t="s">
        <v>6</v>
      </c>
      <c r="D2189" s="113" t="str">
        <f>_xlfn.XLOOKUP($C2189,'Cost Centers'!$A$2:$A$11,'Cost Centers'!$B$2:$B$11,"")</f>
        <v>Human Resources</v>
      </c>
      <c r="E2189" s="113" t="s">
        <v>127</v>
      </c>
      <c r="F2189" s="113" t="str">
        <f>_xlfn.XLOOKUP(E2189,'Allocated Transactions'!D:D,'Allocated Transactions'!E:E,"")</f>
        <v>Indirect Cost Allocation</v>
      </c>
      <c r="G2189" s="113" t="s">
        <v>129</v>
      </c>
      <c r="H2189" s="113" t="s">
        <v>337</v>
      </c>
      <c r="I2189" s="113" t="str">
        <f>_xlfn.XLOOKUP($C2189,'Cost Centers'!$A$2:$A$11,'Cost Centers'!$C$2:$C$11,"")</f>
        <v>Admin</v>
      </c>
      <c r="J2189" s="23">
        <f t="array" ref="J2189">INDEX('Indirect Pool - Budget'!$A$2:$AA$38, MATCH(1, ('Indirect Pool - Budget'!$A$2:$A$38=C2189)*('Indirect Pool - Budget'!$C$2:$C$38=H2189), 0), MATCH(A2189,'Indirect Pool - Budget'!$A$2:$AA$2, 0))</f>
        <v>-2663.8123603871927</v>
      </c>
      <c r="K2189" s="113" t="s">
        <v>637</v>
      </c>
    </row>
    <row r="2190" spans="1:11" ht="15" customHeight="1">
      <c r="A2190" s="112">
        <f t="shared" si="145"/>
        <v>45870</v>
      </c>
      <c r="B2190" s="113">
        <v>12</v>
      </c>
      <c r="C2190" s="18" t="s">
        <v>6</v>
      </c>
      <c r="D2190" s="113" t="str">
        <f>_xlfn.XLOOKUP($C2190,'Cost Centers'!$A$2:$A$11,'Cost Centers'!$B$2:$B$11,"")</f>
        <v>Human Resources</v>
      </c>
      <c r="E2190" s="113" t="s">
        <v>127</v>
      </c>
      <c r="F2190" s="113" t="str">
        <f>_xlfn.XLOOKUP(E2190,'Allocated Transactions'!D:D,'Allocated Transactions'!E:E,"")</f>
        <v>Indirect Cost Allocation</v>
      </c>
      <c r="G2190" s="113" t="s">
        <v>129</v>
      </c>
      <c r="H2190" s="113" t="s">
        <v>338</v>
      </c>
      <c r="I2190" s="113" t="str">
        <f>_xlfn.XLOOKUP($C2190,'Cost Centers'!$A$2:$A$11,'Cost Centers'!$C$2:$C$11,"")</f>
        <v>Admin</v>
      </c>
      <c r="J2190" s="23">
        <f t="array" ref="J2190">INDEX('Indirect Pool - Budget'!$A$2:$AA$38, MATCH(1, ('Indirect Pool - Budget'!$A$2:$A$38=C2190)*('Indirect Pool - Budget'!$C$2:$C$38=H2190), 0), MATCH(A2190,'Indirect Pool - Budget'!$A$2:$AA$2, 0))</f>
        <v>-4202.903946388682</v>
      </c>
      <c r="K2190" s="113" t="s">
        <v>637</v>
      </c>
    </row>
    <row r="2191" spans="1:11" ht="15" customHeight="1">
      <c r="A2191" s="112">
        <f t="shared" si="145"/>
        <v>45870</v>
      </c>
      <c r="B2191" s="113">
        <v>12</v>
      </c>
      <c r="C2191" s="18" t="s">
        <v>6</v>
      </c>
      <c r="D2191" s="113" t="str">
        <f>_xlfn.XLOOKUP($C2191,'Cost Centers'!$A$2:$A$11,'Cost Centers'!$B$2:$B$11,"")</f>
        <v>Human Resources</v>
      </c>
      <c r="E2191" s="113" t="s">
        <v>127</v>
      </c>
      <c r="F2191" s="113" t="str">
        <f>_xlfn.XLOOKUP(E2191,'Allocated Transactions'!D:D,'Allocated Transactions'!E:E,"")</f>
        <v>Indirect Cost Allocation</v>
      </c>
      <c r="G2191" s="113" t="s">
        <v>129</v>
      </c>
      <c r="H2191" s="113" t="s">
        <v>339</v>
      </c>
      <c r="I2191" s="113" t="str">
        <f>_xlfn.XLOOKUP($C2191,'Cost Centers'!$A$2:$A$11,'Cost Centers'!$C$2:$C$11,"")</f>
        <v>Admin</v>
      </c>
      <c r="J2191" s="23">
        <f t="array" ref="J2191">INDEX('Indirect Pool - Budget'!$A$2:$AA$38, MATCH(1, ('Indirect Pool - Budget'!$A$2:$A$38=C2191)*('Indirect Pool - Budget'!$C$2:$C$38=H2191), 0), MATCH(A2191,'Indirect Pool - Budget'!$A$2:$AA$2, 0))</f>
        <v>-3433.3581533879374</v>
      </c>
      <c r="K2191" s="113" t="s">
        <v>637</v>
      </c>
    </row>
    <row r="2192" spans="1:11" ht="15" customHeight="1">
      <c r="A2192" s="112">
        <f t="shared" si="145"/>
        <v>45870</v>
      </c>
      <c r="B2192" s="113">
        <v>12</v>
      </c>
      <c r="C2192" s="18" t="s">
        <v>8</v>
      </c>
      <c r="D2192" s="113" t="str">
        <f>_xlfn.XLOOKUP($C2192,'Cost Centers'!$A$2:$A$11,'Cost Centers'!$B$2:$B$11,"")</f>
        <v>Finance</v>
      </c>
      <c r="E2192" s="113" t="s">
        <v>127</v>
      </c>
      <c r="F2192" s="113" t="str">
        <f>_xlfn.XLOOKUP(E2192,'Allocated Transactions'!D:D,'Allocated Transactions'!E:E,"")</f>
        <v>Indirect Cost Allocation</v>
      </c>
      <c r="G2192" s="113" t="s">
        <v>129</v>
      </c>
      <c r="H2192" s="113" t="s">
        <v>335</v>
      </c>
      <c r="I2192" s="113" t="str">
        <f>_xlfn.XLOOKUP($C2192,'Cost Centers'!$A$2:$A$11,'Cost Centers'!$C$2:$C$11,"")</f>
        <v>Admin</v>
      </c>
      <c r="J2192" s="23">
        <f t="array" ref="J2192">INDEX('Indirect Pool - Budget'!$A$2:$AA$38, MATCH(1, ('Indirect Pool - Budget'!$A$2:$A$38=C2192)*('Indirect Pool - Budget'!$C$2:$C$38=H2192), 0), MATCH(A2192,'Indirect Pool - Budget'!$A$2:$AA$2, 0))</f>
        <v>-2870.4393149664929</v>
      </c>
      <c r="K2192" s="113" t="s">
        <v>637</v>
      </c>
    </row>
    <row r="2193" spans="1:11" ht="15" customHeight="1">
      <c r="A2193" s="112">
        <f t="shared" si="145"/>
        <v>45870</v>
      </c>
      <c r="B2193" s="113">
        <v>12</v>
      </c>
      <c r="C2193" s="18" t="s">
        <v>8</v>
      </c>
      <c r="D2193" s="113" t="str">
        <f>_xlfn.XLOOKUP($C2193,'Cost Centers'!$A$2:$A$11,'Cost Centers'!$B$2:$B$11,"")</f>
        <v>Finance</v>
      </c>
      <c r="E2193" s="113" t="s">
        <v>127</v>
      </c>
      <c r="F2193" s="113" t="str">
        <f>_xlfn.XLOOKUP(E2193,'Allocated Transactions'!D:D,'Allocated Transactions'!E:E,"")</f>
        <v>Indirect Cost Allocation</v>
      </c>
      <c r="G2193" s="113" t="s">
        <v>129</v>
      </c>
      <c r="H2193" s="113" t="s">
        <v>336</v>
      </c>
      <c r="I2193" s="113" t="str">
        <f>_xlfn.XLOOKUP($C2193,'Cost Centers'!$A$2:$A$11,'Cost Centers'!$C$2:$C$11,"")</f>
        <v>Admin</v>
      </c>
      <c r="J2193" s="23">
        <f t="array" ref="J2193">INDEX('Indirect Pool - Budget'!$A$2:$AA$38, MATCH(1, ('Indirect Pool - Budget'!$A$2:$A$38=C2193)*('Indirect Pool - Budget'!$C$2:$C$38=H2193), 0), MATCH(A2193,'Indirect Pool - Budget'!$A$2:$AA$2, 0))</f>
        <v>-2412.5093075204763</v>
      </c>
      <c r="K2193" s="113" t="s">
        <v>637</v>
      </c>
    </row>
    <row r="2194" spans="1:11" ht="15" customHeight="1">
      <c r="A2194" s="112">
        <f t="shared" si="145"/>
        <v>45870</v>
      </c>
      <c r="B2194" s="113">
        <v>12</v>
      </c>
      <c r="C2194" s="18" t="s">
        <v>8</v>
      </c>
      <c r="D2194" s="113" t="str">
        <f>_xlfn.XLOOKUP($C2194,'Cost Centers'!$A$2:$A$11,'Cost Centers'!$B$2:$B$11,"")</f>
        <v>Finance</v>
      </c>
      <c r="E2194" s="113" t="s">
        <v>127</v>
      </c>
      <c r="F2194" s="113" t="str">
        <f>_xlfn.XLOOKUP(E2194,'Allocated Transactions'!D:D,'Allocated Transactions'!E:E,"")</f>
        <v>Indirect Cost Allocation</v>
      </c>
      <c r="G2194" s="113" t="s">
        <v>129</v>
      </c>
      <c r="H2194" s="113" t="s">
        <v>337</v>
      </c>
      <c r="I2194" s="113" t="str">
        <f>_xlfn.XLOOKUP($C2194,'Cost Centers'!$A$2:$A$11,'Cost Centers'!$C$2:$C$11,"")</f>
        <v>Admin</v>
      </c>
      <c r="J2194" s="23">
        <f t="array" ref="J2194">INDEX('Indirect Pool - Budget'!$A$2:$AA$38, MATCH(1, ('Indirect Pool - Budget'!$A$2:$A$38=C2194)*('Indirect Pool - Budget'!$C$2:$C$38=H2194), 0), MATCH(A2194,'Indirect Pool - Budget'!$A$2:$AA$2, 0))</f>
        <v>-2513.0305286671633</v>
      </c>
      <c r="K2194" s="113" t="s">
        <v>637</v>
      </c>
    </row>
    <row r="2195" spans="1:11" ht="15" customHeight="1">
      <c r="A2195" s="112">
        <f t="shared" si="145"/>
        <v>45870</v>
      </c>
      <c r="B2195" s="113">
        <v>12</v>
      </c>
      <c r="C2195" s="18" t="s">
        <v>8</v>
      </c>
      <c r="D2195" s="113" t="str">
        <f>_xlfn.XLOOKUP($C2195,'Cost Centers'!$A$2:$A$11,'Cost Centers'!$B$2:$B$11,"")</f>
        <v>Finance</v>
      </c>
      <c r="E2195" s="113" t="s">
        <v>127</v>
      </c>
      <c r="F2195" s="113" t="str">
        <f>_xlfn.XLOOKUP(E2195,'Allocated Transactions'!D:D,'Allocated Transactions'!E:E,"")</f>
        <v>Indirect Cost Allocation</v>
      </c>
      <c r="G2195" s="113" t="s">
        <v>129</v>
      </c>
      <c r="H2195" s="113" t="s">
        <v>338</v>
      </c>
      <c r="I2195" s="113" t="str">
        <f>_xlfn.XLOOKUP($C2195,'Cost Centers'!$A$2:$A$11,'Cost Centers'!$C$2:$C$11,"")</f>
        <v>Admin</v>
      </c>
      <c r="J2195" s="23">
        <f t="array" ref="J2195">INDEX('Indirect Pool - Budget'!$A$2:$AA$38, MATCH(1, ('Indirect Pool - Budget'!$A$2:$A$38=C2195)*('Indirect Pool - Budget'!$C$2:$C$38=H2195), 0), MATCH(A2195,'Indirect Pool - Budget'!$A$2:$AA$2, 0))</f>
        <v>-3965.0037230081907</v>
      </c>
      <c r="K2195" s="113" t="s">
        <v>637</v>
      </c>
    </row>
    <row r="2196" spans="1:11" ht="15" customHeight="1">
      <c r="A2196" s="112">
        <f t="shared" si="145"/>
        <v>45870</v>
      </c>
      <c r="B2196" s="113">
        <v>12</v>
      </c>
      <c r="C2196" s="18" t="s">
        <v>8</v>
      </c>
      <c r="D2196" s="113" t="str">
        <f>_xlfn.XLOOKUP($C2196,'Cost Centers'!$A$2:$A$11,'Cost Centers'!$B$2:$B$11,"")</f>
        <v>Finance</v>
      </c>
      <c r="E2196" s="113" t="s">
        <v>127</v>
      </c>
      <c r="F2196" s="113" t="str">
        <f>_xlfn.XLOOKUP(E2196,'Allocated Transactions'!D:D,'Allocated Transactions'!E:E,"")</f>
        <v>Indirect Cost Allocation</v>
      </c>
      <c r="G2196" s="113" t="s">
        <v>129</v>
      </c>
      <c r="H2196" s="113" t="s">
        <v>339</v>
      </c>
      <c r="I2196" s="113" t="str">
        <f>_xlfn.XLOOKUP($C2196,'Cost Centers'!$A$2:$A$11,'Cost Centers'!$C$2:$C$11,"")</f>
        <v>Admin</v>
      </c>
      <c r="J2196" s="23">
        <f t="array" ref="J2196">INDEX('Indirect Pool - Budget'!$A$2:$AA$38, MATCH(1, ('Indirect Pool - Budget'!$A$2:$A$38=C2196)*('Indirect Pool - Budget'!$C$2:$C$38=H2196), 0), MATCH(A2196,'Indirect Pool - Budget'!$A$2:$AA$2, 0))</f>
        <v>-3239.0171258376768</v>
      </c>
      <c r="K2196" s="113" t="s">
        <v>637</v>
      </c>
    </row>
    <row r="2197" spans="1:11" ht="15" customHeight="1">
      <c r="A2197" s="112">
        <f t="shared" si="145"/>
        <v>45870</v>
      </c>
      <c r="B2197" s="113">
        <v>12</v>
      </c>
      <c r="C2197" s="18" t="s">
        <v>10</v>
      </c>
      <c r="D2197" s="113" t="str">
        <f>_xlfn.XLOOKUP($C2197,'Cost Centers'!$A$2:$A$11,'Cost Centers'!$B$2:$B$11,"")</f>
        <v>Business Development</v>
      </c>
      <c r="E2197" s="113" t="s">
        <v>127</v>
      </c>
      <c r="F2197" s="113" t="str">
        <f>_xlfn.XLOOKUP(E2197,'Allocated Transactions'!D:D,'Allocated Transactions'!E:E,"")</f>
        <v>Indirect Cost Allocation</v>
      </c>
      <c r="G2197" s="113" t="s">
        <v>129</v>
      </c>
      <c r="H2197" s="113" t="s">
        <v>335</v>
      </c>
      <c r="I2197" s="113" t="str">
        <f>_xlfn.XLOOKUP($C2197,'Cost Centers'!$A$2:$A$11,'Cost Centers'!$C$2:$C$11,"")</f>
        <v>Admin</v>
      </c>
      <c r="J2197" s="23">
        <f t="array" ref="J2197">INDEX('Indirect Pool - Budget'!$A$2:$AA$38, MATCH(1, ('Indirect Pool - Budget'!$A$2:$A$38=C2197)*('Indirect Pool - Budget'!$C$2:$C$38=H2197), 0), MATCH(A2197,'Indirect Pool - Budget'!$A$2:$AA$2, 0))</f>
        <v>-3119.2107222635887</v>
      </c>
      <c r="K2197" s="113" t="s">
        <v>637</v>
      </c>
    </row>
    <row r="2198" spans="1:11" ht="15" customHeight="1">
      <c r="A2198" s="112">
        <f t="shared" si="145"/>
        <v>45870</v>
      </c>
      <c r="B2198" s="113">
        <v>12</v>
      </c>
      <c r="C2198" s="18" t="s">
        <v>10</v>
      </c>
      <c r="D2198" s="113" t="str">
        <f>_xlfn.XLOOKUP($C2198,'Cost Centers'!$A$2:$A$11,'Cost Centers'!$B$2:$B$11,"")</f>
        <v>Business Development</v>
      </c>
      <c r="E2198" s="113" t="s">
        <v>127</v>
      </c>
      <c r="F2198" s="113" t="str">
        <f>_xlfn.XLOOKUP(E2198,'Allocated Transactions'!D:D,'Allocated Transactions'!E:E,"")</f>
        <v>Indirect Cost Allocation</v>
      </c>
      <c r="G2198" s="113" t="s">
        <v>129</v>
      </c>
      <c r="H2198" s="113" t="s">
        <v>336</v>
      </c>
      <c r="I2198" s="113" t="str">
        <f>_xlfn.XLOOKUP($C2198,'Cost Centers'!$A$2:$A$11,'Cost Centers'!$C$2:$C$11,"")</f>
        <v>Admin</v>
      </c>
      <c r="J2198" s="23">
        <f t="array" ref="J2198">INDEX('Indirect Pool - Budget'!$A$2:$AA$38, MATCH(1, ('Indirect Pool - Budget'!$A$2:$A$38=C2198)*('Indirect Pool - Budget'!$C$2:$C$38=H2198), 0), MATCH(A2198,'Indirect Pool - Budget'!$A$2:$AA$2, 0))</f>
        <v>-2621.5934475055842</v>
      </c>
      <c r="K2198" s="113" t="s">
        <v>637</v>
      </c>
    </row>
    <row r="2199" spans="1:11" ht="15" customHeight="1">
      <c r="A2199" s="112">
        <f t="shared" si="145"/>
        <v>45870</v>
      </c>
      <c r="B2199" s="113">
        <v>12</v>
      </c>
      <c r="C2199" s="18" t="s">
        <v>10</v>
      </c>
      <c r="D2199" s="113" t="str">
        <f>_xlfn.XLOOKUP($C2199,'Cost Centers'!$A$2:$A$11,'Cost Centers'!$B$2:$B$11,"")</f>
        <v>Business Development</v>
      </c>
      <c r="E2199" s="113" t="s">
        <v>127</v>
      </c>
      <c r="F2199" s="113" t="str">
        <f>_xlfn.XLOOKUP(E2199,'Allocated Transactions'!D:D,'Allocated Transactions'!E:E,"")</f>
        <v>Indirect Cost Allocation</v>
      </c>
      <c r="G2199" s="113" t="s">
        <v>129</v>
      </c>
      <c r="H2199" s="113" t="s">
        <v>337</v>
      </c>
      <c r="I2199" s="113" t="str">
        <f>_xlfn.XLOOKUP($C2199,'Cost Centers'!$A$2:$A$11,'Cost Centers'!$C$2:$C$11,"")</f>
        <v>Admin</v>
      </c>
      <c r="J2199" s="23">
        <f t="array" ref="J2199">INDEX('Indirect Pool - Budget'!$A$2:$AA$38, MATCH(1, ('Indirect Pool - Budget'!$A$2:$A$38=C2199)*('Indirect Pool - Budget'!$C$2:$C$38=H2199), 0), MATCH(A2199,'Indirect Pool - Budget'!$A$2:$AA$2, 0))</f>
        <v>-2730.8265078183172</v>
      </c>
      <c r="K2199" s="113" t="s">
        <v>637</v>
      </c>
    </row>
    <row r="2200" spans="1:11" ht="15" customHeight="1">
      <c r="A2200" s="112">
        <f t="shared" si="145"/>
        <v>45870</v>
      </c>
      <c r="B2200" s="113">
        <v>12</v>
      </c>
      <c r="C2200" s="18" t="s">
        <v>10</v>
      </c>
      <c r="D2200" s="113" t="str">
        <f>_xlfn.XLOOKUP($C2200,'Cost Centers'!$A$2:$A$11,'Cost Centers'!$B$2:$B$11,"")</f>
        <v>Business Development</v>
      </c>
      <c r="E2200" s="113" t="s">
        <v>127</v>
      </c>
      <c r="F2200" s="113" t="str">
        <f>_xlfn.XLOOKUP(E2200,'Allocated Transactions'!D:D,'Allocated Transactions'!E:E,"")</f>
        <v>Indirect Cost Allocation</v>
      </c>
      <c r="G2200" s="113" t="s">
        <v>129</v>
      </c>
      <c r="H2200" s="113" t="s">
        <v>338</v>
      </c>
      <c r="I2200" s="113" t="str">
        <f>_xlfn.XLOOKUP($C2200,'Cost Centers'!$A$2:$A$11,'Cost Centers'!$C$2:$C$11,"")</f>
        <v>Admin</v>
      </c>
      <c r="J2200" s="23">
        <f t="array" ref="J2200">INDEX('Indirect Pool - Budget'!$A$2:$AA$38, MATCH(1, ('Indirect Pool - Budget'!$A$2:$A$38=C2200)*('Indirect Pool - Budget'!$C$2:$C$38=H2200), 0), MATCH(A2200,'Indirect Pool - Budget'!$A$2:$AA$2, 0))</f>
        <v>-4308.6373790022335</v>
      </c>
      <c r="K2200" s="113" t="s">
        <v>637</v>
      </c>
    </row>
    <row r="2201" spans="1:11" ht="15" customHeight="1">
      <c r="A2201" s="112">
        <f t="shared" si="145"/>
        <v>45870</v>
      </c>
      <c r="B2201" s="113">
        <v>12</v>
      </c>
      <c r="C2201" s="18" t="s">
        <v>10</v>
      </c>
      <c r="D2201" s="113" t="str">
        <f>_xlfn.XLOOKUP($C2201,'Cost Centers'!$A$2:$A$11,'Cost Centers'!$B$2:$B$11,"")</f>
        <v>Business Development</v>
      </c>
      <c r="E2201" s="113" t="s">
        <v>127</v>
      </c>
      <c r="F2201" s="113" t="str">
        <f>_xlfn.XLOOKUP(E2201,'Allocated Transactions'!D:D,'Allocated Transactions'!E:E,"")</f>
        <v>Indirect Cost Allocation</v>
      </c>
      <c r="G2201" s="113" t="s">
        <v>129</v>
      </c>
      <c r="H2201" s="113" t="s">
        <v>339</v>
      </c>
      <c r="I2201" s="113" t="str">
        <f>_xlfn.XLOOKUP($C2201,'Cost Centers'!$A$2:$A$11,'Cost Centers'!$C$2:$C$11,"")</f>
        <v>Admin</v>
      </c>
      <c r="J2201" s="23">
        <f t="array" ref="J2201">INDEX('Indirect Pool - Budget'!$A$2:$AA$38, MATCH(1, ('Indirect Pool - Budget'!$A$2:$A$38=C2201)*('Indirect Pool - Budget'!$C$2:$C$38=H2201), 0), MATCH(A2201,'Indirect Pool - Budget'!$A$2:$AA$2, 0))</f>
        <v>-3519.7319434102756</v>
      </c>
      <c r="K2201" s="113" t="s">
        <v>637</v>
      </c>
    </row>
    <row r="2202" spans="1:11" ht="15" customHeight="1">
      <c r="A2202" s="112">
        <f t="shared" si="145"/>
        <v>45901</v>
      </c>
      <c r="B2202" s="113">
        <v>13</v>
      </c>
      <c r="C2202" s="18" t="s">
        <v>4</v>
      </c>
      <c r="D2202" s="113" t="str">
        <f>_xlfn.XLOOKUP($C2202,'Cost Centers'!$A$2:$A$11,'Cost Centers'!$B$2:$B$11,"")</f>
        <v>Executive</v>
      </c>
      <c r="E2202" s="113" t="s">
        <v>127</v>
      </c>
      <c r="F2202" s="113" t="str">
        <f>_xlfn.XLOOKUP(E2202,'Allocated Transactions'!D:D,'Allocated Transactions'!E:E,"")</f>
        <v>Indirect Cost Allocation</v>
      </c>
      <c r="G2202" s="113" t="s">
        <v>129</v>
      </c>
      <c r="H2202" s="113" t="s">
        <v>335</v>
      </c>
      <c r="I2202" s="113" t="str">
        <f>_xlfn.XLOOKUP($C2202,'Cost Centers'!$A$2:$A$11,'Cost Centers'!$C$2:$C$11,"")</f>
        <v>Admin</v>
      </c>
      <c r="J2202" s="23">
        <f t="array" ref="J2202">INDEX('Indirect Pool - Budget'!$A$2:$AA$38, MATCH(1, ('Indirect Pool - Budget'!$A$2:$A$38=C2202)*('Indirect Pool - Budget'!$C$2:$C$38=H2202), 0), MATCH(A2202,'Indirect Pool - Budget'!$A$2:$AA$2, 0))</f>
        <v>-2180.5453205600593</v>
      </c>
      <c r="K2202" s="113" t="s">
        <v>637</v>
      </c>
    </row>
    <row r="2203" spans="1:11" ht="15" customHeight="1">
      <c r="A2203" s="112">
        <f t="shared" si="145"/>
        <v>45901</v>
      </c>
      <c r="B2203" s="113">
        <v>13</v>
      </c>
      <c r="C2203" s="18" t="s">
        <v>4</v>
      </c>
      <c r="D2203" s="113" t="str">
        <f>_xlfn.XLOOKUP($C2203,'Cost Centers'!$A$2:$A$11,'Cost Centers'!$B$2:$B$11,"")</f>
        <v>Executive</v>
      </c>
      <c r="E2203" s="113" t="s">
        <v>127</v>
      </c>
      <c r="F2203" s="113" t="str">
        <f>_xlfn.XLOOKUP(E2203,'Allocated Transactions'!D:D,'Allocated Transactions'!E:E,"")</f>
        <v>Indirect Cost Allocation</v>
      </c>
      <c r="G2203" s="113" t="s">
        <v>129</v>
      </c>
      <c r="H2203" s="113" t="s">
        <v>336</v>
      </c>
      <c r="I2203" s="113" t="str">
        <f>_xlfn.XLOOKUP($C2203,'Cost Centers'!$A$2:$A$11,'Cost Centers'!$C$2:$C$11,"")</f>
        <v>Admin</v>
      </c>
      <c r="J2203" s="23">
        <f t="array" ref="J2203">INDEX('Indirect Pool - Budget'!$A$2:$AA$38, MATCH(1, ('Indirect Pool - Budget'!$A$2:$A$38=C2203)*('Indirect Pool - Budget'!$C$2:$C$38=H2203), 0), MATCH(A2203,'Indirect Pool - Budget'!$A$2:$AA$2, 0))</f>
        <v>-1848.1945467943992</v>
      </c>
      <c r="K2203" s="113" t="s">
        <v>637</v>
      </c>
    </row>
    <row r="2204" spans="1:11" ht="15" customHeight="1">
      <c r="A2204" s="112">
        <f t="shared" si="145"/>
        <v>45901</v>
      </c>
      <c r="B2204" s="113">
        <v>13</v>
      </c>
      <c r="C2204" s="18" t="s">
        <v>4</v>
      </c>
      <c r="D2204" s="113" t="str">
        <f>_xlfn.XLOOKUP($C2204,'Cost Centers'!$A$2:$A$11,'Cost Centers'!$B$2:$B$11,"")</f>
        <v>Executive</v>
      </c>
      <c r="E2204" s="113" t="s">
        <v>127</v>
      </c>
      <c r="F2204" s="113" t="str">
        <f>_xlfn.XLOOKUP(E2204,'Allocated Transactions'!D:D,'Allocated Transactions'!E:E,"")</f>
        <v>Indirect Cost Allocation</v>
      </c>
      <c r="G2204" s="113" t="s">
        <v>129</v>
      </c>
      <c r="H2204" s="113" t="s">
        <v>337</v>
      </c>
      <c r="I2204" s="113" t="str">
        <f>_xlfn.XLOOKUP($C2204,'Cost Centers'!$A$2:$A$11,'Cost Centers'!$C$2:$C$11,"")</f>
        <v>Admin</v>
      </c>
      <c r="J2204" s="23">
        <f t="array" ref="J2204">INDEX('Indirect Pool - Budget'!$A$2:$AA$38, MATCH(1, ('Indirect Pool - Budget'!$A$2:$A$38=C2204)*('Indirect Pool - Budget'!$C$2:$C$38=H2204), 0), MATCH(A2204,'Indirect Pool - Budget'!$A$2:$AA$2, 0))</f>
        <v>-1888.7251289609433</v>
      </c>
      <c r="K2204" s="113" t="s">
        <v>637</v>
      </c>
    </row>
    <row r="2205" spans="1:11" ht="15" customHeight="1">
      <c r="A2205" s="112">
        <f t="shared" si="145"/>
        <v>45901</v>
      </c>
      <c r="B2205" s="113">
        <v>13</v>
      </c>
      <c r="C2205" s="18" t="s">
        <v>4</v>
      </c>
      <c r="D2205" s="113" t="str">
        <f>_xlfn.XLOOKUP($C2205,'Cost Centers'!$A$2:$A$11,'Cost Centers'!$B$2:$B$11,"")</f>
        <v>Executive</v>
      </c>
      <c r="E2205" s="113" t="s">
        <v>127</v>
      </c>
      <c r="F2205" s="113" t="str">
        <f>_xlfn.XLOOKUP(E2205,'Allocated Transactions'!D:D,'Allocated Transactions'!E:E,"")</f>
        <v>Indirect Cost Allocation</v>
      </c>
      <c r="G2205" s="113" t="s">
        <v>129</v>
      </c>
      <c r="H2205" s="113" t="s">
        <v>338</v>
      </c>
      <c r="I2205" s="113" t="str">
        <f>_xlfn.XLOOKUP($C2205,'Cost Centers'!$A$2:$A$11,'Cost Centers'!$C$2:$C$11,"")</f>
        <v>Admin</v>
      </c>
      <c r="J2205" s="23">
        <f t="array" ref="J2205">INDEX('Indirect Pool - Budget'!$A$2:$AA$38, MATCH(1, ('Indirect Pool - Budget'!$A$2:$A$38=C2205)*('Indirect Pool - Budget'!$C$2:$C$38=H2205), 0), MATCH(A2205,'Indirect Pool - Budget'!$A$2:$AA$2, 0))</f>
        <v>-2585.8511422254974</v>
      </c>
      <c r="K2205" s="113" t="s">
        <v>637</v>
      </c>
    </row>
    <row r="2206" spans="1:11" ht="15" customHeight="1">
      <c r="A2206" s="112">
        <f t="shared" si="145"/>
        <v>45901</v>
      </c>
      <c r="B2206" s="113">
        <v>13</v>
      </c>
      <c r="C2206" s="18" t="s">
        <v>4</v>
      </c>
      <c r="D2206" s="113" t="str">
        <f>_xlfn.XLOOKUP($C2206,'Cost Centers'!$A$2:$A$11,'Cost Centers'!$B$2:$B$11,"")</f>
        <v>Executive</v>
      </c>
      <c r="E2206" s="113" t="s">
        <v>127</v>
      </c>
      <c r="F2206" s="113" t="str">
        <f>_xlfn.XLOOKUP(E2206,'Allocated Transactions'!D:D,'Allocated Transactions'!E:E,"")</f>
        <v>Indirect Cost Allocation</v>
      </c>
      <c r="G2206" s="113" t="s">
        <v>129</v>
      </c>
      <c r="H2206" s="113" t="s">
        <v>339</v>
      </c>
      <c r="I2206" s="113" t="str">
        <f>_xlfn.XLOOKUP($C2206,'Cost Centers'!$A$2:$A$11,'Cost Centers'!$C$2:$C$11,"")</f>
        <v>Admin</v>
      </c>
      <c r="J2206" s="23">
        <f t="array" ref="J2206">INDEX('Indirect Pool - Budget'!$A$2:$AA$38, MATCH(1, ('Indirect Pool - Budget'!$A$2:$A$38=C2206)*('Indirect Pool - Budget'!$C$2:$C$38=H2206), 0), MATCH(A2206,'Indirect Pool - Budget'!$A$2:$AA$2, 0))</f>
        <v>-2496.6838614591011</v>
      </c>
      <c r="K2206" s="113" t="s">
        <v>637</v>
      </c>
    </row>
    <row r="2207" spans="1:11" ht="15" customHeight="1">
      <c r="A2207" s="112">
        <f t="shared" si="145"/>
        <v>45901</v>
      </c>
      <c r="B2207" s="113">
        <v>13</v>
      </c>
      <c r="C2207" s="18" t="s">
        <v>6</v>
      </c>
      <c r="D2207" s="113" t="str">
        <f>_xlfn.XLOOKUP($C2207,'Cost Centers'!$A$2:$A$11,'Cost Centers'!$B$2:$B$11,"")</f>
        <v>Human Resources</v>
      </c>
      <c r="E2207" s="113" t="s">
        <v>127</v>
      </c>
      <c r="F2207" s="113" t="str">
        <f>_xlfn.XLOOKUP(E2207,'Allocated Transactions'!D:D,'Allocated Transactions'!E:E,"")</f>
        <v>Indirect Cost Allocation</v>
      </c>
      <c r="G2207" s="113" t="s">
        <v>129</v>
      </c>
      <c r="H2207" s="113" t="s">
        <v>335</v>
      </c>
      <c r="I2207" s="113" t="str">
        <f>_xlfn.XLOOKUP($C2207,'Cost Centers'!$A$2:$A$11,'Cost Centers'!$C$2:$C$11,"")</f>
        <v>Admin</v>
      </c>
      <c r="J2207" s="23">
        <f t="array" ref="J2207">INDEX('Indirect Pool - Budget'!$A$2:$AA$38, MATCH(1, ('Indirect Pool - Budget'!$A$2:$A$38=C2207)*('Indirect Pool - Budget'!$C$2:$C$38=H2207), 0), MATCH(A2207,'Indirect Pool - Budget'!$A$2:$AA$2, 0))</f>
        <v>-3250.9948415622698</v>
      </c>
      <c r="K2207" s="113" t="s">
        <v>637</v>
      </c>
    </row>
    <row r="2208" spans="1:11" ht="15" customHeight="1">
      <c r="A2208" s="112">
        <f t="shared" si="145"/>
        <v>45901</v>
      </c>
      <c r="B2208" s="113">
        <v>13</v>
      </c>
      <c r="C2208" s="18" t="s">
        <v>6</v>
      </c>
      <c r="D2208" s="113" t="str">
        <f>_xlfn.XLOOKUP($C2208,'Cost Centers'!$A$2:$A$11,'Cost Centers'!$B$2:$B$11,"")</f>
        <v>Human Resources</v>
      </c>
      <c r="E2208" s="113" t="s">
        <v>127</v>
      </c>
      <c r="F2208" s="113" t="str">
        <f>_xlfn.XLOOKUP(E2208,'Allocated Transactions'!D:D,'Allocated Transactions'!E:E,"")</f>
        <v>Indirect Cost Allocation</v>
      </c>
      <c r="G2208" s="113" t="s">
        <v>129</v>
      </c>
      <c r="H2208" s="113" t="s">
        <v>336</v>
      </c>
      <c r="I2208" s="113" t="str">
        <f>_xlfn.XLOOKUP($C2208,'Cost Centers'!$A$2:$A$11,'Cost Centers'!$C$2:$C$11,"")</f>
        <v>Admin</v>
      </c>
      <c r="J2208" s="23">
        <f t="array" ref="J2208">INDEX('Indirect Pool - Budget'!$A$2:$AA$38, MATCH(1, ('Indirect Pool - Budget'!$A$2:$A$38=C2208)*('Indirect Pool - Budget'!$C$2:$C$38=H2208), 0), MATCH(A2208,'Indirect Pool - Budget'!$A$2:$AA$2, 0))</f>
        <v>-2755.4900515843769</v>
      </c>
      <c r="K2208" s="113" t="s">
        <v>637</v>
      </c>
    </row>
    <row r="2209" spans="1:11" ht="15" customHeight="1">
      <c r="A2209" s="112">
        <f t="shared" si="145"/>
        <v>45901</v>
      </c>
      <c r="B2209" s="113">
        <v>13</v>
      </c>
      <c r="C2209" s="18" t="s">
        <v>6</v>
      </c>
      <c r="D2209" s="113" t="str">
        <f>_xlfn.XLOOKUP($C2209,'Cost Centers'!$A$2:$A$11,'Cost Centers'!$B$2:$B$11,"")</f>
        <v>Human Resources</v>
      </c>
      <c r="E2209" s="113" t="s">
        <v>127</v>
      </c>
      <c r="F2209" s="113" t="str">
        <f>_xlfn.XLOOKUP(E2209,'Allocated Transactions'!D:D,'Allocated Transactions'!E:E,"")</f>
        <v>Indirect Cost Allocation</v>
      </c>
      <c r="G2209" s="113" t="s">
        <v>129</v>
      </c>
      <c r="H2209" s="113" t="s">
        <v>337</v>
      </c>
      <c r="I2209" s="113" t="str">
        <f>_xlfn.XLOOKUP($C2209,'Cost Centers'!$A$2:$A$11,'Cost Centers'!$C$2:$C$11,"")</f>
        <v>Admin</v>
      </c>
      <c r="J2209" s="23">
        <f t="array" ref="J2209">INDEX('Indirect Pool - Budget'!$A$2:$AA$38, MATCH(1, ('Indirect Pool - Budget'!$A$2:$A$38=C2209)*('Indirect Pool - Budget'!$C$2:$C$38=H2209), 0), MATCH(A2209,'Indirect Pool - Budget'!$A$2:$AA$2, 0))</f>
        <v>-2815.9174649963152</v>
      </c>
      <c r="K2209" s="113" t="s">
        <v>637</v>
      </c>
    </row>
    <row r="2210" spans="1:11" ht="15" customHeight="1">
      <c r="A2210" s="112">
        <f t="shared" si="145"/>
        <v>45901</v>
      </c>
      <c r="B2210" s="113">
        <v>13</v>
      </c>
      <c r="C2210" s="18" t="s">
        <v>6</v>
      </c>
      <c r="D2210" s="113" t="str">
        <f>_xlfn.XLOOKUP($C2210,'Cost Centers'!$A$2:$A$11,'Cost Centers'!$B$2:$B$11,"")</f>
        <v>Human Resources</v>
      </c>
      <c r="E2210" s="113" t="s">
        <v>127</v>
      </c>
      <c r="F2210" s="113" t="str">
        <f>_xlfn.XLOOKUP(E2210,'Allocated Transactions'!D:D,'Allocated Transactions'!E:E,"")</f>
        <v>Indirect Cost Allocation</v>
      </c>
      <c r="G2210" s="113" t="s">
        <v>129</v>
      </c>
      <c r="H2210" s="113" t="s">
        <v>338</v>
      </c>
      <c r="I2210" s="113" t="str">
        <f>_xlfn.XLOOKUP($C2210,'Cost Centers'!$A$2:$A$11,'Cost Centers'!$C$2:$C$11,"")</f>
        <v>Admin</v>
      </c>
      <c r="J2210" s="23">
        <f t="array" ref="J2210">INDEX('Indirect Pool - Budget'!$A$2:$AA$38, MATCH(1, ('Indirect Pool - Budget'!$A$2:$A$38=C2210)*('Indirect Pool - Budget'!$C$2:$C$38=H2210), 0), MATCH(A2210,'Indirect Pool - Budget'!$A$2:$AA$2, 0))</f>
        <v>-3855.2689756816508</v>
      </c>
      <c r="K2210" s="113" t="s">
        <v>637</v>
      </c>
    </row>
    <row r="2211" spans="1:11" ht="15" customHeight="1">
      <c r="A2211" s="112">
        <f t="shared" si="145"/>
        <v>45901</v>
      </c>
      <c r="B2211" s="113">
        <v>13</v>
      </c>
      <c r="C2211" s="18" t="s">
        <v>6</v>
      </c>
      <c r="D2211" s="113" t="str">
        <f>_xlfn.XLOOKUP($C2211,'Cost Centers'!$A$2:$A$11,'Cost Centers'!$B$2:$B$11,"")</f>
        <v>Human Resources</v>
      </c>
      <c r="E2211" s="113" t="s">
        <v>127</v>
      </c>
      <c r="F2211" s="113" t="str">
        <f>_xlfn.XLOOKUP(E2211,'Allocated Transactions'!D:D,'Allocated Transactions'!E:E,"")</f>
        <v>Indirect Cost Allocation</v>
      </c>
      <c r="G2211" s="113" t="s">
        <v>129</v>
      </c>
      <c r="H2211" s="113" t="s">
        <v>339</v>
      </c>
      <c r="I2211" s="113" t="str">
        <f>_xlfn.XLOOKUP($C2211,'Cost Centers'!$A$2:$A$11,'Cost Centers'!$C$2:$C$11,"")</f>
        <v>Admin</v>
      </c>
      <c r="J2211" s="23">
        <f t="array" ref="J2211">INDEX('Indirect Pool - Budget'!$A$2:$AA$38, MATCH(1, ('Indirect Pool - Budget'!$A$2:$A$38=C2211)*('Indirect Pool - Budget'!$C$2:$C$38=H2211), 0), MATCH(A2211,'Indirect Pool - Budget'!$A$2:$AA$2, 0))</f>
        <v>-3722.3286661753868</v>
      </c>
      <c r="K2211" s="113" t="s">
        <v>637</v>
      </c>
    </row>
    <row r="2212" spans="1:11" ht="15" customHeight="1">
      <c r="A2212" s="112">
        <f t="shared" si="145"/>
        <v>45901</v>
      </c>
      <c r="B2212" s="113">
        <v>13</v>
      </c>
      <c r="C2212" s="18" t="s">
        <v>8</v>
      </c>
      <c r="D2212" s="113" t="str">
        <f>_xlfn.XLOOKUP($C2212,'Cost Centers'!$A$2:$A$11,'Cost Centers'!$B$2:$B$11,"")</f>
        <v>Finance</v>
      </c>
      <c r="E2212" s="113" t="s">
        <v>127</v>
      </c>
      <c r="F2212" s="113" t="str">
        <f>_xlfn.XLOOKUP(E2212,'Allocated Transactions'!D:D,'Allocated Transactions'!E:E,"")</f>
        <v>Indirect Cost Allocation</v>
      </c>
      <c r="G2212" s="113" t="s">
        <v>129</v>
      </c>
      <c r="H2212" s="113" t="s">
        <v>335</v>
      </c>
      <c r="I2212" s="113" t="str">
        <f>_xlfn.XLOOKUP($C2212,'Cost Centers'!$A$2:$A$11,'Cost Centers'!$C$2:$C$11,"")</f>
        <v>Admin</v>
      </c>
      <c r="J2212" s="23">
        <f t="array" ref="J2212">INDEX('Indirect Pool - Budget'!$A$2:$AA$38, MATCH(1, ('Indirect Pool - Budget'!$A$2:$A$38=C2212)*('Indirect Pool - Budget'!$C$2:$C$38=H2212), 0), MATCH(A2212,'Indirect Pool - Budget'!$A$2:$AA$2, 0))</f>
        <v>-3013.117170228445</v>
      </c>
      <c r="K2212" s="113" t="s">
        <v>637</v>
      </c>
    </row>
    <row r="2213" spans="1:11" ht="15" customHeight="1">
      <c r="A2213" s="112">
        <f t="shared" si="145"/>
        <v>45901</v>
      </c>
      <c r="B2213" s="113">
        <v>13</v>
      </c>
      <c r="C2213" s="18" t="s">
        <v>8</v>
      </c>
      <c r="D2213" s="113" t="str">
        <f>_xlfn.XLOOKUP($C2213,'Cost Centers'!$A$2:$A$11,'Cost Centers'!$B$2:$B$11,"")</f>
        <v>Finance</v>
      </c>
      <c r="E2213" s="113" t="s">
        <v>127</v>
      </c>
      <c r="F2213" s="113" t="str">
        <f>_xlfn.XLOOKUP(E2213,'Allocated Transactions'!D:D,'Allocated Transactions'!E:E,"")</f>
        <v>Indirect Cost Allocation</v>
      </c>
      <c r="G2213" s="113" t="s">
        <v>129</v>
      </c>
      <c r="H2213" s="113" t="s">
        <v>336</v>
      </c>
      <c r="I2213" s="113" t="str">
        <f>_xlfn.XLOOKUP($C2213,'Cost Centers'!$A$2:$A$11,'Cost Centers'!$C$2:$C$11,"")</f>
        <v>Admin</v>
      </c>
      <c r="J2213" s="23">
        <f t="array" ref="J2213">INDEX('Indirect Pool - Budget'!$A$2:$AA$38, MATCH(1, ('Indirect Pool - Budget'!$A$2:$A$38=C2213)*('Indirect Pool - Budget'!$C$2:$C$38=H2213), 0), MATCH(A2213,'Indirect Pool - Budget'!$A$2:$AA$2, 0))</f>
        <v>-2553.8688282977155</v>
      </c>
      <c r="K2213" s="113" t="s">
        <v>637</v>
      </c>
    </row>
    <row r="2214" spans="1:11" ht="15" customHeight="1">
      <c r="A2214" s="112">
        <f t="shared" si="145"/>
        <v>45901</v>
      </c>
      <c r="B2214" s="113">
        <v>13</v>
      </c>
      <c r="C2214" s="18" t="s">
        <v>8</v>
      </c>
      <c r="D2214" s="113" t="str">
        <f>_xlfn.XLOOKUP($C2214,'Cost Centers'!$A$2:$A$11,'Cost Centers'!$B$2:$B$11,"")</f>
        <v>Finance</v>
      </c>
      <c r="E2214" s="113" t="s">
        <v>127</v>
      </c>
      <c r="F2214" s="113" t="str">
        <f>_xlfn.XLOOKUP(E2214,'Allocated Transactions'!D:D,'Allocated Transactions'!E:E,"")</f>
        <v>Indirect Cost Allocation</v>
      </c>
      <c r="G2214" s="113" t="s">
        <v>129</v>
      </c>
      <c r="H2214" s="113" t="s">
        <v>337</v>
      </c>
      <c r="I2214" s="113" t="str">
        <f>_xlfn.XLOOKUP($C2214,'Cost Centers'!$A$2:$A$11,'Cost Centers'!$C$2:$C$11,"")</f>
        <v>Admin</v>
      </c>
      <c r="J2214" s="23">
        <f t="array" ref="J2214">INDEX('Indirect Pool - Budget'!$A$2:$AA$38, MATCH(1, ('Indirect Pool - Budget'!$A$2:$A$38=C2214)*('Indirect Pool - Budget'!$C$2:$C$38=H2214), 0), MATCH(A2214,'Indirect Pool - Budget'!$A$2:$AA$2, 0))</f>
        <v>-2609.8747236551217</v>
      </c>
      <c r="K2214" s="113" t="s">
        <v>637</v>
      </c>
    </row>
    <row r="2215" spans="1:11" ht="15" customHeight="1">
      <c r="A2215" s="112">
        <f t="shared" si="145"/>
        <v>45901</v>
      </c>
      <c r="B2215" s="113">
        <v>13</v>
      </c>
      <c r="C2215" s="18" t="s">
        <v>8</v>
      </c>
      <c r="D2215" s="113" t="str">
        <f>_xlfn.XLOOKUP($C2215,'Cost Centers'!$A$2:$A$11,'Cost Centers'!$B$2:$B$11,"")</f>
        <v>Finance</v>
      </c>
      <c r="E2215" s="113" t="s">
        <v>127</v>
      </c>
      <c r="F2215" s="113" t="str">
        <f>_xlfn.XLOOKUP(E2215,'Allocated Transactions'!D:D,'Allocated Transactions'!E:E,"")</f>
        <v>Indirect Cost Allocation</v>
      </c>
      <c r="G2215" s="113" t="s">
        <v>129</v>
      </c>
      <c r="H2215" s="113" t="s">
        <v>338</v>
      </c>
      <c r="I2215" s="113" t="str">
        <f>_xlfn.XLOOKUP($C2215,'Cost Centers'!$A$2:$A$11,'Cost Centers'!$C$2:$C$11,"")</f>
        <v>Admin</v>
      </c>
      <c r="J2215" s="23">
        <f t="array" ref="J2215">INDEX('Indirect Pool - Budget'!$A$2:$AA$38, MATCH(1, ('Indirect Pool - Budget'!$A$2:$A$38=C2215)*('Indirect Pool - Budget'!$C$2:$C$38=H2215), 0), MATCH(A2215,'Indirect Pool - Budget'!$A$2:$AA$2, 0))</f>
        <v>-3573.1761238025056</v>
      </c>
      <c r="K2215" s="113" t="s">
        <v>637</v>
      </c>
    </row>
    <row r="2216" spans="1:11" ht="15" customHeight="1">
      <c r="A2216" s="112">
        <f t="shared" si="145"/>
        <v>45901</v>
      </c>
      <c r="B2216" s="113">
        <v>13</v>
      </c>
      <c r="C2216" s="18" t="s">
        <v>8</v>
      </c>
      <c r="D2216" s="113" t="str">
        <f>_xlfn.XLOOKUP($C2216,'Cost Centers'!$A$2:$A$11,'Cost Centers'!$B$2:$B$11,"")</f>
        <v>Finance</v>
      </c>
      <c r="E2216" s="113" t="s">
        <v>127</v>
      </c>
      <c r="F2216" s="113" t="str">
        <f>_xlfn.XLOOKUP(E2216,'Allocated Transactions'!D:D,'Allocated Transactions'!E:E,"")</f>
        <v>Indirect Cost Allocation</v>
      </c>
      <c r="G2216" s="113" t="s">
        <v>129</v>
      </c>
      <c r="H2216" s="113" t="s">
        <v>339</v>
      </c>
      <c r="I2216" s="113" t="str">
        <f>_xlfn.XLOOKUP($C2216,'Cost Centers'!$A$2:$A$11,'Cost Centers'!$C$2:$C$11,"")</f>
        <v>Admin</v>
      </c>
      <c r="J2216" s="23">
        <f t="array" ref="J2216">INDEX('Indirect Pool - Budget'!$A$2:$AA$38, MATCH(1, ('Indirect Pool - Budget'!$A$2:$A$38=C2216)*('Indirect Pool - Budget'!$C$2:$C$38=H2216), 0), MATCH(A2216,'Indirect Pool - Budget'!$A$2:$AA$2, 0))</f>
        <v>-3449.9631540162122</v>
      </c>
      <c r="K2216" s="113" t="s">
        <v>637</v>
      </c>
    </row>
    <row r="2217" spans="1:11" ht="15" customHeight="1">
      <c r="A2217" s="112">
        <f t="shared" si="145"/>
        <v>45901</v>
      </c>
      <c r="B2217" s="113">
        <v>13</v>
      </c>
      <c r="C2217" s="18" t="s">
        <v>10</v>
      </c>
      <c r="D2217" s="113" t="str">
        <f>_xlfn.XLOOKUP($C2217,'Cost Centers'!$A$2:$A$11,'Cost Centers'!$B$2:$B$11,"")</f>
        <v>Business Development</v>
      </c>
      <c r="E2217" s="113" t="s">
        <v>127</v>
      </c>
      <c r="F2217" s="113" t="str">
        <f>_xlfn.XLOOKUP(E2217,'Allocated Transactions'!D:D,'Allocated Transactions'!E:E,"")</f>
        <v>Indirect Cost Allocation</v>
      </c>
      <c r="G2217" s="113" t="s">
        <v>129</v>
      </c>
      <c r="H2217" s="113" t="s">
        <v>335</v>
      </c>
      <c r="I2217" s="113" t="str">
        <f>_xlfn.XLOOKUP($C2217,'Cost Centers'!$A$2:$A$11,'Cost Centers'!$C$2:$C$11,"")</f>
        <v>Admin</v>
      </c>
      <c r="J2217" s="23">
        <f t="array" ref="J2217">INDEX('Indirect Pool - Budget'!$A$2:$AA$38, MATCH(1, ('Indirect Pool - Budget'!$A$2:$A$38=C2217)*('Indirect Pool - Budget'!$C$2:$C$38=H2217), 0), MATCH(A2217,'Indirect Pool - Budget'!$A$2:$AA$2, 0))</f>
        <v>-3072.5865880619012</v>
      </c>
      <c r="K2217" s="113" t="s">
        <v>637</v>
      </c>
    </row>
    <row r="2218" spans="1:11" ht="15" customHeight="1">
      <c r="A2218" s="112">
        <f t="shared" si="145"/>
        <v>45901</v>
      </c>
      <c r="B2218" s="113">
        <v>13</v>
      </c>
      <c r="C2218" s="18" t="s">
        <v>10</v>
      </c>
      <c r="D2218" s="113" t="str">
        <f>_xlfn.XLOOKUP($C2218,'Cost Centers'!$A$2:$A$11,'Cost Centers'!$B$2:$B$11,"")</f>
        <v>Business Development</v>
      </c>
      <c r="E2218" s="113" t="s">
        <v>127</v>
      </c>
      <c r="F2218" s="113" t="str">
        <f>_xlfn.XLOOKUP(E2218,'Allocated Transactions'!D:D,'Allocated Transactions'!E:E,"")</f>
        <v>Indirect Cost Allocation</v>
      </c>
      <c r="G2218" s="113" t="s">
        <v>129</v>
      </c>
      <c r="H2218" s="113" t="s">
        <v>336</v>
      </c>
      <c r="I2218" s="113" t="str">
        <f>_xlfn.XLOOKUP($C2218,'Cost Centers'!$A$2:$A$11,'Cost Centers'!$C$2:$C$11,"")</f>
        <v>Admin</v>
      </c>
      <c r="J2218" s="23">
        <f t="array" ref="J2218">INDEX('Indirect Pool - Budget'!$A$2:$AA$38, MATCH(1, ('Indirect Pool - Budget'!$A$2:$A$38=C2218)*('Indirect Pool - Budget'!$C$2:$C$38=H2218), 0), MATCH(A2218,'Indirect Pool - Budget'!$A$2:$AA$2, 0))</f>
        <v>-2604.274134119381</v>
      </c>
      <c r="K2218" s="113" t="s">
        <v>637</v>
      </c>
    </row>
    <row r="2219" spans="1:11" ht="15" customHeight="1">
      <c r="A2219" s="112">
        <f t="shared" si="145"/>
        <v>45901</v>
      </c>
      <c r="B2219" s="113">
        <v>13</v>
      </c>
      <c r="C2219" s="18" t="s">
        <v>10</v>
      </c>
      <c r="D2219" s="113" t="str">
        <f>_xlfn.XLOOKUP($C2219,'Cost Centers'!$A$2:$A$11,'Cost Centers'!$B$2:$B$11,"")</f>
        <v>Business Development</v>
      </c>
      <c r="E2219" s="113" t="s">
        <v>127</v>
      </c>
      <c r="F2219" s="113" t="str">
        <f>_xlfn.XLOOKUP(E2219,'Allocated Transactions'!D:D,'Allocated Transactions'!E:E,"")</f>
        <v>Indirect Cost Allocation</v>
      </c>
      <c r="G2219" s="113" t="s">
        <v>129</v>
      </c>
      <c r="H2219" s="113" t="s">
        <v>337</v>
      </c>
      <c r="I2219" s="113" t="str">
        <f>_xlfn.XLOOKUP($C2219,'Cost Centers'!$A$2:$A$11,'Cost Centers'!$C$2:$C$11,"")</f>
        <v>Admin</v>
      </c>
      <c r="J2219" s="23">
        <f t="array" ref="J2219">INDEX('Indirect Pool - Budget'!$A$2:$AA$38, MATCH(1, ('Indirect Pool - Budget'!$A$2:$A$38=C2219)*('Indirect Pool - Budget'!$C$2:$C$38=H2219), 0), MATCH(A2219,'Indirect Pool - Budget'!$A$2:$AA$2, 0))</f>
        <v>-2661.3854089904198</v>
      </c>
      <c r="K2219" s="113" t="s">
        <v>637</v>
      </c>
    </row>
    <row r="2220" spans="1:11" ht="15" customHeight="1">
      <c r="A2220" s="112">
        <f t="shared" si="145"/>
        <v>45901</v>
      </c>
      <c r="B2220" s="113">
        <v>13</v>
      </c>
      <c r="C2220" s="18" t="s">
        <v>10</v>
      </c>
      <c r="D2220" s="113" t="str">
        <f>_xlfn.XLOOKUP($C2220,'Cost Centers'!$A$2:$A$11,'Cost Centers'!$B$2:$B$11,"")</f>
        <v>Business Development</v>
      </c>
      <c r="E2220" s="113" t="s">
        <v>127</v>
      </c>
      <c r="F2220" s="113" t="str">
        <f>_xlfn.XLOOKUP(E2220,'Allocated Transactions'!D:D,'Allocated Transactions'!E:E,"")</f>
        <v>Indirect Cost Allocation</v>
      </c>
      <c r="G2220" s="113" t="s">
        <v>129</v>
      </c>
      <c r="H2220" s="113" t="s">
        <v>338</v>
      </c>
      <c r="I2220" s="113" t="str">
        <f>_xlfn.XLOOKUP($C2220,'Cost Centers'!$A$2:$A$11,'Cost Centers'!$C$2:$C$11,"")</f>
        <v>Admin</v>
      </c>
      <c r="J2220" s="23">
        <f t="array" ref="J2220">INDEX('Indirect Pool - Budget'!$A$2:$AA$38, MATCH(1, ('Indirect Pool - Budget'!$A$2:$A$38=C2220)*('Indirect Pool - Budget'!$C$2:$C$38=H2220), 0), MATCH(A2220,'Indirect Pool - Budget'!$A$2:$AA$2, 0))</f>
        <v>-3643.6993367722921</v>
      </c>
      <c r="K2220" s="113" t="s">
        <v>637</v>
      </c>
    </row>
    <row r="2221" spans="1:11" ht="15" customHeight="1">
      <c r="A2221" s="112">
        <f t="shared" si="145"/>
        <v>45901</v>
      </c>
      <c r="B2221" s="113">
        <v>13</v>
      </c>
      <c r="C2221" s="18" t="s">
        <v>10</v>
      </c>
      <c r="D2221" s="113" t="str">
        <f>_xlfn.XLOOKUP($C2221,'Cost Centers'!$A$2:$A$11,'Cost Centers'!$B$2:$B$11,"")</f>
        <v>Business Development</v>
      </c>
      <c r="E2221" s="113" t="s">
        <v>127</v>
      </c>
      <c r="F2221" s="113" t="str">
        <f>_xlfn.XLOOKUP(E2221,'Allocated Transactions'!D:D,'Allocated Transactions'!E:E,"")</f>
        <v>Indirect Cost Allocation</v>
      </c>
      <c r="G2221" s="113" t="s">
        <v>129</v>
      </c>
      <c r="H2221" s="113" t="s">
        <v>339</v>
      </c>
      <c r="I2221" s="113" t="str">
        <f>_xlfn.XLOOKUP($C2221,'Cost Centers'!$A$2:$A$11,'Cost Centers'!$C$2:$C$11,"")</f>
        <v>Admin</v>
      </c>
      <c r="J2221" s="23">
        <f t="array" ref="J2221">INDEX('Indirect Pool - Budget'!$A$2:$AA$38, MATCH(1, ('Indirect Pool - Budget'!$A$2:$A$38=C2221)*('Indirect Pool - Budget'!$C$2:$C$38=H2221), 0), MATCH(A2221,'Indirect Pool - Budget'!$A$2:$AA$2, 0))</f>
        <v>-3518.0545320560059</v>
      </c>
      <c r="K2221" s="113" t="s">
        <v>637</v>
      </c>
    </row>
    <row r="2222" spans="1:11" ht="15" customHeight="1">
      <c r="A2222" s="112">
        <f t="shared" si="145"/>
        <v>45931</v>
      </c>
      <c r="B2222" s="113">
        <v>14</v>
      </c>
      <c r="C2222" s="18" t="s">
        <v>4</v>
      </c>
      <c r="D2222" s="113" t="str">
        <f>_xlfn.XLOOKUP($C2222,'Cost Centers'!$A$2:$A$11,'Cost Centers'!$B$2:$B$11,"")</f>
        <v>Executive</v>
      </c>
      <c r="E2222" s="113" t="s">
        <v>127</v>
      </c>
      <c r="F2222" s="113" t="str">
        <f>_xlfn.XLOOKUP(E2222,'Allocated Transactions'!D:D,'Allocated Transactions'!E:E,"")</f>
        <v>Indirect Cost Allocation</v>
      </c>
      <c r="G2222" s="113" t="s">
        <v>129</v>
      </c>
      <c r="H2222" s="113" t="s">
        <v>335</v>
      </c>
      <c r="I2222" s="113" t="str">
        <f>_xlfn.XLOOKUP($C2222,'Cost Centers'!$A$2:$A$11,'Cost Centers'!$C$2:$C$11,"")</f>
        <v>Admin</v>
      </c>
      <c r="J2222" s="23">
        <f t="array" ref="J2222">INDEX('Indirect Pool - Budget'!$A$2:$AA$38, MATCH(1, ('Indirect Pool - Budget'!$A$2:$A$38=C2222)*('Indirect Pool - Budget'!$C$2:$C$38=H2222), 0), MATCH(A2222,'Indirect Pool - Budget'!$A$2:$AA$2, 0))</f>
        <v>-1467.8899082568807</v>
      </c>
      <c r="K2222" s="113" t="s">
        <v>637</v>
      </c>
    </row>
    <row r="2223" spans="1:11" ht="15" customHeight="1">
      <c r="A2223" s="112">
        <f t="shared" si="145"/>
        <v>45931</v>
      </c>
      <c r="B2223" s="113">
        <v>14</v>
      </c>
      <c r="C2223" s="18" t="s">
        <v>4</v>
      </c>
      <c r="D2223" s="113" t="str">
        <f>_xlfn.XLOOKUP($C2223,'Cost Centers'!$A$2:$A$11,'Cost Centers'!$B$2:$B$11,"")</f>
        <v>Executive</v>
      </c>
      <c r="E2223" s="113" t="s">
        <v>127</v>
      </c>
      <c r="F2223" s="113" t="str">
        <f>_xlfn.XLOOKUP(E2223,'Allocated Transactions'!D:D,'Allocated Transactions'!E:E,"")</f>
        <v>Indirect Cost Allocation</v>
      </c>
      <c r="G2223" s="113" t="s">
        <v>129</v>
      </c>
      <c r="H2223" s="113" t="s">
        <v>336</v>
      </c>
      <c r="I2223" s="113" t="str">
        <f>_xlfn.XLOOKUP($C2223,'Cost Centers'!$A$2:$A$11,'Cost Centers'!$C$2:$C$11,"")</f>
        <v>Admin</v>
      </c>
      <c r="J2223" s="23">
        <f t="array" ref="J2223">INDEX('Indirect Pool - Budget'!$A$2:$AA$38, MATCH(1, ('Indirect Pool - Budget'!$A$2:$A$38=C2223)*('Indirect Pool - Budget'!$C$2:$C$38=H2223), 0), MATCH(A2223,'Indirect Pool - Budget'!$A$2:$AA$2, 0))</f>
        <v>-3229.3577981651374</v>
      </c>
      <c r="K2223" s="113" t="s">
        <v>637</v>
      </c>
    </row>
    <row r="2224" spans="1:11" ht="15" customHeight="1">
      <c r="A2224" s="112">
        <f t="shared" si="145"/>
        <v>45931</v>
      </c>
      <c r="B2224" s="113">
        <v>14</v>
      </c>
      <c r="C2224" s="18" t="s">
        <v>4</v>
      </c>
      <c r="D2224" s="113" t="str">
        <f>_xlfn.XLOOKUP($C2224,'Cost Centers'!$A$2:$A$11,'Cost Centers'!$B$2:$B$11,"")</f>
        <v>Executive</v>
      </c>
      <c r="E2224" s="113" t="s">
        <v>127</v>
      </c>
      <c r="F2224" s="113" t="str">
        <f>_xlfn.XLOOKUP(E2224,'Allocated Transactions'!D:D,'Allocated Transactions'!E:E,"")</f>
        <v>Indirect Cost Allocation</v>
      </c>
      <c r="G2224" s="113" t="s">
        <v>129</v>
      </c>
      <c r="H2224" s="113" t="s">
        <v>337</v>
      </c>
      <c r="I2224" s="113" t="str">
        <f>_xlfn.XLOOKUP($C2224,'Cost Centers'!$A$2:$A$11,'Cost Centers'!$C$2:$C$11,"")</f>
        <v>Admin</v>
      </c>
      <c r="J2224" s="23">
        <f t="array" ref="J2224">INDEX('Indirect Pool - Budget'!$A$2:$AA$38, MATCH(1, ('Indirect Pool - Budget'!$A$2:$A$38=C2224)*('Indirect Pool - Budget'!$C$2:$C$38=H2224), 0), MATCH(A2224,'Indirect Pool - Budget'!$A$2:$AA$2, 0))</f>
        <v>-1893.5779816513761</v>
      </c>
      <c r="K2224" s="113" t="s">
        <v>637</v>
      </c>
    </row>
    <row r="2225" spans="1:11" ht="15" customHeight="1">
      <c r="A2225" s="112">
        <f t="shared" si="145"/>
        <v>45931</v>
      </c>
      <c r="B2225" s="113">
        <v>14</v>
      </c>
      <c r="C2225" s="18" t="s">
        <v>4</v>
      </c>
      <c r="D2225" s="113" t="str">
        <f>_xlfn.XLOOKUP($C2225,'Cost Centers'!$A$2:$A$11,'Cost Centers'!$B$2:$B$11,"")</f>
        <v>Executive</v>
      </c>
      <c r="E2225" s="113" t="s">
        <v>127</v>
      </c>
      <c r="F2225" s="113" t="str">
        <f>_xlfn.XLOOKUP(E2225,'Allocated Transactions'!D:D,'Allocated Transactions'!E:E,"")</f>
        <v>Indirect Cost Allocation</v>
      </c>
      <c r="G2225" s="113" t="s">
        <v>129</v>
      </c>
      <c r="H2225" s="113" t="s">
        <v>338</v>
      </c>
      <c r="I2225" s="113" t="str">
        <f>_xlfn.XLOOKUP($C2225,'Cost Centers'!$A$2:$A$11,'Cost Centers'!$C$2:$C$11,"")</f>
        <v>Admin</v>
      </c>
      <c r="J2225" s="23">
        <f t="array" ref="J2225">INDEX('Indirect Pool - Budget'!$A$2:$AA$38, MATCH(1, ('Indirect Pool - Budget'!$A$2:$A$38=C2225)*('Indirect Pool - Budget'!$C$2:$C$38=H2225), 0), MATCH(A2225,'Indirect Pool - Budget'!$A$2:$AA$2, 0))</f>
        <v>-2436.6972477064219</v>
      </c>
      <c r="K2225" s="113" t="s">
        <v>637</v>
      </c>
    </row>
    <row r="2226" spans="1:11" ht="15" customHeight="1">
      <c r="A2226" s="112">
        <f t="shared" si="145"/>
        <v>45931</v>
      </c>
      <c r="B2226" s="113">
        <v>14</v>
      </c>
      <c r="C2226" s="18" t="s">
        <v>4</v>
      </c>
      <c r="D2226" s="113" t="str">
        <f>_xlfn.XLOOKUP($C2226,'Cost Centers'!$A$2:$A$11,'Cost Centers'!$B$2:$B$11,"")</f>
        <v>Executive</v>
      </c>
      <c r="E2226" s="113" t="s">
        <v>127</v>
      </c>
      <c r="F2226" s="113" t="str">
        <f>_xlfn.XLOOKUP(E2226,'Allocated Transactions'!D:D,'Allocated Transactions'!E:E,"")</f>
        <v>Indirect Cost Allocation</v>
      </c>
      <c r="G2226" s="113" t="s">
        <v>129</v>
      </c>
      <c r="H2226" s="113" t="s">
        <v>339</v>
      </c>
      <c r="I2226" s="113" t="str">
        <f>_xlfn.XLOOKUP($C2226,'Cost Centers'!$A$2:$A$11,'Cost Centers'!$C$2:$C$11,"")</f>
        <v>Admin</v>
      </c>
      <c r="J2226" s="23">
        <f t="array" ref="J2226">INDEX('Indirect Pool - Budget'!$A$2:$AA$38, MATCH(1, ('Indirect Pool - Budget'!$A$2:$A$38=C2226)*('Indirect Pool - Budget'!$C$2:$C$38=H2226), 0), MATCH(A2226,'Indirect Pool - Budget'!$A$2:$AA$2, 0))</f>
        <v>-2172.4770642201834</v>
      </c>
      <c r="K2226" s="113" t="s">
        <v>637</v>
      </c>
    </row>
    <row r="2227" spans="1:11" ht="15" customHeight="1">
      <c r="A2227" s="112">
        <f t="shared" si="145"/>
        <v>45931</v>
      </c>
      <c r="B2227" s="113">
        <v>14</v>
      </c>
      <c r="C2227" s="18" t="s">
        <v>6</v>
      </c>
      <c r="D2227" s="113" t="str">
        <f>_xlfn.XLOOKUP($C2227,'Cost Centers'!$A$2:$A$11,'Cost Centers'!$B$2:$B$11,"")</f>
        <v>Human Resources</v>
      </c>
      <c r="E2227" s="113" t="s">
        <v>127</v>
      </c>
      <c r="F2227" s="113" t="str">
        <f>_xlfn.XLOOKUP(E2227,'Allocated Transactions'!D:D,'Allocated Transactions'!E:E,"")</f>
        <v>Indirect Cost Allocation</v>
      </c>
      <c r="G2227" s="113" t="s">
        <v>129</v>
      </c>
      <c r="H2227" s="113" t="s">
        <v>335</v>
      </c>
      <c r="I2227" s="113" t="str">
        <f>_xlfn.XLOOKUP($C2227,'Cost Centers'!$A$2:$A$11,'Cost Centers'!$C$2:$C$11,"")</f>
        <v>Admin</v>
      </c>
      <c r="J2227" s="23">
        <f t="array" ref="J2227">INDEX('Indirect Pool - Budget'!$A$2:$AA$38, MATCH(1, ('Indirect Pool - Budget'!$A$2:$A$38=C2227)*('Indirect Pool - Budget'!$C$2:$C$38=H2227), 0), MATCH(A2227,'Indirect Pool - Budget'!$A$2:$AA$2, 0))</f>
        <v>-2529.4888597640893</v>
      </c>
      <c r="K2227" s="113" t="s">
        <v>637</v>
      </c>
    </row>
    <row r="2228" spans="1:11" ht="15" customHeight="1">
      <c r="A2228" s="112">
        <f t="shared" si="145"/>
        <v>45931</v>
      </c>
      <c r="B2228" s="113">
        <v>14</v>
      </c>
      <c r="C2228" s="18" t="s">
        <v>6</v>
      </c>
      <c r="D2228" s="113" t="str">
        <f>_xlfn.XLOOKUP($C2228,'Cost Centers'!$A$2:$A$11,'Cost Centers'!$B$2:$B$11,"")</f>
        <v>Human Resources</v>
      </c>
      <c r="E2228" s="113" t="s">
        <v>127</v>
      </c>
      <c r="F2228" s="113" t="str">
        <f>_xlfn.XLOOKUP(E2228,'Allocated Transactions'!D:D,'Allocated Transactions'!E:E,"")</f>
        <v>Indirect Cost Allocation</v>
      </c>
      <c r="G2228" s="113" t="s">
        <v>129</v>
      </c>
      <c r="H2228" s="113" t="s">
        <v>336</v>
      </c>
      <c r="I2228" s="113" t="str">
        <f>_xlfn.XLOOKUP($C2228,'Cost Centers'!$A$2:$A$11,'Cost Centers'!$C$2:$C$11,"")</f>
        <v>Admin</v>
      </c>
      <c r="J2228" s="23">
        <f t="array" ref="J2228">INDEX('Indirect Pool - Budget'!$A$2:$AA$38, MATCH(1, ('Indirect Pool - Budget'!$A$2:$A$38=C2228)*('Indirect Pool - Budget'!$C$2:$C$38=H2228), 0), MATCH(A2228,'Indirect Pool - Budget'!$A$2:$AA$2, 0))</f>
        <v>-5564.8754914809961</v>
      </c>
      <c r="K2228" s="113" t="s">
        <v>637</v>
      </c>
    </row>
    <row r="2229" spans="1:11" ht="15" customHeight="1">
      <c r="A2229" s="112">
        <f t="shared" si="145"/>
        <v>45931</v>
      </c>
      <c r="B2229" s="113">
        <v>14</v>
      </c>
      <c r="C2229" s="18" t="s">
        <v>6</v>
      </c>
      <c r="D2229" s="113" t="str">
        <f>_xlfn.XLOOKUP($C2229,'Cost Centers'!$A$2:$A$11,'Cost Centers'!$B$2:$B$11,"")</f>
        <v>Human Resources</v>
      </c>
      <c r="E2229" s="113" t="s">
        <v>127</v>
      </c>
      <c r="F2229" s="113" t="str">
        <f>_xlfn.XLOOKUP(E2229,'Allocated Transactions'!D:D,'Allocated Transactions'!E:E,"")</f>
        <v>Indirect Cost Allocation</v>
      </c>
      <c r="G2229" s="113" t="s">
        <v>129</v>
      </c>
      <c r="H2229" s="113" t="s">
        <v>337</v>
      </c>
      <c r="I2229" s="113" t="str">
        <f>_xlfn.XLOOKUP($C2229,'Cost Centers'!$A$2:$A$11,'Cost Centers'!$C$2:$C$11,"")</f>
        <v>Admin</v>
      </c>
      <c r="J2229" s="23">
        <f t="array" ref="J2229">INDEX('Indirect Pool - Budget'!$A$2:$AA$38, MATCH(1, ('Indirect Pool - Budget'!$A$2:$A$38=C2229)*('Indirect Pool - Budget'!$C$2:$C$38=H2229), 0), MATCH(A2229,'Indirect Pool - Budget'!$A$2:$AA$2, 0))</f>
        <v>-3263.0406290956748</v>
      </c>
      <c r="K2229" s="113" t="s">
        <v>637</v>
      </c>
    </row>
    <row r="2230" spans="1:11" ht="15" customHeight="1">
      <c r="A2230" s="112">
        <f t="shared" si="145"/>
        <v>45931</v>
      </c>
      <c r="B2230" s="113">
        <v>14</v>
      </c>
      <c r="C2230" s="18" t="s">
        <v>6</v>
      </c>
      <c r="D2230" s="113" t="str">
        <f>_xlfn.XLOOKUP($C2230,'Cost Centers'!$A$2:$A$11,'Cost Centers'!$B$2:$B$11,"")</f>
        <v>Human Resources</v>
      </c>
      <c r="E2230" s="113" t="s">
        <v>127</v>
      </c>
      <c r="F2230" s="113" t="str">
        <f>_xlfn.XLOOKUP(E2230,'Allocated Transactions'!D:D,'Allocated Transactions'!E:E,"")</f>
        <v>Indirect Cost Allocation</v>
      </c>
      <c r="G2230" s="113" t="s">
        <v>129</v>
      </c>
      <c r="H2230" s="113" t="s">
        <v>338</v>
      </c>
      <c r="I2230" s="113" t="str">
        <f>_xlfn.XLOOKUP($C2230,'Cost Centers'!$A$2:$A$11,'Cost Centers'!$C$2:$C$11,"")</f>
        <v>Admin</v>
      </c>
      <c r="J2230" s="23">
        <f t="array" ref="J2230">INDEX('Indirect Pool - Budget'!$A$2:$AA$38, MATCH(1, ('Indirect Pool - Budget'!$A$2:$A$38=C2230)*('Indirect Pool - Budget'!$C$2:$C$38=H2230), 0), MATCH(A2230,'Indirect Pool - Budget'!$A$2:$AA$2, 0))</f>
        <v>-4198.9515072083877</v>
      </c>
      <c r="K2230" s="113" t="s">
        <v>637</v>
      </c>
    </row>
    <row r="2231" spans="1:11" ht="15" customHeight="1">
      <c r="A2231" s="112">
        <f t="shared" si="145"/>
        <v>45931</v>
      </c>
      <c r="B2231" s="113">
        <v>14</v>
      </c>
      <c r="C2231" s="18" t="s">
        <v>6</v>
      </c>
      <c r="D2231" s="113" t="str">
        <f>_xlfn.XLOOKUP($C2231,'Cost Centers'!$A$2:$A$11,'Cost Centers'!$B$2:$B$11,"")</f>
        <v>Human Resources</v>
      </c>
      <c r="E2231" s="113" t="s">
        <v>127</v>
      </c>
      <c r="F2231" s="113" t="str">
        <f>_xlfn.XLOOKUP(E2231,'Allocated Transactions'!D:D,'Allocated Transactions'!E:E,"")</f>
        <v>Indirect Cost Allocation</v>
      </c>
      <c r="G2231" s="113" t="s">
        <v>129</v>
      </c>
      <c r="H2231" s="113" t="s">
        <v>339</v>
      </c>
      <c r="I2231" s="113" t="str">
        <f>_xlfn.XLOOKUP($C2231,'Cost Centers'!$A$2:$A$11,'Cost Centers'!$C$2:$C$11,"")</f>
        <v>Admin</v>
      </c>
      <c r="J2231" s="23">
        <f t="array" ref="J2231">INDEX('Indirect Pool - Budget'!$A$2:$AA$38, MATCH(1, ('Indirect Pool - Budget'!$A$2:$A$38=C2231)*('Indirect Pool - Budget'!$C$2:$C$38=H2231), 0), MATCH(A2231,'Indirect Pool - Budget'!$A$2:$AA$2, 0))</f>
        <v>-3743.6435124508521</v>
      </c>
      <c r="K2231" s="113" t="s">
        <v>637</v>
      </c>
    </row>
    <row r="2232" spans="1:11" ht="15" customHeight="1">
      <c r="A2232" s="112">
        <f t="shared" si="145"/>
        <v>45931</v>
      </c>
      <c r="B2232" s="113">
        <v>14</v>
      </c>
      <c r="C2232" s="18" t="s">
        <v>8</v>
      </c>
      <c r="D2232" s="113" t="str">
        <f>_xlfn.XLOOKUP($C2232,'Cost Centers'!$A$2:$A$11,'Cost Centers'!$B$2:$B$11,"")</f>
        <v>Finance</v>
      </c>
      <c r="E2232" s="113" t="s">
        <v>127</v>
      </c>
      <c r="F2232" s="113" t="str">
        <f>_xlfn.XLOOKUP(E2232,'Allocated Transactions'!D:D,'Allocated Transactions'!E:E,"")</f>
        <v>Indirect Cost Allocation</v>
      </c>
      <c r="G2232" s="113" t="s">
        <v>129</v>
      </c>
      <c r="H2232" s="113" t="s">
        <v>335</v>
      </c>
      <c r="I2232" s="113" t="str">
        <f>_xlfn.XLOOKUP($C2232,'Cost Centers'!$A$2:$A$11,'Cost Centers'!$C$2:$C$11,"")</f>
        <v>Admin</v>
      </c>
      <c r="J2232" s="23">
        <f t="array" ref="J2232">INDEX('Indirect Pool - Budget'!$A$2:$AA$38, MATCH(1, ('Indirect Pool - Budget'!$A$2:$A$38=C2232)*('Indirect Pool - Budget'!$C$2:$C$38=H2232), 0), MATCH(A2232,'Indirect Pool - Budget'!$A$2:$AA$2, 0))</f>
        <v>-2044.5609436435125</v>
      </c>
      <c r="K2232" s="113" t="s">
        <v>637</v>
      </c>
    </row>
    <row r="2233" spans="1:11" ht="15" customHeight="1">
      <c r="A2233" s="112">
        <f t="shared" si="145"/>
        <v>45931</v>
      </c>
      <c r="B2233" s="113">
        <v>14</v>
      </c>
      <c r="C2233" s="18" t="s">
        <v>8</v>
      </c>
      <c r="D2233" s="113" t="str">
        <f>_xlfn.XLOOKUP($C2233,'Cost Centers'!$A$2:$A$11,'Cost Centers'!$B$2:$B$11,"")</f>
        <v>Finance</v>
      </c>
      <c r="E2233" s="113" t="s">
        <v>127</v>
      </c>
      <c r="F2233" s="113" t="str">
        <f>_xlfn.XLOOKUP(E2233,'Allocated Transactions'!D:D,'Allocated Transactions'!E:E,"")</f>
        <v>Indirect Cost Allocation</v>
      </c>
      <c r="G2233" s="113" t="s">
        <v>129</v>
      </c>
      <c r="H2233" s="113" t="s">
        <v>336</v>
      </c>
      <c r="I2233" s="113" t="str">
        <f>_xlfn.XLOOKUP($C2233,'Cost Centers'!$A$2:$A$11,'Cost Centers'!$C$2:$C$11,"")</f>
        <v>Admin</v>
      </c>
      <c r="J2233" s="23">
        <f t="array" ref="J2233">INDEX('Indirect Pool - Budget'!$A$2:$AA$38, MATCH(1, ('Indirect Pool - Budget'!$A$2:$A$38=C2233)*('Indirect Pool - Budget'!$C$2:$C$38=H2233), 0), MATCH(A2233,'Indirect Pool - Budget'!$A$2:$AA$2, 0))</f>
        <v>-4498.0340760157269</v>
      </c>
      <c r="K2233" s="113" t="s">
        <v>637</v>
      </c>
    </row>
    <row r="2234" spans="1:11" ht="15" customHeight="1">
      <c r="A2234" s="112">
        <f t="shared" si="145"/>
        <v>45931</v>
      </c>
      <c r="B2234" s="113">
        <v>14</v>
      </c>
      <c r="C2234" s="18" t="s">
        <v>8</v>
      </c>
      <c r="D2234" s="113" t="str">
        <f>_xlfn.XLOOKUP($C2234,'Cost Centers'!$A$2:$A$11,'Cost Centers'!$B$2:$B$11,"")</f>
        <v>Finance</v>
      </c>
      <c r="E2234" s="113" t="s">
        <v>127</v>
      </c>
      <c r="F2234" s="113" t="str">
        <f>_xlfn.XLOOKUP(E2234,'Allocated Transactions'!D:D,'Allocated Transactions'!E:E,"")</f>
        <v>Indirect Cost Allocation</v>
      </c>
      <c r="G2234" s="113" t="s">
        <v>129</v>
      </c>
      <c r="H2234" s="113" t="s">
        <v>337</v>
      </c>
      <c r="I2234" s="113" t="str">
        <f>_xlfn.XLOOKUP($C2234,'Cost Centers'!$A$2:$A$11,'Cost Centers'!$C$2:$C$11,"")</f>
        <v>Admin</v>
      </c>
      <c r="J2234" s="23">
        <f t="array" ref="J2234">INDEX('Indirect Pool - Budget'!$A$2:$AA$38, MATCH(1, ('Indirect Pool - Budget'!$A$2:$A$38=C2234)*('Indirect Pool - Budget'!$C$2:$C$38=H2234), 0), MATCH(A2234,'Indirect Pool - Budget'!$A$2:$AA$2, 0))</f>
        <v>-2637.4836173001308</v>
      </c>
      <c r="K2234" s="113" t="s">
        <v>637</v>
      </c>
    </row>
    <row r="2235" spans="1:11" ht="15" customHeight="1">
      <c r="A2235" s="112">
        <f t="shared" si="145"/>
        <v>45931</v>
      </c>
      <c r="B2235" s="113">
        <v>14</v>
      </c>
      <c r="C2235" s="18" t="s">
        <v>8</v>
      </c>
      <c r="D2235" s="113" t="str">
        <f>_xlfn.XLOOKUP($C2235,'Cost Centers'!$A$2:$A$11,'Cost Centers'!$B$2:$B$11,"")</f>
        <v>Finance</v>
      </c>
      <c r="E2235" s="113" t="s">
        <v>127</v>
      </c>
      <c r="F2235" s="113" t="str">
        <f>_xlfn.XLOOKUP(E2235,'Allocated Transactions'!D:D,'Allocated Transactions'!E:E,"")</f>
        <v>Indirect Cost Allocation</v>
      </c>
      <c r="G2235" s="113" t="s">
        <v>129</v>
      </c>
      <c r="H2235" s="113" t="s">
        <v>338</v>
      </c>
      <c r="I2235" s="113" t="str">
        <f>_xlfn.XLOOKUP($C2235,'Cost Centers'!$A$2:$A$11,'Cost Centers'!$C$2:$C$11,"")</f>
        <v>Admin</v>
      </c>
      <c r="J2235" s="23">
        <f t="array" ref="J2235">INDEX('Indirect Pool - Budget'!$A$2:$AA$38, MATCH(1, ('Indirect Pool - Budget'!$A$2:$A$38=C2235)*('Indirect Pool - Budget'!$C$2:$C$38=H2235), 0), MATCH(A2235,'Indirect Pool - Budget'!$A$2:$AA$2, 0))</f>
        <v>-3393.9711664482306</v>
      </c>
      <c r="K2235" s="113" t="s">
        <v>637</v>
      </c>
    </row>
    <row r="2236" spans="1:11" ht="15" customHeight="1">
      <c r="A2236" s="112">
        <f t="shared" si="145"/>
        <v>45931</v>
      </c>
      <c r="B2236" s="113">
        <v>14</v>
      </c>
      <c r="C2236" s="18" t="s">
        <v>8</v>
      </c>
      <c r="D2236" s="113" t="str">
        <f>_xlfn.XLOOKUP($C2236,'Cost Centers'!$A$2:$A$11,'Cost Centers'!$B$2:$B$11,"")</f>
        <v>Finance</v>
      </c>
      <c r="E2236" s="113" t="s">
        <v>127</v>
      </c>
      <c r="F2236" s="113" t="str">
        <f>_xlfn.XLOOKUP(E2236,'Allocated Transactions'!D:D,'Allocated Transactions'!E:E,"")</f>
        <v>Indirect Cost Allocation</v>
      </c>
      <c r="G2236" s="113" t="s">
        <v>129</v>
      </c>
      <c r="H2236" s="113" t="s">
        <v>339</v>
      </c>
      <c r="I2236" s="113" t="str">
        <f>_xlfn.XLOOKUP($C2236,'Cost Centers'!$A$2:$A$11,'Cost Centers'!$C$2:$C$11,"")</f>
        <v>Admin</v>
      </c>
      <c r="J2236" s="23">
        <f t="array" ref="J2236">INDEX('Indirect Pool - Budget'!$A$2:$AA$38, MATCH(1, ('Indirect Pool - Budget'!$A$2:$A$38=C2236)*('Indirect Pool - Budget'!$C$2:$C$38=H2236), 0), MATCH(A2236,'Indirect Pool - Budget'!$A$2:$AA$2, 0))</f>
        <v>-3025.9501965923987</v>
      </c>
      <c r="K2236" s="113" t="s">
        <v>637</v>
      </c>
    </row>
    <row r="2237" spans="1:11" ht="15" customHeight="1">
      <c r="A2237" s="112">
        <f t="shared" si="145"/>
        <v>45931</v>
      </c>
      <c r="B2237" s="113">
        <v>14</v>
      </c>
      <c r="C2237" s="18" t="s">
        <v>10</v>
      </c>
      <c r="D2237" s="113" t="str">
        <f>_xlfn.XLOOKUP($C2237,'Cost Centers'!$A$2:$A$11,'Cost Centers'!$B$2:$B$11,"")</f>
        <v>Business Development</v>
      </c>
      <c r="E2237" s="113" t="s">
        <v>127</v>
      </c>
      <c r="F2237" s="113" t="str">
        <f>_xlfn.XLOOKUP(E2237,'Allocated Transactions'!D:D,'Allocated Transactions'!E:E,"")</f>
        <v>Indirect Cost Allocation</v>
      </c>
      <c r="G2237" s="113" t="s">
        <v>129</v>
      </c>
      <c r="H2237" s="113" t="s">
        <v>335</v>
      </c>
      <c r="I2237" s="113" t="str">
        <f>_xlfn.XLOOKUP($C2237,'Cost Centers'!$A$2:$A$11,'Cost Centers'!$C$2:$C$11,"")</f>
        <v>Admin</v>
      </c>
      <c r="J2237" s="23">
        <f t="array" ref="J2237">INDEX('Indirect Pool - Budget'!$A$2:$AA$38, MATCH(1, ('Indirect Pool - Budget'!$A$2:$A$38=C2237)*('Indirect Pool - Budget'!$C$2:$C$38=H2237), 0), MATCH(A2237,'Indirect Pool - Budget'!$A$2:$AA$2, 0))</f>
        <v>-2083.8794233289645</v>
      </c>
      <c r="K2237" s="113" t="s">
        <v>637</v>
      </c>
    </row>
    <row r="2238" spans="1:11" ht="15" customHeight="1">
      <c r="A2238" s="112">
        <f t="shared" si="145"/>
        <v>45931</v>
      </c>
      <c r="B2238" s="113">
        <v>14</v>
      </c>
      <c r="C2238" s="18" t="s">
        <v>10</v>
      </c>
      <c r="D2238" s="113" t="str">
        <f>_xlfn.XLOOKUP($C2238,'Cost Centers'!$A$2:$A$11,'Cost Centers'!$B$2:$B$11,"")</f>
        <v>Business Development</v>
      </c>
      <c r="E2238" s="113" t="s">
        <v>127</v>
      </c>
      <c r="F2238" s="113" t="str">
        <f>_xlfn.XLOOKUP(E2238,'Allocated Transactions'!D:D,'Allocated Transactions'!E:E,"")</f>
        <v>Indirect Cost Allocation</v>
      </c>
      <c r="G2238" s="113" t="s">
        <v>129</v>
      </c>
      <c r="H2238" s="113" t="s">
        <v>336</v>
      </c>
      <c r="I2238" s="113" t="str">
        <f>_xlfn.XLOOKUP($C2238,'Cost Centers'!$A$2:$A$11,'Cost Centers'!$C$2:$C$11,"")</f>
        <v>Admin</v>
      </c>
      <c r="J2238" s="23">
        <f t="array" ref="J2238">INDEX('Indirect Pool - Budget'!$A$2:$AA$38, MATCH(1, ('Indirect Pool - Budget'!$A$2:$A$38=C2238)*('Indirect Pool - Budget'!$C$2:$C$38=H2238), 0), MATCH(A2238,'Indirect Pool - Budget'!$A$2:$AA$2, 0))</f>
        <v>-4584.5347313237216</v>
      </c>
      <c r="K2238" s="113" t="s">
        <v>637</v>
      </c>
    </row>
    <row r="2239" spans="1:11" ht="15" customHeight="1">
      <c r="A2239" s="112">
        <f t="shared" si="145"/>
        <v>45931</v>
      </c>
      <c r="B2239" s="113">
        <v>14</v>
      </c>
      <c r="C2239" s="18" t="s">
        <v>10</v>
      </c>
      <c r="D2239" s="113" t="str">
        <f>_xlfn.XLOOKUP($C2239,'Cost Centers'!$A$2:$A$11,'Cost Centers'!$B$2:$B$11,"")</f>
        <v>Business Development</v>
      </c>
      <c r="E2239" s="113" t="s">
        <v>127</v>
      </c>
      <c r="F2239" s="113" t="str">
        <f>_xlfn.XLOOKUP(E2239,'Allocated Transactions'!D:D,'Allocated Transactions'!E:E,"")</f>
        <v>Indirect Cost Allocation</v>
      </c>
      <c r="G2239" s="113" t="s">
        <v>129</v>
      </c>
      <c r="H2239" s="113" t="s">
        <v>337</v>
      </c>
      <c r="I2239" s="113" t="str">
        <f>_xlfn.XLOOKUP($C2239,'Cost Centers'!$A$2:$A$11,'Cost Centers'!$C$2:$C$11,"")</f>
        <v>Admin</v>
      </c>
      <c r="J2239" s="23">
        <f t="array" ref="J2239">INDEX('Indirect Pool - Budget'!$A$2:$AA$38, MATCH(1, ('Indirect Pool - Budget'!$A$2:$A$38=C2239)*('Indirect Pool - Budget'!$C$2:$C$38=H2239), 0), MATCH(A2239,'Indirect Pool - Budget'!$A$2:$AA$2, 0))</f>
        <v>-2688.2044560943641</v>
      </c>
      <c r="K2239" s="113" t="s">
        <v>637</v>
      </c>
    </row>
    <row r="2240" spans="1:11" ht="15" customHeight="1">
      <c r="A2240" s="112">
        <f t="shared" si="145"/>
        <v>45931</v>
      </c>
      <c r="B2240" s="113">
        <v>14</v>
      </c>
      <c r="C2240" s="18" t="s">
        <v>10</v>
      </c>
      <c r="D2240" s="113" t="str">
        <f>_xlfn.XLOOKUP($C2240,'Cost Centers'!$A$2:$A$11,'Cost Centers'!$B$2:$B$11,"")</f>
        <v>Business Development</v>
      </c>
      <c r="E2240" s="113" t="s">
        <v>127</v>
      </c>
      <c r="F2240" s="113" t="str">
        <f>_xlfn.XLOOKUP(E2240,'Allocated Transactions'!D:D,'Allocated Transactions'!E:E,"")</f>
        <v>Indirect Cost Allocation</v>
      </c>
      <c r="G2240" s="113" t="s">
        <v>129</v>
      </c>
      <c r="H2240" s="113" t="s">
        <v>338</v>
      </c>
      <c r="I2240" s="113" t="str">
        <f>_xlfn.XLOOKUP($C2240,'Cost Centers'!$A$2:$A$11,'Cost Centers'!$C$2:$C$11,"")</f>
        <v>Admin</v>
      </c>
      <c r="J2240" s="23">
        <f t="array" ref="J2240">INDEX('Indirect Pool - Budget'!$A$2:$AA$38, MATCH(1, ('Indirect Pool - Budget'!$A$2:$A$38=C2240)*('Indirect Pool - Budget'!$C$2:$C$38=H2240), 0), MATCH(A2240,'Indirect Pool - Budget'!$A$2:$AA$2, 0))</f>
        <v>-3459.239842726081</v>
      </c>
      <c r="K2240" s="113" t="s">
        <v>637</v>
      </c>
    </row>
    <row r="2241" spans="1:11" ht="15" customHeight="1">
      <c r="A2241" s="112">
        <f t="shared" si="145"/>
        <v>45931</v>
      </c>
      <c r="B2241" s="113">
        <v>14</v>
      </c>
      <c r="C2241" s="18" t="s">
        <v>10</v>
      </c>
      <c r="D2241" s="113" t="str">
        <f>_xlfn.XLOOKUP($C2241,'Cost Centers'!$A$2:$A$11,'Cost Centers'!$B$2:$B$11,"")</f>
        <v>Business Development</v>
      </c>
      <c r="E2241" s="113" t="s">
        <v>127</v>
      </c>
      <c r="F2241" s="113" t="str">
        <f>_xlfn.XLOOKUP(E2241,'Allocated Transactions'!D:D,'Allocated Transactions'!E:E,"")</f>
        <v>Indirect Cost Allocation</v>
      </c>
      <c r="G2241" s="113" t="s">
        <v>129</v>
      </c>
      <c r="H2241" s="113" t="s">
        <v>339</v>
      </c>
      <c r="I2241" s="113" t="str">
        <f>_xlfn.XLOOKUP($C2241,'Cost Centers'!$A$2:$A$11,'Cost Centers'!$C$2:$C$11,"")</f>
        <v>Admin</v>
      </c>
      <c r="J2241" s="23">
        <f t="array" ref="J2241">INDEX('Indirect Pool - Budget'!$A$2:$AA$38, MATCH(1, ('Indirect Pool - Budget'!$A$2:$A$38=C2241)*('Indirect Pool - Budget'!$C$2:$C$38=H2241), 0), MATCH(A2241,'Indirect Pool - Budget'!$A$2:$AA$2, 0))</f>
        <v>-3084.1415465268678</v>
      </c>
      <c r="K2241" s="113" t="s">
        <v>637</v>
      </c>
    </row>
    <row r="2242" spans="1:11" ht="15" customHeight="1">
      <c r="A2242" s="112">
        <f t="shared" si="145"/>
        <v>45962</v>
      </c>
      <c r="B2242" s="113">
        <v>15</v>
      </c>
      <c r="C2242" s="18" t="s">
        <v>4</v>
      </c>
      <c r="D2242" s="113" t="str">
        <f>_xlfn.XLOOKUP($C2242,'Cost Centers'!$A$2:$A$11,'Cost Centers'!$B$2:$B$11,"")</f>
        <v>Executive</v>
      </c>
      <c r="E2242" s="113" t="s">
        <v>127</v>
      </c>
      <c r="F2242" s="113" t="str">
        <f>_xlfn.XLOOKUP(E2242,'Allocated Transactions'!D:D,'Allocated Transactions'!E:E,"")</f>
        <v>Indirect Cost Allocation</v>
      </c>
      <c r="G2242" s="113" t="s">
        <v>129</v>
      </c>
      <c r="H2242" s="113" t="s">
        <v>335</v>
      </c>
      <c r="I2242" s="113" t="str">
        <f>_xlfn.XLOOKUP($C2242,'Cost Centers'!$A$2:$A$11,'Cost Centers'!$C$2:$C$11,"")</f>
        <v>Admin</v>
      </c>
      <c r="J2242" s="23">
        <f t="array" ref="J2242">INDEX('Indirect Pool - Budget'!$A$2:$AA$38, MATCH(1, ('Indirect Pool - Budget'!$A$2:$A$38=C2242)*('Indirect Pool - Budget'!$C$2:$C$38=H2242), 0), MATCH(A2242,'Indirect Pool - Budget'!$A$2:$AA$2, 0))</f>
        <v>-2033.3791208791208</v>
      </c>
      <c r="K2242" s="113" t="s">
        <v>637</v>
      </c>
    </row>
    <row r="2243" spans="1:11" ht="15" customHeight="1">
      <c r="A2243" s="112">
        <f t="shared" si="145"/>
        <v>45962</v>
      </c>
      <c r="B2243" s="113">
        <v>15</v>
      </c>
      <c r="C2243" s="18" t="s">
        <v>4</v>
      </c>
      <c r="D2243" s="113" t="str">
        <f>_xlfn.XLOOKUP($C2243,'Cost Centers'!$A$2:$A$11,'Cost Centers'!$B$2:$B$11,"")</f>
        <v>Executive</v>
      </c>
      <c r="E2243" s="113" t="s">
        <v>127</v>
      </c>
      <c r="F2243" s="113" t="str">
        <f>_xlfn.XLOOKUP(E2243,'Allocated Transactions'!D:D,'Allocated Transactions'!E:E,"")</f>
        <v>Indirect Cost Allocation</v>
      </c>
      <c r="G2243" s="113" t="s">
        <v>129</v>
      </c>
      <c r="H2243" s="113" t="s">
        <v>336</v>
      </c>
      <c r="I2243" s="113" t="str">
        <f>_xlfn.XLOOKUP($C2243,'Cost Centers'!$A$2:$A$11,'Cost Centers'!$C$2:$C$11,"")</f>
        <v>Admin</v>
      </c>
      <c r="J2243" s="23">
        <f t="array" ref="J2243">INDEX('Indirect Pool - Budget'!$A$2:$AA$38, MATCH(1, ('Indirect Pool - Budget'!$A$2:$A$38=C2243)*('Indirect Pool - Budget'!$C$2:$C$38=H2243), 0), MATCH(A2243,'Indirect Pool - Budget'!$A$2:$AA$2, 0))</f>
        <v>-2196.3598901098903</v>
      </c>
      <c r="K2243" s="113" t="s">
        <v>637</v>
      </c>
    </row>
    <row r="2244" spans="1:11" ht="15" customHeight="1">
      <c r="A2244" s="112">
        <f t="shared" si="145"/>
        <v>45962</v>
      </c>
      <c r="B2244" s="113">
        <v>15</v>
      </c>
      <c r="C2244" s="18" t="s">
        <v>4</v>
      </c>
      <c r="D2244" s="113" t="str">
        <f>_xlfn.XLOOKUP($C2244,'Cost Centers'!$A$2:$A$11,'Cost Centers'!$B$2:$B$11,"")</f>
        <v>Executive</v>
      </c>
      <c r="E2244" s="113" t="s">
        <v>127</v>
      </c>
      <c r="F2244" s="113" t="str">
        <f>_xlfn.XLOOKUP(E2244,'Allocated Transactions'!D:D,'Allocated Transactions'!E:E,"")</f>
        <v>Indirect Cost Allocation</v>
      </c>
      <c r="G2244" s="113" t="s">
        <v>129</v>
      </c>
      <c r="H2244" s="113" t="s">
        <v>337</v>
      </c>
      <c r="I2244" s="113" t="str">
        <f>_xlfn.XLOOKUP($C2244,'Cost Centers'!$A$2:$A$11,'Cost Centers'!$C$2:$C$11,"")</f>
        <v>Admin</v>
      </c>
      <c r="J2244" s="23">
        <f t="array" ref="J2244">INDEX('Indirect Pool - Budget'!$A$2:$AA$38, MATCH(1, ('Indirect Pool - Budget'!$A$2:$A$38=C2244)*('Indirect Pool - Budget'!$C$2:$C$38=H2244), 0), MATCH(A2244,'Indirect Pool - Budget'!$A$2:$AA$2, 0))</f>
        <v>-2398.1456043956046</v>
      </c>
      <c r="K2244" s="113" t="s">
        <v>637</v>
      </c>
    </row>
    <row r="2245" spans="1:11" ht="15" customHeight="1">
      <c r="A2245" s="112">
        <f t="shared" si="145"/>
        <v>45962</v>
      </c>
      <c r="B2245" s="113">
        <v>15</v>
      </c>
      <c r="C2245" s="18" t="s">
        <v>4</v>
      </c>
      <c r="D2245" s="113" t="str">
        <f>_xlfn.XLOOKUP($C2245,'Cost Centers'!$A$2:$A$11,'Cost Centers'!$B$2:$B$11,"")</f>
        <v>Executive</v>
      </c>
      <c r="E2245" s="113" t="s">
        <v>127</v>
      </c>
      <c r="F2245" s="113" t="str">
        <f>_xlfn.XLOOKUP(E2245,'Allocated Transactions'!D:D,'Allocated Transactions'!E:E,"")</f>
        <v>Indirect Cost Allocation</v>
      </c>
      <c r="G2245" s="113" t="s">
        <v>129</v>
      </c>
      <c r="H2245" s="113" t="s">
        <v>338</v>
      </c>
      <c r="I2245" s="113" t="str">
        <f>_xlfn.XLOOKUP($C2245,'Cost Centers'!$A$2:$A$11,'Cost Centers'!$C$2:$C$11,"")</f>
        <v>Admin</v>
      </c>
      <c r="J2245" s="23">
        <f t="array" ref="J2245">INDEX('Indirect Pool - Budget'!$A$2:$AA$38, MATCH(1, ('Indirect Pool - Budget'!$A$2:$A$38=C2245)*('Indirect Pool - Budget'!$C$2:$C$38=H2245), 0), MATCH(A2245,'Indirect Pool - Budget'!$A$2:$AA$2, 0))</f>
        <v>-2421.4285714285711</v>
      </c>
      <c r="K2245" s="113" t="s">
        <v>637</v>
      </c>
    </row>
    <row r="2246" spans="1:11" ht="15" customHeight="1">
      <c r="A2246" s="112">
        <f t="shared" ref="A2246:A2309" si="146">IF(C2245&amp;C2246="10501010",EOMONTH(A2245,0)+1,A2245)</f>
        <v>45962</v>
      </c>
      <c r="B2246" s="113">
        <v>15</v>
      </c>
      <c r="C2246" s="18" t="s">
        <v>4</v>
      </c>
      <c r="D2246" s="113" t="str">
        <f>_xlfn.XLOOKUP($C2246,'Cost Centers'!$A$2:$A$11,'Cost Centers'!$B$2:$B$11,"")</f>
        <v>Executive</v>
      </c>
      <c r="E2246" s="113" t="s">
        <v>127</v>
      </c>
      <c r="F2246" s="113" t="str">
        <f>_xlfn.XLOOKUP(E2246,'Allocated Transactions'!D:D,'Allocated Transactions'!E:E,"")</f>
        <v>Indirect Cost Allocation</v>
      </c>
      <c r="G2246" s="113" t="s">
        <v>129</v>
      </c>
      <c r="H2246" s="113" t="s">
        <v>339</v>
      </c>
      <c r="I2246" s="113" t="str">
        <f>_xlfn.XLOOKUP($C2246,'Cost Centers'!$A$2:$A$11,'Cost Centers'!$C$2:$C$11,"")</f>
        <v>Admin</v>
      </c>
      <c r="J2246" s="23">
        <f t="array" ref="J2246">INDEX('Indirect Pool - Budget'!$A$2:$AA$38, MATCH(1, ('Indirect Pool - Budget'!$A$2:$A$38=C2246)*('Indirect Pool - Budget'!$C$2:$C$38=H2246), 0), MATCH(A2246,'Indirect Pool - Budget'!$A$2:$AA$2, 0))</f>
        <v>-2250.6868131868132</v>
      </c>
      <c r="K2246" s="113" t="s">
        <v>637</v>
      </c>
    </row>
    <row r="2247" spans="1:11" ht="15" customHeight="1">
      <c r="A2247" s="112">
        <f t="shared" si="146"/>
        <v>45962</v>
      </c>
      <c r="B2247" s="113">
        <v>15</v>
      </c>
      <c r="C2247" s="18" t="s">
        <v>6</v>
      </c>
      <c r="D2247" s="113" t="str">
        <f>_xlfn.XLOOKUP($C2247,'Cost Centers'!$A$2:$A$11,'Cost Centers'!$B$2:$B$11,"")</f>
        <v>Human Resources</v>
      </c>
      <c r="E2247" s="113" t="s">
        <v>127</v>
      </c>
      <c r="F2247" s="113" t="str">
        <f>_xlfn.XLOOKUP(E2247,'Allocated Transactions'!D:D,'Allocated Transactions'!E:E,"")</f>
        <v>Indirect Cost Allocation</v>
      </c>
      <c r="G2247" s="113" t="s">
        <v>129</v>
      </c>
      <c r="H2247" s="113" t="s">
        <v>335</v>
      </c>
      <c r="I2247" s="113" t="str">
        <f>_xlfn.XLOOKUP($C2247,'Cost Centers'!$A$2:$A$11,'Cost Centers'!$C$2:$C$11,"")</f>
        <v>Admin</v>
      </c>
      <c r="J2247" s="23">
        <f t="array" ref="J2247">INDEX('Indirect Pool - Budget'!$A$2:$AA$38, MATCH(1, ('Indirect Pool - Budget'!$A$2:$A$38=C2247)*('Indirect Pool - Budget'!$C$2:$C$38=H2247), 0), MATCH(A2247,'Indirect Pool - Budget'!$A$2:$AA$2, 0))</f>
        <v>-2987.0879120879122</v>
      </c>
      <c r="K2247" s="113" t="s">
        <v>637</v>
      </c>
    </row>
    <row r="2248" spans="1:11" ht="15" customHeight="1">
      <c r="A2248" s="112">
        <f t="shared" si="146"/>
        <v>45962</v>
      </c>
      <c r="B2248" s="113">
        <v>15</v>
      </c>
      <c r="C2248" s="18" t="s">
        <v>6</v>
      </c>
      <c r="D2248" s="113" t="str">
        <f>_xlfn.XLOOKUP($C2248,'Cost Centers'!$A$2:$A$11,'Cost Centers'!$B$2:$B$11,"")</f>
        <v>Human Resources</v>
      </c>
      <c r="E2248" s="113" t="s">
        <v>127</v>
      </c>
      <c r="F2248" s="113" t="str">
        <f>_xlfn.XLOOKUP(E2248,'Allocated Transactions'!D:D,'Allocated Transactions'!E:E,"")</f>
        <v>Indirect Cost Allocation</v>
      </c>
      <c r="G2248" s="113" t="s">
        <v>129</v>
      </c>
      <c r="H2248" s="113" t="s">
        <v>336</v>
      </c>
      <c r="I2248" s="113" t="str">
        <f>_xlfn.XLOOKUP($C2248,'Cost Centers'!$A$2:$A$11,'Cost Centers'!$C$2:$C$11,"")</f>
        <v>Admin</v>
      </c>
      <c r="J2248" s="23">
        <f t="array" ref="J2248">INDEX('Indirect Pool - Budget'!$A$2:$AA$38, MATCH(1, ('Indirect Pool - Budget'!$A$2:$A$38=C2248)*('Indirect Pool - Budget'!$C$2:$C$38=H2248), 0), MATCH(A2248,'Indirect Pool - Budget'!$A$2:$AA$2, 0))</f>
        <v>-3226.5109890109889</v>
      </c>
      <c r="K2248" s="113" t="s">
        <v>637</v>
      </c>
    </row>
    <row r="2249" spans="1:11" ht="15" customHeight="1">
      <c r="A2249" s="112">
        <f t="shared" si="146"/>
        <v>45962</v>
      </c>
      <c r="B2249" s="113">
        <v>15</v>
      </c>
      <c r="C2249" s="18" t="s">
        <v>6</v>
      </c>
      <c r="D2249" s="113" t="str">
        <f>_xlfn.XLOOKUP($C2249,'Cost Centers'!$A$2:$A$11,'Cost Centers'!$B$2:$B$11,"")</f>
        <v>Human Resources</v>
      </c>
      <c r="E2249" s="113" t="s">
        <v>127</v>
      </c>
      <c r="F2249" s="113" t="str">
        <f>_xlfn.XLOOKUP(E2249,'Allocated Transactions'!D:D,'Allocated Transactions'!E:E,"")</f>
        <v>Indirect Cost Allocation</v>
      </c>
      <c r="G2249" s="113" t="s">
        <v>129</v>
      </c>
      <c r="H2249" s="113" t="s">
        <v>337</v>
      </c>
      <c r="I2249" s="113" t="str">
        <f>_xlfn.XLOOKUP($C2249,'Cost Centers'!$A$2:$A$11,'Cost Centers'!$C$2:$C$11,"")</f>
        <v>Admin</v>
      </c>
      <c r="J2249" s="23">
        <f t="array" ref="J2249">INDEX('Indirect Pool - Budget'!$A$2:$AA$38, MATCH(1, ('Indirect Pool - Budget'!$A$2:$A$38=C2249)*('Indirect Pool - Budget'!$C$2:$C$38=H2249), 0), MATCH(A2249,'Indirect Pool - Budget'!$A$2:$AA$2, 0))</f>
        <v>-3522.9395604395604</v>
      </c>
      <c r="K2249" s="113" t="s">
        <v>637</v>
      </c>
    </row>
    <row r="2250" spans="1:11" ht="15" customHeight="1">
      <c r="A2250" s="112">
        <f t="shared" si="146"/>
        <v>45962</v>
      </c>
      <c r="B2250" s="113">
        <v>15</v>
      </c>
      <c r="C2250" s="18" t="s">
        <v>6</v>
      </c>
      <c r="D2250" s="113" t="str">
        <f>_xlfn.XLOOKUP($C2250,'Cost Centers'!$A$2:$A$11,'Cost Centers'!$B$2:$B$11,"")</f>
        <v>Human Resources</v>
      </c>
      <c r="E2250" s="113" t="s">
        <v>127</v>
      </c>
      <c r="F2250" s="113" t="str">
        <f>_xlfn.XLOOKUP(E2250,'Allocated Transactions'!D:D,'Allocated Transactions'!E:E,"")</f>
        <v>Indirect Cost Allocation</v>
      </c>
      <c r="G2250" s="113" t="s">
        <v>129</v>
      </c>
      <c r="H2250" s="113" t="s">
        <v>338</v>
      </c>
      <c r="I2250" s="113" t="str">
        <f>_xlfn.XLOOKUP($C2250,'Cost Centers'!$A$2:$A$11,'Cost Centers'!$C$2:$C$11,"")</f>
        <v>Admin</v>
      </c>
      <c r="J2250" s="23">
        <f t="array" ref="J2250">INDEX('Indirect Pool - Budget'!$A$2:$AA$38, MATCH(1, ('Indirect Pool - Budget'!$A$2:$A$38=C2250)*('Indirect Pool - Budget'!$C$2:$C$38=H2250), 0), MATCH(A2250,'Indirect Pool - Budget'!$A$2:$AA$2, 0))</f>
        <v>-3557.1428571428569</v>
      </c>
      <c r="K2250" s="113" t="s">
        <v>637</v>
      </c>
    </row>
    <row r="2251" spans="1:11" ht="15" customHeight="1">
      <c r="A2251" s="112">
        <f t="shared" si="146"/>
        <v>45962</v>
      </c>
      <c r="B2251" s="113">
        <v>15</v>
      </c>
      <c r="C2251" s="18" t="s">
        <v>6</v>
      </c>
      <c r="D2251" s="113" t="str">
        <f>_xlfn.XLOOKUP($C2251,'Cost Centers'!$A$2:$A$11,'Cost Centers'!$B$2:$B$11,"")</f>
        <v>Human Resources</v>
      </c>
      <c r="E2251" s="113" t="s">
        <v>127</v>
      </c>
      <c r="F2251" s="113" t="str">
        <f>_xlfn.XLOOKUP(E2251,'Allocated Transactions'!D:D,'Allocated Transactions'!E:E,"")</f>
        <v>Indirect Cost Allocation</v>
      </c>
      <c r="G2251" s="113" t="s">
        <v>129</v>
      </c>
      <c r="H2251" s="113" t="s">
        <v>339</v>
      </c>
      <c r="I2251" s="113" t="str">
        <f>_xlfn.XLOOKUP($C2251,'Cost Centers'!$A$2:$A$11,'Cost Centers'!$C$2:$C$11,"")</f>
        <v>Admin</v>
      </c>
      <c r="J2251" s="23">
        <f t="array" ref="J2251">INDEX('Indirect Pool - Budget'!$A$2:$AA$38, MATCH(1, ('Indirect Pool - Budget'!$A$2:$A$38=C2251)*('Indirect Pool - Budget'!$C$2:$C$38=H2251), 0), MATCH(A2251,'Indirect Pool - Budget'!$A$2:$AA$2, 0))</f>
        <v>-3306.3186813186812</v>
      </c>
      <c r="K2251" s="113" t="s">
        <v>637</v>
      </c>
    </row>
    <row r="2252" spans="1:11" ht="15" customHeight="1">
      <c r="A2252" s="112">
        <f t="shared" si="146"/>
        <v>45962</v>
      </c>
      <c r="B2252" s="113">
        <v>15</v>
      </c>
      <c r="C2252" s="18" t="s">
        <v>8</v>
      </c>
      <c r="D2252" s="113" t="str">
        <f>_xlfn.XLOOKUP($C2252,'Cost Centers'!$A$2:$A$11,'Cost Centers'!$B$2:$B$11,"")</f>
        <v>Finance</v>
      </c>
      <c r="E2252" s="113" t="s">
        <v>127</v>
      </c>
      <c r="F2252" s="113" t="str">
        <f>_xlfn.XLOOKUP(E2252,'Allocated Transactions'!D:D,'Allocated Transactions'!E:E,"")</f>
        <v>Indirect Cost Allocation</v>
      </c>
      <c r="G2252" s="113" t="s">
        <v>129</v>
      </c>
      <c r="H2252" s="113" t="s">
        <v>335</v>
      </c>
      <c r="I2252" s="113" t="str">
        <f>_xlfn.XLOOKUP($C2252,'Cost Centers'!$A$2:$A$11,'Cost Centers'!$C$2:$C$11,"")</f>
        <v>Admin</v>
      </c>
      <c r="J2252" s="23">
        <f t="array" ref="J2252">INDEX('Indirect Pool - Budget'!$A$2:$AA$38, MATCH(1, ('Indirect Pool - Budget'!$A$2:$A$38=C2252)*('Indirect Pool - Budget'!$C$2:$C$38=H2252), 0), MATCH(A2252,'Indirect Pool - Budget'!$A$2:$AA$2, 0))</f>
        <v>-3167.032967032967</v>
      </c>
      <c r="K2252" s="113" t="s">
        <v>637</v>
      </c>
    </row>
    <row r="2253" spans="1:11" ht="15" customHeight="1">
      <c r="A2253" s="112">
        <f t="shared" si="146"/>
        <v>45962</v>
      </c>
      <c r="B2253" s="113">
        <v>15</v>
      </c>
      <c r="C2253" s="18" t="s">
        <v>8</v>
      </c>
      <c r="D2253" s="113" t="str">
        <f>_xlfn.XLOOKUP($C2253,'Cost Centers'!$A$2:$A$11,'Cost Centers'!$B$2:$B$11,"")</f>
        <v>Finance</v>
      </c>
      <c r="E2253" s="113" t="s">
        <v>127</v>
      </c>
      <c r="F2253" s="113" t="str">
        <f>_xlfn.XLOOKUP(E2253,'Allocated Transactions'!D:D,'Allocated Transactions'!E:E,"")</f>
        <v>Indirect Cost Allocation</v>
      </c>
      <c r="G2253" s="113" t="s">
        <v>129</v>
      </c>
      <c r="H2253" s="113" t="s">
        <v>336</v>
      </c>
      <c r="I2253" s="113" t="str">
        <f>_xlfn.XLOOKUP($C2253,'Cost Centers'!$A$2:$A$11,'Cost Centers'!$C$2:$C$11,"")</f>
        <v>Admin</v>
      </c>
      <c r="J2253" s="23">
        <f t="array" ref="J2253">INDEX('Indirect Pool - Budget'!$A$2:$AA$38, MATCH(1, ('Indirect Pool - Budget'!$A$2:$A$38=C2253)*('Indirect Pool - Budget'!$C$2:$C$38=H2253), 0), MATCH(A2253,'Indirect Pool - Budget'!$A$2:$AA$2, 0))</f>
        <v>-3420.8791208791208</v>
      </c>
      <c r="K2253" s="113" t="s">
        <v>637</v>
      </c>
    </row>
    <row r="2254" spans="1:11" ht="15" customHeight="1">
      <c r="A2254" s="112">
        <f t="shared" si="146"/>
        <v>45962</v>
      </c>
      <c r="B2254" s="113">
        <v>15</v>
      </c>
      <c r="C2254" s="18" t="s">
        <v>8</v>
      </c>
      <c r="D2254" s="113" t="str">
        <f>_xlfn.XLOOKUP($C2254,'Cost Centers'!$A$2:$A$11,'Cost Centers'!$B$2:$B$11,"")</f>
        <v>Finance</v>
      </c>
      <c r="E2254" s="113" t="s">
        <v>127</v>
      </c>
      <c r="F2254" s="113" t="str">
        <f>_xlfn.XLOOKUP(E2254,'Allocated Transactions'!D:D,'Allocated Transactions'!E:E,"")</f>
        <v>Indirect Cost Allocation</v>
      </c>
      <c r="G2254" s="113" t="s">
        <v>129</v>
      </c>
      <c r="H2254" s="113" t="s">
        <v>337</v>
      </c>
      <c r="I2254" s="113" t="str">
        <f>_xlfn.XLOOKUP($C2254,'Cost Centers'!$A$2:$A$11,'Cost Centers'!$C$2:$C$11,"")</f>
        <v>Admin</v>
      </c>
      <c r="J2254" s="23">
        <f t="array" ref="J2254">INDEX('Indirect Pool - Budget'!$A$2:$AA$38, MATCH(1, ('Indirect Pool - Budget'!$A$2:$A$38=C2254)*('Indirect Pool - Budget'!$C$2:$C$38=H2254), 0), MATCH(A2254,'Indirect Pool - Budget'!$A$2:$AA$2, 0))</f>
        <v>-3735.164835164835</v>
      </c>
      <c r="K2254" s="113" t="s">
        <v>637</v>
      </c>
    </row>
    <row r="2255" spans="1:11" ht="15" customHeight="1">
      <c r="A2255" s="112">
        <f t="shared" si="146"/>
        <v>45962</v>
      </c>
      <c r="B2255" s="113">
        <v>15</v>
      </c>
      <c r="C2255" s="18" t="s">
        <v>8</v>
      </c>
      <c r="D2255" s="113" t="str">
        <f>_xlfn.XLOOKUP($C2255,'Cost Centers'!$A$2:$A$11,'Cost Centers'!$B$2:$B$11,"")</f>
        <v>Finance</v>
      </c>
      <c r="E2255" s="113" t="s">
        <v>127</v>
      </c>
      <c r="F2255" s="113" t="str">
        <f>_xlfn.XLOOKUP(E2255,'Allocated Transactions'!D:D,'Allocated Transactions'!E:E,"")</f>
        <v>Indirect Cost Allocation</v>
      </c>
      <c r="G2255" s="113" t="s">
        <v>129</v>
      </c>
      <c r="H2255" s="113" t="s">
        <v>338</v>
      </c>
      <c r="I2255" s="113" t="str">
        <f>_xlfn.XLOOKUP($C2255,'Cost Centers'!$A$2:$A$11,'Cost Centers'!$C$2:$C$11,"")</f>
        <v>Admin</v>
      </c>
      <c r="J2255" s="23">
        <f t="array" ref="J2255">INDEX('Indirect Pool - Budget'!$A$2:$AA$38, MATCH(1, ('Indirect Pool - Budget'!$A$2:$A$38=C2255)*('Indirect Pool - Budget'!$C$2:$C$38=H2255), 0), MATCH(A2255,'Indirect Pool - Budget'!$A$2:$AA$2, 0))</f>
        <v>-3771.4285714285711</v>
      </c>
      <c r="K2255" s="113" t="s">
        <v>637</v>
      </c>
    </row>
    <row r="2256" spans="1:11" ht="15" customHeight="1">
      <c r="A2256" s="112">
        <f t="shared" si="146"/>
        <v>45962</v>
      </c>
      <c r="B2256" s="113">
        <v>15</v>
      </c>
      <c r="C2256" s="18" t="s">
        <v>8</v>
      </c>
      <c r="D2256" s="113" t="str">
        <f>_xlfn.XLOOKUP($C2256,'Cost Centers'!$A$2:$A$11,'Cost Centers'!$B$2:$B$11,"")</f>
        <v>Finance</v>
      </c>
      <c r="E2256" s="113" t="s">
        <v>127</v>
      </c>
      <c r="F2256" s="113" t="str">
        <f>_xlfn.XLOOKUP(E2256,'Allocated Transactions'!D:D,'Allocated Transactions'!E:E,"")</f>
        <v>Indirect Cost Allocation</v>
      </c>
      <c r="G2256" s="113" t="s">
        <v>129</v>
      </c>
      <c r="H2256" s="113" t="s">
        <v>339</v>
      </c>
      <c r="I2256" s="113" t="str">
        <f>_xlfn.XLOOKUP($C2256,'Cost Centers'!$A$2:$A$11,'Cost Centers'!$C$2:$C$11,"")</f>
        <v>Admin</v>
      </c>
      <c r="J2256" s="23">
        <f t="array" ref="J2256">INDEX('Indirect Pool - Budget'!$A$2:$AA$38, MATCH(1, ('Indirect Pool - Budget'!$A$2:$A$38=C2256)*('Indirect Pool - Budget'!$C$2:$C$38=H2256), 0), MATCH(A2256,'Indirect Pool - Budget'!$A$2:$AA$2, 0))</f>
        <v>-3505.4945054945051</v>
      </c>
      <c r="K2256" s="113" t="s">
        <v>637</v>
      </c>
    </row>
    <row r="2257" spans="1:11" ht="15" customHeight="1">
      <c r="A2257" s="112">
        <f t="shared" si="146"/>
        <v>45962</v>
      </c>
      <c r="B2257" s="113">
        <v>15</v>
      </c>
      <c r="C2257" s="18" t="s">
        <v>10</v>
      </c>
      <c r="D2257" s="113" t="str">
        <f>_xlfn.XLOOKUP($C2257,'Cost Centers'!$A$2:$A$11,'Cost Centers'!$B$2:$B$11,"")</f>
        <v>Business Development</v>
      </c>
      <c r="E2257" s="113" t="s">
        <v>127</v>
      </c>
      <c r="F2257" s="113" t="str">
        <f>_xlfn.XLOOKUP(E2257,'Allocated Transactions'!D:D,'Allocated Transactions'!E:E,"")</f>
        <v>Indirect Cost Allocation</v>
      </c>
      <c r="G2257" s="113" t="s">
        <v>129</v>
      </c>
      <c r="H2257" s="113" t="s">
        <v>335</v>
      </c>
      <c r="I2257" s="113" t="str">
        <f>_xlfn.XLOOKUP($C2257,'Cost Centers'!$A$2:$A$11,'Cost Centers'!$C$2:$C$11,"")</f>
        <v>Admin</v>
      </c>
      <c r="J2257" s="23">
        <f t="array" ref="J2257">INDEX('Indirect Pool - Budget'!$A$2:$AA$38, MATCH(1, ('Indirect Pool - Budget'!$A$2:$A$38=C2257)*('Indirect Pool - Budget'!$C$2:$C$38=H2257), 0), MATCH(A2257,'Indirect Pool - Budget'!$A$2:$AA$2, 0))</f>
        <v>-2771.1538461538462</v>
      </c>
      <c r="K2257" s="113" t="s">
        <v>637</v>
      </c>
    </row>
    <row r="2258" spans="1:11" ht="15" customHeight="1">
      <c r="A2258" s="112">
        <f t="shared" si="146"/>
        <v>45962</v>
      </c>
      <c r="B2258" s="113">
        <v>15</v>
      </c>
      <c r="C2258" s="18" t="s">
        <v>10</v>
      </c>
      <c r="D2258" s="113" t="str">
        <f>_xlfn.XLOOKUP($C2258,'Cost Centers'!$A$2:$A$11,'Cost Centers'!$B$2:$B$11,"")</f>
        <v>Business Development</v>
      </c>
      <c r="E2258" s="113" t="s">
        <v>127</v>
      </c>
      <c r="F2258" s="113" t="str">
        <f>_xlfn.XLOOKUP(E2258,'Allocated Transactions'!D:D,'Allocated Transactions'!E:E,"")</f>
        <v>Indirect Cost Allocation</v>
      </c>
      <c r="G2258" s="113" t="s">
        <v>129</v>
      </c>
      <c r="H2258" s="113" t="s">
        <v>336</v>
      </c>
      <c r="I2258" s="113" t="str">
        <f>_xlfn.XLOOKUP($C2258,'Cost Centers'!$A$2:$A$11,'Cost Centers'!$C$2:$C$11,"")</f>
        <v>Admin</v>
      </c>
      <c r="J2258" s="23">
        <f t="array" ref="J2258">INDEX('Indirect Pool - Budget'!$A$2:$AA$38, MATCH(1, ('Indirect Pool - Budget'!$A$2:$A$38=C2258)*('Indirect Pool - Budget'!$C$2:$C$38=H2258), 0), MATCH(A2258,'Indirect Pool - Budget'!$A$2:$AA$2, 0))</f>
        <v>-2993.2692307692309</v>
      </c>
      <c r="K2258" s="113" t="s">
        <v>637</v>
      </c>
    </row>
    <row r="2259" spans="1:11" ht="15" customHeight="1">
      <c r="A2259" s="112">
        <f t="shared" si="146"/>
        <v>45962</v>
      </c>
      <c r="B2259" s="113">
        <v>15</v>
      </c>
      <c r="C2259" s="18" t="s">
        <v>10</v>
      </c>
      <c r="D2259" s="113" t="str">
        <f>_xlfn.XLOOKUP($C2259,'Cost Centers'!$A$2:$A$11,'Cost Centers'!$B$2:$B$11,"")</f>
        <v>Business Development</v>
      </c>
      <c r="E2259" s="113" t="s">
        <v>127</v>
      </c>
      <c r="F2259" s="113" t="str">
        <f>_xlfn.XLOOKUP(E2259,'Allocated Transactions'!D:D,'Allocated Transactions'!E:E,"")</f>
        <v>Indirect Cost Allocation</v>
      </c>
      <c r="G2259" s="113" t="s">
        <v>129</v>
      </c>
      <c r="H2259" s="113" t="s">
        <v>337</v>
      </c>
      <c r="I2259" s="113" t="str">
        <f>_xlfn.XLOOKUP($C2259,'Cost Centers'!$A$2:$A$11,'Cost Centers'!$C$2:$C$11,"")</f>
        <v>Admin</v>
      </c>
      <c r="J2259" s="23">
        <f t="array" ref="J2259">INDEX('Indirect Pool - Budget'!$A$2:$AA$38, MATCH(1, ('Indirect Pool - Budget'!$A$2:$A$38=C2259)*('Indirect Pool - Budget'!$C$2:$C$38=H2259), 0), MATCH(A2259,'Indirect Pool - Budget'!$A$2:$AA$2, 0))</f>
        <v>-3268.2692307692305</v>
      </c>
      <c r="K2259" s="113" t="s">
        <v>637</v>
      </c>
    </row>
    <row r="2260" spans="1:11" ht="15" customHeight="1">
      <c r="A2260" s="112">
        <f t="shared" si="146"/>
        <v>45962</v>
      </c>
      <c r="B2260" s="113">
        <v>15</v>
      </c>
      <c r="C2260" s="18" t="s">
        <v>10</v>
      </c>
      <c r="D2260" s="113" t="str">
        <f>_xlfn.XLOOKUP($C2260,'Cost Centers'!$A$2:$A$11,'Cost Centers'!$B$2:$B$11,"")</f>
        <v>Business Development</v>
      </c>
      <c r="E2260" s="113" t="s">
        <v>127</v>
      </c>
      <c r="F2260" s="113" t="str">
        <f>_xlfn.XLOOKUP(E2260,'Allocated Transactions'!D:D,'Allocated Transactions'!E:E,"")</f>
        <v>Indirect Cost Allocation</v>
      </c>
      <c r="G2260" s="113" t="s">
        <v>129</v>
      </c>
      <c r="H2260" s="113" t="s">
        <v>338</v>
      </c>
      <c r="I2260" s="113" t="str">
        <f>_xlfn.XLOOKUP($C2260,'Cost Centers'!$A$2:$A$11,'Cost Centers'!$C$2:$C$11,"")</f>
        <v>Admin</v>
      </c>
      <c r="J2260" s="23">
        <f t="array" ref="J2260">INDEX('Indirect Pool - Budget'!$A$2:$AA$38, MATCH(1, ('Indirect Pool - Budget'!$A$2:$A$38=C2260)*('Indirect Pool - Budget'!$C$2:$C$38=H2260), 0), MATCH(A2260,'Indirect Pool - Budget'!$A$2:$AA$2, 0))</f>
        <v>-3300</v>
      </c>
      <c r="K2260" s="113" t="s">
        <v>637</v>
      </c>
    </row>
    <row r="2261" spans="1:11" ht="15" customHeight="1">
      <c r="A2261" s="112">
        <f t="shared" si="146"/>
        <v>45962</v>
      </c>
      <c r="B2261" s="113">
        <v>15</v>
      </c>
      <c r="C2261" s="18" t="s">
        <v>10</v>
      </c>
      <c r="D2261" s="113" t="str">
        <f>_xlfn.XLOOKUP($C2261,'Cost Centers'!$A$2:$A$11,'Cost Centers'!$B$2:$B$11,"")</f>
        <v>Business Development</v>
      </c>
      <c r="E2261" s="113" t="s">
        <v>127</v>
      </c>
      <c r="F2261" s="113" t="str">
        <f>_xlfn.XLOOKUP(E2261,'Allocated Transactions'!D:D,'Allocated Transactions'!E:E,"")</f>
        <v>Indirect Cost Allocation</v>
      </c>
      <c r="G2261" s="113" t="s">
        <v>129</v>
      </c>
      <c r="H2261" s="113" t="s">
        <v>339</v>
      </c>
      <c r="I2261" s="113" t="str">
        <f>_xlfn.XLOOKUP($C2261,'Cost Centers'!$A$2:$A$11,'Cost Centers'!$C$2:$C$11,"")</f>
        <v>Admin</v>
      </c>
      <c r="J2261" s="23">
        <f t="array" ref="J2261">INDEX('Indirect Pool - Budget'!$A$2:$AA$38, MATCH(1, ('Indirect Pool - Budget'!$A$2:$A$38=C2261)*('Indirect Pool - Budget'!$C$2:$C$38=H2261), 0), MATCH(A2261,'Indirect Pool - Budget'!$A$2:$AA$2, 0))</f>
        <v>-3067.3076923076919</v>
      </c>
      <c r="K2261" s="113" t="s">
        <v>637</v>
      </c>
    </row>
    <row r="2262" spans="1:11" ht="15" customHeight="1">
      <c r="A2262" s="112">
        <f t="shared" si="146"/>
        <v>45992</v>
      </c>
      <c r="B2262" s="113">
        <v>16</v>
      </c>
      <c r="C2262" s="18" t="s">
        <v>4</v>
      </c>
      <c r="D2262" s="113" t="str">
        <f>_xlfn.XLOOKUP($C2262,'Cost Centers'!$A$2:$A$11,'Cost Centers'!$B$2:$B$11,"")</f>
        <v>Executive</v>
      </c>
      <c r="E2262" s="113" t="s">
        <v>127</v>
      </c>
      <c r="F2262" s="113" t="str">
        <f>_xlfn.XLOOKUP(E2262,'Allocated Transactions'!D:D,'Allocated Transactions'!E:E,"")</f>
        <v>Indirect Cost Allocation</v>
      </c>
      <c r="G2262" s="113" t="s">
        <v>129</v>
      </c>
      <c r="H2262" s="113" t="s">
        <v>335</v>
      </c>
      <c r="I2262" s="113" t="str">
        <f>_xlfn.XLOOKUP($C2262,'Cost Centers'!$A$2:$A$11,'Cost Centers'!$C$2:$C$11,"")</f>
        <v>Admin</v>
      </c>
      <c r="J2262" s="23">
        <f t="array" ref="J2262">INDEX('Indirect Pool - Budget'!$A$2:$AA$38, MATCH(1, ('Indirect Pool - Budget'!$A$2:$A$38=C2262)*('Indirect Pool - Budget'!$C$2:$C$38=H2262), 0), MATCH(A2262,'Indirect Pool - Budget'!$A$2:$AA$2, 0))</f>
        <v>-2038.3597883597884</v>
      </c>
      <c r="K2262" s="113" t="s">
        <v>637</v>
      </c>
    </row>
    <row r="2263" spans="1:11" ht="15" customHeight="1">
      <c r="A2263" s="112">
        <f t="shared" si="146"/>
        <v>45992</v>
      </c>
      <c r="B2263" s="113">
        <v>16</v>
      </c>
      <c r="C2263" s="18" t="s">
        <v>4</v>
      </c>
      <c r="D2263" s="113" t="str">
        <f>_xlfn.XLOOKUP($C2263,'Cost Centers'!$A$2:$A$11,'Cost Centers'!$B$2:$B$11,"")</f>
        <v>Executive</v>
      </c>
      <c r="E2263" s="113" t="s">
        <v>127</v>
      </c>
      <c r="F2263" s="113" t="str">
        <f>_xlfn.XLOOKUP(E2263,'Allocated Transactions'!D:D,'Allocated Transactions'!E:E,"")</f>
        <v>Indirect Cost Allocation</v>
      </c>
      <c r="G2263" s="113" t="s">
        <v>129</v>
      </c>
      <c r="H2263" s="113" t="s">
        <v>336</v>
      </c>
      <c r="I2263" s="113" t="str">
        <f>_xlfn.XLOOKUP($C2263,'Cost Centers'!$A$2:$A$11,'Cost Centers'!$C$2:$C$11,"")</f>
        <v>Admin</v>
      </c>
      <c r="J2263" s="23">
        <f t="array" ref="J2263">INDEX('Indirect Pool - Budget'!$A$2:$AA$38, MATCH(1, ('Indirect Pool - Budget'!$A$2:$A$38=C2263)*('Indirect Pool - Budget'!$C$2:$C$38=H2263), 0), MATCH(A2263,'Indirect Pool - Budget'!$A$2:$AA$2, 0))</f>
        <v>-2213.2936507936511</v>
      </c>
      <c r="K2263" s="113" t="s">
        <v>637</v>
      </c>
    </row>
    <row r="2264" spans="1:11" ht="15" customHeight="1">
      <c r="A2264" s="112">
        <f t="shared" si="146"/>
        <v>45992</v>
      </c>
      <c r="B2264" s="113">
        <v>16</v>
      </c>
      <c r="C2264" s="18" t="s">
        <v>4</v>
      </c>
      <c r="D2264" s="113" t="str">
        <f>_xlfn.XLOOKUP($C2264,'Cost Centers'!$A$2:$A$11,'Cost Centers'!$B$2:$B$11,"")</f>
        <v>Executive</v>
      </c>
      <c r="E2264" s="113" t="s">
        <v>127</v>
      </c>
      <c r="F2264" s="113" t="str">
        <f>_xlfn.XLOOKUP(E2264,'Allocated Transactions'!D:D,'Allocated Transactions'!E:E,"")</f>
        <v>Indirect Cost Allocation</v>
      </c>
      <c r="G2264" s="113" t="s">
        <v>129</v>
      </c>
      <c r="H2264" s="113" t="s">
        <v>337</v>
      </c>
      <c r="I2264" s="113" t="str">
        <f>_xlfn.XLOOKUP($C2264,'Cost Centers'!$A$2:$A$11,'Cost Centers'!$C$2:$C$11,"")</f>
        <v>Admin</v>
      </c>
      <c r="J2264" s="23">
        <f t="array" ref="J2264">INDEX('Indirect Pool - Budget'!$A$2:$AA$38, MATCH(1, ('Indirect Pool - Budget'!$A$2:$A$38=C2264)*('Indirect Pool - Budget'!$C$2:$C$38=H2264), 0), MATCH(A2264,'Indirect Pool - Budget'!$A$2:$AA$2, 0))</f>
        <v>-1635.251322751323</v>
      </c>
      <c r="K2264" s="113" t="s">
        <v>637</v>
      </c>
    </row>
    <row r="2265" spans="1:11" ht="15" customHeight="1">
      <c r="A2265" s="112">
        <f t="shared" si="146"/>
        <v>45992</v>
      </c>
      <c r="B2265" s="113">
        <v>16</v>
      </c>
      <c r="C2265" s="18" t="s">
        <v>4</v>
      </c>
      <c r="D2265" s="113" t="str">
        <f>_xlfn.XLOOKUP($C2265,'Cost Centers'!$A$2:$A$11,'Cost Centers'!$B$2:$B$11,"")</f>
        <v>Executive</v>
      </c>
      <c r="E2265" s="113" t="s">
        <v>127</v>
      </c>
      <c r="F2265" s="113" t="str">
        <f>_xlfn.XLOOKUP(E2265,'Allocated Transactions'!D:D,'Allocated Transactions'!E:E,"")</f>
        <v>Indirect Cost Allocation</v>
      </c>
      <c r="G2265" s="113" t="s">
        <v>129</v>
      </c>
      <c r="H2265" s="113" t="s">
        <v>338</v>
      </c>
      <c r="I2265" s="113" t="str">
        <f>_xlfn.XLOOKUP($C2265,'Cost Centers'!$A$2:$A$11,'Cost Centers'!$C$2:$C$11,"")</f>
        <v>Admin</v>
      </c>
      <c r="J2265" s="23">
        <f t="array" ref="J2265">INDEX('Indirect Pool - Budget'!$A$2:$AA$38, MATCH(1, ('Indirect Pool - Budget'!$A$2:$A$38=C2265)*('Indirect Pool - Budget'!$C$2:$C$38=H2265), 0), MATCH(A2265,'Indirect Pool - Budget'!$A$2:$AA$2, 0))</f>
        <v>-3133.5978835978835</v>
      </c>
      <c r="K2265" s="113" t="s">
        <v>637</v>
      </c>
    </row>
    <row r="2266" spans="1:11" ht="15" customHeight="1">
      <c r="A2266" s="112">
        <f t="shared" si="146"/>
        <v>45992</v>
      </c>
      <c r="B2266" s="113">
        <v>16</v>
      </c>
      <c r="C2266" s="18" t="s">
        <v>4</v>
      </c>
      <c r="D2266" s="113" t="str">
        <f>_xlfn.XLOOKUP($C2266,'Cost Centers'!$A$2:$A$11,'Cost Centers'!$B$2:$B$11,"")</f>
        <v>Executive</v>
      </c>
      <c r="E2266" s="113" t="s">
        <v>127</v>
      </c>
      <c r="F2266" s="113" t="str">
        <f>_xlfn.XLOOKUP(E2266,'Allocated Transactions'!D:D,'Allocated Transactions'!E:E,"")</f>
        <v>Indirect Cost Allocation</v>
      </c>
      <c r="G2266" s="113" t="s">
        <v>129</v>
      </c>
      <c r="H2266" s="113" t="s">
        <v>339</v>
      </c>
      <c r="I2266" s="113" t="str">
        <f>_xlfn.XLOOKUP($C2266,'Cost Centers'!$A$2:$A$11,'Cost Centers'!$C$2:$C$11,"")</f>
        <v>Admin</v>
      </c>
      <c r="J2266" s="23">
        <f t="array" ref="J2266">INDEX('Indirect Pool - Budget'!$A$2:$AA$38, MATCH(1, ('Indirect Pool - Budget'!$A$2:$A$38=C2266)*('Indirect Pool - Budget'!$C$2:$C$38=H2266), 0), MATCH(A2266,'Indirect Pool - Budget'!$A$2:$AA$2, 0))</f>
        <v>-2479.4973544973545</v>
      </c>
      <c r="K2266" s="113" t="s">
        <v>637</v>
      </c>
    </row>
    <row r="2267" spans="1:11" ht="15" customHeight="1">
      <c r="A2267" s="112">
        <f t="shared" si="146"/>
        <v>45992</v>
      </c>
      <c r="B2267" s="113">
        <v>16</v>
      </c>
      <c r="C2267" s="18" t="s">
        <v>6</v>
      </c>
      <c r="D2267" s="113" t="str">
        <f>_xlfn.XLOOKUP($C2267,'Cost Centers'!$A$2:$A$11,'Cost Centers'!$B$2:$B$11,"")</f>
        <v>Human Resources</v>
      </c>
      <c r="E2267" s="113" t="s">
        <v>127</v>
      </c>
      <c r="F2267" s="113" t="str">
        <f>_xlfn.XLOOKUP(E2267,'Allocated Transactions'!D:D,'Allocated Transactions'!E:E,"")</f>
        <v>Indirect Cost Allocation</v>
      </c>
      <c r="G2267" s="113" t="s">
        <v>129</v>
      </c>
      <c r="H2267" s="113" t="s">
        <v>335</v>
      </c>
      <c r="I2267" s="113" t="str">
        <f>_xlfn.XLOOKUP($C2267,'Cost Centers'!$A$2:$A$11,'Cost Centers'!$C$2:$C$11,"")</f>
        <v>Admin</v>
      </c>
      <c r="J2267" s="23">
        <f t="array" ref="J2267">INDEX('Indirect Pool - Budget'!$A$2:$AA$38, MATCH(1, ('Indirect Pool - Budget'!$A$2:$A$38=C2267)*('Indirect Pool - Budget'!$C$2:$C$38=H2267), 0), MATCH(A2267,'Indirect Pool - Budget'!$A$2:$AA$2, 0))</f>
        <v>-3066.402116402116</v>
      </c>
      <c r="K2267" s="113" t="s">
        <v>637</v>
      </c>
    </row>
    <row r="2268" spans="1:11" ht="15" customHeight="1">
      <c r="A2268" s="112">
        <f t="shared" si="146"/>
        <v>45992</v>
      </c>
      <c r="B2268" s="113">
        <v>16</v>
      </c>
      <c r="C2268" s="18" t="s">
        <v>6</v>
      </c>
      <c r="D2268" s="113" t="str">
        <f>_xlfn.XLOOKUP($C2268,'Cost Centers'!$A$2:$A$11,'Cost Centers'!$B$2:$B$11,"")</f>
        <v>Human Resources</v>
      </c>
      <c r="E2268" s="113" t="s">
        <v>127</v>
      </c>
      <c r="F2268" s="113" t="str">
        <f>_xlfn.XLOOKUP(E2268,'Allocated Transactions'!D:D,'Allocated Transactions'!E:E,"")</f>
        <v>Indirect Cost Allocation</v>
      </c>
      <c r="G2268" s="113" t="s">
        <v>129</v>
      </c>
      <c r="H2268" s="113" t="s">
        <v>336</v>
      </c>
      <c r="I2268" s="113" t="str">
        <f>_xlfn.XLOOKUP($C2268,'Cost Centers'!$A$2:$A$11,'Cost Centers'!$C$2:$C$11,"")</f>
        <v>Admin</v>
      </c>
      <c r="J2268" s="23">
        <f t="array" ref="J2268">INDEX('Indirect Pool - Budget'!$A$2:$AA$38, MATCH(1, ('Indirect Pool - Budget'!$A$2:$A$38=C2268)*('Indirect Pool - Budget'!$C$2:$C$38=H2268), 0), MATCH(A2268,'Indirect Pool - Budget'!$A$2:$AA$2, 0))</f>
        <v>-3329.563492063492</v>
      </c>
      <c r="K2268" s="113" t="s">
        <v>637</v>
      </c>
    </row>
    <row r="2269" spans="1:11" ht="15" customHeight="1">
      <c r="A2269" s="112">
        <f t="shared" si="146"/>
        <v>45992</v>
      </c>
      <c r="B2269" s="113">
        <v>16</v>
      </c>
      <c r="C2269" s="18" t="s">
        <v>6</v>
      </c>
      <c r="D2269" s="113" t="str">
        <f>_xlfn.XLOOKUP($C2269,'Cost Centers'!$A$2:$A$11,'Cost Centers'!$B$2:$B$11,"")</f>
        <v>Human Resources</v>
      </c>
      <c r="E2269" s="113" t="s">
        <v>127</v>
      </c>
      <c r="F2269" s="113" t="str">
        <f>_xlfn.XLOOKUP(E2269,'Allocated Transactions'!D:D,'Allocated Transactions'!E:E,"")</f>
        <v>Indirect Cost Allocation</v>
      </c>
      <c r="G2269" s="113" t="s">
        <v>129</v>
      </c>
      <c r="H2269" s="113" t="s">
        <v>337</v>
      </c>
      <c r="I2269" s="113" t="str">
        <f>_xlfn.XLOOKUP($C2269,'Cost Centers'!$A$2:$A$11,'Cost Centers'!$C$2:$C$11,"")</f>
        <v>Admin</v>
      </c>
      <c r="J2269" s="23">
        <f t="array" ref="J2269">INDEX('Indirect Pool - Budget'!$A$2:$AA$38, MATCH(1, ('Indirect Pool - Budget'!$A$2:$A$38=C2269)*('Indirect Pool - Budget'!$C$2:$C$38=H2269), 0), MATCH(A2269,'Indirect Pool - Budget'!$A$2:$AA$2, 0))</f>
        <v>-2459.9867724867727</v>
      </c>
      <c r="K2269" s="113" t="s">
        <v>637</v>
      </c>
    </row>
    <row r="2270" spans="1:11" ht="15" customHeight="1">
      <c r="A2270" s="112">
        <f t="shared" si="146"/>
        <v>45992</v>
      </c>
      <c r="B2270" s="113">
        <v>16</v>
      </c>
      <c r="C2270" s="18" t="s">
        <v>6</v>
      </c>
      <c r="D2270" s="113" t="str">
        <f>_xlfn.XLOOKUP($C2270,'Cost Centers'!$A$2:$A$11,'Cost Centers'!$B$2:$B$11,"")</f>
        <v>Human Resources</v>
      </c>
      <c r="E2270" s="113" t="s">
        <v>127</v>
      </c>
      <c r="F2270" s="113" t="str">
        <f>_xlfn.XLOOKUP(E2270,'Allocated Transactions'!D:D,'Allocated Transactions'!E:E,"")</f>
        <v>Indirect Cost Allocation</v>
      </c>
      <c r="G2270" s="113" t="s">
        <v>129</v>
      </c>
      <c r="H2270" s="113" t="s">
        <v>338</v>
      </c>
      <c r="I2270" s="113" t="str">
        <f>_xlfn.XLOOKUP($C2270,'Cost Centers'!$A$2:$A$11,'Cost Centers'!$C$2:$C$11,"")</f>
        <v>Admin</v>
      </c>
      <c r="J2270" s="23">
        <f t="array" ref="J2270">INDEX('Indirect Pool - Budget'!$A$2:$AA$38, MATCH(1, ('Indirect Pool - Budget'!$A$2:$A$38=C2270)*('Indirect Pool - Budget'!$C$2:$C$38=H2270), 0), MATCH(A2270,'Indirect Pool - Budget'!$A$2:$AA$2, 0))</f>
        <v>-4714.0211640211646</v>
      </c>
      <c r="K2270" s="113" t="s">
        <v>637</v>
      </c>
    </row>
    <row r="2271" spans="1:11" ht="15" customHeight="1">
      <c r="A2271" s="112">
        <f t="shared" si="146"/>
        <v>45992</v>
      </c>
      <c r="B2271" s="113">
        <v>16</v>
      </c>
      <c r="C2271" s="18" t="s">
        <v>6</v>
      </c>
      <c r="D2271" s="113" t="str">
        <f>_xlfn.XLOOKUP($C2271,'Cost Centers'!$A$2:$A$11,'Cost Centers'!$B$2:$B$11,"")</f>
        <v>Human Resources</v>
      </c>
      <c r="E2271" s="113" t="s">
        <v>127</v>
      </c>
      <c r="F2271" s="113" t="str">
        <f>_xlfn.XLOOKUP(E2271,'Allocated Transactions'!D:D,'Allocated Transactions'!E:E,"")</f>
        <v>Indirect Cost Allocation</v>
      </c>
      <c r="G2271" s="113" t="s">
        <v>129</v>
      </c>
      <c r="H2271" s="113" t="s">
        <v>339</v>
      </c>
      <c r="I2271" s="113" t="str">
        <f>_xlfn.XLOOKUP($C2271,'Cost Centers'!$A$2:$A$11,'Cost Centers'!$C$2:$C$11,"")</f>
        <v>Admin</v>
      </c>
      <c r="J2271" s="23">
        <f t="array" ref="J2271">INDEX('Indirect Pool - Budget'!$A$2:$AA$38, MATCH(1, ('Indirect Pool - Budget'!$A$2:$A$38=C2271)*('Indirect Pool - Budget'!$C$2:$C$38=H2271), 0), MATCH(A2271,'Indirect Pool - Budget'!$A$2:$AA$2, 0))</f>
        <v>-3730.0264550264551</v>
      </c>
      <c r="K2271" s="113" t="s">
        <v>637</v>
      </c>
    </row>
    <row r="2272" spans="1:11" ht="15" customHeight="1">
      <c r="A2272" s="112">
        <f t="shared" si="146"/>
        <v>45992</v>
      </c>
      <c r="B2272" s="113">
        <v>16</v>
      </c>
      <c r="C2272" s="18" t="s">
        <v>8</v>
      </c>
      <c r="D2272" s="113" t="str">
        <f>_xlfn.XLOOKUP($C2272,'Cost Centers'!$A$2:$A$11,'Cost Centers'!$B$2:$B$11,"")</f>
        <v>Finance</v>
      </c>
      <c r="E2272" s="113" t="s">
        <v>127</v>
      </c>
      <c r="F2272" s="113" t="str">
        <f>_xlfn.XLOOKUP(E2272,'Allocated Transactions'!D:D,'Allocated Transactions'!E:E,"")</f>
        <v>Indirect Cost Allocation</v>
      </c>
      <c r="G2272" s="113" t="s">
        <v>129</v>
      </c>
      <c r="H2272" s="113" t="s">
        <v>335</v>
      </c>
      <c r="I2272" s="113" t="str">
        <f>_xlfn.XLOOKUP($C2272,'Cost Centers'!$A$2:$A$11,'Cost Centers'!$C$2:$C$11,"")</f>
        <v>Admin</v>
      </c>
      <c r="J2272" s="23">
        <f t="array" ref="J2272">INDEX('Indirect Pool - Budget'!$A$2:$AA$38, MATCH(1, ('Indirect Pool - Budget'!$A$2:$A$38=C2272)*('Indirect Pool - Budget'!$C$2:$C$38=H2272), 0), MATCH(A2272,'Indirect Pool - Budget'!$A$2:$AA$2, 0))</f>
        <v>-2800.5291005291006</v>
      </c>
      <c r="K2272" s="113" t="s">
        <v>637</v>
      </c>
    </row>
    <row r="2273" spans="1:11" ht="15" customHeight="1">
      <c r="A2273" s="112">
        <f t="shared" si="146"/>
        <v>45992</v>
      </c>
      <c r="B2273" s="113">
        <v>16</v>
      </c>
      <c r="C2273" s="18" t="s">
        <v>8</v>
      </c>
      <c r="D2273" s="113" t="str">
        <f>_xlfn.XLOOKUP($C2273,'Cost Centers'!$A$2:$A$11,'Cost Centers'!$B$2:$B$11,"")</f>
        <v>Finance</v>
      </c>
      <c r="E2273" s="113" t="s">
        <v>127</v>
      </c>
      <c r="F2273" s="113" t="str">
        <f>_xlfn.XLOOKUP(E2273,'Allocated Transactions'!D:D,'Allocated Transactions'!E:E,"")</f>
        <v>Indirect Cost Allocation</v>
      </c>
      <c r="G2273" s="113" t="s">
        <v>129</v>
      </c>
      <c r="H2273" s="113" t="s">
        <v>336</v>
      </c>
      <c r="I2273" s="113" t="str">
        <f>_xlfn.XLOOKUP($C2273,'Cost Centers'!$A$2:$A$11,'Cost Centers'!$C$2:$C$11,"")</f>
        <v>Admin</v>
      </c>
      <c r="J2273" s="23">
        <f t="array" ref="J2273">INDEX('Indirect Pool - Budget'!$A$2:$AA$38, MATCH(1, ('Indirect Pool - Budget'!$A$2:$A$38=C2273)*('Indirect Pool - Budget'!$C$2:$C$38=H2273), 0), MATCH(A2273,'Indirect Pool - Budget'!$A$2:$AA$2, 0))</f>
        <v>-3040.8730158730159</v>
      </c>
      <c r="K2273" s="113" t="s">
        <v>637</v>
      </c>
    </row>
    <row r="2274" spans="1:11" ht="15" customHeight="1">
      <c r="A2274" s="112">
        <f t="shared" si="146"/>
        <v>45992</v>
      </c>
      <c r="B2274" s="113">
        <v>16</v>
      </c>
      <c r="C2274" s="18" t="s">
        <v>8</v>
      </c>
      <c r="D2274" s="113" t="str">
        <f>_xlfn.XLOOKUP($C2274,'Cost Centers'!$A$2:$A$11,'Cost Centers'!$B$2:$B$11,"")</f>
        <v>Finance</v>
      </c>
      <c r="E2274" s="113" t="s">
        <v>127</v>
      </c>
      <c r="F2274" s="113" t="str">
        <f>_xlfn.XLOOKUP(E2274,'Allocated Transactions'!D:D,'Allocated Transactions'!E:E,"")</f>
        <v>Indirect Cost Allocation</v>
      </c>
      <c r="G2274" s="113" t="s">
        <v>129</v>
      </c>
      <c r="H2274" s="113" t="s">
        <v>337</v>
      </c>
      <c r="I2274" s="113" t="str">
        <f>_xlfn.XLOOKUP($C2274,'Cost Centers'!$A$2:$A$11,'Cost Centers'!$C$2:$C$11,"")</f>
        <v>Admin</v>
      </c>
      <c r="J2274" s="23">
        <f t="array" ref="J2274">INDEX('Indirect Pool - Budget'!$A$2:$AA$38, MATCH(1, ('Indirect Pool - Budget'!$A$2:$A$38=C2274)*('Indirect Pool - Budget'!$C$2:$C$38=H2274), 0), MATCH(A2274,'Indirect Pool - Budget'!$A$2:$AA$2, 0))</f>
        <v>-2246.6931216931221</v>
      </c>
      <c r="K2274" s="113" t="s">
        <v>637</v>
      </c>
    </row>
    <row r="2275" spans="1:11" ht="15" customHeight="1">
      <c r="A2275" s="112">
        <f t="shared" si="146"/>
        <v>45992</v>
      </c>
      <c r="B2275" s="113">
        <v>16</v>
      </c>
      <c r="C2275" s="18" t="s">
        <v>8</v>
      </c>
      <c r="D2275" s="113" t="str">
        <f>_xlfn.XLOOKUP($C2275,'Cost Centers'!$A$2:$A$11,'Cost Centers'!$B$2:$B$11,"")</f>
        <v>Finance</v>
      </c>
      <c r="E2275" s="113" t="s">
        <v>127</v>
      </c>
      <c r="F2275" s="113" t="str">
        <f>_xlfn.XLOOKUP(E2275,'Allocated Transactions'!D:D,'Allocated Transactions'!E:E,"")</f>
        <v>Indirect Cost Allocation</v>
      </c>
      <c r="G2275" s="113" t="s">
        <v>129</v>
      </c>
      <c r="H2275" s="113" t="s">
        <v>338</v>
      </c>
      <c r="I2275" s="113" t="str">
        <f>_xlfn.XLOOKUP($C2275,'Cost Centers'!$A$2:$A$11,'Cost Centers'!$C$2:$C$11,"")</f>
        <v>Admin</v>
      </c>
      <c r="J2275" s="23">
        <f t="array" ref="J2275">INDEX('Indirect Pool - Budget'!$A$2:$AA$38, MATCH(1, ('Indirect Pool - Budget'!$A$2:$A$38=C2275)*('Indirect Pool - Budget'!$C$2:$C$38=H2275), 0), MATCH(A2275,'Indirect Pool - Budget'!$A$2:$AA$2, 0))</f>
        <v>-4305.2910052910056</v>
      </c>
      <c r="K2275" s="113" t="s">
        <v>637</v>
      </c>
    </row>
    <row r="2276" spans="1:11" ht="15" customHeight="1">
      <c r="A2276" s="112">
        <f t="shared" si="146"/>
        <v>45992</v>
      </c>
      <c r="B2276" s="113">
        <v>16</v>
      </c>
      <c r="C2276" s="18" t="s">
        <v>8</v>
      </c>
      <c r="D2276" s="113" t="str">
        <f>_xlfn.XLOOKUP($C2276,'Cost Centers'!$A$2:$A$11,'Cost Centers'!$B$2:$B$11,"")</f>
        <v>Finance</v>
      </c>
      <c r="E2276" s="113" t="s">
        <v>127</v>
      </c>
      <c r="F2276" s="113" t="str">
        <f>_xlfn.XLOOKUP(E2276,'Allocated Transactions'!D:D,'Allocated Transactions'!E:E,"")</f>
        <v>Indirect Cost Allocation</v>
      </c>
      <c r="G2276" s="113" t="s">
        <v>129</v>
      </c>
      <c r="H2276" s="113" t="s">
        <v>339</v>
      </c>
      <c r="I2276" s="113" t="str">
        <f>_xlfn.XLOOKUP($C2276,'Cost Centers'!$A$2:$A$11,'Cost Centers'!$C$2:$C$11,"")</f>
        <v>Admin</v>
      </c>
      <c r="J2276" s="23">
        <f t="array" ref="J2276">INDEX('Indirect Pool - Budget'!$A$2:$AA$38, MATCH(1, ('Indirect Pool - Budget'!$A$2:$A$38=C2276)*('Indirect Pool - Budget'!$C$2:$C$38=H2276), 0), MATCH(A2276,'Indirect Pool - Budget'!$A$2:$AA$2, 0))</f>
        <v>-3406.6137566137568</v>
      </c>
      <c r="K2276" s="113" t="s">
        <v>637</v>
      </c>
    </row>
    <row r="2277" spans="1:11" ht="15" customHeight="1">
      <c r="A2277" s="112">
        <f t="shared" si="146"/>
        <v>45992</v>
      </c>
      <c r="B2277" s="113">
        <v>16</v>
      </c>
      <c r="C2277" s="18" t="s">
        <v>10</v>
      </c>
      <c r="D2277" s="113" t="str">
        <f>_xlfn.XLOOKUP($C2277,'Cost Centers'!$A$2:$A$11,'Cost Centers'!$B$2:$B$11,"")</f>
        <v>Business Development</v>
      </c>
      <c r="E2277" s="113" t="s">
        <v>127</v>
      </c>
      <c r="F2277" s="113" t="str">
        <f>_xlfn.XLOOKUP(E2277,'Allocated Transactions'!D:D,'Allocated Transactions'!E:E,"")</f>
        <v>Indirect Cost Allocation</v>
      </c>
      <c r="G2277" s="113" t="s">
        <v>129</v>
      </c>
      <c r="H2277" s="113" t="s">
        <v>335</v>
      </c>
      <c r="I2277" s="113" t="str">
        <f>_xlfn.XLOOKUP($C2277,'Cost Centers'!$A$2:$A$11,'Cost Centers'!$C$2:$C$11,"")</f>
        <v>Admin</v>
      </c>
      <c r="J2277" s="23">
        <f t="array" ref="J2277">INDEX('Indirect Pool - Budget'!$A$2:$AA$38, MATCH(1, ('Indirect Pool - Budget'!$A$2:$A$38=C2277)*('Indirect Pool - Budget'!$C$2:$C$38=H2277), 0), MATCH(A2277,'Indirect Pool - Budget'!$A$2:$AA$2, 0))</f>
        <v>-3279.100529100529</v>
      </c>
      <c r="K2277" s="113" t="s">
        <v>637</v>
      </c>
    </row>
    <row r="2278" spans="1:11" ht="15" customHeight="1">
      <c r="A2278" s="112">
        <f t="shared" si="146"/>
        <v>45992</v>
      </c>
      <c r="B2278" s="113">
        <v>16</v>
      </c>
      <c r="C2278" s="18" t="s">
        <v>10</v>
      </c>
      <c r="D2278" s="113" t="str">
        <f>_xlfn.XLOOKUP($C2278,'Cost Centers'!$A$2:$A$11,'Cost Centers'!$B$2:$B$11,"")</f>
        <v>Business Development</v>
      </c>
      <c r="E2278" s="113" t="s">
        <v>127</v>
      </c>
      <c r="F2278" s="113" t="str">
        <f>_xlfn.XLOOKUP(E2278,'Allocated Transactions'!D:D,'Allocated Transactions'!E:E,"")</f>
        <v>Indirect Cost Allocation</v>
      </c>
      <c r="G2278" s="113" t="s">
        <v>129</v>
      </c>
      <c r="H2278" s="113" t="s">
        <v>336</v>
      </c>
      <c r="I2278" s="113" t="str">
        <f>_xlfn.XLOOKUP($C2278,'Cost Centers'!$A$2:$A$11,'Cost Centers'!$C$2:$C$11,"")</f>
        <v>Admin</v>
      </c>
      <c r="J2278" s="23">
        <f t="array" ref="J2278">INDEX('Indirect Pool - Budget'!$A$2:$AA$38, MATCH(1, ('Indirect Pool - Budget'!$A$2:$A$38=C2278)*('Indirect Pool - Budget'!$C$2:$C$38=H2278), 0), MATCH(A2278,'Indirect Pool - Budget'!$A$2:$AA$2, 0))</f>
        <v>-3560.5158730158732</v>
      </c>
      <c r="K2278" s="113" t="s">
        <v>637</v>
      </c>
    </row>
    <row r="2279" spans="1:11" ht="15" customHeight="1">
      <c r="A2279" s="112">
        <f t="shared" si="146"/>
        <v>45992</v>
      </c>
      <c r="B2279" s="113">
        <v>16</v>
      </c>
      <c r="C2279" s="18" t="s">
        <v>10</v>
      </c>
      <c r="D2279" s="113" t="str">
        <f>_xlfn.XLOOKUP($C2279,'Cost Centers'!$A$2:$A$11,'Cost Centers'!$B$2:$B$11,"")</f>
        <v>Business Development</v>
      </c>
      <c r="E2279" s="113" t="s">
        <v>127</v>
      </c>
      <c r="F2279" s="113" t="str">
        <f>_xlfn.XLOOKUP(E2279,'Allocated Transactions'!D:D,'Allocated Transactions'!E:E,"")</f>
        <v>Indirect Cost Allocation</v>
      </c>
      <c r="G2279" s="113" t="s">
        <v>129</v>
      </c>
      <c r="H2279" s="113" t="s">
        <v>337</v>
      </c>
      <c r="I2279" s="113" t="str">
        <f>_xlfn.XLOOKUP($C2279,'Cost Centers'!$A$2:$A$11,'Cost Centers'!$C$2:$C$11,"")</f>
        <v>Admin</v>
      </c>
      <c r="J2279" s="23">
        <f t="array" ref="J2279">INDEX('Indirect Pool - Budget'!$A$2:$AA$38, MATCH(1, ('Indirect Pool - Budget'!$A$2:$A$38=C2279)*('Indirect Pool - Budget'!$C$2:$C$38=H2279), 0), MATCH(A2279,'Indirect Pool - Budget'!$A$2:$AA$2, 0))</f>
        <v>-2630.6216931216932</v>
      </c>
      <c r="K2279" s="113" t="s">
        <v>637</v>
      </c>
    </row>
    <row r="2280" spans="1:11" ht="15" customHeight="1">
      <c r="A2280" s="112">
        <f t="shared" si="146"/>
        <v>45992</v>
      </c>
      <c r="B2280" s="113">
        <v>16</v>
      </c>
      <c r="C2280" s="18" t="s">
        <v>10</v>
      </c>
      <c r="D2280" s="113" t="str">
        <f>_xlfn.XLOOKUP($C2280,'Cost Centers'!$A$2:$A$11,'Cost Centers'!$B$2:$B$11,"")</f>
        <v>Business Development</v>
      </c>
      <c r="E2280" s="113" t="s">
        <v>127</v>
      </c>
      <c r="F2280" s="113" t="str">
        <f>_xlfn.XLOOKUP(E2280,'Allocated Transactions'!D:D,'Allocated Transactions'!E:E,"")</f>
        <v>Indirect Cost Allocation</v>
      </c>
      <c r="G2280" s="113" t="s">
        <v>129</v>
      </c>
      <c r="H2280" s="113" t="s">
        <v>338</v>
      </c>
      <c r="I2280" s="113" t="str">
        <f>_xlfn.XLOOKUP($C2280,'Cost Centers'!$A$2:$A$11,'Cost Centers'!$C$2:$C$11,"")</f>
        <v>Admin</v>
      </c>
      <c r="J2280" s="23">
        <f t="array" ref="J2280">INDEX('Indirect Pool - Budget'!$A$2:$AA$38, MATCH(1, ('Indirect Pool - Budget'!$A$2:$A$38=C2280)*('Indirect Pool - Budget'!$C$2:$C$38=H2280), 0), MATCH(A2280,'Indirect Pool - Budget'!$A$2:$AA$2, 0))</f>
        <v>-5041.0052910052909</v>
      </c>
      <c r="K2280" s="113" t="s">
        <v>637</v>
      </c>
    </row>
    <row r="2281" spans="1:11" ht="15" customHeight="1">
      <c r="A2281" s="112">
        <f t="shared" si="146"/>
        <v>45992</v>
      </c>
      <c r="B2281" s="113">
        <v>16</v>
      </c>
      <c r="C2281" s="18" t="s">
        <v>10</v>
      </c>
      <c r="D2281" s="113" t="str">
        <f>_xlfn.XLOOKUP($C2281,'Cost Centers'!$A$2:$A$11,'Cost Centers'!$B$2:$B$11,"")</f>
        <v>Business Development</v>
      </c>
      <c r="E2281" s="113" t="s">
        <v>127</v>
      </c>
      <c r="F2281" s="113" t="str">
        <f>_xlfn.XLOOKUP(E2281,'Allocated Transactions'!D:D,'Allocated Transactions'!E:E,"")</f>
        <v>Indirect Cost Allocation</v>
      </c>
      <c r="G2281" s="113" t="s">
        <v>129</v>
      </c>
      <c r="H2281" s="113" t="s">
        <v>339</v>
      </c>
      <c r="I2281" s="113" t="str">
        <f>_xlfn.XLOOKUP($C2281,'Cost Centers'!$A$2:$A$11,'Cost Centers'!$C$2:$C$11,"")</f>
        <v>Admin</v>
      </c>
      <c r="J2281" s="23">
        <f t="array" ref="J2281">INDEX('Indirect Pool - Budget'!$A$2:$AA$38, MATCH(1, ('Indirect Pool - Budget'!$A$2:$A$38=C2281)*('Indirect Pool - Budget'!$C$2:$C$38=H2281), 0), MATCH(A2281,'Indirect Pool - Budget'!$A$2:$AA$2, 0))</f>
        <v>-3988.7566137566137</v>
      </c>
      <c r="K2281" s="113" t="s">
        <v>637</v>
      </c>
    </row>
    <row r="2282" spans="1:11" ht="15" customHeight="1">
      <c r="A2282" s="112">
        <f t="shared" si="146"/>
        <v>46023</v>
      </c>
      <c r="B2282" s="113">
        <v>17</v>
      </c>
      <c r="C2282" s="18" t="s">
        <v>4</v>
      </c>
      <c r="D2282" s="113" t="str">
        <f>_xlfn.XLOOKUP($C2282,'Cost Centers'!$A$2:$A$11,'Cost Centers'!$B$2:$B$11,"")</f>
        <v>Executive</v>
      </c>
      <c r="E2282" s="113" t="s">
        <v>127</v>
      </c>
      <c r="F2282" s="113" t="str">
        <f>_xlfn.XLOOKUP(E2282,'Allocated Transactions'!D:D,'Allocated Transactions'!E:E,"")</f>
        <v>Indirect Cost Allocation</v>
      </c>
      <c r="G2282" s="113" t="s">
        <v>129</v>
      </c>
      <c r="H2282" s="113" t="s">
        <v>335</v>
      </c>
      <c r="I2282" s="113" t="str">
        <f>_xlfn.XLOOKUP($C2282,'Cost Centers'!$A$2:$A$11,'Cost Centers'!$C$2:$C$11,"")</f>
        <v>Admin</v>
      </c>
      <c r="J2282" s="23">
        <f t="array" ref="J2282">INDEX('Indirect Pool - Budget'!$A$2:$AA$38, MATCH(1, ('Indirect Pool - Budget'!$A$2:$A$38=C2282)*('Indirect Pool - Budget'!$C$2:$C$38=H2282), 0), MATCH(A2282,'Indirect Pool - Budget'!$A$2:$AA$2, 0))</f>
        <v>-2496.7469095640859</v>
      </c>
      <c r="K2282" s="113" t="s">
        <v>637</v>
      </c>
    </row>
    <row r="2283" spans="1:11" ht="15" customHeight="1">
      <c r="A2283" s="112">
        <f t="shared" si="146"/>
        <v>46023</v>
      </c>
      <c r="B2283" s="113">
        <v>17</v>
      </c>
      <c r="C2283" s="18" t="s">
        <v>4</v>
      </c>
      <c r="D2283" s="113" t="str">
        <f>_xlfn.XLOOKUP($C2283,'Cost Centers'!$A$2:$A$11,'Cost Centers'!$B$2:$B$11,"")</f>
        <v>Executive</v>
      </c>
      <c r="E2283" s="113" t="s">
        <v>127</v>
      </c>
      <c r="F2283" s="113" t="str">
        <f>_xlfn.XLOOKUP(E2283,'Allocated Transactions'!D:D,'Allocated Transactions'!E:E,"")</f>
        <v>Indirect Cost Allocation</v>
      </c>
      <c r="G2283" s="113" t="s">
        <v>129</v>
      </c>
      <c r="H2283" s="113" t="s">
        <v>336</v>
      </c>
      <c r="I2283" s="113" t="str">
        <f>_xlfn.XLOOKUP($C2283,'Cost Centers'!$A$2:$A$11,'Cost Centers'!$C$2:$C$11,"")</f>
        <v>Admin</v>
      </c>
      <c r="J2283" s="23">
        <f t="array" ref="J2283">INDEX('Indirect Pool - Budget'!$A$2:$AA$38, MATCH(1, ('Indirect Pool - Budget'!$A$2:$A$38=C2283)*('Indirect Pool - Budget'!$C$2:$C$38=H2283), 0), MATCH(A2283,'Indirect Pool - Budget'!$A$2:$AA$2, 0))</f>
        <v>-2537.4105400130125</v>
      </c>
      <c r="K2283" s="113" t="s">
        <v>637</v>
      </c>
    </row>
    <row r="2284" spans="1:11" ht="15" customHeight="1">
      <c r="A2284" s="112">
        <f t="shared" si="146"/>
        <v>46023</v>
      </c>
      <c r="B2284" s="113">
        <v>17</v>
      </c>
      <c r="C2284" s="18" t="s">
        <v>4</v>
      </c>
      <c r="D2284" s="113" t="str">
        <f>_xlfn.XLOOKUP($C2284,'Cost Centers'!$A$2:$A$11,'Cost Centers'!$B$2:$B$11,"")</f>
        <v>Executive</v>
      </c>
      <c r="E2284" s="113" t="s">
        <v>127</v>
      </c>
      <c r="F2284" s="113" t="str">
        <f>_xlfn.XLOOKUP(E2284,'Allocated Transactions'!D:D,'Allocated Transactions'!E:E,"")</f>
        <v>Indirect Cost Allocation</v>
      </c>
      <c r="G2284" s="113" t="s">
        <v>129</v>
      </c>
      <c r="H2284" s="113" t="s">
        <v>337</v>
      </c>
      <c r="I2284" s="113" t="str">
        <f>_xlfn.XLOOKUP($C2284,'Cost Centers'!$A$2:$A$11,'Cost Centers'!$C$2:$C$11,"")</f>
        <v>Admin</v>
      </c>
      <c r="J2284" s="23">
        <f t="array" ref="J2284">INDEX('Indirect Pool - Budget'!$A$2:$AA$38, MATCH(1, ('Indirect Pool - Budget'!$A$2:$A$38=C2284)*('Indirect Pool - Budget'!$C$2:$C$38=H2284), 0), MATCH(A2284,'Indirect Pool - Budget'!$A$2:$AA$2, 0))</f>
        <v>-2277.1633051398831</v>
      </c>
      <c r="K2284" s="113" t="s">
        <v>637</v>
      </c>
    </row>
    <row r="2285" spans="1:11" ht="15" customHeight="1">
      <c r="A2285" s="112">
        <f t="shared" si="146"/>
        <v>46023</v>
      </c>
      <c r="B2285" s="113">
        <v>17</v>
      </c>
      <c r="C2285" s="18" t="s">
        <v>4</v>
      </c>
      <c r="D2285" s="113" t="str">
        <f>_xlfn.XLOOKUP($C2285,'Cost Centers'!$A$2:$A$11,'Cost Centers'!$B$2:$B$11,"")</f>
        <v>Executive</v>
      </c>
      <c r="E2285" s="113" t="s">
        <v>127</v>
      </c>
      <c r="F2285" s="113" t="str">
        <f>_xlfn.XLOOKUP(E2285,'Allocated Transactions'!D:D,'Allocated Transactions'!E:E,"")</f>
        <v>Indirect Cost Allocation</v>
      </c>
      <c r="G2285" s="113" t="s">
        <v>129</v>
      </c>
      <c r="H2285" s="113" t="s">
        <v>338</v>
      </c>
      <c r="I2285" s="113" t="str">
        <f>_xlfn.XLOOKUP($C2285,'Cost Centers'!$A$2:$A$11,'Cost Centers'!$C$2:$C$11,"")</f>
        <v>Admin</v>
      </c>
      <c r="J2285" s="23">
        <f t="array" ref="J2285">INDEX('Indirect Pool - Budget'!$A$2:$AA$38, MATCH(1, ('Indirect Pool - Budget'!$A$2:$A$38=C2285)*('Indirect Pool - Budget'!$C$2:$C$38=H2285), 0), MATCH(A2285,'Indirect Pool - Budget'!$A$2:$AA$2, 0))</f>
        <v>-1919.3233571893297</v>
      </c>
      <c r="K2285" s="113" t="s">
        <v>637</v>
      </c>
    </row>
    <row r="2286" spans="1:11" ht="15" customHeight="1">
      <c r="A2286" s="112">
        <f t="shared" si="146"/>
        <v>46023</v>
      </c>
      <c r="B2286" s="113">
        <v>17</v>
      </c>
      <c r="C2286" s="18" t="s">
        <v>4</v>
      </c>
      <c r="D2286" s="113" t="str">
        <f>_xlfn.XLOOKUP($C2286,'Cost Centers'!$A$2:$A$11,'Cost Centers'!$B$2:$B$11,"")</f>
        <v>Executive</v>
      </c>
      <c r="E2286" s="113" t="s">
        <v>127</v>
      </c>
      <c r="F2286" s="113" t="str">
        <f>_xlfn.XLOOKUP(E2286,'Allocated Transactions'!D:D,'Allocated Transactions'!E:E,"")</f>
        <v>Indirect Cost Allocation</v>
      </c>
      <c r="G2286" s="113" t="s">
        <v>129</v>
      </c>
      <c r="H2286" s="113" t="s">
        <v>339</v>
      </c>
      <c r="I2286" s="113" t="str">
        <f>_xlfn.XLOOKUP($C2286,'Cost Centers'!$A$2:$A$11,'Cost Centers'!$C$2:$C$11,"")</f>
        <v>Admin</v>
      </c>
      <c r="J2286" s="23">
        <f t="array" ref="J2286">INDEX('Indirect Pool - Budget'!$A$2:$AA$38, MATCH(1, ('Indirect Pool - Budget'!$A$2:$A$38=C2286)*('Indirect Pool - Budget'!$C$2:$C$38=H2286), 0), MATCH(A2286,'Indirect Pool - Budget'!$A$2:$AA$2, 0))</f>
        <v>-3269.3558880936889</v>
      </c>
      <c r="K2286" s="113" t="s">
        <v>637</v>
      </c>
    </row>
    <row r="2287" spans="1:11" ht="15" customHeight="1">
      <c r="A2287" s="112">
        <f t="shared" si="146"/>
        <v>46023</v>
      </c>
      <c r="B2287" s="113">
        <v>17</v>
      </c>
      <c r="C2287" s="18" t="s">
        <v>6</v>
      </c>
      <c r="D2287" s="113" t="str">
        <f>_xlfn.XLOOKUP($C2287,'Cost Centers'!$A$2:$A$11,'Cost Centers'!$B$2:$B$11,"")</f>
        <v>Human Resources</v>
      </c>
      <c r="E2287" s="113" t="s">
        <v>127</v>
      </c>
      <c r="F2287" s="113" t="str">
        <f>_xlfn.XLOOKUP(E2287,'Allocated Transactions'!D:D,'Allocated Transactions'!E:E,"")</f>
        <v>Indirect Cost Allocation</v>
      </c>
      <c r="G2287" s="113" t="s">
        <v>129</v>
      </c>
      <c r="H2287" s="113" t="s">
        <v>335</v>
      </c>
      <c r="I2287" s="113" t="str">
        <f>_xlfn.XLOOKUP($C2287,'Cost Centers'!$A$2:$A$11,'Cost Centers'!$C$2:$C$11,"")</f>
        <v>Admin</v>
      </c>
      <c r="J2287" s="23">
        <f t="array" ref="J2287">INDEX('Indirect Pool - Budget'!$A$2:$AA$38, MATCH(1, ('Indirect Pool - Budget'!$A$2:$A$38=C2287)*('Indirect Pool - Budget'!$C$2:$C$38=H2287), 0), MATCH(A2287,'Indirect Pool - Budget'!$A$2:$AA$2, 0))</f>
        <v>-3635.263500325309</v>
      </c>
      <c r="K2287" s="113" t="s">
        <v>637</v>
      </c>
    </row>
    <row r="2288" spans="1:11" ht="15" customHeight="1">
      <c r="A2288" s="112">
        <f t="shared" si="146"/>
        <v>46023</v>
      </c>
      <c r="B2288" s="113">
        <v>17</v>
      </c>
      <c r="C2288" s="18" t="s">
        <v>6</v>
      </c>
      <c r="D2288" s="113" t="str">
        <f>_xlfn.XLOOKUP($C2288,'Cost Centers'!$A$2:$A$11,'Cost Centers'!$B$2:$B$11,"")</f>
        <v>Human Resources</v>
      </c>
      <c r="E2288" s="113" t="s">
        <v>127</v>
      </c>
      <c r="F2288" s="113" t="str">
        <f>_xlfn.XLOOKUP(E2288,'Allocated Transactions'!D:D,'Allocated Transactions'!E:E,"")</f>
        <v>Indirect Cost Allocation</v>
      </c>
      <c r="G2288" s="113" t="s">
        <v>129</v>
      </c>
      <c r="H2288" s="113" t="s">
        <v>336</v>
      </c>
      <c r="I2288" s="113" t="str">
        <f>_xlfn.XLOOKUP($C2288,'Cost Centers'!$A$2:$A$11,'Cost Centers'!$C$2:$C$11,"")</f>
        <v>Admin</v>
      </c>
      <c r="J2288" s="23">
        <f t="array" ref="J2288">INDEX('Indirect Pool - Budget'!$A$2:$AA$38, MATCH(1, ('Indirect Pool - Budget'!$A$2:$A$38=C2288)*('Indirect Pool - Budget'!$C$2:$C$38=H2288), 0), MATCH(A2288,'Indirect Pool - Budget'!$A$2:$AA$2, 0))</f>
        <v>-3694.4697462589461</v>
      </c>
      <c r="K2288" s="113" t="s">
        <v>637</v>
      </c>
    </row>
    <row r="2289" spans="1:11" ht="15" customHeight="1">
      <c r="A2289" s="112">
        <f t="shared" si="146"/>
        <v>46023</v>
      </c>
      <c r="B2289" s="113">
        <v>17</v>
      </c>
      <c r="C2289" s="18" t="s">
        <v>6</v>
      </c>
      <c r="D2289" s="113" t="str">
        <f>_xlfn.XLOOKUP($C2289,'Cost Centers'!$A$2:$A$11,'Cost Centers'!$B$2:$B$11,"")</f>
        <v>Human Resources</v>
      </c>
      <c r="E2289" s="113" t="s">
        <v>127</v>
      </c>
      <c r="F2289" s="113" t="str">
        <f>_xlfn.XLOOKUP(E2289,'Allocated Transactions'!D:D,'Allocated Transactions'!E:E,"")</f>
        <v>Indirect Cost Allocation</v>
      </c>
      <c r="G2289" s="113" t="s">
        <v>129</v>
      </c>
      <c r="H2289" s="113" t="s">
        <v>337</v>
      </c>
      <c r="I2289" s="113" t="str">
        <f>_xlfn.XLOOKUP($C2289,'Cost Centers'!$A$2:$A$11,'Cost Centers'!$C$2:$C$11,"")</f>
        <v>Admin</v>
      </c>
      <c r="J2289" s="23">
        <f t="array" ref="J2289">INDEX('Indirect Pool - Budget'!$A$2:$AA$38, MATCH(1, ('Indirect Pool - Budget'!$A$2:$A$38=C2289)*('Indirect Pool - Budget'!$C$2:$C$38=H2289), 0), MATCH(A2289,'Indirect Pool - Budget'!$A$2:$AA$2, 0))</f>
        <v>-3315.5497722836694</v>
      </c>
      <c r="K2289" s="113" t="s">
        <v>637</v>
      </c>
    </row>
    <row r="2290" spans="1:11" ht="15" customHeight="1">
      <c r="A2290" s="112">
        <f t="shared" si="146"/>
        <v>46023</v>
      </c>
      <c r="B2290" s="113">
        <v>17</v>
      </c>
      <c r="C2290" s="18" t="s">
        <v>6</v>
      </c>
      <c r="D2290" s="113" t="str">
        <f>_xlfn.XLOOKUP($C2290,'Cost Centers'!$A$2:$A$11,'Cost Centers'!$B$2:$B$11,"")</f>
        <v>Human Resources</v>
      </c>
      <c r="E2290" s="113" t="s">
        <v>127</v>
      </c>
      <c r="F2290" s="113" t="str">
        <f>_xlfn.XLOOKUP(E2290,'Allocated Transactions'!D:D,'Allocated Transactions'!E:E,"")</f>
        <v>Indirect Cost Allocation</v>
      </c>
      <c r="G2290" s="113" t="s">
        <v>129</v>
      </c>
      <c r="H2290" s="113" t="s">
        <v>338</v>
      </c>
      <c r="I2290" s="113" t="str">
        <f>_xlfn.XLOOKUP($C2290,'Cost Centers'!$A$2:$A$11,'Cost Centers'!$C$2:$C$11,"")</f>
        <v>Admin</v>
      </c>
      <c r="J2290" s="23">
        <f t="array" ref="J2290">INDEX('Indirect Pool - Budget'!$A$2:$AA$38, MATCH(1, ('Indirect Pool - Budget'!$A$2:$A$38=C2290)*('Indirect Pool - Budget'!$C$2:$C$38=H2290), 0), MATCH(A2290,'Indirect Pool - Budget'!$A$2:$AA$2, 0))</f>
        <v>-2794.534808067664</v>
      </c>
      <c r="K2290" s="113" t="s">
        <v>637</v>
      </c>
    </row>
    <row r="2291" spans="1:11" ht="15" customHeight="1">
      <c r="A2291" s="112">
        <f t="shared" si="146"/>
        <v>46023</v>
      </c>
      <c r="B2291" s="113">
        <v>17</v>
      </c>
      <c r="C2291" s="18" t="s">
        <v>6</v>
      </c>
      <c r="D2291" s="113" t="str">
        <f>_xlfn.XLOOKUP($C2291,'Cost Centers'!$A$2:$A$11,'Cost Centers'!$B$2:$B$11,"")</f>
        <v>Human Resources</v>
      </c>
      <c r="E2291" s="113" t="s">
        <v>127</v>
      </c>
      <c r="F2291" s="113" t="str">
        <f>_xlfn.XLOOKUP(E2291,'Allocated Transactions'!D:D,'Allocated Transactions'!E:E,"")</f>
        <v>Indirect Cost Allocation</v>
      </c>
      <c r="G2291" s="113" t="s">
        <v>129</v>
      </c>
      <c r="H2291" s="113" t="s">
        <v>339</v>
      </c>
      <c r="I2291" s="113" t="str">
        <f>_xlfn.XLOOKUP($C2291,'Cost Centers'!$A$2:$A$11,'Cost Centers'!$C$2:$C$11,"")</f>
        <v>Admin</v>
      </c>
      <c r="J2291" s="23">
        <f t="array" ref="J2291">INDEX('Indirect Pool - Budget'!$A$2:$AA$38, MATCH(1, ('Indirect Pool - Budget'!$A$2:$A$38=C2291)*('Indirect Pool - Budget'!$C$2:$C$38=H2291), 0), MATCH(A2291,'Indirect Pool - Budget'!$A$2:$AA$2, 0))</f>
        <v>-4760.1821730644115</v>
      </c>
      <c r="K2291" s="113" t="s">
        <v>637</v>
      </c>
    </row>
    <row r="2292" spans="1:11" ht="15" customHeight="1">
      <c r="A2292" s="112">
        <f t="shared" si="146"/>
        <v>46023</v>
      </c>
      <c r="B2292" s="113">
        <v>17</v>
      </c>
      <c r="C2292" s="18" t="s">
        <v>8</v>
      </c>
      <c r="D2292" s="113" t="str">
        <f>_xlfn.XLOOKUP($C2292,'Cost Centers'!$A$2:$A$11,'Cost Centers'!$B$2:$B$11,"")</f>
        <v>Finance</v>
      </c>
      <c r="E2292" s="113" t="s">
        <v>127</v>
      </c>
      <c r="F2292" s="113" t="str">
        <f>_xlfn.XLOOKUP(E2292,'Allocated Transactions'!D:D,'Allocated Transactions'!E:E,"")</f>
        <v>Indirect Cost Allocation</v>
      </c>
      <c r="G2292" s="113" t="s">
        <v>129</v>
      </c>
      <c r="H2292" s="113" t="s">
        <v>335</v>
      </c>
      <c r="I2292" s="113" t="str">
        <f>_xlfn.XLOOKUP($C2292,'Cost Centers'!$A$2:$A$11,'Cost Centers'!$C$2:$C$11,"")</f>
        <v>Admin</v>
      </c>
      <c r="J2292" s="23">
        <f t="array" ref="J2292">INDEX('Indirect Pool - Budget'!$A$2:$AA$38, MATCH(1, ('Indirect Pool - Budget'!$A$2:$A$38=C2292)*('Indirect Pool - Budget'!$C$2:$C$38=H2292), 0), MATCH(A2292,'Indirect Pool - Budget'!$A$2:$AA$2, 0))</f>
        <v>-3135.9141184124919</v>
      </c>
      <c r="K2292" s="113" t="s">
        <v>637</v>
      </c>
    </row>
    <row r="2293" spans="1:11" ht="15" customHeight="1">
      <c r="A2293" s="112">
        <f t="shared" si="146"/>
        <v>46023</v>
      </c>
      <c r="B2293" s="113">
        <v>17</v>
      </c>
      <c r="C2293" s="18" t="s">
        <v>8</v>
      </c>
      <c r="D2293" s="113" t="str">
        <f>_xlfn.XLOOKUP($C2293,'Cost Centers'!$A$2:$A$11,'Cost Centers'!$B$2:$B$11,"")</f>
        <v>Finance</v>
      </c>
      <c r="E2293" s="113" t="s">
        <v>127</v>
      </c>
      <c r="F2293" s="113" t="str">
        <f>_xlfn.XLOOKUP(E2293,'Allocated Transactions'!D:D,'Allocated Transactions'!E:E,"")</f>
        <v>Indirect Cost Allocation</v>
      </c>
      <c r="G2293" s="113" t="s">
        <v>129</v>
      </c>
      <c r="H2293" s="113" t="s">
        <v>336</v>
      </c>
      <c r="I2293" s="113" t="str">
        <f>_xlfn.XLOOKUP($C2293,'Cost Centers'!$A$2:$A$11,'Cost Centers'!$C$2:$C$11,"")</f>
        <v>Admin</v>
      </c>
      <c r="J2293" s="23">
        <f t="array" ref="J2293">INDEX('Indirect Pool - Budget'!$A$2:$AA$38, MATCH(1, ('Indirect Pool - Budget'!$A$2:$A$38=C2293)*('Indirect Pool - Budget'!$C$2:$C$38=H2293), 0), MATCH(A2293,'Indirect Pool - Budget'!$A$2:$AA$2, 0))</f>
        <v>-3186.9876382563434</v>
      </c>
      <c r="K2293" s="113" t="s">
        <v>637</v>
      </c>
    </row>
    <row r="2294" spans="1:11" ht="15" customHeight="1">
      <c r="A2294" s="112">
        <f t="shared" si="146"/>
        <v>46023</v>
      </c>
      <c r="B2294" s="113">
        <v>17</v>
      </c>
      <c r="C2294" s="18" t="s">
        <v>8</v>
      </c>
      <c r="D2294" s="113" t="str">
        <f>_xlfn.XLOOKUP($C2294,'Cost Centers'!$A$2:$A$11,'Cost Centers'!$B$2:$B$11,"")</f>
        <v>Finance</v>
      </c>
      <c r="E2294" s="113" t="s">
        <v>127</v>
      </c>
      <c r="F2294" s="113" t="str">
        <f>_xlfn.XLOOKUP(E2294,'Allocated Transactions'!D:D,'Allocated Transactions'!E:E,"")</f>
        <v>Indirect Cost Allocation</v>
      </c>
      <c r="G2294" s="113" t="s">
        <v>129</v>
      </c>
      <c r="H2294" s="113" t="s">
        <v>337</v>
      </c>
      <c r="I2294" s="113" t="str">
        <f>_xlfn.XLOOKUP($C2294,'Cost Centers'!$A$2:$A$11,'Cost Centers'!$C$2:$C$11,"")</f>
        <v>Admin</v>
      </c>
      <c r="J2294" s="23">
        <f t="array" ref="J2294">INDEX('Indirect Pool - Budget'!$A$2:$AA$38, MATCH(1, ('Indirect Pool - Budget'!$A$2:$A$38=C2294)*('Indirect Pool - Budget'!$C$2:$C$38=H2294), 0), MATCH(A2294,'Indirect Pool - Budget'!$A$2:$AA$2, 0))</f>
        <v>-2860.1171112556931</v>
      </c>
      <c r="K2294" s="113" t="s">
        <v>637</v>
      </c>
    </row>
    <row r="2295" spans="1:11" ht="15" customHeight="1">
      <c r="A2295" s="112">
        <f t="shared" si="146"/>
        <v>46023</v>
      </c>
      <c r="B2295" s="113">
        <v>17</v>
      </c>
      <c r="C2295" s="18" t="s">
        <v>8</v>
      </c>
      <c r="D2295" s="113" t="str">
        <f>_xlfn.XLOOKUP($C2295,'Cost Centers'!$A$2:$A$11,'Cost Centers'!$B$2:$B$11,"")</f>
        <v>Finance</v>
      </c>
      <c r="E2295" s="113" t="s">
        <v>127</v>
      </c>
      <c r="F2295" s="113" t="str">
        <f>_xlfn.XLOOKUP(E2295,'Allocated Transactions'!D:D,'Allocated Transactions'!E:E,"")</f>
        <v>Indirect Cost Allocation</v>
      </c>
      <c r="G2295" s="113" t="s">
        <v>129</v>
      </c>
      <c r="H2295" s="113" t="s">
        <v>338</v>
      </c>
      <c r="I2295" s="113" t="str">
        <f>_xlfn.XLOOKUP($C2295,'Cost Centers'!$A$2:$A$11,'Cost Centers'!$C$2:$C$11,"")</f>
        <v>Admin</v>
      </c>
      <c r="J2295" s="23">
        <f t="array" ref="J2295">INDEX('Indirect Pool - Budget'!$A$2:$AA$38, MATCH(1, ('Indirect Pool - Budget'!$A$2:$A$38=C2295)*('Indirect Pool - Budget'!$C$2:$C$38=H2295), 0), MATCH(A2295,'Indirect Pool - Budget'!$A$2:$AA$2, 0))</f>
        <v>-2410.670136629798</v>
      </c>
      <c r="K2295" s="113" t="s">
        <v>637</v>
      </c>
    </row>
    <row r="2296" spans="1:11" ht="15" customHeight="1">
      <c r="A2296" s="112">
        <f t="shared" si="146"/>
        <v>46023</v>
      </c>
      <c r="B2296" s="113">
        <v>17</v>
      </c>
      <c r="C2296" s="18" t="s">
        <v>8</v>
      </c>
      <c r="D2296" s="113" t="str">
        <f>_xlfn.XLOOKUP($C2296,'Cost Centers'!$A$2:$A$11,'Cost Centers'!$B$2:$B$11,"")</f>
        <v>Finance</v>
      </c>
      <c r="E2296" s="113" t="s">
        <v>127</v>
      </c>
      <c r="F2296" s="113" t="str">
        <f>_xlfn.XLOOKUP(E2296,'Allocated Transactions'!D:D,'Allocated Transactions'!E:E,"")</f>
        <v>Indirect Cost Allocation</v>
      </c>
      <c r="G2296" s="113" t="s">
        <v>129</v>
      </c>
      <c r="H2296" s="113" t="s">
        <v>339</v>
      </c>
      <c r="I2296" s="113" t="str">
        <f>_xlfn.XLOOKUP($C2296,'Cost Centers'!$A$2:$A$11,'Cost Centers'!$C$2:$C$11,"")</f>
        <v>Admin</v>
      </c>
      <c r="J2296" s="23">
        <f t="array" ref="J2296">INDEX('Indirect Pool - Budget'!$A$2:$AA$38, MATCH(1, ('Indirect Pool - Budget'!$A$2:$A$38=C2296)*('Indirect Pool - Budget'!$C$2:$C$38=H2296), 0), MATCH(A2296,'Indirect Pool - Budget'!$A$2:$AA$2, 0))</f>
        <v>-4106.3109954456731</v>
      </c>
      <c r="K2296" s="113" t="s">
        <v>637</v>
      </c>
    </row>
    <row r="2297" spans="1:11" ht="15" customHeight="1">
      <c r="A2297" s="112">
        <f t="shared" si="146"/>
        <v>46023</v>
      </c>
      <c r="B2297" s="113">
        <v>17</v>
      </c>
      <c r="C2297" s="18" t="s">
        <v>10</v>
      </c>
      <c r="D2297" s="113" t="str">
        <f>_xlfn.XLOOKUP($C2297,'Cost Centers'!$A$2:$A$11,'Cost Centers'!$B$2:$B$11,"")</f>
        <v>Business Development</v>
      </c>
      <c r="E2297" s="113" t="s">
        <v>127</v>
      </c>
      <c r="F2297" s="113" t="str">
        <f>_xlfn.XLOOKUP(E2297,'Allocated Transactions'!D:D,'Allocated Transactions'!E:E,"")</f>
        <v>Indirect Cost Allocation</v>
      </c>
      <c r="G2297" s="113" t="s">
        <v>129</v>
      </c>
      <c r="H2297" s="113" t="s">
        <v>335</v>
      </c>
      <c r="I2297" s="113" t="str">
        <f>_xlfn.XLOOKUP($C2297,'Cost Centers'!$A$2:$A$11,'Cost Centers'!$C$2:$C$11,"")</f>
        <v>Admin</v>
      </c>
      <c r="J2297" s="23">
        <f t="array" ref="J2297">INDEX('Indirect Pool - Budget'!$A$2:$AA$38, MATCH(1, ('Indirect Pool - Budget'!$A$2:$A$38=C2297)*('Indirect Pool - Budget'!$C$2:$C$38=H2297), 0), MATCH(A2297,'Indirect Pool - Budget'!$A$2:$AA$2, 0))</f>
        <v>-3215.8100195185425</v>
      </c>
      <c r="K2297" s="113" t="s">
        <v>637</v>
      </c>
    </row>
    <row r="2298" spans="1:11" ht="15" customHeight="1">
      <c r="A2298" s="112">
        <f t="shared" si="146"/>
        <v>46023</v>
      </c>
      <c r="B2298" s="113">
        <v>17</v>
      </c>
      <c r="C2298" s="18" t="s">
        <v>10</v>
      </c>
      <c r="D2298" s="113" t="str">
        <f>_xlfn.XLOOKUP($C2298,'Cost Centers'!$A$2:$A$11,'Cost Centers'!$B$2:$B$11,"")</f>
        <v>Business Development</v>
      </c>
      <c r="E2298" s="113" t="s">
        <v>127</v>
      </c>
      <c r="F2298" s="113" t="str">
        <f>_xlfn.XLOOKUP(E2298,'Allocated Transactions'!D:D,'Allocated Transactions'!E:E,"")</f>
        <v>Indirect Cost Allocation</v>
      </c>
      <c r="G2298" s="113" t="s">
        <v>129</v>
      </c>
      <c r="H2298" s="113" t="s">
        <v>336</v>
      </c>
      <c r="I2298" s="113" t="str">
        <f>_xlfn.XLOOKUP($C2298,'Cost Centers'!$A$2:$A$11,'Cost Centers'!$C$2:$C$11,"")</f>
        <v>Admin</v>
      </c>
      <c r="J2298" s="23">
        <f t="array" ref="J2298">INDEX('Indirect Pool - Budget'!$A$2:$AA$38, MATCH(1, ('Indirect Pool - Budget'!$A$2:$A$38=C2298)*('Indirect Pool - Budget'!$C$2:$C$38=H2298), 0), MATCH(A2298,'Indirect Pool - Budget'!$A$2:$AA$2, 0))</f>
        <v>-3268.1847755367598</v>
      </c>
      <c r="K2298" s="113" t="s">
        <v>637</v>
      </c>
    </row>
    <row r="2299" spans="1:11" ht="15" customHeight="1">
      <c r="A2299" s="112">
        <f t="shared" si="146"/>
        <v>46023</v>
      </c>
      <c r="B2299" s="113">
        <v>17</v>
      </c>
      <c r="C2299" s="18" t="s">
        <v>10</v>
      </c>
      <c r="D2299" s="113" t="str">
        <f>_xlfn.XLOOKUP($C2299,'Cost Centers'!$A$2:$A$11,'Cost Centers'!$B$2:$B$11,"")</f>
        <v>Business Development</v>
      </c>
      <c r="E2299" s="113" t="s">
        <v>127</v>
      </c>
      <c r="F2299" s="113" t="str">
        <f>_xlfn.XLOOKUP(E2299,'Allocated Transactions'!D:D,'Allocated Transactions'!E:E,"")</f>
        <v>Indirect Cost Allocation</v>
      </c>
      <c r="G2299" s="113" t="s">
        <v>129</v>
      </c>
      <c r="H2299" s="113" t="s">
        <v>337</v>
      </c>
      <c r="I2299" s="113" t="str">
        <f>_xlfn.XLOOKUP($C2299,'Cost Centers'!$A$2:$A$11,'Cost Centers'!$C$2:$C$11,"")</f>
        <v>Admin</v>
      </c>
      <c r="J2299" s="23">
        <f t="array" ref="J2299">INDEX('Indirect Pool - Budget'!$A$2:$AA$38, MATCH(1, ('Indirect Pool - Budget'!$A$2:$A$38=C2299)*('Indirect Pool - Budget'!$C$2:$C$38=H2299), 0), MATCH(A2299,'Indirect Pool - Budget'!$A$2:$AA$2, 0))</f>
        <v>-2932.9863370201692</v>
      </c>
      <c r="K2299" s="113" t="s">
        <v>637</v>
      </c>
    </row>
    <row r="2300" spans="1:11" ht="15" customHeight="1">
      <c r="A2300" s="112">
        <f t="shared" si="146"/>
        <v>46023</v>
      </c>
      <c r="B2300" s="113">
        <v>17</v>
      </c>
      <c r="C2300" s="18" t="s">
        <v>10</v>
      </c>
      <c r="D2300" s="113" t="str">
        <f>_xlfn.XLOOKUP($C2300,'Cost Centers'!$A$2:$A$11,'Cost Centers'!$B$2:$B$11,"")</f>
        <v>Business Development</v>
      </c>
      <c r="E2300" s="113" t="s">
        <v>127</v>
      </c>
      <c r="F2300" s="113" t="str">
        <f>_xlfn.XLOOKUP(E2300,'Allocated Transactions'!D:D,'Allocated Transactions'!E:E,"")</f>
        <v>Indirect Cost Allocation</v>
      </c>
      <c r="G2300" s="113" t="s">
        <v>129</v>
      </c>
      <c r="H2300" s="113" t="s">
        <v>338</v>
      </c>
      <c r="I2300" s="113" t="str">
        <f>_xlfn.XLOOKUP($C2300,'Cost Centers'!$A$2:$A$11,'Cost Centers'!$C$2:$C$11,"")</f>
        <v>Admin</v>
      </c>
      <c r="J2300" s="23">
        <f t="array" ref="J2300">INDEX('Indirect Pool - Budget'!$A$2:$AA$38, MATCH(1, ('Indirect Pool - Budget'!$A$2:$A$38=C2300)*('Indirect Pool - Budget'!$C$2:$C$38=H2300), 0), MATCH(A2300,'Indirect Pool - Budget'!$A$2:$AA$2, 0))</f>
        <v>-2472.0884840598565</v>
      </c>
      <c r="K2300" s="113" t="s">
        <v>637</v>
      </c>
    </row>
    <row r="2301" spans="1:11" ht="15" customHeight="1">
      <c r="A2301" s="112">
        <f t="shared" si="146"/>
        <v>46023</v>
      </c>
      <c r="B2301" s="113">
        <v>17</v>
      </c>
      <c r="C2301" s="18" t="s">
        <v>10</v>
      </c>
      <c r="D2301" s="113" t="str">
        <f>_xlfn.XLOOKUP($C2301,'Cost Centers'!$A$2:$A$11,'Cost Centers'!$B$2:$B$11,"")</f>
        <v>Business Development</v>
      </c>
      <c r="E2301" s="113" t="s">
        <v>127</v>
      </c>
      <c r="F2301" s="113" t="str">
        <f>_xlfn.XLOOKUP(E2301,'Allocated Transactions'!D:D,'Allocated Transactions'!E:E,"")</f>
        <v>Indirect Cost Allocation</v>
      </c>
      <c r="G2301" s="113" t="s">
        <v>129</v>
      </c>
      <c r="H2301" s="113" t="s">
        <v>339</v>
      </c>
      <c r="I2301" s="113" t="str">
        <f>_xlfn.XLOOKUP($C2301,'Cost Centers'!$A$2:$A$11,'Cost Centers'!$C$2:$C$11,"")</f>
        <v>Admin</v>
      </c>
      <c r="J2301" s="23">
        <f t="array" ref="J2301">INDEX('Indirect Pool - Budget'!$A$2:$AA$38, MATCH(1, ('Indirect Pool - Budget'!$A$2:$A$38=C2301)*('Indirect Pool - Budget'!$C$2:$C$38=H2301), 0), MATCH(A2301,'Indirect Pool - Budget'!$A$2:$AA$2, 0))</f>
        <v>-4210.9303838646711</v>
      </c>
      <c r="K2301" s="113" t="s">
        <v>637</v>
      </c>
    </row>
    <row r="2302" spans="1:11" ht="15" customHeight="1">
      <c r="A2302" s="112">
        <f t="shared" si="146"/>
        <v>46054</v>
      </c>
      <c r="B2302" s="113">
        <v>18</v>
      </c>
      <c r="C2302" s="18" t="s">
        <v>4</v>
      </c>
      <c r="D2302" s="113" t="str">
        <f>_xlfn.XLOOKUP($C2302,'Cost Centers'!$A$2:$A$11,'Cost Centers'!$B$2:$B$11,"")</f>
        <v>Executive</v>
      </c>
      <c r="E2302" s="113" t="s">
        <v>127</v>
      </c>
      <c r="F2302" s="113" t="str">
        <f>_xlfn.XLOOKUP(E2302,'Allocated Transactions'!D:D,'Allocated Transactions'!E:E,"")</f>
        <v>Indirect Cost Allocation</v>
      </c>
      <c r="G2302" s="113" t="s">
        <v>129</v>
      </c>
      <c r="H2302" s="113" t="s">
        <v>335</v>
      </c>
      <c r="I2302" s="113" t="str">
        <f>_xlfn.XLOOKUP($C2302,'Cost Centers'!$A$2:$A$11,'Cost Centers'!$C$2:$C$11,"")</f>
        <v>Admin</v>
      </c>
      <c r="J2302" s="23">
        <f t="array" ref="J2302">INDEX('Indirect Pool - Budget'!$A$2:$AA$38, MATCH(1, ('Indirect Pool - Budget'!$A$2:$A$38=C2302)*('Indirect Pool - Budget'!$C$2:$C$38=H2302), 0), MATCH(A2302,'Indirect Pool - Budget'!$A$2:$AA$2, 0))</f>
        <v>-2342.8383705650463</v>
      </c>
      <c r="K2302" s="113" t="s">
        <v>637</v>
      </c>
    </row>
    <row r="2303" spans="1:11" ht="15" customHeight="1">
      <c r="A2303" s="112">
        <f t="shared" si="146"/>
        <v>46054</v>
      </c>
      <c r="B2303" s="113">
        <v>18</v>
      </c>
      <c r="C2303" s="18" t="s">
        <v>4</v>
      </c>
      <c r="D2303" s="113" t="str">
        <f>_xlfn.XLOOKUP($C2303,'Cost Centers'!$A$2:$A$11,'Cost Centers'!$B$2:$B$11,"")</f>
        <v>Executive</v>
      </c>
      <c r="E2303" s="113" t="s">
        <v>127</v>
      </c>
      <c r="F2303" s="113" t="str">
        <f>_xlfn.XLOOKUP(E2303,'Allocated Transactions'!D:D,'Allocated Transactions'!E:E,"")</f>
        <v>Indirect Cost Allocation</v>
      </c>
      <c r="G2303" s="113" t="s">
        <v>129</v>
      </c>
      <c r="H2303" s="113" t="s">
        <v>336</v>
      </c>
      <c r="I2303" s="113" t="str">
        <f>_xlfn.XLOOKUP($C2303,'Cost Centers'!$A$2:$A$11,'Cost Centers'!$C$2:$C$11,"")</f>
        <v>Admin</v>
      </c>
      <c r="J2303" s="23">
        <f t="array" ref="J2303">INDEX('Indirect Pool - Budget'!$A$2:$AA$38, MATCH(1, ('Indirect Pool - Budget'!$A$2:$A$38=C2303)*('Indirect Pool - Budget'!$C$2:$C$38=H2303), 0), MATCH(A2303,'Indirect Pool - Budget'!$A$2:$AA$2, 0))</f>
        <v>-2897.5032851511169</v>
      </c>
      <c r="K2303" s="113" t="s">
        <v>637</v>
      </c>
    </row>
    <row r="2304" spans="1:11" ht="15" customHeight="1">
      <c r="A2304" s="112">
        <f t="shared" si="146"/>
        <v>46054</v>
      </c>
      <c r="B2304" s="113">
        <v>18</v>
      </c>
      <c r="C2304" s="18" t="s">
        <v>4</v>
      </c>
      <c r="D2304" s="113" t="str">
        <f>_xlfn.XLOOKUP($C2304,'Cost Centers'!$A$2:$A$11,'Cost Centers'!$B$2:$B$11,"")</f>
        <v>Executive</v>
      </c>
      <c r="E2304" s="113" t="s">
        <v>127</v>
      </c>
      <c r="F2304" s="113" t="str">
        <f>_xlfn.XLOOKUP(E2304,'Allocated Transactions'!D:D,'Allocated Transactions'!E:E,"")</f>
        <v>Indirect Cost Allocation</v>
      </c>
      <c r="G2304" s="113" t="s">
        <v>129</v>
      </c>
      <c r="H2304" s="113" t="s">
        <v>337</v>
      </c>
      <c r="I2304" s="113" t="str">
        <f>_xlfn.XLOOKUP($C2304,'Cost Centers'!$A$2:$A$11,'Cost Centers'!$C$2:$C$11,"")</f>
        <v>Admin</v>
      </c>
      <c r="J2304" s="23">
        <f t="array" ref="J2304">INDEX('Indirect Pool - Budget'!$A$2:$AA$38, MATCH(1, ('Indirect Pool - Budget'!$A$2:$A$38=C2304)*('Indirect Pool - Budget'!$C$2:$C$38=H2304), 0), MATCH(A2304,'Indirect Pool - Budget'!$A$2:$AA$2, 0))</f>
        <v>-1862.6806833114324</v>
      </c>
      <c r="K2304" s="113" t="s">
        <v>637</v>
      </c>
    </row>
    <row r="2305" spans="1:11" ht="15" customHeight="1">
      <c r="A2305" s="112">
        <f t="shared" si="146"/>
        <v>46054</v>
      </c>
      <c r="B2305" s="113">
        <v>18</v>
      </c>
      <c r="C2305" s="18" t="s">
        <v>4</v>
      </c>
      <c r="D2305" s="113" t="str">
        <f>_xlfn.XLOOKUP($C2305,'Cost Centers'!$A$2:$A$11,'Cost Centers'!$B$2:$B$11,"")</f>
        <v>Executive</v>
      </c>
      <c r="E2305" s="113" t="s">
        <v>127</v>
      </c>
      <c r="F2305" s="113" t="str">
        <f>_xlfn.XLOOKUP(E2305,'Allocated Transactions'!D:D,'Allocated Transactions'!E:E,"")</f>
        <v>Indirect Cost Allocation</v>
      </c>
      <c r="G2305" s="113" t="s">
        <v>129</v>
      </c>
      <c r="H2305" s="113" t="s">
        <v>338</v>
      </c>
      <c r="I2305" s="113" t="str">
        <f>_xlfn.XLOOKUP($C2305,'Cost Centers'!$A$2:$A$11,'Cost Centers'!$C$2:$C$11,"")</f>
        <v>Admin</v>
      </c>
      <c r="J2305" s="23">
        <f t="array" ref="J2305">INDEX('Indirect Pool - Budget'!$A$2:$AA$38, MATCH(1, ('Indirect Pool - Budget'!$A$2:$A$38=C2305)*('Indirect Pool - Budget'!$C$2:$C$38=H2305), 0), MATCH(A2305,'Indirect Pool - Budget'!$A$2:$AA$2, 0))</f>
        <v>-2789.8817345597899</v>
      </c>
      <c r="K2305" s="113" t="s">
        <v>637</v>
      </c>
    </row>
    <row r="2306" spans="1:11" ht="15" customHeight="1">
      <c r="A2306" s="112">
        <f t="shared" si="146"/>
        <v>46054</v>
      </c>
      <c r="B2306" s="113">
        <v>18</v>
      </c>
      <c r="C2306" s="18" t="s">
        <v>4</v>
      </c>
      <c r="D2306" s="113" t="str">
        <f>_xlfn.XLOOKUP($C2306,'Cost Centers'!$A$2:$A$11,'Cost Centers'!$B$2:$B$11,"")</f>
        <v>Executive</v>
      </c>
      <c r="E2306" s="113" t="s">
        <v>127</v>
      </c>
      <c r="F2306" s="113" t="str">
        <f>_xlfn.XLOOKUP(E2306,'Allocated Transactions'!D:D,'Allocated Transactions'!E:E,"")</f>
        <v>Indirect Cost Allocation</v>
      </c>
      <c r="G2306" s="113" t="s">
        <v>129</v>
      </c>
      <c r="H2306" s="113" t="s">
        <v>339</v>
      </c>
      <c r="I2306" s="113" t="str">
        <f>_xlfn.XLOOKUP($C2306,'Cost Centers'!$A$2:$A$11,'Cost Centers'!$C$2:$C$11,"")</f>
        <v>Admin</v>
      </c>
      <c r="J2306" s="23">
        <f t="array" ref="J2306">INDEX('Indirect Pool - Budget'!$A$2:$AA$38, MATCH(1, ('Indirect Pool - Budget'!$A$2:$A$38=C2306)*('Indirect Pool - Budget'!$C$2:$C$38=H2306), 0), MATCH(A2306,'Indirect Pool - Budget'!$A$2:$AA$2, 0))</f>
        <v>-2707.095926412615</v>
      </c>
      <c r="K2306" s="113" t="s">
        <v>637</v>
      </c>
    </row>
    <row r="2307" spans="1:11" ht="15" customHeight="1">
      <c r="A2307" s="112">
        <f t="shared" si="146"/>
        <v>46054</v>
      </c>
      <c r="B2307" s="113">
        <v>18</v>
      </c>
      <c r="C2307" s="18" t="s">
        <v>6</v>
      </c>
      <c r="D2307" s="113" t="str">
        <f>_xlfn.XLOOKUP($C2307,'Cost Centers'!$A$2:$A$11,'Cost Centers'!$B$2:$B$11,"")</f>
        <v>Human Resources</v>
      </c>
      <c r="E2307" s="113" t="s">
        <v>127</v>
      </c>
      <c r="F2307" s="113" t="str">
        <f>_xlfn.XLOOKUP(E2307,'Allocated Transactions'!D:D,'Allocated Transactions'!E:E,"")</f>
        <v>Indirect Cost Allocation</v>
      </c>
      <c r="G2307" s="113" t="s">
        <v>129</v>
      </c>
      <c r="H2307" s="113" t="s">
        <v>335</v>
      </c>
      <c r="I2307" s="113" t="str">
        <f>_xlfn.XLOOKUP($C2307,'Cost Centers'!$A$2:$A$11,'Cost Centers'!$C$2:$C$11,"")</f>
        <v>Admin</v>
      </c>
      <c r="J2307" s="23">
        <f t="array" ref="J2307">INDEX('Indirect Pool - Budget'!$A$2:$AA$38, MATCH(1, ('Indirect Pool - Budget'!$A$2:$A$38=C2307)*('Indirect Pool - Budget'!$C$2:$C$38=H2307), 0), MATCH(A2307,'Indirect Pool - Budget'!$A$2:$AA$2, 0))</f>
        <v>-3532.8515111695142</v>
      </c>
      <c r="K2307" s="113" t="s">
        <v>637</v>
      </c>
    </row>
    <row r="2308" spans="1:11" ht="15" customHeight="1">
      <c r="A2308" s="112">
        <f t="shared" si="146"/>
        <v>46054</v>
      </c>
      <c r="B2308" s="113">
        <v>18</v>
      </c>
      <c r="C2308" s="18" t="s">
        <v>6</v>
      </c>
      <c r="D2308" s="113" t="str">
        <f>_xlfn.XLOOKUP($C2308,'Cost Centers'!$A$2:$A$11,'Cost Centers'!$B$2:$B$11,"")</f>
        <v>Human Resources</v>
      </c>
      <c r="E2308" s="113" t="s">
        <v>127</v>
      </c>
      <c r="F2308" s="113" t="str">
        <f>_xlfn.XLOOKUP(E2308,'Allocated Transactions'!D:D,'Allocated Transactions'!E:E,"")</f>
        <v>Indirect Cost Allocation</v>
      </c>
      <c r="G2308" s="113" t="s">
        <v>129</v>
      </c>
      <c r="H2308" s="113" t="s">
        <v>336</v>
      </c>
      <c r="I2308" s="113" t="str">
        <f>_xlfn.XLOOKUP($C2308,'Cost Centers'!$A$2:$A$11,'Cost Centers'!$C$2:$C$11,"")</f>
        <v>Admin</v>
      </c>
      <c r="J2308" s="23">
        <f t="array" ref="J2308">INDEX('Indirect Pool - Budget'!$A$2:$AA$38, MATCH(1, ('Indirect Pool - Budget'!$A$2:$A$38=C2308)*('Indirect Pool - Budget'!$C$2:$C$38=H2308), 0), MATCH(A2308,'Indirect Pool - Budget'!$A$2:$AA$2, 0))</f>
        <v>-4369.2509855453345</v>
      </c>
      <c r="K2308" s="113" t="s">
        <v>637</v>
      </c>
    </row>
    <row r="2309" spans="1:11" ht="15" customHeight="1">
      <c r="A2309" s="112">
        <f t="shared" si="146"/>
        <v>46054</v>
      </c>
      <c r="B2309" s="113">
        <v>18</v>
      </c>
      <c r="C2309" s="18" t="s">
        <v>6</v>
      </c>
      <c r="D2309" s="113" t="str">
        <f>_xlfn.XLOOKUP($C2309,'Cost Centers'!$A$2:$A$11,'Cost Centers'!$B$2:$B$11,"")</f>
        <v>Human Resources</v>
      </c>
      <c r="E2309" s="113" t="s">
        <v>127</v>
      </c>
      <c r="F2309" s="113" t="str">
        <f>_xlfn.XLOOKUP(E2309,'Allocated Transactions'!D:D,'Allocated Transactions'!E:E,"")</f>
        <v>Indirect Cost Allocation</v>
      </c>
      <c r="G2309" s="113" t="s">
        <v>129</v>
      </c>
      <c r="H2309" s="113" t="s">
        <v>337</v>
      </c>
      <c r="I2309" s="113" t="str">
        <f>_xlfn.XLOOKUP($C2309,'Cost Centers'!$A$2:$A$11,'Cost Centers'!$C$2:$C$11,"")</f>
        <v>Admin</v>
      </c>
      <c r="J2309" s="23">
        <f t="array" ref="J2309">INDEX('Indirect Pool - Budget'!$A$2:$AA$38, MATCH(1, ('Indirect Pool - Budget'!$A$2:$A$38=C2309)*('Indirect Pool - Budget'!$C$2:$C$38=H2309), 0), MATCH(A2309,'Indirect Pool - Budget'!$A$2:$AA$2, 0))</f>
        <v>-2808.8042049934297</v>
      </c>
      <c r="K2309" s="113" t="s">
        <v>637</v>
      </c>
    </row>
    <row r="2310" spans="1:11" ht="15" customHeight="1">
      <c r="A2310" s="112">
        <f t="shared" ref="A2310:A2373" si="147">IF(C2309&amp;C2310="10501010",EOMONTH(A2309,0)+1,A2309)</f>
        <v>46054</v>
      </c>
      <c r="B2310" s="113">
        <v>18</v>
      </c>
      <c r="C2310" s="18" t="s">
        <v>6</v>
      </c>
      <c r="D2310" s="113" t="str">
        <f>_xlfn.XLOOKUP($C2310,'Cost Centers'!$A$2:$A$11,'Cost Centers'!$B$2:$B$11,"")</f>
        <v>Human Resources</v>
      </c>
      <c r="E2310" s="113" t="s">
        <v>127</v>
      </c>
      <c r="F2310" s="113" t="str">
        <f>_xlfn.XLOOKUP(E2310,'Allocated Transactions'!D:D,'Allocated Transactions'!E:E,"")</f>
        <v>Indirect Cost Allocation</v>
      </c>
      <c r="G2310" s="113" t="s">
        <v>129</v>
      </c>
      <c r="H2310" s="113" t="s">
        <v>338</v>
      </c>
      <c r="I2310" s="113" t="str">
        <f>_xlfn.XLOOKUP($C2310,'Cost Centers'!$A$2:$A$11,'Cost Centers'!$C$2:$C$11,"")</f>
        <v>Admin</v>
      </c>
      <c r="J2310" s="23">
        <f t="array" ref="J2310">INDEX('Indirect Pool - Budget'!$A$2:$AA$38, MATCH(1, ('Indirect Pool - Budget'!$A$2:$A$38=C2310)*('Indirect Pool - Budget'!$C$2:$C$38=H2310), 0), MATCH(A2310,'Indirect Pool - Budget'!$A$2:$AA$2, 0))</f>
        <v>-4206.9645203679365</v>
      </c>
      <c r="K2310" s="113" t="s">
        <v>637</v>
      </c>
    </row>
    <row r="2311" spans="1:11" ht="15" customHeight="1">
      <c r="A2311" s="112">
        <f t="shared" si="147"/>
        <v>46054</v>
      </c>
      <c r="B2311" s="113">
        <v>18</v>
      </c>
      <c r="C2311" s="18" t="s">
        <v>6</v>
      </c>
      <c r="D2311" s="113" t="str">
        <f>_xlfn.XLOOKUP($C2311,'Cost Centers'!$A$2:$A$11,'Cost Centers'!$B$2:$B$11,"")</f>
        <v>Human Resources</v>
      </c>
      <c r="E2311" s="113" t="s">
        <v>127</v>
      </c>
      <c r="F2311" s="113" t="str">
        <f>_xlfn.XLOOKUP(E2311,'Allocated Transactions'!D:D,'Allocated Transactions'!E:E,"")</f>
        <v>Indirect Cost Allocation</v>
      </c>
      <c r="G2311" s="113" t="s">
        <v>129</v>
      </c>
      <c r="H2311" s="113" t="s">
        <v>339</v>
      </c>
      <c r="I2311" s="113" t="str">
        <f>_xlfn.XLOOKUP($C2311,'Cost Centers'!$A$2:$A$11,'Cost Centers'!$C$2:$C$11,"")</f>
        <v>Admin</v>
      </c>
      <c r="J2311" s="23">
        <f t="array" ref="J2311">INDEX('Indirect Pool - Budget'!$A$2:$AA$38, MATCH(1, ('Indirect Pool - Budget'!$A$2:$A$38=C2311)*('Indirect Pool - Budget'!$C$2:$C$38=H2311), 0), MATCH(A2311,'Indirect Pool - Budget'!$A$2:$AA$2, 0))</f>
        <v>-4082.1287779237846</v>
      </c>
      <c r="K2311" s="113" t="s">
        <v>637</v>
      </c>
    </row>
    <row r="2312" spans="1:11" ht="15" customHeight="1">
      <c r="A2312" s="112">
        <f t="shared" si="147"/>
        <v>46054</v>
      </c>
      <c r="B2312" s="113">
        <v>18</v>
      </c>
      <c r="C2312" s="18" t="s">
        <v>8</v>
      </c>
      <c r="D2312" s="113" t="str">
        <f>_xlfn.XLOOKUP($C2312,'Cost Centers'!$A$2:$A$11,'Cost Centers'!$B$2:$B$11,"")</f>
        <v>Finance</v>
      </c>
      <c r="E2312" s="113" t="s">
        <v>127</v>
      </c>
      <c r="F2312" s="113" t="str">
        <f>_xlfn.XLOOKUP(E2312,'Allocated Transactions'!D:D,'Allocated Transactions'!E:E,"")</f>
        <v>Indirect Cost Allocation</v>
      </c>
      <c r="G2312" s="113" t="s">
        <v>129</v>
      </c>
      <c r="H2312" s="113" t="s">
        <v>335</v>
      </c>
      <c r="I2312" s="113" t="str">
        <f>_xlfn.XLOOKUP($C2312,'Cost Centers'!$A$2:$A$11,'Cost Centers'!$C$2:$C$11,"")</f>
        <v>Admin</v>
      </c>
      <c r="J2312" s="23">
        <f t="array" ref="J2312">INDEX('Indirect Pool - Budget'!$A$2:$AA$38, MATCH(1, ('Indirect Pool - Budget'!$A$2:$A$38=C2312)*('Indirect Pool - Budget'!$C$2:$C$38=H2312), 0), MATCH(A2312,'Indirect Pool - Budget'!$A$2:$AA$2, 0))</f>
        <v>-3012.2207621550592</v>
      </c>
      <c r="K2312" s="113" t="s">
        <v>637</v>
      </c>
    </row>
    <row r="2313" spans="1:11" ht="15" customHeight="1">
      <c r="A2313" s="112">
        <f t="shared" si="147"/>
        <v>46054</v>
      </c>
      <c r="B2313" s="113">
        <v>18</v>
      </c>
      <c r="C2313" s="18" t="s">
        <v>8</v>
      </c>
      <c r="D2313" s="113" t="str">
        <f>_xlfn.XLOOKUP($C2313,'Cost Centers'!$A$2:$A$11,'Cost Centers'!$B$2:$B$11,"")</f>
        <v>Finance</v>
      </c>
      <c r="E2313" s="113" t="s">
        <v>127</v>
      </c>
      <c r="F2313" s="113" t="str">
        <f>_xlfn.XLOOKUP(E2313,'Allocated Transactions'!D:D,'Allocated Transactions'!E:E,"")</f>
        <v>Indirect Cost Allocation</v>
      </c>
      <c r="G2313" s="113" t="s">
        <v>129</v>
      </c>
      <c r="H2313" s="113" t="s">
        <v>336</v>
      </c>
      <c r="I2313" s="113" t="str">
        <f>_xlfn.XLOOKUP($C2313,'Cost Centers'!$A$2:$A$11,'Cost Centers'!$C$2:$C$11,"")</f>
        <v>Admin</v>
      </c>
      <c r="J2313" s="23">
        <f t="array" ref="J2313">INDEX('Indirect Pool - Budget'!$A$2:$AA$38, MATCH(1, ('Indirect Pool - Budget'!$A$2:$A$38=C2313)*('Indirect Pool - Budget'!$C$2:$C$38=H2313), 0), MATCH(A2313,'Indirect Pool - Budget'!$A$2:$AA$2, 0))</f>
        <v>-3725.3613666228644</v>
      </c>
      <c r="K2313" s="113" t="s">
        <v>637</v>
      </c>
    </row>
    <row r="2314" spans="1:11" ht="15" customHeight="1">
      <c r="A2314" s="112">
        <f t="shared" si="147"/>
        <v>46054</v>
      </c>
      <c r="B2314" s="113">
        <v>18</v>
      </c>
      <c r="C2314" s="18" t="s">
        <v>8</v>
      </c>
      <c r="D2314" s="113" t="str">
        <f>_xlfn.XLOOKUP($C2314,'Cost Centers'!$A$2:$A$11,'Cost Centers'!$B$2:$B$11,"")</f>
        <v>Finance</v>
      </c>
      <c r="E2314" s="113" t="s">
        <v>127</v>
      </c>
      <c r="F2314" s="113" t="str">
        <f>_xlfn.XLOOKUP(E2314,'Allocated Transactions'!D:D,'Allocated Transactions'!E:E,"")</f>
        <v>Indirect Cost Allocation</v>
      </c>
      <c r="G2314" s="113" t="s">
        <v>129</v>
      </c>
      <c r="H2314" s="113" t="s">
        <v>337</v>
      </c>
      <c r="I2314" s="113" t="str">
        <f>_xlfn.XLOOKUP($C2314,'Cost Centers'!$A$2:$A$11,'Cost Centers'!$C$2:$C$11,"")</f>
        <v>Admin</v>
      </c>
      <c r="J2314" s="23">
        <f t="array" ref="J2314">INDEX('Indirect Pool - Budget'!$A$2:$AA$38, MATCH(1, ('Indirect Pool - Budget'!$A$2:$A$38=C2314)*('Indirect Pool - Budget'!$C$2:$C$38=H2314), 0), MATCH(A2314,'Indirect Pool - Budget'!$A$2:$AA$2, 0))</f>
        <v>-2394.8751642575558</v>
      </c>
      <c r="K2314" s="113" t="s">
        <v>637</v>
      </c>
    </row>
    <row r="2315" spans="1:11" ht="15" customHeight="1">
      <c r="A2315" s="112">
        <f t="shared" si="147"/>
        <v>46054</v>
      </c>
      <c r="B2315" s="113">
        <v>18</v>
      </c>
      <c r="C2315" s="18" t="s">
        <v>8</v>
      </c>
      <c r="D2315" s="113" t="str">
        <f>_xlfn.XLOOKUP($C2315,'Cost Centers'!$A$2:$A$11,'Cost Centers'!$B$2:$B$11,"")</f>
        <v>Finance</v>
      </c>
      <c r="E2315" s="113" t="s">
        <v>127</v>
      </c>
      <c r="F2315" s="113" t="str">
        <f>_xlfn.XLOOKUP(E2315,'Allocated Transactions'!D:D,'Allocated Transactions'!E:E,"")</f>
        <v>Indirect Cost Allocation</v>
      </c>
      <c r="G2315" s="113" t="s">
        <v>129</v>
      </c>
      <c r="H2315" s="113" t="s">
        <v>338</v>
      </c>
      <c r="I2315" s="113" t="str">
        <f>_xlfn.XLOOKUP($C2315,'Cost Centers'!$A$2:$A$11,'Cost Centers'!$C$2:$C$11,"")</f>
        <v>Admin</v>
      </c>
      <c r="J2315" s="23">
        <f t="array" ref="J2315">INDEX('Indirect Pool - Budget'!$A$2:$AA$38, MATCH(1, ('Indirect Pool - Budget'!$A$2:$A$38=C2315)*('Indirect Pool - Budget'!$C$2:$C$38=H2315), 0), MATCH(A2315,'Indirect Pool - Budget'!$A$2:$AA$2, 0))</f>
        <v>-3586.9908015768724</v>
      </c>
      <c r="K2315" s="113" t="s">
        <v>637</v>
      </c>
    </row>
    <row r="2316" spans="1:11" ht="15" customHeight="1">
      <c r="A2316" s="112">
        <f t="shared" si="147"/>
        <v>46054</v>
      </c>
      <c r="B2316" s="113">
        <v>18</v>
      </c>
      <c r="C2316" s="18" t="s">
        <v>8</v>
      </c>
      <c r="D2316" s="113" t="str">
        <f>_xlfn.XLOOKUP($C2316,'Cost Centers'!$A$2:$A$11,'Cost Centers'!$B$2:$B$11,"")</f>
        <v>Finance</v>
      </c>
      <c r="E2316" s="113" t="s">
        <v>127</v>
      </c>
      <c r="F2316" s="113" t="str">
        <f>_xlfn.XLOOKUP(E2316,'Allocated Transactions'!D:D,'Allocated Transactions'!E:E,"")</f>
        <v>Indirect Cost Allocation</v>
      </c>
      <c r="G2316" s="113" t="s">
        <v>129</v>
      </c>
      <c r="H2316" s="113" t="s">
        <v>339</v>
      </c>
      <c r="I2316" s="113" t="str">
        <f>_xlfn.XLOOKUP($C2316,'Cost Centers'!$A$2:$A$11,'Cost Centers'!$C$2:$C$11,"")</f>
        <v>Admin</v>
      </c>
      <c r="J2316" s="23">
        <f t="array" ref="J2316">INDEX('Indirect Pool - Budget'!$A$2:$AA$38, MATCH(1, ('Indirect Pool - Budget'!$A$2:$A$38=C2316)*('Indirect Pool - Budget'!$C$2:$C$38=H2316), 0), MATCH(A2316,'Indirect Pool - Budget'!$A$2:$AA$2, 0))</f>
        <v>-3480.5519053876478</v>
      </c>
      <c r="K2316" s="113" t="s">
        <v>637</v>
      </c>
    </row>
    <row r="2317" spans="1:11" ht="15" customHeight="1">
      <c r="A2317" s="112">
        <f t="shared" si="147"/>
        <v>46054</v>
      </c>
      <c r="B2317" s="113">
        <v>18</v>
      </c>
      <c r="C2317" s="18" t="s">
        <v>10</v>
      </c>
      <c r="D2317" s="113" t="str">
        <f>_xlfn.XLOOKUP($C2317,'Cost Centers'!$A$2:$A$11,'Cost Centers'!$B$2:$B$11,"")</f>
        <v>Business Development</v>
      </c>
      <c r="E2317" s="113" t="s">
        <v>127</v>
      </c>
      <c r="F2317" s="113" t="str">
        <f>_xlfn.XLOOKUP(E2317,'Allocated Transactions'!D:D,'Allocated Transactions'!E:E,"")</f>
        <v>Indirect Cost Allocation</v>
      </c>
      <c r="G2317" s="113" t="s">
        <v>129</v>
      </c>
      <c r="H2317" s="113" t="s">
        <v>335</v>
      </c>
      <c r="I2317" s="113" t="str">
        <f>_xlfn.XLOOKUP($C2317,'Cost Centers'!$A$2:$A$11,'Cost Centers'!$C$2:$C$11,"")</f>
        <v>Admin</v>
      </c>
      <c r="J2317" s="23">
        <f t="array" ref="J2317">INDEX('Indirect Pool - Budget'!$A$2:$AA$38, MATCH(1, ('Indirect Pool - Budget'!$A$2:$A$38=C2317)*('Indirect Pool - Budget'!$C$2:$C$38=H2317), 0), MATCH(A2317,'Indirect Pool - Budget'!$A$2:$AA$2, 0))</f>
        <v>-2956.438896189225</v>
      </c>
      <c r="K2317" s="113" t="s">
        <v>637</v>
      </c>
    </row>
    <row r="2318" spans="1:11" ht="15" customHeight="1">
      <c r="A2318" s="112">
        <f t="shared" si="147"/>
        <v>46054</v>
      </c>
      <c r="B2318" s="113">
        <v>18</v>
      </c>
      <c r="C2318" s="18" t="s">
        <v>10</v>
      </c>
      <c r="D2318" s="113" t="str">
        <f>_xlfn.XLOOKUP($C2318,'Cost Centers'!$A$2:$A$11,'Cost Centers'!$B$2:$B$11,"")</f>
        <v>Business Development</v>
      </c>
      <c r="E2318" s="113" t="s">
        <v>127</v>
      </c>
      <c r="F2318" s="113" t="str">
        <f>_xlfn.XLOOKUP(E2318,'Allocated Transactions'!D:D,'Allocated Transactions'!E:E,"")</f>
        <v>Indirect Cost Allocation</v>
      </c>
      <c r="G2318" s="113" t="s">
        <v>129</v>
      </c>
      <c r="H2318" s="113" t="s">
        <v>336</v>
      </c>
      <c r="I2318" s="113" t="str">
        <f>_xlfn.XLOOKUP($C2318,'Cost Centers'!$A$2:$A$11,'Cost Centers'!$C$2:$C$11,"")</f>
        <v>Admin</v>
      </c>
      <c r="J2318" s="23">
        <f t="array" ref="J2318">INDEX('Indirect Pool - Budget'!$A$2:$AA$38, MATCH(1, ('Indirect Pool - Budget'!$A$2:$A$38=C2318)*('Indirect Pool - Budget'!$C$2:$C$38=H2318), 0), MATCH(A2318,'Indirect Pool - Budget'!$A$2:$AA$2, 0))</f>
        <v>-3656.3731931668854</v>
      </c>
      <c r="K2318" s="113" t="s">
        <v>637</v>
      </c>
    </row>
    <row r="2319" spans="1:11" ht="15" customHeight="1">
      <c r="A2319" s="112">
        <f t="shared" si="147"/>
        <v>46054</v>
      </c>
      <c r="B2319" s="113">
        <v>18</v>
      </c>
      <c r="C2319" s="18" t="s">
        <v>10</v>
      </c>
      <c r="D2319" s="113" t="str">
        <f>_xlfn.XLOOKUP($C2319,'Cost Centers'!$A$2:$A$11,'Cost Centers'!$B$2:$B$11,"")</f>
        <v>Business Development</v>
      </c>
      <c r="E2319" s="113" t="s">
        <v>127</v>
      </c>
      <c r="F2319" s="113" t="str">
        <f>_xlfn.XLOOKUP(E2319,'Allocated Transactions'!D:D,'Allocated Transactions'!E:E,"")</f>
        <v>Indirect Cost Allocation</v>
      </c>
      <c r="G2319" s="113" t="s">
        <v>129</v>
      </c>
      <c r="H2319" s="113" t="s">
        <v>337</v>
      </c>
      <c r="I2319" s="113" t="str">
        <f>_xlfn.XLOOKUP($C2319,'Cost Centers'!$A$2:$A$11,'Cost Centers'!$C$2:$C$11,"")</f>
        <v>Admin</v>
      </c>
      <c r="J2319" s="23">
        <f t="array" ref="J2319">INDEX('Indirect Pool - Budget'!$A$2:$AA$38, MATCH(1, ('Indirect Pool - Budget'!$A$2:$A$38=C2319)*('Indirect Pool - Budget'!$C$2:$C$38=H2319), 0), MATCH(A2319,'Indirect Pool - Budget'!$A$2:$AA$2, 0))</f>
        <v>-2350.5256241787124</v>
      </c>
      <c r="K2319" s="113" t="s">
        <v>637</v>
      </c>
    </row>
    <row r="2320" spans="1:11" ht="15" customHeight="1">
      <c r="A2320" s="112">
        <f t="shared" si="147"/>
        <v>46054</v>
      </c>
      <c r="B2320" s="113">
        <v>18</v>
      </c>
      <c r="C2320" s="18" t="s">
        <v>10</v>
      </c>
      <c r="D2320" s="113" t="str">
        <f>_xlfn.XLOOKUP($C2320,'Cost Centers'!$A$2:$A$11,'Cost Centers'!$B$2:$B$11,"")</f>
        <v>Business Development</v>
      </c>
      <c r="E2320" s="113" t="s">
        <v>127</v>
      </c>
      <c r="F2320" s="113" t="str">
        <f>_xlfn.XLOOKUP(E2320,'Allocated Transactions'!D:D,'Allocated Transactions'!E:E,"")</f>
        <v>Indirect Cost Allocation</v>
      </c>
      <c r="G2320" s="113" t="s">
        <v>129</v>
      </c>
      <c r="H2320" s="113" t="s">
        <v>338</v>
      </c>
      <c r="I2320" s="113" t="str">
        <f>_xlfn.XLOOKUP($C2320,'Cost Centers'!$A$2:$A$11,'Cost Centers'!$C$2:$C$11,"")</f>
        <v>Admin</v>
      </c>
      <c r="J2320" s="23">
        <f t="array" ref="J2320">INDEX('Indirect Pool - Budget'!$A$2:$AA$38, MATCH(1, ('Indirect Pool - Budget'!$A$2:$A$38=C2320)*('Indirect Pool - Budget'!$C$2:$C$38=H2320), 0), MATCH(A2320,'Indirect Pool - Budget'!$A$2:$AA$2, 0))</f>
        <v>-3520.5650459921158</v>
      </c>
      <c r="K2320" s="113" t="s">
        <v>637</v>
      </c>
    </row>
    <row r="2321" spans="1:11" ht="15" customHeight="1">
      <c r="A2321" s="112">
        <f t="shared" si="147"/>
        <v>46054</v>
      </c>
      <c r="B2321" s="113">
        <v>18</v>
      </c>
      <c r="C2321" s="18" t="s">
        <v>10</v>
      </c>
      <c r="D2321" s="113" t="str">
        <f>_xlfn.XLOOKUP($C2321,'Cost Centers'!$A$2:$A$11,'Cost Centers'!$B$2:$B$11,"")</f>
        <v>Business Development</v>
      </c>
      <c r="E2321" s="113" t="s">
        <v>127</v>
      </c>
      <c r="F2321" s="113" t="str">
        <f>_xlfn.XLOOKUP(E2321,'Allocated Transactions'!D:D,'Allocated Transactions'!E:E,"")</f>
        <v>Indirect Cost Allocation</v>
      </c>
      <c r="G2321" s="113" t="s">
        <v>129</v>
      </c>
      <c r="H2321" s="113" t="s">
        <v>339</v>
      </c>
      <c r="I2321" s="113" t="str">
        <f>_xlfn.XLOOKUP($C2321,'Cost Centers'!$A$2:$A$11,'Cost Centers'!$C$2:$C$11,"")</f>
        <v>Admin</v>
      </c>
      <c r="J2321" s="23">
        <f t="array" ref="J2321">INDEX('Indirect Pool - Budget'!$A$2:$AA$38, MATCH(1, ('Indirect Pool - Budget'!$A$2:$A$38=C2321)*('Indirect Pool - Budget'!$C$2:$C$38=H2321), 0), MATCH(A2321,'Indirect Pool - Budget'!$A$2:$AA$2, 0))</f>
        <v>-3416.0972404730619</v>
      </c>
      <c r="K2321" s="113" t="s">
        <v>637</v>
      </c>
    </row>
    <row r="2322" spans="1:11" ht="15" customHeight="1">
      <c r="A2322" s="112">
        <f t="shared" si="147"/>
        <v>46082</v>
      </c>
      <c r="B2322" s="113">
        <v>19</v>
      </c>
      <c r="C2322" s="18" t="s">
        <v>4</v>
      </c>
      <c r="D2322" s="113" t="str">
        <f>_xlfn.XLOOKUP($C2322,'Cost Centers'!$A$2:$A$11,'Cost Centers'!$B$2:$B$11,"")</f>
        <v>Executive</v>
      </c>
      <c r="E2322" s="113" t="s">
        <v>127</v>
      </c>
      <c r="F2322" s="113" t="str">
        <f>_xlfn.XLOOKUP(E2322,'Allocated Transactions'!D:D,'Allocated Transactions'!E:E,"")</f>
        <v>Indirect Cost Allocation</v>
      </c>
      <c r="G2322" s="113" t="s">
        <v>129</v>
      </c>
      <c r="H2322" s="113" t="s">
        <v>335</v>
      </c>
      <c r="I2322" s="113" t="str">
        <f>_xlfn.XLOOKUP($C2322,'Cost Centers'!$A$2:$A$11,'Cost Centers'!$C$2:$C$11,"")</f>
        <v>Admin</v>
      </c>
      <c r="J2322" s="23">
        <f t="array" ref="J2322">INDEX('Indirect Pool - Budget'!$A$2:$AA$38, MATCH(1, ('Indirect Pool - Budget'!$A$2:$A$38=C2322)*('Indirect Pool - Budget'!$C$2:$C$38=H2322), 0), MATCH(A2322,'Indirect Pool - Budget'!$A$2:$AA$2, 0))</f>
        <v>-2350.0935745477232</v>
      </c>
      <c r="K2322" s="113" t="s">
        <v>637</v>
      </c>
    </row>
    <row r="2323" spans="1:11" ht="15" customHeight="1">
      <c r="A2323" s="112">
        <f t="shared" si="147"/>
        <v>46082</v>
      </c>
      <c r="B2323" s="113">
        <v>19</v>
      </c>
      <c r="C2323" s="18" t="s">
        <v>4</v>
      </c>
      <c r="D2323" s="113" t="str">
        <f>_xlfn.XLOOKUP($C2323,'Cost Centers'!$A$2:$A$11,'Cost Centers'!$B$2:$B$11,"")</f>
        <v>Executive</v>
      </c>
      <c r="E2323" s="113" t="s">
        <v>127</v>
      </c>
      <c r="F2323" s="113" t="str">
        <f>_xlfn.XLOOKUP(E2323,'Allocated Transactions'!D:D,'Allocated Transactions'!E:E,"")</f>
        <v>Indirect Cost Allocation</v>
      </c>
      <c r="G2323" s="113" t="s">
        <v>129</v>
      </c>
      <c r="H2323" s="113" t="s">
        <v>336</v>
      </c>
      <c r="I2323" s="113" t="str">
        <f>_xlfn.XLOOKUP($C2323,'Cost Centers'!$A$2:$A$11,'Cost Centers'!$C$2:$C$11,"")</f>
        <v>Admin</v>
      </c>
      <c r="J2323" s="23">
        <f t="array" ref="J2323">INDEX('Indirect Pool - Budget'!$A$2:$AA$38, MATCH(1, ('Indirect Pool - Budget'!$A$2:$A$38=C2323)*('Indirect Pool - Budget'!$C$2:$C$38=H2323), 0), MATCH(A2323,'Indirect Pool - Budget'!$A$2:$AA$2, 0))</f>
        <v>-2689.4572676232065</v>
      </c>
      <c r="K2323" s="113" t="s">
        <v>637</v>
      </c>
    </row>
    <row r="2324" spans="1:11" ht="15" customHeight="1">
      <c r="A2324" s="112">
        <f t="shared" si="147"/>
        <v>46082</v>
      </c>
      <c r="B2324" s="113">
        <v>19</v>
      </c>
      <c r="C2324" s="18" t="s">
        <v>4</v>
      </c>
      <c r="D2324" s="113" t="str">
        <f>_xlfn.XLOOKUP($C2324,'Cost Centers'!$A$2:$A$11,'Cost Centers'!$B$2:$B$11,"")</f>
        <v>Executive</v>
      </c>
      <c r="E2324" s="113" t="s">
        <v>127</v>
      </c>
      <c r="F2324" s="113" t="str">
        <f>_xlfn.XLOOKUP(E2324,'Allocated Transactions'!D:D,'Allocated Transactions'!E:E,"")</f>
        <v>Indirect Cost Allocation</v>
      </c>
      <c r="G2324" s="113" t="s">
        <v>129</v>
      </c>
      <c r="H2324" s="113" t="s">
        <v>337</v>
      </c>
      <c r="I2324" s="113" t="str">
        <f>_xlfn.XLOOKUP($C2324,'Cost Centers'!$A$2:$A$11,'Cost Centers'!$C$2:$C$11,"")</f>
        <v>Admin</v>
      </c>
      <c r="J2324" s="23">
        <f t="array" ref="J2324">INDEX('Indirect Pool - Budget'!$A$2:$AA$38, MATCH(1, ('Indirect Pool - Budget'!$A$2:$A$38=C2324)*('Indirect Pool - Budget'!$C$2:$C$38=H2324), 0), MATCH(A2324,'Indirect Pool - Budget'!$A$2:$AA$2, 0))</f>
        <v>-2943.9800374298188</v>
      </c>
      <c r="K2324" s="113" t="s">
        <v>637</v>
      </c>
    </row>
    <row r="2325" spans="1:11" ht="15" customHeight="1">
      <c r="A2325" s="112">
        <f t="shared" si="147"/>
        <v>46082</v>
      </c>
      <c r="B2325" s="113">
        <v>19</v>
      </c>
      <c r="C2325" s="18" t="s">
        <v>4</v>
      </c>
      <c r="D2325" s="113" t="str">
        <f>_xlfn.XLOOKUP($C2325,'Cost Centers'!$A$2:$A$11,'Cost Centers'!$B$2:$B$11,"")</f>
        <v>Executive</v>
      </c>
      <c r="E2325" s="113" t="s">
        <v>127</v>
      </c>
      <c r="F2325" s="113" t="str">
        <f>_xlfn.XLOOKUP(E2325,'Allocated Transactions'!D:D,'Allocated Transactions'!E:E,"")</f>
        <v>Indirect Cost Allocation</v>
      </c>
      <c r="G2325" s="113" t="s">
        <v>129</v>
      </c>
      <c r="H2325" s="113" t="s">
        <v>338</v>
      </c>
      <c r="I2325" s="113" t="str">
        <f>_xlfn.XLOOKUP($C2325,'Cost Centers'!$A$2:$A$11,'Cost Centers'!$C$2:$C$11,"")</f>
        <v>Admin</v>
      </c>
      <c r="J2325" s="23">
        <f t="array" ref="J2325">INDEX('Indirect Pool - Budget'!$A$2:$AA$38, MATCH(1, ('Indirect Pool - Budget'!$A$2:$A$38=C2325)*('Indirect Pool - Budget'!$C$2:$C$38=H2325), 0), MATCH(A2325,'Indirect Pool - Budget'!$A$2:$AA$2, 0))</f>
        <v>-2536.7436057392392</v>
      </c>
      <c r="K2325" s="113" t="s">
        <v>637</v>
      </c>
    </row>
    <row r="2326" spans="1:11" ht="15" customHeight="1">
      <c r="A2326" s="112">
        <f t="shared" si="147"/>
        <v>46082</v>
      </c>
      <c r="B2326" s="113">
        <v>19</v>
      </c>
      <c r="C2326" s="18" t="s">
        <v>4</v>
      </c>
      <c r="D2326" s="113" t="str">
        <f>_xlfn.XLOOKUP($C2326,'Cost Centers'!$A$2:$A$11,'Cost Centers'!$B$2:$B$11,"")</f>
        <v>Executive</v>
      </c>
      <c r="E2326" s="113" t="s">
        <v>127</v>
      </c>
      <c r="F2326" s="113" t="str">
        <f>_xlfn.XLOOKUP(E2326,'Allocated Transactions'!D:D,'Allocated Transactions'!E:E,"")</f>
        <v>Indirect Cost Allocation</v>
      </c>
      <c r="G2326" s="113" t="s">
        <v>129</v>
      </c>
      <c r="H2326" s="113" t="s">
        <v>339</v>
      </c>
      <c r="I2326" s="113" t="str">
        <f>_xlfn.XLOOKUP($C2326,'Cost Centers'!$A$2:$A$11,'Cost Centers'!$C$2:$C$11,"")</f>
        <v>Admin</v>
      </c>
      <c r="J2326" s="23">
        <f t="array" ref="J2326">INDEX('Indirect Pool - Budget'!$A$2:$AA$38, MATCH(1, ('Indirect Pool - Budget'!$A$2:$A$38=C2326)*('Indirect Pool - Budget'!$C$2:$C$38=H2326), 0), MATCH(A2326,'Indirect Pool - Budget'!$A$2:$AA$2, 0))</f>
        <v>-3079.7255146600123</v>
      </c>
      <c r="K2326" s="113" t="s">
        <v>637</v>
      </c>
    </row>
    <row r="2327" spans="1:11" ht="15" customHeight="1">
      <c r="A2327" s="112">
        <f t="shared" si="147"/>
        <v>46082</v>
      </c>
      <c r="B2327" s="113">
        <v>19</v>
      </c>
      <c r="C2327" s="18" t="s">
        <v>6</v>
      </c>
      <c r="D2327" s="113" t="str">
        <f>_xlfn.XLOOKUP($C2327,'Cost Centers'!$A$2:$A$11,'Cost Centers'!$B$2:$B$11,"")</f>
        <v>Human Resources</v>
      </c>
      <c r="E2327" s="113" t="s">
        <v>127</v>
      </c>
      <c r="F2327" s="113" t="str">
        <f>_xlfn.XLOOKUP(E2327,'Allocated Transactions'!D:D,'Allocated Transactions'!E:E,"")</f>
        <v>Indirect Cost Allocation</v>
      </c>
      <c r="G2327" s="113" t="s">
        <v>129</v>
      </c>
      <c r="H2327" s="113" t="s">
        <v>335</v>
      </c>
      <c r="I2327" s="113" t="str">
        <f>_xlfn.XLOOKUP($C2327,'Cost Centers'!$A$2:$A$11,'Cost Centers'!$C$2:$C$11,"")</f>
        <v>Admin</v>
      </c>
      <c r="J2327" s="23">
        <f t="array" ref="J2327">INDEX('Indirect Pool - Budget'!$A$2:$AA$38, MATCH(1, ('Indirect Pool - Budget'!$A$2:$A$38=C2327)*('Indirect Pool - Budget'!$C$2:$C$38=H2327), 0), MATCH(A2327,'Indirect Pool - Budget'!$A$2:$AA$2, 0))</f>
        <v>-3144.9781659388645</v>
      </c>
      <c r="K2327" s="113" t="s">
        <v>637</v>
      </c>
    </row>
    <row r="2328" spans="1:11" ht="15" customHeight="1">
      <c r="A2328" s="112">
        <f t="shared" si="147"/>
        <v>46082</v>
      </c>
      <c r="B2328" s="113">
        <v>19</v>
      </c>
      <c r="C2328" s="18" t="s">
        <v>6</v>
      </c>
      <c r="D2328" s="113" t="str">
        <f>_xlfn.XLOOKUP($C2328,'Cost Centers'!$A$2:$A$11,'Cost Centers'!$B$2:$B$11,"")</f>
        <v>Human Resources</v>
      </c>
      <c r="E2328" s="113" t="s">
        <v>127</v>
      </c>
      <c r="F2328" s="113" t="str">
        <f>_xlfn.XLOOKUP(E2328,'Allocated Transactions'!D:D,'Allocated Transactions'!E:E,"")</f>
        <v>Indirect Cost Allocation</v>
      </c>
      <c r="G2328" s="113" t="s">
        <v>129</v>
      </c>
      <c r="H2328" s="113" t="s">
        <v>336</v>
      </c>
      <c r="I2328" s="113" t="str">
        <f>_xlfn.XLOOKUP($C2328,'Cost Centers'!$A$2:$A$11,'Cost Centers'!$C$2:$C$11,"")</f>
        <v>Admin</v>
      </c>
      <c r="J2328" s="23">
        <f t="array" ref="J2328">INDEX('Indirect Pool - Budget'!$A$2:$AA$38, MATCH(1, ('Indirect Pool - Budget'!$A$2:$A$38=C2328)*('Indirect Pool - Budget'!$C$2:$C$38=H2328), 0), MATCH(A2328,'Indirect Pool - Budget'!$A$2:$AA$2, 0))</f>
        <v>-3599.1266375545852</v>
      </c>
      <c r="K2328" s="113" t="s">
        <v>637</v>
      </c>
    </row>
    <row r="2329" spans="1:11" ht="15" customHeight="1">
      <c r="A2329" s="112">
        <f t="shared" si="147"/>
        <v>46082</v>
      </c>
      <c r="B2329" s="113">
        <v>19</v>
      </c>
      <c r="C2329" s="18" t="s">
        <v>6</v>
      </c>
      <c r="D2329" s="113" t="str">
        <f>_xlfn.XLOOKUP($C2329,'Cost Centers'!$A$2:$A$11,'Cost Centers'!$B$2:$B$11,"")</f>
        <v>Human Resources</v>
      </c>
      <c r="E2329" s="113" t="s">
        <v>127</v>
      </c>
      <c r="F2329" s="113" t="str">
        <f>_xlfn.XLOOKUP(E2329,'Allocated Transactions'!D:D,'Allocated Transactions'!E:E,"")</f>
        <v>Indirect Cost Allocation</v>
      </c>
      <c r="G2329" s="113" t="s">
        <v>129</v>
      </c>
      <c r="H2329" s="113" t="s">
        <v>337</v>
      </c>
      <c r="I2329" s="113" t="str">
        <f>_xlfn.XLOOKUP($C2329,'Cost Centers'!$A$2:$A$11,'Cost Centers'!$C$2:$C$11,"")</f>
        <v>Admin</v>
      </c>
      <c r="J2329" s="23">
        <f t="array" ref="J2329">INDEX('Indirect Pool - Budget'!$A$2:$AA$38, MATCH(1, ('Indirect Pool - Budget'!$A$2:$A$38=C2329)*('Indirect Pool - Budget'!$C$2:$C$38=H2329), 0), MATCH(A2329,'Indirect Pool - Budget'!$A$2:$AA$2, 0))</f>
        <v>-3939.7379912663755</v>
      </c>
      <c r="K2329" s="113" t="s">
        <v>637</v>
      </c>
    </row>
    <row r="2330" spans="1:11" ht="15" customHeight="1">
      <c r="A2330" s="112">
        <f t="shared" si="147"/>
        <v>46082</v>
      </c>
      <c r="B2330" s="113">
        <v>19</v>
      </c>
      <c r="C2330" s="18" t="s">
        <v>6</v>
      </c>
      <c r="D2330" s="113" t="str">
        <f>_xlfn.XLOOKUP($C2330,'Cost Centers'!$A$2:$A$11,'Cost Centers'!$B$2:$B$11,"")</f>
        <v>Human Resources</v>
      </c>
      <c r="E2330" s="113" t="s">
        <v>127</v>
      </c>
      <c r="F2330" s="113" t="str">
        <f>_xlfn.XLOOKUP(E2330,'Allocated Transactions'!D:D,'Allocated Transactions'!E:E,"")</f>
        <v>Indirect Cost Allocation</v>
      </c>
      <c r="G2330" s="113" t="s">
        <v>129</v>
      </c>
      <c r="H2330" s="113" t="s">
        <v>338</v>
      </c>
      <c r="I2330" s="113" t="str">
        <f>_xlfn.XLOOKUP($C2330,'Cost Centers'!$A$2:$A$11,'Cost Centers'!$C$2:$C$11,"")</f>
        <v>Admin</v>
      </c>
      <c r="J2330" s="23">
        <f t="array" ref="J2330">INDEX('Indirect Pool - Budget'!$A$2:$AA$38, MATCH(1, ('Indirect Pool - Budget'!$A$2:$A$38=C2330)*('Indirect Pool - Budget'!$C$2:$C$38=H2330), 0), MATCH(A2330,'Indirect Pool - Budget'!$A$2:$AA$2, 0))</f>
        <v>-3394.759825327511</v>
      </c>
      <c r="K2330" s="113" t="s">
        <v>637</v>
      </c>
    </row>
    <row r="2331" spans="1:11" ht="15" customHeight="1">
      <c r="A2331" s="112">
        <f t="shared" si="147"/>
        <v>46082</v>
      </c>
      <c r="B2331" s="113">
        <v>19</v>
      </c>
      <c r="C2331" s="18" t="s">
        <v>6</v>
      </c>
      <c r="D2331" s="113" t="str">
        <f>_xlfn.XLOOKUP($C2331,'Cost Centers'!$A$2:$A$11,'Cost Centers'!$B$2:$B$11,"")</f>
        <v>Human Resources</v>
      </c>
      <c r="E2331" s="113" t="s">
        <v>127</v>
      </c>
      <c r="F2331" s="113" t="str">
        <f>_xlfn.XLOOKUP(E2331,'Allocated Transactions'!D:D,'Allocated Transactions'!E:E,"")</f>
        <v>Indirect Cost Allocation</v>
      </c>
      <c r="G2331" s="113" t="s">
        <v>129</v>
      </c>
      <c r="H2331" s="113" t="s">
        <v>339</v>
      </c>
      <c r="I2331" s="113" t="str">
        <f>_xlfn.XLOOKUP($C2331,'Cost Centers'!$A$2:$A$11,'Cost Centers'!$C$2:$C$11,"")</f>
        <v>Admin</v>
      </c>
      <c r="J2331" s="23">
        <f t="array" ref="J2331">INDEX('Indirect Pool - Budget'!$A$2:$AA$38, MATCH(1, ('Indirect Pool - Budget'!$A$2:$A$38=C2331)*('Indirect Pool - Budget'!$C$2:$C$38=H2331), 0), MATCH(A2331,'Indirect Pool - Budget'!$A$2:$AA$2, 0))</f>
        <v>-4121.3973799126634</v>
      </c>
      <c r="K2331" s="113" t="s">
        <v>637</v>
      </c>
    </row>
    <row r="2332" spans="1:11" ht="15" customHeight="1">
      <c r="A2332" s="112">
        <f t="shared" si="147"/>
        <v>46082</v>
      </c>
      <c r="B2332" s="113">
        <v>19</v>
      </c>
      <c r="C2332" s="18" t="s">
        <v>8</v>
      </c>
      <c r="D2332" s="113" t="str">
        <f>_xlfn.XLOOKUP($C2332,'Cost Centers'!$A$2:$A$11,'Cost Centers'!$B$2:$B$11,"")</f>
        <v>Finance</v>
      </c>
      <c r="E2332" s="113" t="s">
        <v>127</v>
      </c>
      <c r="F2332" s="113" t="str">
        <f>_xlfn.XLOOKUP(E2332,'Allocated Transactions'!D:D,'Allocated Transactions'!E:E,"")</f>
        <v>Indirect Cost Allocation</v>
      </c>
      <c r="G2332" s="113" t="s">
        <v>129</v>
      </c>
      <c r="H2332" s="113" t="s">
        <v>335</v>
      </c>
      <c r="I2332" s="113" t="str">
        <f>_xlfn.XLOOKUP($C2332,'Cost Centers'!$A$2:$A$11,'Cost Centers'!$C$2:$C$11,"")</f>
        <v>Admin</v>
      </c>
      <c r="J2332" s="23">
        <f t="array" ref="J2332">INDEX('Indirect Pool - Budget'!$A$2:$AA$38, MATCH(1, ('Indirect Pool - Budget'!$A$2:$A$38=C2332)*('Indirect Pool - Budget'!$C$2:$C$38=H2332), 0), MATCH(A2332,'Indirect Pool - Budget'!$A$2:$AA$2, 0))</f>
        <v>-2747.5358702432941</v>
      </c>
      <c r="K2332" s="113" t="s">
        <v>637</v>
      </c>
    </row>
    <row r="2333" spans="1:11" ht="15" customHeight="1">
      <c r="A2333" s="112">
        <f t="shared" si="147"/>
        <v>46082</v>
      </c>
      <c r="B2333" s="113">
        <v>19</v>
      </c>
      <c r="C2333" s="18" t="s">
        <v>8</v>
      </c>
      <c r="D2333" s="113" t="str">
        <f>_xlfn.XLOOKUP($C2333,'Cost Centers'!$A$2:$A$11,'Cost Centers'!$B$2:$B$11,"")</f>
        <v>Finance</v>
      </c>
      <c r="E2333" s="113" t="s">
        <v>127</v>
      </c>
      <c r="F2333" s="113" t="str">
        <f>_xlfn.XLOOKUP(E2333,'Allocated Transactions'!D:D,'Allocated Transactions'!E:E,"")</f>
        <v>Indirect Cost Allocation</v>
      </c>
      <c r="G2333" s="113" t="s">
        <v>129</v>
      </c>
      <c r="H2333" s="113" t="s">
        <v>336</v>
      </c>
      <c r="I2333" s="113" t="str">
        <f>_xlfn.XLOOKUP($C2333,'Cost Centers'!$A$2:$A$11,'Cost Centers'!$C$2:$C$11,"")</f>
        <v>Admin</v>
      </c>
      <c r="J2333" s="23">
        <f t="array" ref="J2333">INDEX('Indirect Pool - Budget'!$A$2:$AA$38, MATCH(1, ('Indirect Pool - Budget'!$A$2:$A$38=C2333)*('Indirect Pool - Budget'!$C$2:$C$38=H2333), 0), MATCH(A2333,'Indirect Pool - Budget'!$A$2:$AA$2, 0))</f>
        <v>-3144.2919525888956</v>
      </c>
      <c r="K2333" s="113" t="s">
        <v>637</v>
      </c>
    </row>
    <row r="2334" spans="1:11" ht="15" customHeight="1">
      <c r="A2334" s="112">
        <f t="shared" si="147"/>
        <v>46082</v>
      </c>
      <c r="B2334" s="113">
        <v>19</v>
      </c>
      <c r="C2334" s="18" t="s">
        <v>8</v>
      </c>
      <c r="D2334" s="113" t="str">
        <f>_xlfn.XLOOKUP($C2334,'Cost Centers'!$A$2:$A$11,'Cost Centers'!$B$2:$B$11,"")</f>
        <v>Finance</v>
      </c>
      <c r="E2334" s="113" t="s">
        <v>127</v>
      </c>
      <c r="F2334" s="113" t="str">
        <f>_xlfn.XLOOKUP(E2334,'Allocated Transactions'!D:D,'Allocated Transactions'!E:E,"")</f>
        <v>Indirect Cost Allocation</v>
      </c>
      <c r="G2334" s="113" t="s">
        <v>129</v>
      </c>
      <c r="H2334" s="113" t="s">
        <v>337</v>
      </c>
      <c r="I2334" s="113" t="str">
        <f>_xlfn.XLOOKUP($C2334,'Cost Centers'!$A$2:$A$11,'Cost Centers'!$C$2:$C$11,"")</f>
        <v>Admin</v>
      </c>
      <c r="J2334" s="23">
        <f t="array" ref="J2334">INDEX('Indirect Pool - Budget'!$A$2:$AA$38, MATCH(1, ('Indirect Pool - Budget'!$A$2:$A$38=C2334)*('Indirect Pool - Budget'!$C$2:$C$38=H2334), 0), MATCH(A2334,'Indirect Pool - Budget'!$A$2:$AA$2, 0))</f>
        <v>-3441.8590143480974</v>
      </c>
      <c r="K2334" s="113" t="s">
        <v>637</v>
      </c>
    </row>
    <row r="2335" spans="1:11" ht="15" customHeight="1">
      <c r="A2335" s="112">
        <f t="shared" si="147"/>
        <v>46082</v>
      </c>
      <c r="B2335" s="113">
        <v>19</v>
      </c>
      <c r="C2335" s="18" t="s">
        <v>8</v>
      </c>
      <c r="D2335" s="113" t="str">
        <f>_xlfn.XLOOKUP($C2335,'Cost Centers'!$A$2:$A$11,'Cost Centers'!$B$2:$B$11,"")</f>
        <v>Finance</v>
      </c>
      <c r="E2335" s="113" t="s">
        <v>127</v>
      </c>
      <c r="F2335" s="113" t="str">
        <f>_xlfn.XLOOKUP(E2335,'Allocated Transactions'!D:D,'Allocated Transactions'!E:E,"")</f>
        <v>Indirect Cost Allocation</v>
      </c>
      <c r="G2335" s="113" t="s">
        <v>129</v>
      </c>
      <c r="H2335" s="113" t="s">
        <v>338</v>
      </c>
      <c r="I2335" s="113" t="str">
        <f>_xlfn.XLOOKUP($C2335,'Cost Centers'!$A$2:$A$11,'Cost Centers'!$C$2:$C$11,"")</f>
        <v>Admin</v>
      </c>
      <c r="J2335" s="23">
        <f t="array" ref="J2335">INDEX('Indirect Pool - Budget'!$A$2:$AA$38, MATCH(1, ('Indirect Pool - Budget'!$A$2:$A$38=C2335)*('Indirect Pool - Budget'!$C$2:$C$38=H2335), 0), MATCH(A2335,'Indirect Pool - Budget'!$A$2:$AA$2, 0))</f>
        <v>-2965.7517155333753</v>
      </c>
      <c r="K2335" s="113" t="s">
        <v>637</v>
      </c>
    </row>
    <row r="2336" spans="1:11" ht="15" customHeight="1">
      <c r="A2336" s="112">
        <f t="shared" si="147"/>
        <v>46082</v>
      </c>
      <c r="B2336" s="113">
        <v>19</v>
      </c>
      <c r="C2336" s="18" t="s">
        <v>8</v>
      </c>
      <c r="D2336" s="113" t="str">
        <f>_xlfn.XLOOKUP($C2336,'Cost Centers'!$A$2:$A$11,'Cost Centers'!$B$2:$B$11,"")</f>
        <v>Finance</v>
      </c>
      <c r="E2336" s="113" t="s">
        <v>127</v>
      </c>
      <c r="F2336" s="113" t="str">
        <f>_xlfn.XLOOKUP(E2336,'Allocated Transactions'!D:D,'Allocated Transactions'!E:E,"")</f>
        <v>Indirect Cost Allocation</v>
      </c>
      <c r="G2336" s="113" t="s">
        <v>129</v>
      </c>
      <c r="H2336" s="113" t="s">
        <v>339</v>
      </c>
      <c r="I2336" s="113" t="str">
        <f>_xlfn.XLOOKUP($C2336,'Cost Centers'!$A$2:$A$11,'Cost Centers'!$C$2:$C$11,"")</f>
        <v>Admin</v>
      </c>
      <c r="J2336" s="23">
        <f t="array" ref="J2336">INDEX('Indirect Pool - Budget'!$A$2:$AA$38, MATCH(1, ('Indirect Pool - Budget'!$A$2:$A$38=C2336)*('Indirect Pool - Budget'!$C$2:$C$38=H2336), 0), MATCH(A2336,'Indirect Pool - Budget'!$A$2:$AA$2, 0))</f>
        <v>-3600.5614472863381</v>
      </c>
      <c r="K2336" s="113" t="s">
        <v>637</v>
      </c>
    </row>
    <row r="2337" spans="1:11" ht="15" customHeight="1">
      <c r="A2337" s="112">
        <f t="shared" si="147"/>
        <v>46082</v>
      </c>
      <c r="B2337" s="113">
        <v>19</v>
      </c>
      <c r="C2337" s="18" t="s">
        <v>10</v>
      </c>
      <c r="D2337" s="113" t="str">
        <f>_xlfn.XLOOKUP($C2337,'Cost Centers'!$A$2:$A$11,'Cost Centers'!$B$2:$B$11,"")</f>
        <v>Business Development</v>
      </c>
      <c r="E2337" s="113" t="s">
        <v>127</v>
      </c>
      <c r="F2337" s="113" t="str">
        <f>_xlfn.XLOOKUP(E2337,'Allocated Transactions'!D:D,'Allocated Transactions'!E:E,"")</f>
        <v>Indirect Cost Allocation</v>
      </c>
      <c r="G2337" s="113" t="s">
        <v>129</v>
      </c>
      <c r="H2337" s="113" t="s">
        <v>335</v>
      </c>
      <c r="I2337" s="113" t="str">
        <f>_xlfn.XLOOKUP($C2337,'Cost Centers'!$A$2:$A$11,'Cost Centers'!$C$2:$C$11,"")</f>
        <v>Admin</v>
      </c>
      <c r="J2337" s="23">
        <f t="array" ref="J2337">INDEX('Indirect Pool - Budget'!$A$2:$AA$38, MATCH(1, ('Indirect Pool - Budget'!$A$2:$A$38=C2337)*('Indirect Pool - Budget'!$C$2:$C$38=H2337), 0), MATCH(A2337,'Indirect Pool - Budget'!$A$2:$AA$2, 0))</f>
        <v>-1537.9288833437306</v>
      </c>
      <c r="K2337" s="113" t="s">
        <v>637</v>
      </c>
    </row>
    <row r="2338" spans="1:11" ht="15" customHeight="1">
      <c r="A2338" s="112">
        <f t="shared" si="147"/>
        <v>46082</v>
      </c>
      <c r="B2338" s="113">
        <v>19</v>
      </c>
      <c r="C2338" s="18" t="s">
        <v>10</v>
      </c>
      <c r="D2338" s="113" t="str">
        <f>_xlfn.XLOOKUP($C2338,'Cost Centers'!$A$2:$A$11,'Cost Centers'!$B$2:$B$11,"")</f>
        <v>Business Development</v>
      </c>
      <c r="E2338" s="113" t="s">
        <v>127</v>
      </c>
      <c r="F2338" s="113" t="str">
        <f>_xlfn.XLOOKUP(E2338,'Allocated Transactions'!D:D,'Allocated Transactions'!E:E,"")</f>
        <v>Indirect Cost Allocation</v>
      </c>
      <c r="G2338" s="113" t="s">
        <v>129</v>
      </c>
      <c r="H2338" s="113" t="s">
        <v>336</v>
      </c>
      <c r="I2338" s="113" t="str">
        <f>_xlfn.XLOOKUP($C2338,'Cost Centers'!$A$2:$A$11,'Cost Centers'!$C$2:$C$11,"")</f>
        <v>Admin</v>
      </c>
      <c r="J2338" s="23">
        <f t="array" ref="J2338">INDEX('Indirect Pool - Budget'!$A$2:$AA$38, MATCH(1, ('Indirect Pool - Budget'!$A$2:$A$38=C2338)*('Indirect Pool - Budget'!$C$2:$C$38=H2338), 0), MATCH(A2338,'Indirect Pool - Budget'!$A$2:$AA$2, 0))</f>
        <v>-1760.012476606363</v>
      </c>
      <c r="K2338" s="113" t="s">
        <v>637</v>
      </c>
    </row>
    <row r="2339" spans="1:11" ht="15" customHeight="1">
      <c r="A2339" s="112">
        <f t="shared" si="147"/>
        <v>46082</v>
      </c>
      <c r="B2339" s="113">
        <v>19</v>
      </c>
      <c r="C2339" s="18" t="s">
        <v>10</v>
      </c>
      <c r="D2339" s="113" t="str">
        <f>_xlfn.XLOOKUP($C2339,'Cost Centers'!$A$2:$A$11,'Cost Centers'!$B$2:$B$11,"")</f>
        <v>Business Development</v>
      </c>
      <c r="E2339" s="113" t="s">
        <v>127</v>
      </c>
      <c r="F2339" s="113" t="str">
        <f>_xlfn.XLOOKUP(E2339,'Allocated Transactions'!D:D,'Allocated Transactions'!E:E,"")</f>
        <v>Indirect Cost Allocation</v>
      </c>
      <c r="G2339" s="113" t="s">
        <v>129</v>
      </c>
      <c r="H2339" s="113" t="s">
        <v>337</v>
      </c>
      <c r="I2339" s="113" t="str">
        <f>_xlfn.XLOOKUP($C2339,'Cost Centers'!$A$2:$A$11,'Cost Centers'!$C$2:$C$11,"")</f>
        <v>Admin</v>
      </c>
      <c r="J2339" s="23">
        <f t="array" ref="J2339">INDEX('Indirect Pool - Budget'!$A$2:$AA$38, MATCH(1, ('Indirect Pool - Budget'!$A$2:$A$38=C2339)*('Indirect Pool - Budget'!$C$2:$C$38=H2339), 0), MATCH(A2339,'Indirect Pool - Budget'!$A$2:$AA$2, 0))</f>
        <v>-1926.5751715533374</v>
      </c>
      <c r="K2339" s="113" t="s">
        <v>637</v>
      </c>
    </row>
    <row r="2340" spans="1:11" ht="15" customHeight="1">
      <c r="A2340" s="112">
        <f t="shared" si="147"/>
        <v>46082</v>
      </c>
      <c r="B2340" s="113">
        <v>19</v>
      </c>
      <c r="C2340" s="18" t="s">
        <v>10</v>
      </c>
      <c r="D2340" s="113" t="str">
        <f>_xlfn.XLOOKUP($C2340,'Cost Centers'!$A$2:$A$11,'Cost Centers'!$B$2:$B$11,"")</f>
        <v>Business Development</v>
      </c>
      <c r="E2340" s="113" t="s">
        <v>127</v>
      </c>
      <c r="F2340" s="113" t="str">
        <f>_xlfn.XLOOKUP(E2340,'Allocated Transactions'!D:D,'Allocated Transactions'!E:E,"")</f>
        <v>Indirect Cost Allocation</v>
      </c>
      <c r="G2340" s="113" t="s">
        <v>129</v>
      </c>
      <c r="H2340" s="113" t="s">
        <v>338</v>
      </c>
      <c r="I2340" s="113" t="str">
        <f>_xlfn.XLOOKUP($C2340,'Cost Centers'!$A$2:$A$11,'Cost Centers'!$C$2:$C$11,"")</f>
        <v>Admin</v>
      </c>
      <c r="J2340" s="23">
        <f t="array" ref="J2340">INDEX('Indirect Pool - Budget'!$A$2:$AA$38, MATCH(1, ('Indirect Pool - Budget'!$A$2:$A$38=C2340)*('Indirect Pool - Budget'!$C$2:$C$38=H2340), 0), MATCH(A2340,'Indirect Pool - Budget'!$A$2:$AA$2, 0))</f>
        <v>-1660.0748596381786</v>
      </c>
      <c r="K2340" s="113" t="s">
        <v>637</v>
      </c>
    </row>
    <row r="2341" spans="1:11" ht="15" customHeight="1">
      <c r="A2341" s="112">
        <f t="shared" si="147"/>
        <v>46082</v>
      </c>
      <c r="B2341" s="113">
        <v>19</v>
      </c>
      <c r="C2341" s="18" t="s">
        <v>10</v>
      </c>
      <c r="D2341" s="113" t="str">
        <f>_xlfn.XLOOKUP($C2341,'Cost Centers'!$A$2:$A$11,'Cost Centers'!$B$2:$B$11,"")</f>
        <v>Business Development</v>
      </c>
      <c r="E2341" s="113" t="s">
        <v>127</v>
      </c>
      <c r="F2341" s="113" t="str">
        <f>_xlfn.XLOOKUP(E2341,'Allocated Transactions'!D:D,'Allocated Transactions'!E:E,"")</f>
        <v>Indirect Cost Allocation</v>
      </c>
      <c r="G2341" s="113" t="s">
        <v>129</v>
      </c>
      <c r="H2341" s="113" t="s">
        <v>339</v>
      </c>
      <c r="I2341" s="113" t="str">
        <f>_xlfn.XLOOKUP($C2341,'Cost Centers'!$A$2:$A$11,'Cost Centers'!$C$2:$C$11,"")</f>
        <v>Admin</v>
      </c>
      <c r="J2341" s="23">
        <f t="array" ref="J2341">INDEX('Indirect Pool - Budget'!$A$2:$AA$38, MATCH(1, ('Indirect Pool - Budget'!$A$2:$A$38=C2341)*('Indirect Pool - Budget'!$C$2:$C$38=H2341), 0), MATCH(A2341,'Indirect Pool - Budget'!$A$2:$AA$2, 0))</f>
        <v>-2015.4086088583904</v>
      </c>
      <c r="K2341" s="113" t="s">
        <v>637</v>
      </c>
    </row>
    <row r="2342" spans="1:11" ht="15" customHeight="1">
      <c r="A2342" s="112">
        <f t="shared" si="147"/>
        <v>46113</v>
      </c>
      <c r="B2342" s="113">
        <v>20</v>
      </c>
      <c r="C2342" s="18" t="s">
        <v>4</v>
      </c>
      <c r="D2342" s="113" t="str">
        <f>_xlfn.XLOOKUP($C2342,'Cost Centers'!$A$2:$A$11,'Cost Centers'!$B$2:$B$11,"")</f>
        <v>Executive</v>
      </c>
      <c r="E2342" s="113" t="s">
        <v>127</v>
      </c>
      <c r="F2342" s="113" t="str">
        <f>_xlfn.XLOOKUP(E2342,'Allocated Transactions'!D:D,'Allocated Transactions'!E:E,"")</f>
        <v>Indirect Cost Allocation</v>
      </c>
      <c r="G2342" s="113" t="s">
        <v>129</v>
      </c>
      <c r="H2342" s="113" t="s">
        <v>335</v>
      </c>
      <c r="I2342" s="113" t="str">
        <f>_xlfn.XLOOKUP($C2342,'Cost Centers'!$A$2:$A$11,'Cost Centers'!$C$2:$C$11,"")</f>
        <v>Admin</v>
      </c>
      <c r="J2342" s="23">
        <f t="array" ref="J2342">INDEX('Indirect Pool - Budget'!$A$2:$AA$38, MATCH(1, ('Indirect Pool - Budget'!$A$2:$A$38=C2342)*('Indirect Pool - Budget'!$C$2:$C$38=H2342), 0), MATCH(A2342,'Indirect Pool - Budget'!$A$2:$AA$2, 0))</f>
        <v>-2276.9601930036188</v>
      </c>
      <c r="K2342" s="113" t="s">
        <v>637</v>
      </c>
    </row>
    <row r="2343" spans="1:11" ht="15" customHeight="1">
      <c r="A2343" s="112">
        <f t="shared" si="147"/>
        <v>46113</v>
      </c>
      <c r="B2343" s="113">
        <v>20</v>
      </c>
      <c r="C2343" s="18" t="s">
        <v>4</v>
      </c>
      <c r="D2343" s="113" t="str">
        <f>_xlfn.XLOOKUP($C2343,'Cost Centers'!$A$2:$A$11,'Cost Centers'!$B$2:$B$11,"")</f>
        <v>Executive</v>
      </c>
      <c r="E2343" s="113" t="s">
        <v>127</v>
      </c>
      <c r="F2343" s="113" t="str">
        <f>_xlfn.XLOOKUP(E2343,'Allocated Transactions'!D:D,'Allocated Transactions'!E:E,"")</f>
        <v>Indirect Cost Allocation</v>
      </c>
      <c r="G2343" s="113" t="s">
        <v>129</v>
      </c>
      <c r="H2343" s="113" t="s">
        <v>336</v>
      </c>
      <c r="I2343" s="113" t="str">
        <f>_xlfn.XLOOKUP($C2343,'Cost Centers'!$A$2:$A$11,'Cost Centers'!$C$2:$C$11,"")</f>
        <v>Admin</v>
      </c>
      <c r="J2343" s="23">
        <f t="array" ref="J2343">INDEX('Indirect Pool - Budget'!$A$2:$AA$38, MATCH(1, ('Indirect Pool - Budget'!$A$2:$A$38=C2343)*('Indirect Pool - Budget'!$C$2:$C$38=H2343), 0), MATCH(A2343,'Indirect Pool - Budget'!$A$2:$AA$2, 0))</f>
        <v>-3463.2086851628469</v>
      </c>
      <c r="K2343" s="113" t="s">
        <v>637</v>
      </c>
    </row>
    <row r="2344" spans="1:11" ht="15" customHeight="1">
      <c r="A2344" s="112">
        <f t="shared" si="147"/>
        <v>46113</v>
      </c>
      <c r="B2344" s="113">
        <v>20</v>
      </c>
      <c r="C2344" s="18" t="s">
        <v>4</v>
      </c>
      <c r="D2344" s="113" t="str">
        <f>_xlfn.XLOOKUP($C2344,'Cost Centers'!$A$2:$A$11,'Cost Centers'!$B$2:$B$11,"")</f>
        <v>Executive</v>
      </c>
      <c r="E2344" s="113" t="s">
        <v>127</v>
      </c>
      <c r="F2344" s="113" t="str">
        <f>_xlfn.XLOOKUP(E2344,'Allocated Transactions'!D:D,'Allocated Transactions'!E:E,"")</f>
        <v>Indirect Cost Allocation</v>
      </c>
      <c r="G2344" s="113" t="s">
        <v>129</v>
      </c>
      <c r="H2344" s="113" t="s">
        <v>337</v>
      </c>
      <c r="I2344" s="113" t="str">
        <f>_xlfn.XLOOKUP($C2344,'Cost Centers'!$A$2:$A$11,'Cost Centers'!$C$2:$C$11,"")</f>
        <v>Admin</v>
      </c>
      <c r="J2344" s="23">
        <f t="array" ref="J2344">INDEX('Indirect Pool - Budget'!$A$2:$AA$38, MATCH(1, ('Indirect Pool - Budget'!$A$2:$A$38=C2344)*('Indirect Pool - Budget'!$C$2:$C$38=H2344), 0), MATCH(A2344,'Indirect Pool - Budget'!$A$2:$AA$2, 0))</f>
        <v>-1624.1254523522316</v>
      </c>
      <c r="K2344" s="113" t="s">
        <v>637</v>
      </c>
    </row>
    <row r="2345" spans="1:11" ht="15" customHeight="1">
      <c r="A2345" s="112">
        <f t="shared" si="147"/>
        <v>46113</v>
      </c>
      <c r="B2345" s="113">
        <v>20</v>
      </c>
      <c r="C2345" s="18" t="s">
        <v>4</v>
      </c>
      <c r="D2345" s="113" t="str">
        <f>_xlfn.XLOOKUP($C2345,'Cost Centers'!$A$2:$A$11,'Cost Centers'!$B$2:$B$11,"")</f>
        <v>Executive</v>
      </c>
      <c r="E2345" s="113" t="s">
        <v>127</v>
      </c>
      <c r="F2345" s="113" t="str">
        <f>_xlfn.XLOOKUP(E2345,'Allocated Transactions'!D:D,'Allocated Transactions'!E:E,"")</f>
        <v>Indirect Cost Allocation</v>
      </c>
      <c r="G2345" s="113" t="s">
        <v>129</v>
      </c>
      <c r="H2345" s="113" t="s">
        <v>338</v>
      </c>
      <c r="I2345" s="113" t="str">
        <f>_xlfn.XLOOKUP($C2345,'Cost Centers'!$A$2:$A$11,'Cost Centers'!$C$2:$C$11,"")</f>
        <v>Admin</v>
      </c>
      <c r="J2345" s="23">
        <f t="array" ref="J2345">INDEX('Indirect Pool - Budget'!$A$2:$AA$38, MATCH(1, ('Indirect Pool - Budget'!$A$2:$A$38=C2345)*('Indirect Pool - Budget'!$C$2:$C$38=H2345), 0), MATCH(A2345,'Indirect Pool - Budget'!$A$2:$AA$2, 0))</f>
        <v>-2929.7949336550059</v>
      </c>
      <c r="K2345" s="113" t="s">
        <v>637</v>
      </c>
    </row>
    <row r="2346" spans="1:11" ht="15" customHeight="1">
      <c r="A2346" s="112">
        <f t="shared" si="147"/>
        <v>46113</v>
      </c>
      <c r="B2346" s="113">
        <v>20</v>
      </c>
      <c r="C2346" s="18" t="s">
        <v>4</v>
      </c>
      <c r="D2346" s="113" t="str">
        <f>_xlfn.XLOOKUP($C2346,'Cost Centers'!$A$2:$A$11,'Cost Centers'!$B$2:$B$11,"")</f>
        <v>Executive</v>
      </c>
      <c r="E2346" s="113" t="s">
        <v>127</v>
      </c>
      <c r="F2346" s="113" t="str">
        <f>_xlfn.XLOOKUP(E2346,'Allocated Transactions'!D:D,'Allocated Transactions'!E:E,"")</f>
        <v>Indirect Cost Allocation</v>
      </c>
      <c r="G2346" s="113" t="s">
        <v>129</v>
      </c>
      <c r="H2346" s="113" t="s">
        <v>339</v>
      </c>
      <c r="I2346" s="113" t="str">
        <f>_xlfn.XLOOKUP($C2346,'Cost Centers'!$A$2:$A$11,'Cost Centers'!$C$2:$C$11,"")</f>
        <v>Admin</v>
      </c>
      <c r="J2346" s="23">
        <f t="array" ref="J2346">INDEX('Indirect Pool - Budget'!$A$2:$AA$38, MATCH(1, ('Indirect Pool - Budget'!$A$2:$A$38=C2346)*('Indirect Pool - Budget'!$C$2:$C$38=H2346), 0), MATCH(A2346,'Indirect Pool - Budget'!$A$2:$AA$2, 0))</f>
        <v>-2905.9107358262968</v>
      </c>
      <c r="K2346" s="113" t="s">
        <v>637</v>
      </c>
    </row>
    <row r="2347" spans="1:11" ht="15" customHeight="1">
      <c r="A2347" s="112">
        <f t="shared" si="147"/>
        <v>46113</v>
      </c>
      <c r="B2347" s="113">
        <v>20</v>
      </c>
      <c r="C2347" s="18" t="s">
        <v>6</v>
      </c>
      <c r="D2347" s="113" t="str">
        <f>_xlfn.XLOOKUP($C2347,'Cost Centers'!$A$2:$A$11,'Cost Centers'!$B$2:$B$11,"")</f>
        <v>Human Resources</v>
      </c>
      <c r="E2347" s="113" t="s">
        <v>127</v>
      </c>
      <c r="F2347" s="113" t="str">
        <f>_xlfn.XLOOKUP(E2347,'Allocated Transactions'!D:D,'Allocated Transactions'!E:E,"")</f>
        <v>Indirect Cost Allocation</v>
      </c>
      <c r="G2347" s="113" t="s">
        <v>129</v>
      </c>
      <c r="H2347" s="113" t="s">
        <v>335</v>
      </c>
      <c r="I2347" s="113" t="str">
        <f>_xlfn.XLOOKUP($C2347,'Cost Centers'!$A$2:$A$11,'Cost Centers'!$C$2:$C$11,"")</f>
        <v>Admin</v>
      </c>
      <c r="J2347" s="23">
        <f t="array" ref="J2347">INDEX('Indirect Pool - Budget'!$A$2:$AA$38, MATCH(1, ('Indirect Pool - Budget'!$A$2:$A$38=C2347)*('Indirect Pool - Budget'!$C$2:$C$38=H2347), 0), MATCH(A2347,'Indirect Pool - Budget'!$A$2:$AA$2, 0))</f>
        <v>-3018.6972255729797</v>
      </c>
      <c r="K2347" s="113" t="s">
        <v>637</v>
      </c>
    </row>
    <row r="2348" spans="1:11" ht="15" customHeight="1">
      <c r="A2348" s="112">
        <f t="shared" si="147"/>
        <v>46113</v>
      </c>
      <c r="B2348" s="113">
        <v>20</v>
      </c>
      <c r="C2348" s="18" t="s">
        <v>6</v>
      </c>
      <c r="D2348" s="113" t="str">
        <f>_xlfn.XLOOKUP($C2348,'Cost Centers'!$A$2:$A$11,'Cost Centers'!$B$2:$B$11,"")</f>
        <v>Human Resources</v>
      </c>
      <c r="E2348" s="113" t="s">
        <v>127</v>
      </c>
      <c r="F2348" s="113" t="str">
        <f>_xlfn.XLOOKUP(E2348,'Allocated Transactions'!D:D,'Allocated Transactions'!E:E,"")</f>
        <v>Indirect Cost Allocation</v>
      </c>
      <c r="G2348" s="113" t="s">
        <v>129</v>
      </c>
      <c r="H2348" s="113" t="s">
        <v>336</v>
      </c>
      <c r="I2348" s="113" t="str">
        <f>_xlfn.XLOOKUP($C2348,'Cost Centers'!$A$2:$A$11,'Cost Centers'!$C$2:$C$11,"")</f>
        <v>Admin</v>
      </c>
      <c r="J2348" s="23">
        <f t="array" ref="J2348">INDEX('Indirect Pool - Budget'!$A$2:$AA$38, MATCH(1, ('Indirect Pool - Budget'!$A$2:$A$38=C2348)*('Indirect Pool - Budget'!$C$2:$C$38=H2348), 0), MATCH(A2348,'Indirect Pool - Budget'!$A$2:$AA$2, 0))</f>
        <v>-4591.375150784078</v>
      </c>
      <c r="K2348" s="113" t="s">
        <v>637</v>
      </c>
    </row>
    <row r="2349" spans="1:11" ht="15" customHeight="1">
      <c r="A2349" s="112">
        <f t="shared" si="147"/>
        <v>46113</v>
      </c>
      <c r="B2349" s="113">
        <v>20</v>
      </c>
      <c r="C2349" s="18" t="s">
        <v>6</v>
      </c>
      <c r="D2349" s="113" t="str">
        <f>_xlfn.XLOOKUP($C2349,'Cost Centers'!$A$2:$A$11,'Cost Centers'!$B$2:$B$11,"")</f>
        <v>Human Resources</v>
      </c>
      <c r="E2349" s="113" t="s">
        <v>127</v>
      </c>
      <c r="F2349" s="113" t="str">
        <f>_xlfn.XLOOKUP(E2349,'Allocated Transactions'!D:D,'Allocated Transactions'!E:E,"")</f>
        <v>Indirect Cost Allocation</v>
      </c>
      <c r="G2349" s="113" t="s">
        <v>129</v>
      </c>
      <c r="H2349" s="113" t="s">
        <v>337</v>
      </c>
      <c r="I2349" s="113" t="str">
        <f>_xlfn.XLOOKUP($C2349,'Cost Centers'!$A$2:$A$11,'Cost Centers'!$C$2:$C$11,"")</f>
        <v>Admin</v>
      </c>
      <c r="J2349" s="23">
        <f t="array" ref="J2349">INDEX('Indirect Pool - Budget'!$A$2:$AA$38, MATCH(1, ('Indirect Pool - Budget'!$A$2:$A$38=C2349)*('Indirect Pool - Budget'!$C$2:$C$38=H2349), 0), MATCH(A2349,'Indirect Pool - Budget'!$A$2:$AA$2, 0))</f>
        <v>-2153.1966224366706</v>
      </c>
      <c r="K2349" s="113" t="s">
        <v>637</v>
      </c>
    </row>
    <row r="2350" spans="1:11" ht="15" customHeight="1">
      <c r="A2350" s="112">
        <f t="shared" si="147"/>
        <v>46113</v>
      </c>
      <c r="B2350" s="113">
        <v>20</v>
      </c>
      <c r="C2350" s="18" t="s">
        <v>6</v>
      </c>
      <c r="D2350" s="113" t="str">
        <f>_xlfn.XLOOKUP($C2350,'Cost Centers'!$A$2:$A$11,'Cost Centers'!$B$2:$B$11,"")</f>
        <v>Human Resources</v>
      </c>
      <c r="E2350" s="113" t="s">
        <v>127</v>
      </c>
      <c r="F2350" s="113" t="str">
        <f>_xlfn.XLOOKUP(E2350,'Allocated Transactions'!D:D,'Allocated Transactions'!E:E,"")</f>
        <v>Indirect Cost Allocation</v>
      </c>
      <c r="G2350" s="113" t="s">
        <v>129</v>
      </c>
      <c r="H2350" s="113" t="s">
        <v>338</v>
      </c>
      <c r="I2350" s="113" t="str">
        <f>_xlfn.XLOOKUP($C2350,'Cost Centers'!$A$2:$A$11,'Cost Centers'!$C$2:$C$11,"")</f>
        <v>Admin</v>
      </c>
      <c r="J2350" s="23">
        <f t="array" ref="J2350">INDEX('Indirect Pool - Budget'!$A$2:$AA$38, MATCH(1, ('Indirect Pool - Budget'!$A$2:$A$38=C2350)*('Indirect Pool - Budget'!$C$2:$C$38=H2350), 0), MATCH(A2350,'Indirect Pool - Budget'!$A$2:$AA$2, 0))</f>
        <v>-3884.1978287092879</v>
      </c>
      <c r="K2350" s="113" t="s">
        <v>637</v>
      </c>
    </row>
    <row r="2351" spans="1:11" ht="15" customHeight="1">
      <c r="A2351" s="112">
        <f t="shared" si="147"/>
        <v>46113</v>
      </c>
      <c r="B2351" s="113">
        <v>20</v>
      </c>
      <c r="C2351" s="18" t="s">
        <v>6</v>
      </c>
      <c r="D2351" s="113" t="str">
        <f>_xlfn.XLOOKUP($C2351,'Cost Centers'!$A$2:$A$11,'Cost Centers'!$B$2:$B$11,"")</f>
        <v>Human Resources</v>
      </c>
      <c r="E2351" s="113" t="s">
        <v>127</v>
      </c>
      <c r="F2351" s="113" t="str">
        <f>_xlfn.XLOOKUP(E2351,'Allocated Transactions'!D:D,'Allocated Transactions'!E:E,"")</f>
        <v>Indirect Cost Allocation</v>
      </c>
      <c r="G2351" s="113" t="s">
        <v>129</v>
      </c>
      <c r="H2351" s="113" t="s">
        <v>339</v>
      </c>
      <c r="I2351" s="113" t="str">
        <f>_xlfn.XLOOKUP($C2351,'Cost Centers'!$A$2:$A$11,'Cost Centers'!$C$2:$C$11,"")</f>
        <v>Admin</v>
      </c>
      <c r="J2351" s="23">
        <f t="array" ref="J2351">INDEX('Indirect Pool - Budget'!$A$2:$AA$38, MATCH(1, ('Indirect Pool - Budget'!$A$2:$A$38=C2351)*('Indirect Pool - Budget'!$C$2:$C$38=H2351), 0), MATCH(A2351,'Indirect Pool - Budget'!$A$2:$AA$2, 0))</f>
        <v>-3852.5331724969842</v>
      </c>
      <c r="K2351" s="113" t="s">
        <v>637</v>
      </c>
    </row>
    <row r="2352" spans="1:11" ht="15" customHeight="1">
      <c r="A2352" s="112">
        <f t="shared" si="147"/>
        <v>46113</v>
      </c>
      <c r="B2352" s="113">
        <v>20</v>
      </c>
      <c r="C2352" s="18" t="s">
        <v>8</v>
      </c>
      <c r="D2352" s="113" t="str">
        <f>_xlfn.XLOOKUP($C2352,'Cost Centers'!$A$2:$A$11,'Cost Centers'!$B$2:$B$11,"")</f>
        <v>Finance</v>
      </c>
      <c r="E2352" s="113" t="s">
        <v>127</v>
      </c>
      <c r="F2352" s="113" t="str">
        <f>_xlfn.XLOOKUP(E2352,'Allocated Transactions'!D:D,'Allocated Transactions'!E:E,"")</f>
        <v>Indirect Cost Allocation</v>
      </c>
      <c r="G2352" s="113" t="s">
        <v>129</v>
      </c>
      <c r="H2352" s="113" t="s">
        <v>335</v>
      </c>
      <c r="I2352" s="113" t="str">
        <f>_xlfn.XLOOKUP($C2352,'Cost Centers'!$A$2:$A$11,'Cost Centers'!$C$2:$C$11,"")</f>
        <v>Admin</v>
      </c>
      <c r="J2352" s="23">
        <f t="array" ref="J2352">INDEX('Indirect Pool - Budget'!$A$2:$AA$38, MATCH(1, ('Indirect Pool - Budget'!$A$2:$A$38=C2352)*('Indirect Pool - Budget'!$C$2:$C$38=H2352), 0), MATCH(A2352,'Indirect Pool - Budget'!$A$2:$AA$2, 0))</f>
        <v>-2863.4499396863694</v>
      </c>
      <c r="K2352" s="113" t="s">
        <v>637</v>
      </c>
    </row>
    <row r="2353" spans="1:11" ht="15" customHeight="1">
      <c r="A2353" s="112">
        <f t="shared" si="147"/>
        <v>46113</v>
      </c>
      <c r="B2353" s="113">
        <v>20</v>
      </c>
      <c r="C2353" s="18" t="s">
        <v>8</v>
      </c>
      <c r="D2353" s="113" t="str">
        <f>_xlfn.XLOOKUP($C2353,'Cost Centers'!$A$2:$A$11,'Cost Centers'!$B$2:$B$11,"")</f>
        <v>Finance</v>
      </c>
      <c r="E2353" s="113" t="s">
        <v>127</v>
      </c>
      <c r="F2353" s="113" t="str">
        <f>_xlfn.XLOOKUP(E2353,'Allocated Transactions'!D:D,'Allocated Transactions'!E:E,"")</f>
        <v>Indirect Cost Allocation</v>
      </c>
      <c r="G2353" s="113" t="s">
        <v>129</v>
      </c>
      <c r="H2353" s="113" t="s">
        <v>336</v>
      </c>
      <c r="I2353" s="113" t="str">
        <f>_xlfn.XLOOKUP($C2353,'Cost Centers'!$A$2:$A$11,'Cost Centers'!$C$2:$C$11,"")</f>
        <v>Admin</v>
      </c>
      <c r="J2353" s="23">
        <f t="array" ref="J2353">INDEX('Indirect Pool - Budget'!$A$2:$AA$38, MATCH(1, ('Indirect Pool - Budget'!$A$2:$A$38=C2353)*('Indirect Pool - Budget'!$C$2:$C$38=H2353), 0), MATCH(A2353,'Indirect Pool - Budget'!$A$2:$AA$2, 0))</f>
        <v>-4355.2472858866104</v>
      </c>
      <c r="K2353" s="113" t="s">
        <v>637</v>
      </c>
    </row>
    <row r="2354" spans="1:11" ht="15" customHeight="1">
      <c r="A2354" s="112">
        <f t="shared" si="147"/>
        <v>46113</v>
      </c>
      <c r="B2354" s="113">
        <v>20</v>
      </c>
      <c r="C2354" s="18" t="s">
        <v>8</v>
      </c>
      <c r="D2354" s="113" t="str">
        <f>_xlfn.XLOOKUP($C2354,'Cost Centers'!$A$2:$A$11,'Cost Centers'!$B$2:$B$11,"")</f>
        <v>Finance</v>
      </c>
      <c r="E2354" s="113" t="s">
        <v>127</v>
      </c>
      <c r="F2354" s="113" t="str">
        <f>_xlfn.XLOOKUP(E2354,'Allocated Transactions'!D:D,'Allocated Transactions'!E:E,"")</f>
        <v>Indirect Cost Allocation</v>
      </c>
      <c r="G2354" s="113" t="s">
        <v>129</v>
      </c>
      <c r="H2354" s="113" t="s">
        <v>337</v>
      </c>
      <c r="I2354" s="113" t="str">
        <f>_xlfn.XLOOKUP($C2354,'Cost Centers'!$A$2:$A$11,'Cost Centers'!$C$2:$C$11,"")</f>
        <v>Admin</v>
      </c>
      <c r="J2354" s="23">
        <f t="array" ref="J2354">INDEX('Indirect Pool - Budget'!$A$2:$AA$38, MATCH(1, ('Indirect Pool - Budget'!$A$2:$A$38=C2354)*('Indirect Pool - Budget'!$C$2:$C$38=H2354), 0), MATCH(A2354,'Indirect Pool - Budget'!$A$2:$AA$2, 0))</f>
        <v>-2042.4607961399277</v>
      </c>
      <c r="K2354" s="113" t="s">
        <v>637</v>
      </c>
    </row>
    <row r="2355" spans="1:11" ht="15" customHeight="1">
      <c r="A2355" s="112">
        <f t="shared" si="147"/>
        <v>46113</v>
      </c>
      <c r="B2355" s="113">
        <v>20</v>
      </c>
      <c r="C2355" s="18" t="s">
        <v>8</v>
      </c>
      <c r="D2355" s="113" t="str">
        <f>_xlfn.XLOOKUP($C2355,'Cost Centers'!$A$2:$A$11,'Cost Centers'!$B$2:$B$11,"")</f>
        <v>Finance</v>
      </c>
      <c r="E2355" s="113" t="s">
        <v>127</v>
      </c>
      <c r="F2355" s="113" t="str">
        <f>_xlfn.XLOOKUP(E2355,'Allocated Transactions'!D:D,'Allocated Transactions'!E:E,"")</f>
        <v>Indirect Cost Allocation</v>
      </c>
      <c r="G2355" s="113" t="s">
        <v>129</v>
      </c>
      <c r="H2355" s="113" t="s">
        <v>338</v>
      </c>
      <c r="I2355" s="113" t="str">
        <f>_xlfn.XLOOKUP($C2355,'Cost Centers'!$A$2:$A$11,'Cost Centers'!$C$2:$C$11,"")</f>
        <v>Admin</v>
      </c>
      <c r="J2355" s="23">
        <f t="array" ref="J2355">INDEX('Indirect Pool - Budget'!$A$2:$AA$38, MATCH(1, ('Indirect Pool - Budget'!$A$2:$A$38=C2355)*('Indirect Pool - Budget'!$C$2:$C$38=H2355), 0), MATCH(A2355,'Indirect Pool - Budget'!$A$2:$AA$2, 0))</f>
        <v>-3684.4390832328104</v>
      </c>
      <c r="K2355" s="113" t="s">
        <v>637</v>
      </c>
    </row>
    <row r="2356" spans="1:11" ht="15" customHeight="1">
      <c r="A2356" s="112">
        <f t="shared" si="147"/>
        <v>46113</v>
      </c>
      <c r="B2356" s="113">
        <v>20</v>
      </c>
      <c r="C2356" s="18" t="s">
        <v>8</v>
      </c>
      <c r="D2356" s="113" t="str">
        <f>_xlfn.XLOOKUP($C2356,'Cost Centers'!$A$2:$A$11,'Cost Centers'!$B$2:$B$11,"")</f>
        <v>Finance</v>
      </c>
      <c r="E2356" s="113" t="s">
        <v>127</v>
      </c>
      <c r="F2356" s="113" t="str">
        <f>_xlfn.XLOOKUP(E2356,'Allocated Transactions'!D:D,'Allocated Transactions'!E:E,"")</f>
        <v>Indirect Cost Allocation</v>
      </c>
      <c r="G2356" s="113" t="s">
        <v>129</v>
      </c>
      <c r="H2356" s="113" t="s">
        <v>339</v>
      </c>
      <c r="I2356" s="113" t="str">
        <f>_xlfn.XLOOKUP($C2356,'Cost Centers'!$A$2:$A$11,'Cost Centers'!$C$2:$C$11,"")</f>
        <v>Admin</v>
      </c>
      <c r="J2356" s="23">
        <f t="array" ref="J2356">INDEX('Indirect Pool - Budget'!$A$2:$AA$38, MATCH(1, ('Indirect Pool - Budget'!$A$2:$A$38=C2356)*('Indirect Pool - Budget'!$C$2:$C$38=H2356), 0), MATCH(A2356,'Indirect Pool - Budget'!$A$2:$AA$2, 0))</f>
        <v>-3654.402895054282</v>
      </c>
      <c r="K2356" s="113" t="s">
        <v>637</v>
      </c>
    </row>
    <row r="2357" spans="1:11" ht="15" customHeight="1">
      <c r="A2357" s="112">
        <f t="shared" si="147"/>
        <v>46113</v>
      </c>
      <c r="B2357" s="113">
        <v>20</v>
      </c>
      <c r="C2357" s="18" t="s">
        <v>10</v>
      </c>
      <c r="D2357" s="113" t="str">
        <f>_xlfn.XLOOKUP($C2357,'Cost Centers'!$A$2:$A$11,'Cost Centers'!$B$2:$B$11,"")</f>
        <v>Business Development</v>
      </c>
      <c r="E2357" s="113" t="s">
        <v>127</v>
      </c>
      <c r="F2357" s="113" t="str">
        <f>_xlfn.XLOOKUP(E2357,'Allocated Transactions'!D:D,'Allocated Transactions'!E:E,"")</f>
        <v>Indirect Cost Allocation</v>
      </c>
      <c r="G2357" s="113" t="s">
        <v>129</v>
      </c>
      <c r="H2357" s="113" t="s">
        <v>335</v>
      </c>
      <c r="I2357" s="113" t="str">
        <f>_xlfn.XLOOKUP($C2357,'Cost Centers'!$A$2:$A$11,'Cost Centers'!$C$2:$C$11,"")</f>
        <v>Admin</v>
      </c>
      <c r="J2357" s="23">
        <f t="array" ref="J2357">INDEX('Indirect Pool - Budget'!$A$2:$AA$38, MATCH(1, ('Indirect Pool - Budget'!$A$2:$A$38=C2357)*('Indirect Pool - Budget'!$C$2:$C$38=H2357), 0), MATCH(A2357,'Indirect Pool - Budget'!$A$2:$AA$2, 0))</f>
        <v>-1759.4692400482509</v>
      </c>
      <c r="K2357" s="113" t="s">
        <v>637</v>
      </c>
    </row>
    <row r="2358" spans="1:11" ht="15" customHeight="1">
      <c r="A2358" s="112">
        <f t="shared" si="147"/>
        <v>46113</v>
      </c>
      <c r="B2358" s="113">
        <v>20</v>
      </c>
      <c r="C2358" s="18" t="s">
        <v>10</v>
      </c>
      <c r="D2358" s="113" t="str">
        <f>_xlfn.XLOOKUP($C2358,'Cost Centers'!$A$2:$A$11,'Cost Centers'!$B$2:$B$11,"")</f>
        <v>Business Development</v>
      </c>
      <c r="E2358" s="113" t="s">
        <v>127</v>
      </c>
      <c r="F2358" s="113" t="str">
        <f>_xlfn.XLOOKUP(E2358,'Allocated Transactions'!D:D,'Allocated Transactions'!E:E,"")</f>
        <v>Indirect Cost Allocation</v>
      </c>
      <c r="G2358" s="113" t="s">
        <v>129</v>
      </c>
      <c r="H2358" s="113" t="s">
        <v>336</v>
      </c>
      <c r="I2358" s="113" t="str">
        <f>_xlfn.XLOOKUP($C2358,'Cost Centers'!$A$2:$A$11,'Cost Centers'!$C$2:$C$11,"")</f>
        <v>Admin</v>
      </c>
      <c r="J2358" s="23">
        <f t="array" ref="J2358">INDEX('Indirect Pool - Budget'!$A$2:$AA$38, MATCH(1, ('Indirect Pool - Budget'!$A$2:$A$38=C2358)*('Indirect Pool - Budget'!$C$2:$C$38=H2358), 0), MATCH(A2358,'Indirect Pool - Budget'!$A$2:$AA$2, 0))</f>
        <v>-2676.1158021712909</v>
      </c>
      <c r="K2358" s="113" t="s">
        <v>637</v>
      </c>
    </row>
    <row r="2359" spans="1:11" ht="15" customHeight="1">
      <c r="A2359" s="112">
        <f t="shared" si="147"/>
        <v>46113</v>
      </c>
      <c r="B2359" s="113">
        <v>20</v>
      </c>
      <c r="C2359" s="18" t="s">
        <v>10</v>
      </c>
      <c r="D2359" s="113" t="str">
        <f>_xlfn.XLOOKUP($C2359,'Cost Centers'!$A$2:$A$11,'Cost Centers'!$B$2:$B$11,"")</f>
        <v>Business Development</v>
      </c>
      <c r="E2359" s="113" t="s">
        <v>127</v>
      </c>
      <c r="F2359" s="113" t="str">
        <f>_xlfn.XLOOKUP(E2359,'Allocated Transactions'!D:D,'Allocated Transactions'!E:E,"")</f>
        <v>Indirect Cost Allocation</v>
      </c>
      <c r="G2359" s="113" t="s">
        <v>129</v>
      </c>
      <c r="H2359" s="113" t="s">
        <v>337</v>
      </c>
      <c r="I2359" s="113" t="str">
        <f>_xlfn.XLOOKUP($C2359,'Cost Centers'!$A$2:$A$11,'Cost Centers'!$C$2:$C$11,"")</f>
        <v>Admin</v>
      </c>
      <c r="J2359" s="23">
        <f t="array" ref="J2359">INDEX('Indirect Pool - Budget'!$A$2:$AA$38, MATCH(1, ('Indirect Pool - Budget'!$A$2:$A$38=C2359)*('Indirect Pool - Budget'!$C$2:$C$38=H2359), 0), MATCH(A2359,'Indirect Pool - Budget'!$A$2:$AA$2, 0))</f>
        <v>-1255.0060313630881</v>
      </c>
      <c r="K2359" s="113" t="s">
        <v>637</v>
      </c>
    </row>
    <row r="2360" spans="1:11" ht="15" customHeight="1">
      <c r="A2360" s="112">
        <f t="shared" si="147"/>
        <v>46113</v>
      </c>
      <c r="B2360" s="113">
        <v>20</v>
      </c>
      <c r="C2360" s="18" t="s">
        <v>10</v>
      </c>
      <c r="D2360" s="113" t="str">
        <f>_xlfn.XLOOKUP($C2360,'Cost Centers'!$A$2:$A$11,'Cost Centers'!$B$2:$B$11,"")</f>
        <v>Business Development</v>
      </c>
      <c r="E2360" s="113" t="s">
        <v>127</v>
      </c>
      <c r="F2360" s="113" t="str">
        <f>_xlfn.XLOOKUP(E2360,'Allocated Transactions'!D:D,'Allocated Transactions'!E:E,"")</f>
        <v>Indirect Cost Allocation</v>
      </c>
      <c r="G2360" s="113" t="s">
        <v>129</v>
      </c>
      <c r="H2360" s="113" t="s">
        <v>338</v>
      </c>
      <c r="I2360" s="113" t="str">
        <f>_xlfn.XLOOKUP($C2360,'Cost Centers'!$A$2:$A$11,'Cost Centers'!$C$2:$C$11,"")</f>
        <v>Admin</v>
      </c>
      <c r="J2360" s="23">
        <f t="array" ref="J2360">INDEX('Indirect Pool - Budget'!$A$2:$AA$38, MATCH(1, ('Indirect Pool - Budget'!$A$2:$A$38=C2360)*('Indirect Pool - Budget'!$C$2:$C$38=H2360), 0), MATCH(A2360,'Indirect Pool - Budget'!$A$2:$AA$2, 0))</f>
        <v>-2263.9324487334138</v>
      </c>
      <c r="K2360" s="113" t="s">
        <v>637</v>
      </c>
    </row>
    <row r="2361" spans="1:11" ht="15" customHeight="1">
      <c r="A2361" s="112">
        <f t="shared" si="147"/>
        <v>46113</v>
      </c>
      <c r="B2361" s="113">
        <v>20</v>
      </c>
      <c r="C2361" s="18" t="s">
        <v>10</v>
      </c>
      <c r="D2361" s="113" t="str">
        <f>_xlfn.XLOOKUP($C2361,'Cost Centers'!$A$2:$A$11,'Cost Centers'!$B$2:$B$11,"")</f>
        <v>Business Development</v>
      </c>
      <c r="E2361" s="113" t="s">
        <v>127</v>
      </c>
      <c r="F2361" s="113" t="str">
        <f>_xlfn.XLOOKUP(E2361,'Allocated Transactions'!D:D,'Allocated Transactions'!E:E,"")</f>
        <v>Indirect Cost Allocation</v>
      </c>
      <c r="G2361" s="113" t="s">
        <v>129</v>
      </c>
      <c r="H2361" s="113" t="s">
        <v>339</v>
      </c>
      <c r="I2361" s="113" t="str">
        <f>_xlfn.XLOOKUP($C2361,'Cost Centers'!$A$2:$A$11,'Cost Centers'!$C$2:$C$11,"")</f>
        <v>Admin</v>
      </c>
      <c r="J2361" s="23">
        <f t="array" ref="J2361">INDEX('Indirect Pool - Budget'!$A$2:$AA$38, MATCH(1, ('Indirect Pool - Budget'!$A$2:$A$38=C2361)*('Indirect Pool - Budget'!$C$2:$C$38=H2361), 0), MATCH(A2361,'Indirect Pool - Budget'!$A$2:$AA$2, 0))</f>
        <v>-2245.4764776839565</v>
      </c>
      <c r="K2361" s="113" t="s">
        <v>637</v>
      </c>
    </row>
    <row r="2362" spans="1:11" ht="15" customHeight="1">
      <c r="A2362" s="112">
        <f t="shared" si="147"/>
        <v>46143</v>
      </c>
      <c r="B2362" s="113">
        <v>21</v>
      </c>
      <c r="C2362" s="18" t="s">
        <v>4</v>
      </c>
      <c r="D2362" s="113" t="str">
        <f>_xlfn.XLOOKUP($C2362,'Cost Centers'!$A$2:$A$11,'Cost Centers'!$B$2:$B$11,"")</f>
        <v>Executive</v>
      </c>
      <c r="E2362" s="113" t="s">
        <v>127</v>
      </c>
      <c r="F2362" s="113" t="str">
        <f>_xlfn.XLOOKUP(E2362,'Allocated Transactions'!D:D,'Allocated Transactions'!E:E,"")</f>
        <v>Indirect Cost Allocation</v>
      </c>
      <c r="G2362" s="113" t="s">
        <v>129</v>
      </c>
      <c r="H2362" s="113" t="s">
        <v>335</v>
      </c>
      <c r="I2362" s="113" t="str">
        <f>_xlfn.XLOOKUP($C2362,'Cost Centers'!$A$2:$A$11,'Cost Centers'!$C$2:$C$11,"")</f>
        <v>Admin</v>
      </c>
      <c r="J2362" s="23">
        <f t="array" ref="J2362">INDEX('Indirect Pool - Budget'!$A$2:$AA$38, MATCH(1, ('Indirect Pool - Budget'!$A$2:$A$38=C2362)*('Indirect Pool - Budget'!$C$2:$C$38=H2362), 0), MATCH(A2362,'Indirect Pool - Budget'!$A$2:$AA$2, 0))</f>
        <v>-2350.1759324419422</v>
      </c>
      <c r="K2362" s="113" t="s">
        <v>637</v>
      </c>
    </row>
    <row r="2363" spans="1:11" ht="15" customHeight="1">
      <c r="A2363" s="112">
        <f t="shared" si="147"/>
        <v>46143</v>
      </c>
      <c r="B2363" s="113">
        <v>21</v>
      </c>
      <c r="C2363" s="18" t="s">
        <v>4</v>
      </c>
      <c r="D2363" s="113" t="str">
        <f>_xlfn.XLOOKUP($C2363,'Cost Centers'!$A$2:$A$11,'Cost Centers'!$B$2:$B$11,"")</f>
        <v>Executive</v>
      </c>
      <c r="E2363" s="113" t="s">
        <v>127</v>
      </c>
      <c r="F2363" s="113" t="str">
        <f>_xlfn.XLOOKUP(E2363,'Allocated Transactions'!D:D,'Allocated Transactions'!E:E,"")</f>
        <v>Indirect Cost Allocation</v>
      </c>
      <c r="G2363" s="113" t="s">
        <v>129</v>
      </c>
      <c r="H2363" s="113" t="s">
        <v>336</v>
      </c>
      <c r="I2363" s="113" t="str">
        <f>_xlfn.XLOOKUP($C2363,'Cost Centers'!$A$2:$A$11,'Cost Centers'!$C$2:$C$11,"")</f>
        <v>Admin</v>
      </c>
      <c r="J2363" s="23">
        <f t="array" ref="J2363">INDEX('Indirect Pool - Budget'!$A$2:$AA$38, MATCH(1, ('Indirect Pool - Budget'!$A$2:$A$38=C2363)*('Indirect Pool - Budget'!$C$2:$C$38=H2363), 0), MATCH(A2363,'Indirect Pool - Budget'!$A$2:$AA$2, 0))</f>
        <v>-2724.8416608022517</v>
      </c>
      <c r="K2363" s="113" t="s">
        <v>637</v>
      </c>
    </row>
    <row r="2364" spans="1:11" ht="15" customHeight="1">
      <c r="A2364" s="112">
        <f t="shared" si="147"/>
        <v>46143</v>
      </c>
      <c r="B2364" s="113">
        <v>21</v>
      </c>
      <c r="C2364" s="18" t="s">
        <v>4</v>
      </c>
      <c r="D2364" s="113" t="str">
        <f>_xlfn.XLOOKUP($C2364,'Cost Centers'!$A$2:$A$11,'Cost Centers'!$B$2:$B$11,"")</f>
        <v>Executive</v>
      </c>
      <c r="E2364" s="113" t="s">
        <v>127</v>
      </c>
      <c r="F2364" s="113" t="str">
        <f>_xlfn.XLOOKUP(E2364,'Allocated Transactions'!D:D,'Allocated Transactions'!E:E,"")</f>
        <v>Indirect Cost Allocation</v>
      </c>
      <c r="G2364" s="113" t="s">
        <v>129</v>
      </c>
      <c r="H2364" s="113" t="s">
        <v>337</v>
      </c>
      <c r="I2364" s="113" t="str">
        <f>_xlfn.XLOOKUP($C2364,'Cost Centers'!$A$2:$A$11,'Cost Centers'!$C$2:$C$11,"")</f>
        <v>Admin</v>
      </c>
      <c r="J2364" s="23">
        <f t="array" ref="J2364">INDEX('Indirect Pool - Budget'!$A$2:$AA$38, MATCH(1, ('Indirect Pool - Budget'!$A$2:$A$38=C2364)*('Indirect Pool - Budget'!$C$2:$C$38=H2364), 0), MATCH(A2364,'Indirect Pool - Budget'!$A$2:$AA$2, 0))</f>
        <v>-1115.482054890922</v>
      </c>
      <c r="K2364" s="113" t="s">
        <v>637</v>
      </c>
    </row>
    <row r="2365" spans="1:11" ht="15" customHeight="1">
      <c r="A2365" s="112">
        <f t="shared" si="147"/>
        <v>46143</v>
      </c>
      <c r="B2365" s="113">
        <v>21</v>
      </c>
      <c r="C2365" s="18" t="s">
        <v>4</v>
      </c>
      <c r="D2365" s="113" t="str">
        <f>_xlfn.XLOOKUP($C2365,'Cost Centers'!$A$2:$A$11,'Cost Centers'!$B$2:$B$11,"")</f>
        <v>Executive</v>
      </c>
      <c r="E2365" s="113" t="s">
        <v>127</v>
      </c>
      <c r="F2365" s="113" t="str">
        <f>_xlfn.XLOOKUP(E2365,'Allocated Transactions'!D:D,'Allocated Transactions'!E:E,"")</f>
        <v>Indirect Cost Allocation</v>
      </c>
      <c r="G2365" s="113" t="s">
        <v>129</v>
      </c>
      <c r="H2365" s="113" t="s">
        <v>338</v>
      </c>
      <c r="I2365" s="113" t="str">
        <f>_xlfn.XLOOKUP($C2365,'Cost Centers'!$A$2:$A$11,'Cost Centers'!$C$2:$C$11,"")</f>
        <v>Admin</v>
      </c>
      <c r="J2365" s="23">
        <f t="array" ref="J2365">INDEX('Indirect Pool - Budget'!$A$2:$AA$38, MATCH(1, ('Indirect Pool - Budget'!$A$2:$A$38=C2365)*('Indirect Pool - Budget'!$C$2:$C$38=H2365), 0), MATCH(A2365,'Indirect Pool - Budget'!$A$2:$AA$2, 0))</f>
        <v>-2452.3574947220268</v>
      </c>
      <c r="K2365" s="113" t="s">
        <v>637</v>
      </c>
    </row>
    <row r="2366" spans="1:11" ht="15" customHeight="1">
      <c r="A2366" s="112">
        <f t="shared" si="147"/>
        <v>46143</v>
      </c>
      <c r="B2366" s="113">
        <v>21</v>
      </c>
      <c r="C2366" s="18" t="s">
        <v>4</v>
      </c>
      <c r="D2366" s="113" t="str">
        <f>_xlfn.XLOOKUP($C2366,'Cost Centers'!$A$2:$A$11,'Cost Centers'!$B$2:$B$11,"")</f>
        <v>Executive</v>
      </c>
      <c r="E2366" s="113" t="s">
        <v>127</v>
      </c>
      <c r="F2366" s="113" t="str">
        <f>_xlfn.XLOOKUP(E2366,'Allocated Transactions'!D:D,'Allocated Transactions'!E:E,"")</f>
        <v>Indirect Cost Allocation</v>
      </c>
      <c r="G2366" s="113" t="s">
        <v>129</v>
      </c>
      <c r="H2366" s="113" t="s">
        <v>339</v>
      </c>
      <c r="I2366" s="113" t="str">
        <f>_xlfn.XLOOKUP($C2366,'Cost Centers'!$A$2:$A$11,'Cost Centers'!$C$2:$C$11,"")</f>
        <v>Admin</v>
      </c>
      <c r="J2366" s="23">
        <f t="array" ref="J2366">INDEX('Indirect Pool - Budget'!$A$2:$AA$38, MATCH(1, ('Indirect Pool - Budget'!$A$2:$A$38=C2366)*('Indirect Pool - Budget'!$C$2:$C$38=H2366), 0), MATCH(A2366,'Indirect Pool - Budget'!$A$2:$AA$2, 0))</f>
        <v>-3457.1428571428569</v>
      </c>
      <c r="K2366" s="113" t="s">
        <v>637</v>
      </c>
    </row>
    <row r="2367" spans="1:11" ht="15" customHeight="1">
      <c r="A2367" s="112">
        <f t="shared" si="147"/>
        <v>46143</v>
      </c>
      <c r="B2367" s="113">
        <v>21</v>
      </c>
      <c r="C2367" s="18" t="s">
        <v>6</v>
      </c>
      <c r="D2367" s="113" t="str">
        <f>_xlfn.XLOOKUP($C2367,'Cost Centers'!$A$2:$A$11,'Cost Centers'!$B$2:$B$11,"")</f>
        <v>Human Resources</v>
      </c>
      <c r="E2367" s="113" t="s">
        <v>127</v>
      </c>
      <c r="F2367" s="113" t="str">
        <f>_xlfn.XLOOKUP(E2367,'Allocated Transactions'!D:D,'Allocated Transactions'!E:E,"")</f>
        <v>Indirect Cost Allocation</v>
      </c>
      <c r="G2367" s="113" t="s">
        <v>129</v>
      </c>
      <c r="H2367" s="113" t="s">
        <v>335</v>
      </c>
      <c r="I2367" s="113" t="str">
        <f>_xlfn.XLOOKUP($C2367,'Cost Centers'!$A$2:$A$11,'Cost Centers'!$C$2:$C$11,"")</f>
        <v>Admin</v>
      </c>
      <c r="J2367" s="23">
        <f t="array" ref="J2367">INDEX('Indirect Pool - Budget'!$A$2:$AA$38, MATCH(1, ('Indirect Pool - Budget'!$A$2:$A$38=C2367)*('Indirect Pool - Budget'!$C$2:$C$38=H2367), 0), MATCH(A2367,'Indirect Pool - Budget'!$A$2:$AA$2, 0))</f>
        <v>-3185.3624208304009</v>
      </c>
      <c r="K2367" s="113" t="s">
        <v>637</v>
      </c>
    </row>
    <row r="2368" spans="1:11" ht="15" customHeight="1">
      <c r="A2368" s="112">
        <f t="shared" si="147"/>
        <v>46143</v>
      </c>
      <c r="B2368" s="113">
        <v>21</v>
      </c>
      <c r="C2368" s="18" t="s">
        <v>6</v>
      </c>
      <c r="D2368" s="113" t="str">
        <f>_xlfn.XLOOKUP($C2368,'Cost Centers'!$A$2:$A$11,'Cost Centers'!$B$2:$B$11,"")</f>
        <v>Human Resources</v>
      </c>
      <c r="E2368" s="113" t="s">
        <v>127</v>
      </c>
      <c r="F2368" s="113" t="str">
        <f>_xlfn.XLOOKUP(E2368,'Allocated Transactions'!D:D,'Allocated Transactions'!E:E,"")</f>
        <v>Indirect Cost Allocation</v>
      </c>
      <c r="G2368" s="113" t="s">
        <v>129</v>
      </c>
      <c r="H2368" s="113" t="s">
        <v>336</v>
      </c>
      <c r="I2368" s="113" t="str">
        <f>_xlfn.XLOOKUP($C2368,'Cost Centers'!$A$2:$A$11,'Cost Centers'!$C$2:$C$11,"")</f>
        <v>Admin</v>
      </c>
      <c r="J2368" s="23">
        <f t="array" ref="J2368">INDEX('Indirect Pool - Budget'!$A$2:$AA$38, MATCH(1, ('Indirect Pool - Budget'!$A$2:$A$38=C2368)*('Indirect Pool - Budget'!$C$2:$C$38=H2368), 0), MATCH(A2368,'Indirect Pool - Budget'!$A$2:$AA$2, 0))</f>
        <v>-3693.1738212526388</v>
      </c>
      <c r="K2368" s="113" t="s">
        <v>637</v>
      </c>
    </row>
    <row r="2369" spans="1:11" ht="15" customHeight="1">
      <c r="A2369" s="112">
        <f t="shared" si="147"/>
        <v>46143</v>
      </c>
      <c r="B2369" s="113">
        <v>21</v>
      </c>
      <c r="C2369" s="18" t="s">
        <v>6</v>
      </c>
      <c r="D2369" s="113" t="str">
        <f>_xlfn.XLOOKUP($C2369,'Cost Centers'!$A$2:$A$11,'Cost Centers'!$B$2:$B$11,"")</f>
        <v>Human Resources</v>
      </c>
      <c r="E2369" s="113" t="s">
        <v>127</v>
      </c>
      <c r="F2369" s="113" t="str">
        <f>_xlfn.XLOOKUP(E2369,'Allocated Transactions'!D:D,'Allocated Transactions'!E:E,"")</f>
        <v>Indirect Cost Allocation</v>
      </c>
      <c r="G2369" s="113" t="s">
        <v>129</v>
      </c>
      <c r="H2369" s="113" t="s">
        <v>337</v>
      </c>
      <c r="I2369" s="113" t="str">
        <f>_xlfn.XLOOKUP($C2369,'Cost Centers'!$A$2:$A$11,'Cost Centers'!$C$2:$C$11,"")</f>
        <v>Admin</v>
      </c>
      <c r="J2369" s="23">
        <f t="array" ref="J2369">INDEX('Indirect Pool - Budget'!$A$2:$AA$38, MATCH(1, ('Indirect Pool - Budget'!$A$2:$A$38=C2369)*('Indirect Pool - Budget'!$C$2:$C$38=H2369), 0), MATCH(A2369,'Indirect Pool - Budget'!$A$2:$AA$2, 0))</f>
        <v>-1511.8930330752992</v>
      </c>
      <c r="K2369" s="113" t="s">
        <v>637</v>
      </c>
    </row>
    <row r="2370" spans="1:11" ht="15" customHeight="1">
      <c r="A2370" s="112">
        <f t="shared" si="147"/>
        <v>46143</v>
      </c>
      <c r="B2370" s="113">
        <v>21</v>
      </c>
      <c r="C2370" s="18" t="s">
        <v>6</v>
      </c>
      <c r="D2370" s="113" t="str">
        <f>_xlfn.XLOOKUP($C2370,'Cost Centers'!$A$2:$A$11,'Cost Centers'!$B$2:$B$11,"")</f>
        <v>Human Resources</v>
      </c>
      <c r="E2370" s="113" t="s">
        <v>127</v>
      </c>
      <c r="F2370" s="113" t="str">
        <f>_xlfn.XLOOKUP(E2370,'Allocated Transactions'!D:D,'Allocated Transactions'!E:E,"")</f>
        <v>Indirect Cost Allocation</v>
      </c>
      <c r="G2370" s="113" t="s">
        <v>129</v>
      </c>
      <c r="H2370" s="113" t="s">
        <v>338</v>
      </c>
      <c r="I2370" s="113" t="str">
        <f>_xlfn.XLOOKUP($C2370,'Cost Centers'!$A$2:$A$11,'Cost Centers'!$C$2:$C$11,"")</f>
        <v>Admin</v>
      </c>
      <c r="J2370" s="23">
        <f t="array" ref="J2370">INDEX('Indirect Pool - Budget'!$A$2:$AA$38, MATCH(1, ('Indirect Pool - Budget'!$A$2:$A$38=C2370)*('Indirect Pool - Budget'!$C$2:$C$38=H2370), 0), MATCH(A2370,'Indirect Pool - Budget'!$A$2:$AA$2, 0))</f>
        <v>-3323.8564391273749</v>
      </c>
      <c r="K2370" s="113" t="s">
        <v>637</v>
      </c>
    </row>
    <row r="2371" spans="1:11" ht="15" customHeight="1">
      <c r="A2371" s="112">
        <f t="shared" si="147"/>
        <v>46143</v>
      </c>
      <c r="B2371" s="113">
        <v>21</v>
      </c>
      <c r="C2371" s="18" t="s">
        <v>6</v>
      </c>
      <c r="D2371" s="113" t="str">
        <f>_xlfn.XLOOKUP($C2371,'Cost Centers'!$A$2:$A$11,'Cost Centers'!$B$2:$B$11,"")</f>
        <v>Human Resources</v>
      </c>
      <c r="E2371" s="113" t="s">
        <v>127</v>
      </c>
      <c r="F2371" s="113" t="str">
        <f>_xlfn.XLOOKUP(E2371,'Allocated Transactions'!D:D,'Allocated Transactions'!E:E,"")</f>
        <v>Indirect Cost Allocation</v>
      </c>
      <c r="G2371" s="113" t="s">
        <v>129</v>
      </c>
      <c r="H2371" s="113" t="s">
        <v>339</v>
      </c>
      <c r="I2371" s="113" t="str">
        <f>_xlfn.XLOOKUP($C2371,'Cost Centers'!$A$2:$A$11,'Cost Centers'!$C$2:$C$11,"")</f>
        <v>Admin</v>
      </c>
      <c r="J2371" s="23">
        <f t="array" ref="J2371">INDEX('Indirect Pool - Budget'!$A$2:$AA$38, MATCH(1, ('Indirect Pool - Budget'!$A$2:$A$38=C2371)*('Indirect Pool - Budget'!$C$2:$C$38=H2371), 0), MATCH(A2371,'Indirect Pool - Budget'!$A$2:$AA$2, 0))</f>
        <v>-4685.7142857142853</v>
      </c>
      <c r="K2371" s="113" t="s">
        <v>637</v>
      </c>
    </row>
    <row r="2372" spans="1:11" ht="15" customHeight="1">
      <c r="A2372" s="112">
        <f t="shared" si="147"/>
        <v>46143</v>
      </c>
      <c r="B2372" s="113">
        <v>21</v>
      </c>
      <c r="C2372" s="18" t="s">
        <v>8</v>
      </c>
      <c r="D2372" s="113" t="str">
        <f>_xlfn.XLOOKUP($C2372,'Cost Centers'!$A$2:$A$11,'Cost Centers'!$B$2:$B$11,"")</f>
        <v>Finance</v>
      </c>
      <c r="E2372" s="113" t="s">
        <v>127</v>
      </c>
      <c r="F2372" s="113" t="str">
        <f>_xlfn.XLOOKUP(E2372,'Allocated Transactions'!D:D,'Allocated Transactions'!E:E,"")</f>
        <v>Indirect Cost Allocation</v>
      </c>
      <c r="G2372" s="113" t="s">
        <v>129</v>
      </c>
      <c r="H2372" s="113" t="s">
        <v>335</v>
      </c>
      <c r="I2372" s="113" t="str">
        <f>_xlfn.XLOOKUP($C2372,'Cost Centers'!$A$2:$A$11,'Cost Centers'!$C$2:$C$11,"")</f>
        <v>Admin</v>
      </c>
      <c r="J2372" s="23">
        <f t="array" ref="J2372">INDEX('Indirect Pool - Budget'!$A$2:$AA$38, MATCH(1, ('Indirect Pool - Budget'!$A$2:$A$38=C2372)*('Indirect Pool - Budget'!$C$2:$C$38=H2372), 0), MATCH(A2372,'Indirect Pool - Budget'!$A$2:$AA$2, 0))</f>
        <v>-4234.2012667135814</v>
      </c>
      <c r="K2372" s="113" t="s">
        <v>637</v>
      </c>
    </row>
    <row r="2373" spans="1:11" ht="15" customHeight="1">
      <c r="A2373" s="112">
        <f t="shared" si="147"/>
        <v>46143</v>
      </c>
      <c r="B2373" s="113">
        <v>21</v>
      </c>
      <c r="C2373" s="18" t="s">
        <v>8</v>
      </c>
      <c r="D2373" s="113" t="str">
        <f>_xlfn.XLOOKUP($C2373,'Cost Centers'!$A$2:$A$11,'Cost Centers'!$B$2:$B$11,"")</f>
        <v>Finance</v>
      </c>
      <c r="E2373" s="113" t="s">
        <v>127</v>
      </c>
      <c r="F2373" s="113" t="str">
        <f>_xlfn.XLOOKUP(E2373,'Allocated Transactions'!D:D,'Allocated Transactions'!E:E,"")</f>
        <v>Indirect Cost Allocation</v>
      </c>
      <c r="G2373" s="113" t="s">
        <v>129</v>
      </c>
      <c r="H2373" s="113" t="s">
        <v>336</v>
      </c>
      <c r="I2373" s="113" t="str">
        <f>_xlfn.XLOOKUP($C2373,'Cost Centers'!$A$2:$A$11,'Cost Centers'!$C$2:$C$11,"")</f>
        <v>Admin</v>
      </c>
      <c r="J2373" s="23">
        <f t="array" ref="J2373">INDEX('Indirect Pool - Budget'!$A$2:$AA$38, MATCH(1, ('Indirect Pool - Budget'!$A$2:$A$38=C2373)*('Indirect Pool - Budget'!$C$2:$C$38=H2373), 0), MATCH(A2373,'Indirect Pool - Budget'!$A$2:$AA$2, 0))</f>
        <v>-4909.2188599577757</v>
      </c>
      <c r="K2373" s="113" t="s">
        <v>637</v>
      </c>
    </row>
    <row r="2374" spans="1:11" ht="15" customHeight="1">
      <c r="A2374" s="112">
        <f t="shared" ref="A2374:A2401" si="148">IF(C2373&amp;C2374="10501010",EOMONTH(A2373,0)+1,A2373)</f>
        <v>46143</v>
      </c>
      <c r="B2374" s="113">
        <v>21</v>
      </c>
      <c r="C2374" s="18" t="s">
        <v>8</v>
      </c>
      <c r="D2374" s="113" t="str">
        <f>_xlfn.XLOOKUP($C2374,'Cost Centers'!$A$2:$A$11,'Cost Centers'!$B$2:$B$11,"")</f>
        <v>Finance</v>
      </c>
      <c r="E2374" s="113" t="s">
        <v>127</v>
      </c>
      <c r="F2374" s="113" t="str">
        <f>_xlfn.XLOOKUP(E2374,'Allocated Transactions'!D:D,'Allocated Transactions'!E:E,"")</f>
        <v>Indirect Cost Allocation</v>
      </c>
      <c r="G2374" s="113" t="s">
        <v>129</v>
      </c>
      <c r="H2374" s="113" t="s">
        <v>337</v>
      </c>
      <c r="I2374" s="113" t="str">
        <f>_xlfn.XLOOKUP($C2374,'Cost Centers'!$A$2:$A$11,'Cost Centers'!$C$2:$C$11,"")</f>
        <v>Admin</v>
      </c>
      <c r="J2374" s="23">
        <f t="array" ref="J2374">INDEX('Indirect Pool - Budget'!$A$2:$AA$38, MATCH(1, ('Indirect Pool - Budget'!$A$2:$A$38=C2374)*('Indirect Pool - Budget'!$C$2:$C$38=H2374), 0), MATCH(A2374,'Indirect Pool - Budget'!$A$2:$AA$2, 0))</f>
        <v>-2009.7114707952146</v>
      </c>
      <c r="K2374" s="113" t="s">
        <v>637</v>
      </c>
    </row>
    <row r="2375" spans="1:11" ht="15" customHeight="1">
      <c r="A2375" s="112">
        <f t="shared" si="148"/>
        <v>46143</v>
      </c>
      <c r="B2375" s="113">
        <v>21</v>
      </c>
      <c r="C2375" s="18" t="s">
        <v>8</v>
      </c>
      <c r="D2375" s="113" t="str">
        <f>_xlfn.XLOOKUP($C2375,'Cost Centers'!$A$2:$A$11,'Cost Centers'!$B$2:$B$11,"")</f>
        <v>Finance</v>
      </c>
      <c r="E2375" s="113" t="s">
        <v>127</v>
      </c>
      <c r="F2375" s="113" t="str">
        <f>_xlfn.XLOOKUP(E2375,'Allocated Transactions'!D:D,'Allocated Transactions'!E:E,"")</f>
        <v>Indirect Cost Allocation</v>
      </c>
      <c r="G2375" s="113" t="s">
        <v>129</v>
      </c>
      <c r="H2375" s="113" t="s">
        <v>338</v>
      </c>
      <c r="I2375" s="113" t="str">
        <f>_xlfn.XLOOKUP($C2375,'Cost Centers'!$A$2:$A$11,'Cost Centers'!$C$2:$C$11,"")</f>
        <v>Admin</v>
      </c>
      <c r="J2375" s="23">
        <f t="array" ref="J2375">INDEX('Indirect Pool - Budget'!$A$2:$AA$38, MATCH(1, ('Indirect Pool - Budget'!$A$2:$A$38=C2375)*('Indirect Pool - Budget'!$C$2:$C$38=H2375), 0), MATCH(A2375,'Indirect Pool - Budget'!$A$2:$AA$2, 0))</f>
        <v>-4418.2969739619984</v>
      </c>
      <c r="K2375" s="113" t="s">
        <v>637</v>
      </c>
    </row>
    <row r="2376" spans="1:11" ht="15" customHeight="1">
      <c r="A2376" s="112">
        <f t="shared" si="148"/>
        <v>46143</v>
      </c>
      <c r="B2376" s="113">
        <v>21</v>
      </c>
      <c r="C2376" s="18" t="s">
        <v>8</v>
      </c>
      <c r="D2376" s="113" t="str">
        <f>_xlfn.XLOOKUP($C2376,'Cost Centers'!$A$2:$A$11,'Cost Centers'!$B$2:$B$11,"")</f>
        <v>Finance</v>
      </c>
      <c r="E2376" s="113" t="s">
        <v>127</v>
      </c>
      <c r="F2376" s="113" t="str">
        <f>_xlfn.XLOOKUP(E2376,'Allocated Transactions'!D:D,'Allocated Transactions'!E:E,"")</f>
        <v>Indirect Cost Allocation</v>
      </c>
      <c r="G2376" s="113" t="s">
        <v>129</v>
      </c>
      <c r="H2376" s="113" t="s">
        <v>339</v>
      </c>
      <c r="I2376" s="113" t="str">
        <f>_xlfn.XLOOKUP($C2376,'Cost Centers'!$A$2:$A$11,'Cost Centers'!$C$2:$C$11,"")</f>
        <v>Admin</v>
      </c>
      <c r="J2376" s="23">
        <f t="array" ref="J2376">INDEX('Indirect Pool - Budget'!$A$2:$AA$38, MATCH(1, ('Indirect Pool - Budget'!$A$2:$A$38=C2376)*('Indirect Pool - Budget'!$C$2:$C$38=H2376), 0), MATCH(A2376,'Indirect Pool - Budget'!$A$2:$AA$2, 0))</f>
        <v>-6228.5714285714284</v>
      </c>
      <c r="K2376" s="113" t="s">
        <v>637</v>
      </c>
    </row>
    <row r="2377" spans="1:11" ht="15" customHeight="1">
      <c r="A2377" s="112">
        <f t="shared" si="148"/>
        <v>46143</v>
      </c>
      <c r="B2377" s="113">
        <v>21</v>
      </c>
      <c r="C2377" s="18" t="s">
        <v>10</v>
      </c>
      <c r="D2377" s="113" t="str">
        <f>_xlfn.XLOOKUP($C2377,'Cost Centers'!$A$2:$A$11,'Cost Centers'!$B$2:$B$11,"")</f>
        <v>Business Development</v>
      </c>
      <c r="E2377" s="113" t="s">
        <v>127</v>
      </c>
      <c r="F2377" s="113" t="str">
        <f>_xlfn.XLOOKUP(E2377,'Allocated Transactions'!D:D,'Allocated Transactions'!E:E,"")</f>
        <v>Indirect Cost Allocation</v>
      </c>
      <c r="G2377" s="113" t="s">
        <v>129</v>
      </c>
      <c r="H2377" s="113" t="s">
        <v>335</v>
      </c>
      <c r="I2377" s="113" t="str">
        <f>_xlfn.XLOOKUP($C2377,'Cost Centers'!$A$2:$A$11,'Cost Centers'!$C$2:$C$11,"")</f>
        <v>Admin</v>
      </c>
      <c r="J2377" s="23">
        <f t="array" ref="J2377">INDEX('Indirect Pool - Budget'!$A$2:$AA$38, MATCH(1, ('Indirect Pool - Budget'!$A$2:$A$38=C2377)*('Indirect Pool - Budget'!$C$2:$C$38=H2377), 0), MATCH(A2377,'Indirect Pool - Budget'!$A$2:$AA$2, 0))</f>
        <v>-1650.9500351864883</v>
      </c>
      <c r="K2377" s="113" t="s">
        <v>637</v>
      </c>
    </row>
    <row r="2378" spans="1:11" ht="15" customHeight="1">
      <c r="A2378" s="112">
        <f t="shared" si="148"/>
        <v>46143</v>
      </c>
      <c r="B2378" s="113">
        <v>21</v>
      </c>
      <c r="C2378" s="18" t="s">
        <v>10</v>
      </c>
      <c r="D2378" s="113" t="str">
        <f>_xlfn.XLOOKUP($C2378,'Cost Centers'!$A$2:$A$11,'Cost Centers'!$B$2:$B$11,"")</f>
        <v>Business Development</v>
      </c>
      <c r="E2378" s="113" t="s">
        <v>127</v>
      </c>
      <c r="F2378" s="113" t="str">
        <f>_xlfn.XLOOKUP(E2378,'Allocated Transactions'!D:D,'Allocated Transactions'!E:E,"")</f>
        <v>Indirect Cost Allocation</v>
      </c>
      <c r="G2378" s="113" t="s">
        <v>129</v>
      </c>
      <c r="H2378" s="113" t="s">
        <v>336</v>
      </c>
      <c r="I2378" s="113" t="str">
        <f>_xlfn.XLOOKUP($C2378,'Cost Centers'!$A$2:$A$11,'Cost Centers'!$C$2:$C$11,"")</f>
        <v>Admin</v>
      </c>
      <c r="J2378" s="23">
        <f t="array" ref="J2378">INDEX('Indirect Pool - Budget'!$A$2:$AA$38, MATCH(1, ('Indirect Pool - Budget'!$A$2:$A$38=C2378)*('Indirect Pool - Budget'!$C$2:$C$38=H2378), 0), MATCH(A2378,'Indirect Pool - Budget'!$A$2:$AA$2, 0))</f>
        <v>-1914.1449683321603</v>
      </c>
      <c r="K2378" s="113" t="s">
        <v>637</v>
      </c>
    </row>
    <row r="2379" spans="1:11" ht="15" customHeight="1">
      <c r="A2379" s="112">
        <f t="shared" si="148"/>
        <v>46143</v>
      </c>
      <c r="B2379" s="113">
        <v>21</v>
      </c>
      <c r="C2379" s="18" t="s">
        <v>10</v>
      </c>
      <c r="D2379" s="113" t="str">
        <f>_xlfn.XLOOKUP($C2379,'Cost Centers'!$A$2:$A$11,'Cost Centers'!$B$2:$B$11,"")</f>
        <v>Business Development</v>
      </c>
      <c r="E2379" s="113" t="s">
        <v>127</v>
      </c>
      <c r="F2379" s="113" t="str">
        <f>_xlfn.XLOOKUP(E2379,'Allocated Transactions'!D:D,'Allocated Transactions'!E:E,"")</f>
        <v>Indirect Cost Allocation</v>
      </c>
      <c r="G2379" s="113" t="s">
        <v>129</v>
      </c>
      <c r="H2379" s="113" t="s">
        <v>337</v>
      </c>
      <c r="I2379" s="113" t="str">
        <f>_xlfn.XLOOKUP($C2379,'Cost Centers'!$A$2:$A$11,'Cost Centers'!$C$2:$C$11,"")</f>
        <v>Admin</v>
      </c>
      <c r="J2379" s="23">
        <f t="array" ref="J2379">INDEX('Indirect Pool - Budget'!$A$2:$AA$38, MATCH(1, ('Indirect Pool - Budget'!$A$2:$A$38=C2379)*('Indirect Pool - Budget'!$C$2:$C$38=H2379), 0), MATCH(A2379,'Indirect Pool - Budget'!$A$2:$AA$2, 0))</f>
        <v>-783.6030964109782</v>
      </c>
      <c r="K2379" s="113" t="s">
        <v>637</v>
      </c>
    </row>
    <row r="2380" spans="1:11" ht="15" customHeight="1">
      <c r="A2380" s="112">
        <f t="shared" si="148"/>
        <v>46143</v>
      </c>
      <c r="B2380" s="113">
        <v>21</v>
      </c>
      <c r="C2380" s="18" t="s">
        <v>10</v>
      </c>
      <c r="D2380" s="113" t="str">
        <f>_xlfn.XLOOKUP($C2380,'Cost Centers'!$A$2:$A$11,'Cost Centers'!$B$2:$B$11,"")</f>
        <v>Business Development</v>
      </c>
      <c r="E2380" s="113" t="s">
        <v>127</v>
      </c>
      <c r="F2380" s="113" t="str">
        <f>_xlfn.XLOOKUP(E2380,'Allocated Transactions'!D:D,'Allocated Transactions'!E:E,"")</f>
        <v>Indirect Cost Allocation</v>
      </c>
      <c r="G2380" s="113" t="s">
        <v>129</v>
      </c>
      <c r="H2380" s="113" t="s">
        <v>338</v>
      </c>
      <c r="I2380" s="113" t="str">
        <f>_xlfn.XLOOKUP($C2380,'Cost Centers'!$A$2:$A$11,'Cost Centers'!$C$2:$C$11,"")</f>
        <v>Admin</v>
      </c>
      <c r="J2380" s="23">
        <f t="array" ref="J2380">INDEX('Indirect Pool - Budget'!$A$2:$AA$38, MATCH(1, ('Indirect Pool - Budget'!$A$2:$A$38=C2380)*('Indirect Pool - Budget'!$C$2:$C$38=H2380), 0), MATCH(A2380,'Indirect Pool - Budget'!$A$2:$AA$2, 0))</f>
        <v>-1722.7304714989443</v>
      </c>
      <c r="K2380" s="113" t="s">
        <v>637</v>
      </c>
    </row>
    <row r="2381" spans="1:11" ht="15" customHeight="1">
      <c r="A2381" s="112">
        <f t="shared" si="148"/>
        <v>46143</v>
      </c>
      <c r="B2381" s="113">
        <v>21</v>
      </c>
      <c r="C2381" s="18" t="s">
        <v>10</v>
      </c>
      <c r="D2381" s="113" t="str">
        <f>_xlfn.XLOOKUP($C2381,'Cost Centers'!$A$2:$A$11,'Cost Centers'!$B$2:$B$11,"")</f>
        <v>Business Development</v>
      </c>
      <c r="E2381" s="113" t="s">
        <v>127</v>
      </c>
      <c r="F2381" s="113" t="str">
        <f>_xlfn.XLOOKUP(E2381,'Allocated Transactions'!D:D,'Allocated Transactions'!E:E,"")</f>
        <v>Indirect Cost Allocation</v>
      </c>
      <c r="G2381" s="113" t="s">
        <v>129</v>
      </c>
      <c r="H2381" s="113" t="s">
        <v>339</v>
      </c>
      <c r="I2381" s="113" t="str">
        <f>_xlfn.XLOOKUP($C2381,'Cost Centers'!$A$2:$A$11,'Cost Centers'!$C$2:$C$11,"")</f>
        <v>Admin</v>
      </c>
      <c r="J2381" s="23">
        <f t="array" ref="J2381">INDEX('Indirect Pool - Budget'!$A$2:$AA$38, MATCH(1, ('Indirect Pool - Budget'!$A$2:$A$38=C2381)*('Indirect Pool - Budget'!$C$2:$C$38=H2381), 0), MATCH(A2381,'Indirect Pool - Budget'!$A$2:$AA$2, 0))</f>
        <v>-2428.5714285714284</v>
      </c>
      <c r="K2381" s="113" t="s">
        <v>637</v>
      </c>
    </row>
    <row r="2382" spans="1:11" ht="15" customHeight="1">
      <c r="A2382" s="112">
        <f t="shared" si="148"/>
        <v>46174</v>
      </c>
      <c r="B2382" s="113">
        <v>22</v>
      </c>
      <c r="C2382" s="18" t="s">
        <v>4</v>
      </c>
      <c r="D2382" s="113" t="str">
        <f>_xlfn.XLOOKUP($C2382,'Cost Centers'!$A$2:$A$11,'Cost Centers'!$B$2:$B$11,"")</f>
        <v>Executive</v>
      </c>
      <c r="E2382" s="113" t="s">
        <v>127</v>
      </c>
      <c r="F2382" s="113" t="str">
        <f>_xlfn.XLOOKUP(E2382,'Allocated Transactions'!D:D,'Allocated Transactions'!E:E,"")</f>
        <v>Indirect Cost Allocation</v>
      </c>
      <c r="G2382" s="113" t="s">
        <v>129</v>
      </c>
      <c r="H2382" s="113" t="s">
        <v>335</v>
      </c>
      <c r="I2382" s="113" t="str">
        <f>_xlfn.XLOOKUP($C2382,'Cost Centers'!$A$2:$A$11,'Cost Centers'!$C$2:$C$11,"")</f>
        <v>Admin</v>
      </c>
      <c r="J2382" s="23">
        <f t="array" ref="J2382">INDEX('Indirect Pool - Budget'!$A$2:$AA$38, MATCH(1, ('Indirect Pool - Budget'!$A$2:$A$38=C2382)*('Indirect Pool - Budget'!$C$2:$C$38=H2382), 0), MATCH(A2382,'Indirect Pool - Budget'!$A$2:$AA$2, 0))</f>
        <v>-2172.3692307692309</v>
      </c>
      <c r="K2382" s="113" t="s">
        <v>637</v>
      </c>
    </row>
    <row r="2383" spans="1:11" ht="15" customHeight="1">
      <c r="A2383" s="112">
        <f t="shared" si="148"/>
        <v>46174</v>
      </c>
      <c r="B2383" s="113">
        <v>22</v>
      </c>
      <c r="C2383" s="18" t="s">
        <v>4</v>
      </c>
      <c r="D2383" s="113" t="str">
        <f>_xlfn.XLOOKUP($C2383,'Cost Centers'!$A$2:$A$11,'Cost Centers'!$B$2:$B$11,"")</f>
        <v>Executive</v>
      </c>
      <c r="E2383" s="113" t="s">
        <v>127</v>
      </c>
      <c r="F2383" s="113" t="str">
        <f>_xlfn.XLOOKUP(E2383,'Allocated Transactions'!D:D,'Allocated Transactions'!E:E,"")</f>
        <v>Indirect Cost Allocation</v>
      </c>
      <c r="G2383" s="113" t="s">
        <v>129</v>
      </c>
      <c r="H2383" s="113" t="s">
        <v>336</v>
      </c>
      <c r="I2383" s="113" t="str">
        <f>_xlfn.XLOOKUP($C2383,'Cost Centers'!$A$2:$A$11,'Cost Centers'!$C$2:$C$11,"")</f>
        <v>Admin</v>
      </c>
      <c r="J2383" s="23">
        <f t="array" ref="J2383">INDEX('Indirect Pool - Budget'!$A$2:$AA$38, MATCH(1, ('Indirect Pool - Budget'!$A$2:$A$38=C2383)*('Indirect Pool - Budget'!$C$2:$C$38=H2383), 0), MATCH(A2383,'Indirect Pool - Budget'!$A$2:$AA$2, 0))</f>
        <v>-2422.1538461538462</v>
      </c>
      <c r="K2383" s="113" t="s">
        <v>637</v>
      </c>
    </row>
    <row r="2384" spans="1:11" ht="15" customHeight="1">
      <c r="A2384" s="112">
        <f t="shared" si="148"/>
        <v>46174</v>
      </c>
      <c r="B2384" s="113">
        <v>22</v>
      </c>
      <c r="C2384" s="18" t="s">
        <v>4</v>
      </c>
      <c r="D2384" s="113" t="str">
        <f>_xlfn.XLOOKUP($C2384,'Cost Centers'!$A$2:$A$11,'Cost Centers'!$B$2:$B$11,"")</f>
        <v>Executive</v>
      </c>
      <c r="E2384" s="113" t="s">
        <v>127</v>
      </c>
      <c r="F2384" s="113" t="str">
        <f>_xlfn.XLOOKUP(E2384,'Allocated Transactions'!D:D,'Allocated Transactions'!E:E,"")</f>
        <v>Indirect Cost Allocation</v>
      </c>
      <c r="G2384" s="113" t="s">
        <v>129</v>
      </c>
      <c r="H2384" s="113" t="s">
        <v>337</v>
      </c>
      <c r="I2384" s="113" t="str">
        <f>_xlfn.XLOOKUP($C2384,'Cost Centers'!$A$2:$A$11,'Cost Centers'!$C$2:$C$11,"")</f>
        <v>Admin</v>
      </c>
      <c r="J2384" s="23">
        <f t="array" ref="J2384">INDEX('Indirect Pool - Budget'!$A$2:$AA$38, MATCH(1, ('Indirect Pool - Budget'!$A$2:$A$38=C2384)*('Indirect Pool - Budget'!$C$2:$C$38=H2384), 0), MATCH(A2384,'Indirect Pool - Budget'!$A$2:$AA$2, 0))</f>
        <v>-1294.3384615384614</v>
      </c>
      <c r="K2384" s="113" t="s">
        <v>637</v>
      </c>
    </row>
    <row r="2385" spans="1:11" ht="15" customHeight="1">
      <c r="A2385" s="112">
        <f t="shared" si="148"/>
        <v>46174</v>
      </c>
      <c r="B2385" s="113">
        <v>22</v>
      </c>
      <c r="C2385" s="18" t="s">
        <v>4</v>
      </c>
      <c r="D2385" s="113" t="str">
        <f>_xlfn.XLOOKUP($C2385,'Cost Centers'!$A$2:$A$11,'Cost Centers'!$B$2:$B$11,"")</f>
        <v>Executive</v>
      </c>
      <c r="E2385" s="113" t="s">
        <v>127</v>
      </c>
      <c r="F2385" s="113" t="str">
        <f>_xlfn.XLOOKUP(E2385,'Allocated Transactions'!D:D,'Allocated Transactions'!E:E,"")</f>
        <v>Indirect Cost Allocation</v>
      </c>
      <c r="G2385" s="113" t="s">
        <v>129</v>
      </c>
      <c r="H2385" s="113" t="s">
        <v>338</v>
      </c>
      <c r="I2385" s="113" t="str">
        <f>_xlfn.XLOOKUP($C2385,'Cost Centers'!$A$2:$A$11,'Cost Centers'!$C$2:$C$11,"")</f>
        <v>Admin</v>
      </c>
      <c r="J2385" s="23">
        <f t="array" ref="J2385">INDEX('Indirect Pool - Budget'!$A$2:$AA$38, MATCH(1, ('Indirect Pool - Budget'!$A$2:$A$38=C2385)*('Indirect Pool - Budget'!$C$2:$C$38=H2385), 0), MATCH(A2385,'Indirect Pool - Budget'!$A$2:$AA$2, 0))</f>
        <v>-3602.9538461538459</v>
      </c>
      <c r="K2385" s="113" t="s">
        <v>637</v>
      </c>
    </row>
    <row r="2386" spans="1:11" ht="15" customHeight="1">
      <c r="A2386" s="112">
        <f t="shared" si="148"/>
        <v>46174</v>
      </c>
      <c r="B2386" s="113">
        <v>22</v>
      </c>
      <c r="C2386" s="18" t="s">
        <v>4</v>
      </c>
      <c r="D2386" s="113" t="str">
        <f>_xlfn.XLOOKUP($C2386,'Cost Centers'!$A$2:$A$11,'Cost Centers'!$B$2:$B$11,"")</f>
        <v>Executive</v>
      </c>
      <c r="E2386" s="113" t="s">
        <v>127</v>
      </c>
      <c r="F2386" s="113" t="str">
        <f>_xlfn.XLOOKUP(E2386,'Allocated Transactions'!D:D,'Allocated Transactions'!E:E,"")</f>
        <v>Indirect Cost Allocation</v>
      </c>
      <c r="G2386" s="113" t="s">
        <v>129</v>
      </c>
      <c r="H2386" s="113" t="s">
        <v>339</v>
      </c>
      <c r="I2386" s="113" t="str">
        <f>_xlfn.XLOOKUP($C2386,'Cost Centers'!$A$2:$A$11,'Cost Centers'!$C$2:$C$11,"")</f>
        <v>Admin</v>
      </c>
      <c r="J2386" s="23">
        <f t="array" ref="J2386">INDEX('Indirect Pool - Budget'!$A$2:$AA$38, MATCH(1, ('Indirect Pool - Budget'!$A$2:$A$38=C2386)*('Indirect Pool - Budget'!$C$2:$C$38=H2386), 0), MATCH(A2386,'Indirect Pool - Budget'!$A$2:$AA$2, 0))</f>
        <v>-2808.1846153846154</v>
      </c>
      <c r="K2386" s="113" t="s">
        <v>637</v>
      </c>
    </row>
    <row r="2387" spans="1:11" ht="15" customHeight="1">
      <c r="A2387" s="112">
        <f t="shared" si="148"/>
        <v>46174</v>
      </c>
      <c r="B2387" s="113">
        <v>22</v>
      </c>
      <c r="C2387" s="18" t="s">
        <v>6</v>
      </c>
      <c r="D2387" s="113" t="str">
        <f>_xlfn.XLOOKUP($C2387,'Cost Centers'!$A$2:$A$11,'Cost Centers'!$B$2:$B$11,"")</f>
        <v>Human Resources</v>
      </c>
      <c r="E2387" s="113" t="s">
        <v>127</v>
      </c>
      <c r="F2387" s="113" t="str">
        <f>_xlfn.XLOOKUP(E2387,'Allocated Transactions'!D:D,'Allocated Transactions'!E:E,"")</f>
        <v>Indirect Cost Allocation</v>
      </c>
      <c r="G2387" s="113" t="s">
        <v>129</v>
      </c>
      <c r="H2387" s="113" t="s">
        <v>335</v>
      </c>
      <c r="I2387" s="113" t="str">
        <f>_xlfn.XLOOKUP($C2387,'Cost Centers'!$A$2:$A$11,'Cost Centers'!$C$2:$C$11,"")</f>
        <v>Admin</v>
      </c>
      <c r="J2387" s="23">
        <f t="array" ref="J2387">INDEX('Indirect Pool - Budget'!$A$2:$AA$38, MATCH(1, ('Indirect Pool - Budget'!$A$2:$A$38=C2387)*('Indirect Pool - Budget'!$C$2:$C$38=H2387), 0), MATCH(A2387,'Indirect Pool - Budget'!$A$2:$AA$2, 0))</f>
        <v>-3073.1076923076926</v>
      </c>
      <c r="K2387" s="113" t="s">
        <v>637</v>
      </c>
    </row>
    <row r="2388" spans="1:11" ht="15" customHeight="1">
      <c r="A2388" s="112">
        <f t="shared" si="148"/>
        <v>46174</v>
      </c>
      <c r="B2388" s="113">
        <v>22</v>
      </c>
      <c r="C2388" s="18" t="s">
        <v>6</v>
      </c>
      <c r="D2388" s="113" t="str">
        <f>_xlfn.XLOOKUP($C2388,'Cost Centers'!$A$2:$A$11,'Cost Centers'!$B$2:$B$11,"")</f>
        <v>Human Resources</v>
      </c>
      <c r="E2388" s="113" t="s">
        <v>127</v>
      </c>
      <c r="F2388" s="113" t="str">
        <f>_xlfn.XLOOKUP(E2388,'Allocated Transactions'!D:D,'Allocated Transactions'!E:E,"")</f>
        <v>Indirect Cost Allocation</v>
      </c>
      <c r="G2388" s="113" t="s">
        <v>129</v>
      </c>
      <c r="H2388" s="113" t="s">
        <v>336</v>
      </c>
      <c r="I2388" s="113" t="str">
        <f>_xlfn.XLOOKUP($C2388,'Cost Centers'!$A$2:$A$11,'Cost Centers'!$C$2:$C$11,"")</f>
        <v>Admin</v>
      </c>
      <c r="J2388" s="23">
        <f t="array" ref="J2388">INDEX('Indirect Pool - Budget'!$A$2:$AA$38, MATCH(1, ('Indirect Pool - Budget'!$A$2:$A$38=C2388)*('Indirect Pool - Budget'!$C$2:$C$38=H2388), 0), MATCH(A2388,'Indirect Pool - Budget'!$A$2:$AA$2, 0))</f>
        <v>-3426.4615384615386</v>
      </c>
      <c r="K2388" s="113" t="s">
        <v>637</v>
      </c>
    </row>
    <row r="2389" spans="1:11" ht="15" customHeight="1">
      <c r="A2389" s="112">
        <f t="shared" si="148"/>
        <v>46174</v>
      </c>
      <c r="B2389" s="113">
        <v>22</v>
      </c>
      <c r="C2389" s="18" t="s">
        <v>6</v>
      </c>
      <c r="D2389" s="113" t="str">
        <f>_xlfn.XLOOKUP($C2389,'Cost Centers'!$A$2:$A$11,'Cost Centers'!$B$2:$B$11,"")</f>
        <v>Human Resources</v>
      </c>
      <c r="E2389" s="113" t="s">
        <v>127</v>
      </c>
      <c r="F2389" s="113" t="str">
        <f>_xlfn.XLOOKUP(E2389,'Allocated Transactions'!D:D,'Allocated Transactions'!E:E,"")</f>
        <v>Indirect Cost Allocation</v>
      </c>
      <c r="G2389" s="113" t="s">
        <v>129</v>
      </c>
      <c r="H2389" s="113" t="s">
        <v>337</v>
      </c>
      <c r="I2389" s="113" t="str">
        <f>_xlfn.XLOOKUP($C2389,'Cost Centers'!$A$2:$A$11,'Cost Centers'!$C$2:$C$11,"")</f>
        <v>Admin</v>
      </c>
      <c r="J2389" s="23">
        <f t="array" ref="J2389">INDEX('Indirect Pool - Budget'!$A$2:$AA$38, MATCH(1, ('Indirect Pool - Budget'!$A$2:$A$38=C2389)*('Indirect Pool - Budget'!$C$2:$C$38=H2389), 0), MATCH(A2389,'Indirect Pool - Budget'!$A$2:$AA$2, 0))</f>
        <v>-1831.0153846153846</v>
      </c>
      <c r="K2389" s="113" t="s">
        <v>637</v>
      </c>
    </row>
    <row r="2390" spans="1:11" ht="15" customHeight="1">
      <c r="A2390" s="112">
        <f t="shared" si="148"/>
        <v>46174</v>
      </c>
      <c r="B2390" s="113">
        <v>22</v>
      </c>
      <c r="C2390" s="18" t="s">
        <v>6</v>
      </c>
      <c r="D2390" s="113" t="str">
        <f>_xlfn.XLOOKUP($C2390,'Cost Centers'!$A$2:$A$11,'Cost Centers'!$B$2:$B$11,"")</f>
        <v>Human Resources</v>
      </c>
      <c r="E2390" s="113" t="s">
        <v>127</v>
      </c>
      <c r="F2390" s="113" t="str">
        <f>_xlfn.XLOOKUP(E2390,'Allocated Transactions'!D:D,'Allocated Transactions'!E:E,"")</f>
        <v>Indirect Cost Allocation</v>
      </c>
      <c r="G2390" s="113" t="s">
        <v>129</v>
      </c>
      <c r="H2390" s="113" t="s">
        <v>338</v>
      </c>
      <c r="I2390" s="113" t="str">
        <f>_xlfn.XLOOKUP($C2390,'Cost Centers'!$A$2:$A$11,'Cost Centers'!$C$2:$C$11,"")</f>
        <v>Admin</v>
      </c>
      <c r="J2390" s="23">
        <f t="array" ref="J2390">INDEX('Indirect Pool - Budget'!$A$2:$AA$38, MATCH(1, ('Indirect Pool - Budget'!$A$2:$A$38=C2390)*('Indirect Pool - Budget'!$C$2:$C$38=H2390), 0), MATCH(A2390,'Indirect Pool - Budget'!$A$2:$AA$2, 0))</f>
        <v>-5096.8615384615377</v>
      </c>
      <c r="K2390" s="113" t="s">
        <v>637</v>
      </c>
    </row>
    <row r="2391" spans="1:11" ht="15" customHeight="1">
      <c r="A2391" s="112">
        <f t="shared" si="148"/>
        <v>46174</v>
      </c>
      <c r="B2391" s="113">
        <v>22</v>
      </c>
      <c r="C2391" s="18" t="s">
        <v>6</v>
      </c>
      <c r="D2391" s="113" t="str">
        <f>_xlfn.XLOOKUP($C2391,'Cost Centers'!$A$2:$A$11,'Cost Centers'!$B$2:$B$11,"")</f>
        <v>Human Resources</v>
      </c>
      <c r="E2391" s="113" t="s">
        <v>127</v>
      </c>
      <c r="F2391" s="113" t="str">
        <f>_xlfn.XLOOKUP(E2391,'Allocated Transactions'!D:D,'Allocated Transactions'!E:E,"")</f>
        <v>Indirect Cost Allocation</v>
      </c>
      <c r="G2391" s="113" t="s">
        <v>129</v>
      </c>
      <c r="H2391" s="113" t="s">
        <v>339</v>
      </c>
      <c r="I2391" s="113" t="str">
        <f>_xlfn.XLOOKUP($C2391,'Cost Centers'!$A$2:$A$11,'Cost Centers'!$C$2:$C$11,"")</f>
        <v>Admin</v>
      </c>
      <c r="J2391" s="23">
        <f t="array" ref="J2391">INDEX('Indirect Pool - Budget'!$A$2:$AA$38, MATCH(1, ('Indirect Pool - Budget'!$A$2:$A$38=C2391)*('Indirect Pool - Budget'!$C$2:$C$38=H2391), 0), MATCH(A2391,'Indirect Pool - Budget'!$A$2:$AA$2, 0))</f>
        <v>-3972.5538461538458</v>
      </c>
      <c r="K2391" s="113" t="s">
        <v>637</v>
      </c>
    </row>
    <row r="2392" spans="1:11" ht="15" customHeight="1">
      <c r="A2392" s="112">
        <f t="shared" si="148"/>
        <v>46174</v>
      </c>
      <c r="B2392" s="113">
        <v>22</v>
      </c>
      <c r="C2392" s="18" t="s">
        <v>8</v>
      </c>
      <c r="D2392" s="113" t="str">
        <f>_xlfn.XLOOKUP($C2392,'Cost Centers'!$A$2:$A$11,'Cost Centers'!$B$2:$B$11,"")</f>
        <v>Finance</v>
      </c>
      <c r="E2392" s="113" t="s">
        <v>127</v>
      </c>
      <c r="F2392" s="113" t="str">
        <f>_xlfn.XLOOKUP(E2392,'Allocated Transactions'!D:D,'Allocated Transactions'!E:E,"")</f>
        <v>Indirect Cost Allocation</v>
      </c>
      <c r="G2392" s="113" t="s">
        <v>129</v>
      </c>
      <c r="H2392" s="113" t="s">
        <v>335</v>
      </c>
      <c r="I2392" s="113" t="str">
        <f>_xlfn.XLOOKUP($C2392,'Cost Centers'!$A$2:$A$11,'Cost Centers'!$C$2:$C$11,"")</f>
        <v>Admin</v>
      </c>
      <c r="J2392" s="23">
        <f t="array" ref="J2392">INDEX('Indirect Pool - Budget'!$A$2:$AA$38, MATCH(1, ('Indirect Pool - Budget'!$A$2:$A$38=C2392)*('Indirect Pool - Budget'!$C$2:$C$38=H2392), 0), MATCH(A2392,'Indirect Pool - Budget'!$A$2:$AA$2, 0))</f>
        <v>-3885.5384615384614</v>
      </c>
      <c r="K2392" s="113" t="s">
        <v>637</v>
      </c>
    </row>
    <row r="2393" spans="1:11" ht="15" customHeight="1">
      <c r="A2393" s="112">
        <f t="shared" si="148"/>
        <v>46174</v>
      </c>
      <c r="B2393" s="113">
        <v>22</v>
      </c>
      <c r="C2393" s="18" t="s">
        <v>8</v>
      </c>
      <c r="D2393" s="113" t="str">
        <f>_xlfn.XLOOKUP($C2393,'Cost Centers'!$A$2:$A$11,'Cost Centers'!$B$2:$B$11,"")</f>
        <v>Finance</v>
      </c>
      <c r="E2393" s="113" t="s">
        <v>127</v>
      </c>
      <c r="F2393" s="113" t="str">
        <f>_xlfn.XLOOKUP(E2393,'Allocated Transactions'!D:D,'Allocated Transactions'!E:E,"")</f>
        <v>Indirect Cost Allocation</v>
      </c>
      <c r="G2393" s="113" t="s">
        <v>129</v>
      </c>
      <c r="H2393" s="113" t="s">
        <v>336</v>
      </c>
      <c r="I2393" s="113" t="str">
        <f>_xlfn.XLOOKUP($C2393,'Cost Centers'!$A$2:$A$11,'Cost Centers'!$C$2:$C$11,"")</f>
        <v>Admin</v>
      </c>
      <c r="J2393" s="23">
        <f t="array" ref="J2393">INDEX('Indirect Pool - Budget'!$A$2:$AA$38, MATCH(1, ('Indirect Pool - Budget'!$A$2:$A$38=C2393)*('Indirect Pool - Budget'!$C$2:$C$38=H2393), 0), MATCH(A2393,'Indirect Pool - Budget'!$A$2:$AA$2, 0))</f>
        <v>-4332.3076923076924</v>
      </c>
      <c r="K2393" s="113" t="s">
        <v>637</v>
      </c>
    </row>
    <row r="2394" spans="1:11" ht="15" customHeight="1">
      <c r="A2394" s="112">
        <f t="shared" si="148"/>
        <v>46174</v>
      </c>
      <c r="B2394" s="113">
        <v>22</v>
      </c>
      <c r="C2394" s="18" t="s">
        <v>8</v>
      </c>
      <c r="D2394" s="113" t="str">
        <f>_xlfn.XLOOKUP($C2394,'Cost Centers'!$A$2:$A$11,'Cost Centers'!$B$2:$B$11,"")</f>
        <v>Finance</v>
      </c>
      <c r="E2394" s="113" t="s">
        <v>127</v>
      </c>
      <c r="F2394" s="113" t="str">
        <f>_xlfn.XLOOKUP(E2394,'Allocated Transactions'!D:D,'Allocated Transactions'!E:E,"")</f>
        <v>Indirect Cost Allocation</v>
      </c>
      <c r="G2394" s="113" t="s">
        <v>129</v>
      </c>
      <c r="H2394" s="113" t="s">
        <v>337</v>
      </c>
      <c r="I2394" s="113" t="str">
        <f>_xlfn.XLOOKUP($C2394,'Cost Centers'!$A$2:$A$11,'Cost Centers'!$C$2:$C$11,"")</f>
        <v>Admin</v>
      </c>
      <c r="J2394" s="23">
        <f t="array" ref="J2394">INDEX('Indirect Pool - Budget'!$A$2:$AA$38, MATCH(1, ('Indirect Pool - Budget'!$A$2:$A$38=C2394)*('Indirect Pool - Budget'!$C$2:$C$38=H2394), 0), MATCH(A2394,'Indirect Pool - Budget'!$A$2:$AA$2, 0))</f>
        <v>-2315.0769230769229</v>
      </c>
      <c r="K2394" s="113" t="s">
        <v>637</v>
      </c>
    </row>
    <row r="2395" spans="1:11" ht="15" customHeight="1">
      <c r="A2395" s="112">
        <f t="shared" si="148"/>
        <v>46174</v>
      </c>
      <c r="B2395" s="113">
        <v>22</v>
      </c>
      <c r="C2395" s="18" t="s">
        <v>8</v>
      </c>
      <c r="D2395" s="113" t="str">
        <f>_xlfn.XLOOKUP($C2395,'Cost Centers'!$A$2:$A$11,'Cost Centers'!$B$2:$B$11,"")</f>
        <v>Finance</v>
      </c>
      <c r="E2395" s="113" t="s">
        <v>127</v>
      </c>
      <c r="F2395" s="113" t="str">
        <f>_xlfn.XLOOKUP(E2395,'Allocated Transactions'!D:D,'Allocated Transactions'!E:E,"")</f>
        <v>Indirect Cost Allocation</v>
      </c>
      <c r="G2395" s="113" t="s">
        <v>129</v>
      </c>
      <c r="H2395" s="113" t="s">
        <v>338</v>
      </c>
      <c r="I2395" s="113" t="str">
        <f>_xlfn.XLOOKUP($C2395,'Cost Centers'!$A$2:$A$11,'Cost Centers'!$C$2:$C$11,"")</f>
        <v>Admin</v>
      </c>
      <c r="J2395" s="23">
        <f t="array" ref="J2395">INDEX('Indirect Pool - Budget'!$A$2:$AA$38, MATCH(1, ('Indirect Pool - Budget'!$A$2:$A$38=C2395)*('Indirect Pool - Budget'!$C$2:$C$38=H2395), 0), MATCH(A2395,'Indirect Pool - Budget'!$A$2:$AA$2, 0))</f>
        <v>-6444.3076923076915</v>
      </c>
      <c r="K2395" s="113" t="s">
        <v>637</v>
      </c>
    </row>
    <row r="2396" spans="1:11" ht="15" customHeight="1">
      <c r="A2396" s="112">
        <f t="shared" si="148"/>
        <v>46174</v>
      </c>
      <c r="B2396" s="113">
        <v>22</v>
      </c>
      <c r="C2396" s="18" t="s">
        <v>8</v>
      </c>
      <c r="D2396" s="113" t="str">
        <f>_xlfn.XLOOKUP($C2396,'Cost Centers'!$A$2:$A$11,'Cost Centers'!$B$2:$B$11,"")</f>
        <v>Finance</v>
      </c>
      <c r="E2396" s="113" t="s">
        <v>127</v>
      </c>
      <c r="F2396" s="113" t="str">
        <f>_xlfn.XLOOKUP(E2396,'Allocated Transactions'!D:D,'Allocated Transactions'!E:E,"")</f>
        <v>Indirect Cost Allocation</v>
      </c>
      <c r="G2396" s="113" t="s">
        <v>129</v>
      </c>
      <c r="H2396" s="113" t="s">
        <v>339</v>
      </c>
      <c r="I2396" s="113" t="str">
        <f>_xlfn.XLOOKUP($C2396,'Cost Centers'!$A$2:$A$11,'Cost Centers'!$C$2:$C$11,"")</f>
        <v>Admin</v>
      </c>
      <c r="J2396" s="23">
        <f t="array" ref="J2396">INDEX('Indirect Pool - Budget'!$A$2:$AA$38, MATCH(1, ('Indirect Pool - Budget'!$A$2:$A$38=C2396)*('Indirect Pool - Budget'!$C$2:$C$38=H2396), 0), MATCH(A2396,'Indirect Pool - Budget'!$A$2:$AA$2, 0))</f>
        <v>-5022.7692307692305</v>
      </c>
      <c r="K2396" s="113" t="s">
        <v>637</v>
      </c>
    </row>
    <row r="2397" spans="1:11" ht="15" customHeight="1">
      <c r="A2397" s="112">
        <f t="shared" si="148"/>
        <v>46174</v>
      </c>
      <c r="B2397" s="113">
        <v>22</v>
      </c>
      <c r="C2397" s="18" t="s">
        <v>10</v>
      </c>
      <c r="D2397" s="113" t="str">
        <f>_xlfn.XLOOKUP($C2397,'Cost Centers'!$A$2:$A$11,'Cost Centers'!$B$2:$B$11,"")</f>
        <v>Business Development</v>
      </c>
      <c r="E2397" s="113" t="s">
        <v>127</v>
      </c>
      <c r="F2397" s="113" t="str">
        <f>_xlfn.XLOOKUP(E2397,'Allocated Transactions'!D:D,'Allocated Transactions'!E:E,"")</f>
        <v>Indirect Cost Allocation</v>
      </c>
      <c r="G2397" s="113" t="s">
        <v>129</v>
      </c>
      <c r="H2397" s="113" t="s">
        <v>335</v>
      </c>
      <c r="I2397" s="113" t="str">
        <f>_xlfn.XLOOKUP($C2397,'Cost Centers'!$A$2:$A$11,'Cost Centers'!$C$2:$C$11,"")</f>
        <v>Admin</v>
      </c>
      <c r="J2397" s="23">
        <f t="array" ref="J2397">INDEX('Indirect Pool - Budget'!$A$2:$AA$38, MATCH(1, ('Indirect Pool - Budget'!$A$2:$A$38=C2397)*('Indirect Pool - Budget'!$C$2:$C$38=H2397), 0), MATCH(A2397,'Indirect Pool - Budget'!$A$2:$AA$2, 0))</f>
        <v>-1607.2</v>
      </c>
      <c r="K2397" s="113" t="s">
        <v>637</v>
      </c>
    </row>
    <row r="2398" spans="1:11" ht="15" customHeight="1">
      <c r="A2398" s="112">
        <f t="shared" si="148"/>
        <v>46174</v>
      </c>
      <c r="B2398" s="113">
        <v>22</v>
      </c>
      <c r="C2398" s="18" t="s">
        <v>10</v>
      </c>
      <c r="D2398" s="113" t="str">
        <f>_xlfn.XLOOKUP($C2398,'Cost Centers'!$A$2:$A$11,'Cost Centers'!$B$2:$B$11,"")</f>
        <v>Business Development</v>
      </c>
      <c r="E2398" s="113" t="s">
        <v>127</v>
      </c>
      <c r="F2398" s="113" t="str">
        <f>_xlfn.XLOOKUP(E2398,'Allocated Transactions'!D:D,'Allocated Transactions'!E:E,"")</f>
        <v>Indirect Cost Allocation</v>
      </c>
      <c r="G2398" s="113" t="s">
        <v>129</v>
      </c>
      <c r="H2398" s="113" t="s">
        <v>336</v>
      </c>
      <c r="I2398" s="113" t="str">
        <f>_xlfn.XLOOKUP($C2398,'Cost Centers'!$A$2:$A$11,'Cost Centers'!$C$2:$C$11,"")</f>
        <v>Admin</v>
      </c>
      <c r="J2398" s="23">
        <f t="array" ref="J2398">INDEX('Indirect Pool - Budget'!$A$2:$AA$38, MATCH(1, ('Indirect Pool - Budget'!$A$2:$A$38=C2398)*('Indirect Pool - Budget'!$C$2:$C$38=H2398), 0), MATCH(A2398,'Indirect Pool - Budget'!$A$2:$AA$2, 0))</f>
        <v>-1792</v>
      </c>
      <c r="K2398" s="113" t="s">
        <v>637</v>
      </c>
    </row>
    <row r="2399" spans="1:11" ht="15" customHeight="1">
      <c r="A2399" s="112">
        <f t="shared" si="148"/>
        <v>46174</v>
      </c>
      <c r="B2399" s="113">
        <v>22</v>
      </c>
      <c r="C2399" s="18" t="s">
        <v>10</v>
      </c>
      <c r="D2399" s="113" t="str">
        <f>_xlfn.XLOOKUP($C2399,'Cost Centers'!$A$2:$A$11,'Cost Centers'!$B$2:$B$11,"")</f>
        <v>Business Development</v>
      </c>
      <c r="E2399" s="113" t="s">
        <v>127</v>
      </c>
      <c r="F2399" s="113" t="str">
        <f>_xlfn.XLOOKUP(E2399,'Allocated Transactions'!D:D,'Allocated Transactions'!E:E,"")</f>
        <v>Indirect Cost Allocation</v>
      </c>
      <c r="G2399" s="113" t="s">
        <v>129</v>
      </c>
      <c r="H2399" s="113" t="s">
        <v>337</v>
      </c>
      <c r="I2399" s="113" t="str">
        <f>_xlfn.XLOOKUP($C2399,'Cost Centers'!$A$2:$A$11,'Cost Centers'!$C$2:$C$11,"")</f>
        <v>Admin</v>
      </c>
      <c r="J2399" s="23">
        <f t="array" ref="J2399">INDEX('Indirect Pool - Budget'!$A$2:$AA$38, MATCH(1, ('Indirect Pool - Budget'!$A$2:$A$38=C2399)*('Indirect Pool - Budget'!$C$2:$C$38=H2399), 0), MATCH(A2399,'Indirect Pool - Budget'!$A$2:$AA$2, 0))</f>
        <v>-957.59999999999991</v>
      </c>
      <c r="K2399" s="113" t="s">
        <v>637</v>
      </c>
    </row>
    <row r="2400" spans="1:11" ht="15" customHeight="1">
      <c r="A2400" s="112">
        <f t="shared" si="148"/>
        <v>46174</v>
      </c>
      <c r="B2400" s="113">
        <v>22</v>
      </c>
      <c r="C2400" s="18" t="s">
        <v>10</v>
      </c>
      <c r="D2400" s="113" t="str">
        <f>_xlfn.XLOOKUP($C2400,'Cost Centers'!$A$2:$A$11,'Cost Centers'!$B$2:$B$11,"")</f>
        <v>Business Development</v>
      </c>
      <c r="E2400" s="113" t="s">
        <v>127</v>
      </c>
      <c r="F2400" s="113" t="str">
        <f>_xlfn.XLOOKUP(E2400,'Allocated Transactions'!D:D,'Allocated Transactions'!E:E,"")</f>
        <v>Indirect Cost Allocation</v>
      </c>
      <c r="G2400" s="113" t="s">
        <v>129</v>
      </c>
      <c r="H2400" s="113" t="s">
        <v>338</v>
      </c>
      <c r="I2400" s="113" t="str">
        <f>_xlfn.XLOOKUP($C2400,'Cost Centers'!$A$2:$A$11,'Cost Centers'!$C$2:$C$11,"")</f>
        <v>Admin</v>
      </c>
      <c r="J2400" s="23">
        <f t="array" ref="J2400">INDEX('Indirect Pool - Budget'!$A$2:$AA$38, MATCH(1, ('Indirect Pool - Budget'!$A$2:$A$38=C2400)*('Indirect Pool - Budget'!$C$2:$C$38=H2400), 0), MATCH(A2400,'Indirect Pool - Budget'!$A$2:$AA$2, 0))</f>
        <v>-2665.6</v>
      </c>
      <c r="K2400" s="113" t="s">
        <v>637</v>
      </c>
    </row>
    <row r="2401" spans="1:11" ht="15" customHeight="1">
      <c r="A2401" s="112">
        <f t="shared" si="148"/>
        <v>46174</v>
      </c>
      <c r="B2401" s="113">
        <v>22</v>
      </c>
      <c r="C2401" s="18" t="s">
        <v>10</v>
      </c>
      <c r="D2401" s="113" t="str">
        <f>_xlfn.XLOOKUP($C2401,'Cost Centers'!$A$2:$A$11,'Cost Centers'!$B$2:$B$11,"")</f>
        <v>Business Development</v>
      </c>
      <c r="E2401" s="113" t="s">
        <v>127</v>
      </c>
      <c r="F2401" s="113" t="str">
        <f>_xlfn.XLOOKUP(E2401,'Allocated Transactions'!D:D,'Allocated Transactions'!E:E,"")</f>
        <v>Indirect Cost Allocation</v>
      </c>
      <c r="G2401" s="113" t="s">
        <v>129</v>
      </c>
      <c r="H2401" s="113" t="s">
        <v>339</v>
      </c>
      <c r="I2401" s="113" t="str">
        <f>_xlfn.XLOOKUP($C2401,'Cost Centers'!$A$2:$A$11,'Cost Centers'!$C$2:$C$11,"")</f>
        <v>Admin</v>
      </c>
      <c r="J2401" s="23">
        <f t="array" ref="J2401">INDEX('Indirect Pool - Budget'!$A$2:$AA$38, MATCH(1, ('Indirect Pool - Budget'!$A$2:$A$38=C2401)*('Indirect Pool - Budget'!$C$2:$C$38=H2401), 0), MATCH(A2401,'Indirect Pool - Budget'!$A$2:$AA$2, 0))</f>
        <v>-2077.6</v>
      </c>
      <c r="K2401" s="113" t="s">
        <v>637</v>
      </c>
    </row>
    <row r="2402" spans="1:11" ht="15" customHeight="1">
      <c r="A2402" s="112">
        <v>45839</v>
      </c>
      <c r="B2402" s="113">
        <v>23</v>
      </c>
      <c r="C2402" s="18" t="s">
        <v>12</v>
      </c>
      <c r="D2402" s="113" t="str">
        <f>_xlfn.XLOOKUP($C2402,'Cost Centers'!$A$2:$A$11,'Cost Centers'!$B$2:$B$11,"")</f>
        <v>Latin America</v>
      </c>
      <c r="E2402" s="113" t="s">
        <v>127</v>
      </c>
      <c r="F2402" s="113" t="str">
        <f>_xlfn.XLOOKUP(E2402,'Allocated Transactions'!D:D,'Allocated Transactions'!E:E,"")</f>
        <v>Indirect Cost Allocation</v>
      </c>
      <c r="G2402" s="113" t="s">
        <v>129</v>
      </c>
      <c r="H2402" s="113" t="s">
        <v>335</v>
      </c>
      <c r="I2402" s="113" t="str">
        <f>_xlfn.XLOOKUP($C2402,'Cost Centers'!$A$2:$A$11,'Cost Centers'!$C$2:$C$11,"")</f>
        <v>Programs</v>
      </c>
      <c r="J2402" s="23">
        <f t="shared" ref="J2402:J2433" si="149">-SUMIFS($J$2:$J$2401,$E$2:$E$2401,"5990",$H$2:$H$2401,$H2402,$A$2:$A$2401,$A2402)</f>
        <v>10532.509652509652</v>
      </c>
      <c r="K2402" s="113" t="s">
        <v>637</v>
      </c>
    </row>
    <row r="2403" spans="1:11" ht="15" customHeight="1">
      <c r="A2403" s="112">
        <v>45839</v>
      </c>
      <c r="B2403" s="113">
        <v>23</v>
      </c>
      <c r="C2403" s="18" t="s">
        <v>14</v>
      </c>
      <c r="D2403" s="113" t="str">
        <f>_xlfn.XLOOKUP($C2403,'Cost Centers'!$A$2:$A$11,'Cost Centers'!$B$2:$B$11,"")</f>
        <v>MENA</v>
      </c>
      <c r="E2403" s="113" t="s">
        <v>127</v>
      </c>
      <c r="F2403" s="113" t="str">
        <f>_xlfn.XLOOKUP(E2403,'Allocated Transactions'!D:D,'Allocated Transactions'!E:E,"")</f>
        <v>Indirect Cost Allocation</v>
      </c>
      <c r="G2403" s="113" t="s">
        <v>129</v>
      </c>
      <c r="H2403" s="113" t="s">
        <v>336</v>
      </c>
      <c r="I2403" s="113" t="str">
        <f>_xlfn.XLOOKUP($C2403,'Cost Centers'!$A$2:$A$11,'Cost Centers'!$C$2:$C$11,"")</f>
        <v>Programs</v>
      </c>
      <c r="J2403" s="23">
        <f t="shared" si="149"/>
        <v>8892.2007722007711</v>
      </c>
      <c r="K2403" s="113" t="s">
        <v>637</v>
      </c>
    </row>
    <row r="2404" spans="1:11" ht="15" customHeight="1">
      <c r="A2404" s="112">
        <v>45839</v>
      </c>
      <c r="B2404" s="113">
        <v>23</v>
      </c>
      <c r="C2404" s="18" t="s">
        <v>16</v>
      </c>
      <c r="D2404" s="113" t="str">
        <f>_xlfn.XLOOKUP($C2404,'Cost Centers'!$A$2:$A$11,'Cost Centers'!$B$2:$B$11,"")</f>
        <v>Sub-Saharan Africa</v>
      </c>
      <c r="E2404" s="113" t="s">
        <v>127</v>
      </c>
      <c r="F2404" s="113" t="str">
        <f>_xlfn.XLOOKUP(E2404,'Allocated Transactions'!D:D,'Allocated Transactions'!E:E,"")</f>
        <v>Indirect Cost Allocation</v>
      </c>
      <c r="G2404" s="113" t="s">
        <v>129</v>
      </c>
      <c r="H2404" s="113" t="s">
        <v>337</v>
      </c>
      <c r="I2404" s="113" t="str">
        <f>_xlfn.XLOOKUP($C2404,'Cost Centers'!$A$2:$A$11,'Cost Centers'!$C$2:$C$11,"")</f>
        <v>Programs</v>
      </c>
      <c r="J2404" s="23">
        <f t="shared" si="149"/>
        <v>10662.007722007722</v>
      </c>
      <c r="K2404" s="113" t="s">
        <v>637</v>
      </c>
    </row>
    <row r="2405" spans="1:11" ht="15" customHeight="1">
      <c r="A2405" s="112">
        <v>45839</v>
      </c>
      <c r="B2405" s="113">
        <v>23</v>
      </c>
      <c r="C2405" s="18" t="s">
        <v>18</v>
      </c>
      <c r="D2405" s="113" t="str">
        <f>_xlfn.XLOOKUP($C2405,'Cost Centers'!$A$2:$A$11,'Cost Centers'!$B$2:$B$11,"")</f>
        <v>Europe</v>
      </c>
      <c r="E2405" s="113" t="s">
        <v>127</v>
      </c>
      <c r="F2405" s="113" t="str">
        <f>_xlfn.XLOOKUP(E2405,'Allocated Transactions'!D:D,'Allocated Transactions'!E:E,"")</f>
        <v>Indirect Cost Allocation</v>
      </c>
      <c r="G2405" s="113" t="s">
        <v>129</v>
      </c>
      <c r="H2405" s="113" t="s">
        <v>338</v>
      </c>
      <c r="I2405" s="113" t="str">
        <f>_xlfn.XLOOKUP($C2405,'Cost Centers'!$A$2:$A$11,'Cost Centers'!$C$2:$C$11,"")</f>
        <v>Programs</v>
      </c>
      <c r="J2405" s="23">
        <f t="shared" si="149"/>
        <v>12820.308880308879</v>
      </c>
      <c r="K2405" s="113" t="s">
        <v>637</v>
      </c>
    </row>
    <row r="2406" spans="1:11" ht="15" customHeight="1">
      <c r="A2406" s="112">
        <v>45839</v>
      </c>
      <c r="B2406" s="113">
        <v>23</v>
      </c>
      <c r="C2406" s="18" t="s">
        <v>20</v>
      </c>
      <c r="D2406" s="113" t="str">
        <f>_xlfn.XLOOKUP($C2406,'Cost Centers'!$A$2:$A$11,'Cost Centers'!$B$2:$B$11,"")</f>
        <v>SE Asia</v>
      </c>
      <c r="E2406" s="113" t="s">
        <v>127</v>
      </c>
      <c r="F2406" s="113" t="str">
        <f>_xlfn.XLOOKUP(E2406,'Allocated Transactions'!D:D,'Allocated Transactions'!E:E,"")</f>
        <v>Indirect Cost Allocation</v>
      </c>
      <c r="G2406" s="113" t="s">
        <v>129</v>
      </c>
      <c r="H2406" s="113" t="s">
        <v>339</v>
      </c>
      <c r="I2406" s="113" t="str">
        <f>_xlfn.XLOOKUP($C2406,'Cost Centers'!$A$2:$A$11,'Cost Centers'!$C$2:$C$11,"")</f>
        <v>Programs</v>
      </c>
      <c r="J2406" s="23">
        <f t="shared" si="149"/>
        <v>12992.972972972973</v>
      </c>
      <c r="K2406" s="113" t="s">
        <v>637</v>
      </c>
    </row>
    <row r="2407" spans="1:11" ht="15" customHeight="1">
      <c r="A2407" s="112">
        <v>45870</v>
      </c>
      <c r="B2407" s="113">
        <v>24</v>
      </c>
      <c r="C2407" s="18" t="s">
        <v>12</v>
      </c>
      <c r="D2407" s="113" t="str">
        <f>_xlfn.XLOOKUP($C2407,'Cost Centers'!$A$2:$A$11,'Cost Centers'!$B$2:$B$11,"")</f>
        <v>Latin America</v>
      </c>
      <c r="E2407" s="113" t="s">
        <v>127</v>
      </c>
      <c r="F2407" s="113" t="str">
        <f>_xlfn.XLOOKUP(E2407,'Allocated Transactions'!D:D,'Allocated Transactions'!E:E,"")</f>
        <v>Indirect Cost Allocation</v>
      </c>
      <c r="G2407" s="113" t="s">
        <v>129</v>
      </c>
      <c r="H2407" s="113" t="s">
        <v>335</v>
      </c>
      <c r="I2407" s="113" t="str">
        <f>_xlfn.XLOOKUP($C2407,'Cost Centers'!$A$2:$A$11,'Cost Centers'!$C$2:$C$11,"")</f>
        <v>Programs</v>
      </c>
      <c r="J2407" s="23">
        <f t="shared" si="149"/>
        <v>11500.893521965747</v>
      </c>
      <c r="K2407" s="113" t="s">
        <v>637</v>
      </c>
    </row>
    <row r="2408" spans="1:11" ht="15" customHeight="1">
      <c r="A2408" s="112">
        <v>45870</v>
      </c>
      <c r="B2408" s="113">
        <v>24</v>
      </c>
      <c r="C2408" s="18" t="s">
        <v>14</v>
      </c>
      <c r="D2408" s="113" t="str">
        <f>_xlfn.XLOOKUP($C2408,'Cost Centers'!$A$2:$A$11,'Cost Centers'!$B$2:$B$11,"")</f>
        <v>MENA</v>
      </c>
      <c r="E2408" s="113" t="s">
        <v>127</v>
      </c>
      <c r="F2408" s="113" t="str">
        <f>_xlfn.XLOOKUP(E2408,'Allocated Transactions'!D:D,'Allocated Transactions'!E:E,"")</f>
        <v>Indirect Cost Allocation</v>
      </c>
      <c r="G2408" s="113" t="s">
        <v>129</v>
      </c>
      <c r="H2408" s="113" t="s">
        <v>336</v>
      </c>
      <c r="I2408" s="113" t="str">
        <f>_xlfn.XLOOKUP($C2408,'Cost Centers'!$A$2:$A$11,'Cost Centers'!$C$2:$C$11,"")</f>
        <v>Programs</v>
      </c>
      <c r="J2408" s="23">
        <f t="shared" si="149"/>
        <v>9666.1206254653753</v>
      </c>
      <c r="K2408" s="113" t="s">
        <v>637</v>
      </c>
    </row>
    <row r="2409" spans="1:11" ht="15" customHeight="1">
      <c r="A2409" s="112">
        <v>45870</v>
      </c>
      <c r="B2409" s="113">
        <v>24</v>
      </c>
      <c r="C2409" s="18" t="s">
        <v>16</v>
      </c>
      <c r="D2409" s="113" t="str">
        <f>_xlfn.XLOOKUP($C2409,'Cost Centers'!$A$2:$A$11,'Cost Centers'!$B$2:$B$11,"")</f>
        <v>Sub-Saharan Africa</v>
      </c>
      <c r="E2409" s="113" t="s">
        <v>127</v>
      </c>
      <c r="F2409" s="113" t="str">
        <f>_xlfn.XLOOKUP(E2409,'Allocated Transactions'!D:D,'Allocated Transactions'!E:E,"")</f>
        <v>Indirect Cost Allocation</v>
      </c>
      <c r="G2409" s="113" t="s">
        <v>129</v>
      </c>
      <c r="H2409" s="113" t="s">
        <v>337</v>
      </c>
      <c r="I2409" s="113" t="str">
        <f>_xlfn.XLOOKUP($C2409,'Cost Centers'!$A$2:$A$11,'Cost Centers'!$C$2:$C$11,"")</f>
        <v>Programs</v>
      </c>
      <c r="J2409" s="23">
        <f t="shared" si="149"/>
        <v>10068.875651526434</v>
      </c>
      <c r="K2409" s="113" t="s">
        <v>637</v>
      </c>
    </row>
    <row r="2410" spans="1:11" ht="15" customHeight="1">
      <c r="A2410" s="112">
        <v>45870</v>
      </c>
      <c r="B2410" s="113">
        <v>24</v>
      </c>
      <c r="C2410" s="18" t="s">
        <v>18</v>
      </c>
      <c r="D2410" s="113" t="str">
        <f>_xlfn.XLOOKUP($C2410,'Cost Centers'!$A$2:$A$11,'Cost Centers'!$B$2:$B$11,"")</f>
        <v>Europe</v>
      </c>
      <c r="E2410" s="113" t="s">
        <v>127</v>
      </c>
      <c r="F2410" s="113" t="str">
        <f>_xlfn.XLOOKUP(E2410,'Allocated Transactions'!D:D,'Allocated Transactions'!E:E,"")</f>
        <v>Indirect Cost Allocation</v>
      </c>
      <c r="G2410" s="113" t="s">
        <v>129</v>
      </c>
      <c r="H2410" s="113" t="s">
        <v>338</v>
      </c>
      <c r="I2410" s="113" t="str">
        <f>_xlfn.XLOOKUP($C2410,'Cost Centers'!$A$2:$A$11,'Cost Centers'!$C$2:$C$11,"")</f>
        <v>Programs</v>
      </c>
      <c r="J2410" s="23">
        <f t="shared" si="149"/>
        <v>15886.448250186149</v>
      </c>
      <c r="K2410" s="113" t="s">
        <v>637</v>
      </c>
    </row>
    <row r="2411" spans="1:11" ht="15" customHeight="1">
      <c r="A2411" s="112">
        <v>45870</v>
      </c>
      <c r="B2411" s="113">
        <v>24</v>
      </c>
      <c r="C2411" s="18" t="s">
        <v>20</v>
      </c>
      <c r="D2411" s="113" t="str">
        <f>_xlfn.XLOOKUP($C2411,'Cost Centers'!$A$2:$A$11,'Cost Centers'!$B$2:$B$11,"")</f>
        <v>SE Asia</v>
      </c>
      <c r="E2411" s="113" t="s">
        <v>127</v>
      </c>
      <c r="F2411" s="113" t="str">
        <f>_xlfn.XLOOKUP(E2411,'Allocated Transactions'!D:D,'Allocated Transactions'!E:E,"")</f>
        <v>Indirect Cost Allocation</v>
      </c>
      <c r="G2411" s="113" t="s">
        <v>129</v>
      </c>
      <c r="H2411" s="113" t="s">
        <v>339</v>
      </c>
      <c r="I2411" s="113" t="str">
        <f>_xlfn.XLOOKUP($C2411,'Cost Centers'!$A$2:$A$11,'Cost Centers'!$C$2:$C$11,"")</f>
        <v>Programs</v>
      </c>
      <c r="J2411" s="23">
        <f t="shared" si="149"/>
        <v>12977.661950856291</v>
      </c>
      <c r="K2411" s="113" t="s">
        <v>637</v>
      </c>
    </row>
    <row r="2412" spans="1:11" ht="15" customHeight="1">
      <c r="A2412" s="112">
        <v>45901</v>
      </c>
      <c r="B2412" s="113">
        <v>25</v>
      </c>
      <c r="C2412" s="18" t="s">
        <v>12</v>
      </c>
      <c r="D2412" s="113" t="str">
        <f>_xlfn.XLOOKUP($C2412,'Cost Centers'!$A$2:$A$11,'Cost Centers'!$B$2:$B$11,"")</f>
        <v>Latin America</v>
      </c>
      <c r="E2412" s="113" t="s">
        <v>127</v>
      </c>
      <c r="F2412" s="113" t="str">
        <f>_xlfn.XLOOKUP(E2412,'Allocated Transactions'!D:D,'Allocated Transactions'!E:E,"")</f>
        <v>Indirect Cost Allocation</v>
      </c>
      <c r="G2412" s="113" t="s">
        <v>129</v>
      </c>
      <c r="H2412" s="113" t="s">
        <v>335</v>
      </c>
      <c r="I2412" s="113" t="str">
        <f>_xlfn.XLOOKUP($C2412,'Cost Centers'!$A$2:$A$11,'Cost Centers'!$C$2:$C$11,"")</f>
        <v>Programs</v>
      </c>
      <c r="J2412" s="23">
        <f t="shared" si="149"/>
        <v>11517.243920412675</v>
      </c>
      <c r="K2412" s="113" t="s">
        <v>637</v>
      </c>
    </row>
    <row r="2413" spans="1:11" ht="15" customHeight="1">
      <c r="A2413" s="112">
        <v>45901</v>
      </c>
      <c r="B2413" s="113">
        <v>25</v>
      </c>
      <c r="C2413" s="18" t="s">
        <v>14</v>
      </c>
      <c r="D2413" s="113" t="str">
        <f>_xlfn.XLOOKUP($C2413,'Cost Centers'!$A$2:$A$11,'Cost Centers'!$B$2:$B$11,"")</f>
        <v>MENA</v>
      </c>
      <c r="E2413" s="113" t="s">
        <v>127</v>
      </c>
      <c r="F2413" s="113" t="str">
        <f>_xlfn.XLOOKUP(E2413,'Allocated Transactions'!D:D,'Allocated Transactions'!E:E,"")</f>
        <v>Indirect Cost Allocation</v>
      </c>
      <c r="G2413" s="113" t="s">
        <v>129</v>
      </c>
      <c r="H2413" s="113" t="s">
        <v>336</v>
      </c>
      <c r="I2413" s="113" t="str">
        <f>_xlfn.XLOOKUP($C2413,'Cost Centers'!$A$2:$A$11,'Cost Centers'!$C$2:$C$11,"")</f>
        <v>Programs</v>
      </c>
      <c r="J2413" s="23">
        <f t="shared" si="149"/>
        <v>9761.8275607958731</v>
      </c>
      <c r="K2413" s="113" t="s">
        <v>637</v>
      </c>
    </row>
    <row r="2414" spans="1:11" ht="15" customHeight="1">
      <c r="A2414" s="112">
        <v>45901</v>
      </c>
      <c r="B2414" s="113">
        <v>25</v>
      </c>
      <c r="C2414" s="18" t="s">
        <v>16</v>
      </c>
      <c r="D2414" s="113" t="str">
        <f>_xlfn.XLOOKUP($C2414,'Cost Centers'!$A$2:$A$11,'Cost Centers'!$B$2:$B$11,"")</f>
        <v>Sub-Saharan Africa</v>
      </c>
      <c r="E2414" s="113" t="s">
        <v>127</v>
      </c>
      <c r="F2414" s="113" t="str">
        <f>_xlfn.XLOOKUP(E2414,'Allocated Transactions'!D:D,'Allocated Transactions'!E:E,"")</f>
        <v>Indirect Cost Allocation</v>
      </c>
      <c r="G2414" s="113" t="s">
        <v>129</v>
      </c>
      <c r="H2414" s="113" t="s">
        <v>337</v>
      </c>
      <c r="I2414" s="113" t="str">
        <f>_xlfn.XLOOKUP($C2414,'Cost Centers'!$A$2:$A$11,'Cost Centers'!$C$2:$C$11,"")</f>
        <v>Programs</v>
      </c>
      <c r="J2414" s="23">
        <f t="shared" si="149"/>
        <v>9975.9027266027988</v>
      </c>
      <c r="K2414" s="113" t="s">
        <v>637</v>
      </c>
    </row>
    <row r="2415" spans="1:11" ht="15" customHeight="1">
      <c r="A2415" s="112">
        <v>45901</v>
      </c>
      <c r="B2415" s="113">
        <v>25</v>
      </c>
      <c r="C2415" s="18" t="s">
        <v>18</v>
      </c>
      <c r="D2415" s="113" t="str">
        <f>_xlfn.XLOOKUP($C2415,'Cost Centers'!$A$2:$A$11,'Cost Centers'!$B$2:$B$11,"")</f>
        <v>Europe</v>
      </c>
      <c r="E2415" s="113" t="s">
        <v>127</v>
      </c>
      <c r="F2415" s="113" t="str">
        <f>_xlfn.XLOOKUP(E2415,'Allocated Transactions'!D:D,'Allocated Transactions'!E:E,"")</f>
        <v>Indirect Cost Allocation</v>
      </c>
      <c r="G2415" s="113" t="s">
        <v>129</v>
      </c>
      <c r="H2415" s="113" t="s">
        <v>338</v>
      </c>
      <c r="I2415" s="113" t="str">
        <f>_xlfn.XLOOKUP($C2415,'Cost Centers'!$A$2:$A$11,'Cost Centers'!$C$2:$C$11,"")</f>
        <v>Programs</v>
      </c>
      <c r="J2415" s="23">
        <f t="shared" si="149"/>
        <v>13657.995578481945</v>
      </c>
      <c r="K2415" s="113" t="s">
        <v>637</v>
      </c>
    </row>
    <row r="2416" spans="1:11" ht="15" customHeight="1">
      <c r="A2416" s="112">
        <v>45901</v>
      </c>
      <c r="B2416" s="113">
        <v>25</v>
      </c>
      <c r="C2416" s="18" t="s">
        <v>20</v>
      </c>
      <c r="D2416" s="113" t="str">
        <f>_xlfn.XLOOKUP($C2416,'Cost Centers'!$A$2:$A$11,'Cost Centers'!$B$2:$B$11,"")</f>
        <v>SE Asia</v>
      </c>
      <c r="E2416" s="113" t="s">
        <v>127</v>
      </c>
      <c r="F2416" s="113" t="str">
        <f>_xlfn.XLOOKUP(E2416,'Allocated Transactions'!D:D,'Allocated Transactions'!E:E,"")</f>
        <v>Indirect Cost Allocation</v>
      </c>
      <c r="G2416" s="113" t="s">
        <v>129</v>
      </c>
      <c r="H2416" s="113" t="s">
        <v>339</v>
      </c>
      <c r="I2416" s="113" t="str">
        <f>_xlfn.XLOOKUP($C2416,'Cost Centers'!$A$2:$A$11,'Cost Centers'!$C$2:$C$11,"")</f>
        <v>Programs</v>
      </c>
      <c r="J2416" s="23">
        <f t="shared" si="149"/>
        <v>13187.030213706705</v>
      </c>
      <c r="K2416" s="113" t="s">
        <v>637</v>
      </c>
    </row>
    <row r="2417" spans="1:11" ht="15" customHeight="1">
      <c r="A2417" s="112">
        <v>45931</v>
      </c>
      <c r="B2417" s="113">
        <v>26</v>
      </c>
      <c r="C2417" s="18" t="s">
        <v>12</v>
      </c>
      <c r="D2417" s="113" t="str">
        <f>_xlfn.XLOOKUP($C2417,'Cost Centers'!$A$2:$A$11,'Cost Centers'!$B$2:$B$11,"")</f>
        <v>Latin America</v>
      </c>
      <c r="E2417" s="113" t="s">
        <v>127</v>
      </c>
      <c r="F2417" s="113" t="str">
        <f>_xlfn.XLOOKUP(E2417,'Allocated Transactions'!D:D,'Allocated Transactions'!E:E,"")</f>
        <v>Indirect Cost Allocation</v>
      </c>
      <c r="G2417" s="113" t="s">
        <v>129</v>
      </c>
      <c r="H2417" s="113" t="s">
        <v>335</v>
      </c>
      <c r="I2417" s="113" t="str">
        <f>_xlfn.XLOOKUP($C2417,'Cost Centers'!$A$2:$A$11,'Cost Centers'!$C$2:$C$11,"")</f>
        <v>Programs</v>
      </c>
      <c r="J2417" s="23">
        <f t="shared" si="149"/>
        <v>8125.8191349934468</v>
      </c>
      <c r="K2417" s="113" t="s">
        <v>637</v>
      </c>
    </row>
    <row r="2418" spans="1:11" ht="15" customHeight="1">
      <c r="A2418" s="112">
        <v>45931</v>
      </c>
      <c r="B2418" s="113">
        <v>26</v>
      </c>
      <c r="C2418" s="18" t="s">
        <v>14</v>
      </c>
      <c r="D2418" s="113" t="str">
        <f>_xlfn.XLOOKUP($C2418,'Cost Centers'!$A$2:$A$11,'Cost Centers'!$B$2:$B$11,"")</f>
        <v>MENA</v>
      </c>
      <c r="E2418" s="113" t="s">
        <v>127</v>
      </c>
      <c r="F2418" s="113" t="str">
        <f>_xlfn.XLOOKUP(E2418,'Allocated Transactions'!D:D,'Allocated Transactions'!E:E,"")</f>
        <v>Indirect Cost Allocation</v>
      </c>
      <c r="G2418" s="113" t="s">
        <v>129</v>
      </c>
      <c r="H2418" s="113" t="s">
        <v>336</v>
      </c>
      <c r="I2418" s="113" t="str">
        <f>_xlfn.XLOOKUP($C2418,'Cost Centers'!$A$2:$A$11,'Cost Centers'!$C$2:$C$11,"")</f>
        <v>Programs</v>
      </c>
      <c r="J2418" s="23">
        <f t="shared" si="149"/>
        <v>17876.802096985582</v>
      </c>
      <c r="K2418" s="113" t="s">
        <v>637</v>
      </c>
    </row>
    <row r="2419" spans="1:11" ht="15" customHeight="1">
      <c r="A2419" s="112">
        <v>45931</v>
      </c>
      <c r="B2419" s="113">
        <v>26</v>
      </c>
      <c r="C2419" s="18" t="s">
        <v>16</v>
      </c>
      <c r="D2419" s="113" t="str">
        <f>_xlfn.XLOOKUP($C2419,'Cost Centers'!$A$2:$A$11,'Cost Centers'!$B$2:$B$11,"")</f>
        <v>Sub-Saharan Africa</v>
      </c>
      <c r="E2419" s="113" t="s">
        <v>127</v>
      </c>
      <c r="F2419" s="113" t="str">
        <f>_xlfn.XLOOKUP(E2419,'Allocated Transactions'!D:D,'Allocated Transactions'!E:E,"")</f>
        <v>Indirect Cost Allocation</v>
      </c>
      <c r="G2419" s="113" t="s">
        <v>129</v>
      </c>
      <c r="H2419" s="113" t="s">
        <v>337</v>
      </c>
      <c r="I2419" s="113" t="str">
        <f>_xlfn.XLOOKUP($C2419,'Cost Centers'!$A$2:$A$11,'Cost Centers'!$C$2:$C$11,"")</f>
        <v>Programs</v>
      </c>
      <c r="J2419" s="23">
        <f t="shared" si="149"/>
        <v>10482.306684141546</v>
      </c>
      <c r="K2419" s="113" t="s">
        <v>637</v>
      </c>
    </row>
    <row r="2420" spans="1:11" ht="15" customHeight="1">
      <c r="A2420" s="112">
        <v>45931</v>
      </c>
      <c r="B2420" s="113">
        <v>26</v>
      </c>
      <c r="C2420" s="18" t="s">
        <v>18</v>
      </c>
      <c r="D2420" s="113" t="str">
        <f>_xlfn.XLOOKUP($C2420,'Cost Centers'!$A$2:$A$11,'Cost Centers'!$B$2:$B$11,"")</f>
        <v>Europe</v>
      </c>
      <c r="E2420" s="113" t="s">
        <v>127</v>
      </c>
      <c r="F2420" s="113" t="str">
        <f>_xlfn.XLOOKUP(E2420,'Allocated Transactions'!D:D,'Allocated Transactions'!E:E,"")</f>
        <v>Indirect Cost Allocation</v>
      </c>
      <c r="G2420" s="113" t="s">
        <v>129</v>
      </c>
      <c r="H2420" s="113" t="s">
        <v>338</v>
      </c>
      <c r="I2420" s="113" t="str">
        <f>_xlfn.XLOOKUP($C2420,'Cost Centers'!$A$2:$A$11,'Cost Centers'!$C$2:$C$11,"")</f>
        <v>Programs</v>
      </c>
      <c r="J2420" s="23">
        <f t="shared" si="149"/>
        <v>13488.859764089122</v>
      </c>
      <c r="K2420" s="113" t="s">
        <v>637</v>
      </c>
    </row>
    <row r="2421" spans="1:11" ht="15" customHeight="1">
      <c r="A2421" s="112">
        <v>45931</v>
      </c>
      <c r="B2421" s="113">
        <v>26</v>
      </c>
      <c r="C2421" s="18" t="s">
        <v>20</v>
      </c>
      <c r="D2421" s="113" t="str">
        <f>_xlfn.XLOOKUP($C2421,'Cost Centers'!$A$2:$A$11,'Cost Centers'!$B$2:$B$11,"")</f>
        <v>SE Asia</v>
      </c>
      <c r="E2421" s="113" t="s">
        <v>127</v>
      </c>
      <c r="F2421" s="113" t="str">
        <f>_xlfn.XLOOKUP(E2421,'Allocated Transactions'!D:D,'Allocated Transactions'!E:E,"")</f>
        <v>Indirect Cost Allocation</v>
      </c>
      <c r="G2421" s="113" t="s">
        <v>129</v>
      </c>
      <c r="H2421" s="113" t="s">
        <v>339</v>
      </c>
      <c r="I2421" s="113" t="str">
        <f>_xlfn.XLOOKUP($C2421,'Cost Centers'!$A$2:$A$11,'Cost Centers'!$C$2:$C$11,"")</f>
        <v>Programs</v>
      </c>
      <c r="J2421" s="23">
        <f t="shared" si="149"/>
        <v>12026.212319790302</v>
      </c>
      <c r="K2421" s="113" t="s">
        <v>637</v>
      </c>
    </row>
    <row r="2422" spans="1:11" ht="15" customHeight="1">
      <c r="A2422" s="112">
        <v>45962</v>
      </c>
      <c r="B2422" s="113">
        <v>27</v>
      </c>
      <c r="C2422" s="18" t="s">
        <v>12</v>
      </c>
      <c r="D2422" s="113" t="str">
        <f>_xlfn.XLOOKUP($C2422,'Cost Centers'!$A$2:$A$11,'Cost Centers'!$B$2:$B$11,"")</f>
        <v>Latin America</v>
      </c>
      <c r="E2422" s="113" t="s">
        <v>127</v>
      </c>
      <c r="F2422" s="113" t="str">
        <f>_xlfn.XLOOKUP(E2422,'Allocated Transactions'!D:D,'Allocated Transactions'!E:E,"")</f>
        <v>Indirect Cost Allocation</v>
      </c>
      <c r="G2422" s="113" t="s">
        <v>129</v>
      </c>
      <c r="H2422" s="113" t="s">
        <v>335</v>
      </c>
      <c r="I2422" s="113" t="str">
        <f>_xlfn.XLOOKUP($C2422,'Cost Centers'!$A$2:$A$11,'Cost Centers'!$C$2:$C$11,"")</f>
        <v>Programs</v>
      </c>
      <c r="J2422" s="23">
        <f t="shared" si="149"/>
        <v>10958.653846153846</v>
      </c>
      <c r="K2422" s="113" t="s">
        <v>637</v>
      </c>
    </row>
    <row r="2423" spans="1:11" ht="15" customHeight="1">
      <c r="A2423" s="112">
        <v>45962</v>
      </c>
      <c r="B2423" s="113">
        <v>27</v>
      </c>
      <c r="C2423" s="18" t="s">
        <v>14</v>
      </c>
      <c r="D2423" s="113" t="str">
        <f>_xlfn.XLOOKUP($C2423,'Cost Centers'!$A$2:$A$11,'Cost Centers'!$B$2:$B$11,"")</f>
        <v>MENA</v>
      </c>
      <c r="E2423" s="113" t="s">
        <v>127</v>
      </c>
      <c r="F2423" s="113" t="str">
        <f>_xlfn.XLOOKUP(E2423,'Allocated Transactions'!D:D,'Allocated Transactions'!E:E,"")</f>
        <v>Indirect Cost Allocation</v>
      </c>
      <c r="G2423" s="113" t="s">
        <v>129</v>
      </c>
      <c r="H2423" s="113" t="s">
        <v>336</v>
      </c>
      <c r="I2423" s="113" t="str">
        <f>_xlfn.XLOOKUP($C2423,'Cost Centers'!$A$2:$A$11,'Cost Centers'!$C$2:$C$11,"")</f>
        <v>Programs</v>
      </c>
      <c r="J2423" s="23">
        <f t="shared" si="149"/>
        <v>11837.01923076923</v>
      </c>
      <c r="K2423" s="113" t="s">
        <v>637</v>
      </c>
    </row>
    <row r="2424" spans="1:11" ht="15" customHeight="1">
      <c r="A2424" s="112">
        <v>45962</v>
      </c>
      <c r="B2424" s="113">
        <v>27</v>
      </c>
      <c r="C2424" s="18" t="s">
        <v>16</v>
      </c>
      <c r="D2424" s="113" t="str">
        <f>_xlfn.XLOOKUP($C2424,'Cost Centers'!$A$2:$A$11,'Cost Centers'!$B$2:$B$11,"")</f>
        <v>Sub-Saharan Africa</v>
      </c>
      <c r="E2424" s="113" t="s">
        <v>127</v>
      </c>
      <c r="F2424" s="113" t="str">
        <f>_xlfn.XLOOKUP(E2424,'Allocated Transactions'!D:D,'Allocated Transactions'!E:E,"")</f>
        <v>Indirect Cost Allocation</v>
      </c>
      <c r="G2424" s="113" t="s">
        <v>129</v>
      </c>
      <c r="H2424" s="113" t="s">
        <v>337</v>
      </c>
      <c r="I2424" s="113" t="str">
        <f>_xlfn.XLOOKUP($C2424,'Cost Centers'!$A$2:$A$11,'Cost Centers'!$C$2:$C$11,"")</f>
        <v>Programs</v>
      </c>
      <c r="J2424" s="23">
        <f t="shared" si="149"/>
        <v>12924.51923076923</v>
      </c>
      <c r="K2424" s="113" t="s">
        <v>637</v>
      </c>
    </row>
    <row r="2425" spans="1:11" ht="15" customHeight="1">
      <c r="A2425" s="112">
        <v>45962</v>
      </c>
      <c r="B2425" s="113">
        <v>27</v>
      </c>
      <c r="C2425" s="18" t="s">
        <v>18</v>
      </c>
      <c r="D2425" s="113" t="str">
        <f>_xlfn.XLOOKUP($C2425,'Cost Centers'!$A$2:$A$11,'Cost Centers'!$B$2:$B$11,"")</f>
        <v>Europe</v>
      </c>
      <c r="E2425" s="113" t="s">
        <v>127</v>
      </c>
      <c r="F2425" s="113" t="str">
        <f>_xlfn.XLOOKUP(E2425,'Allocated Transactions'!D:D,'Allocated Transactions'!E:E,"")</f>
        <v>Indirect Cost Allocation</v>
      </c>
      <c r="G2425" s="113" t="s">
        <v>129</v>
      </c>
      <c r="H2425" s="113" t="s">
        <v>338</v>
      </c>
      <c r="I2425" s="113" t="str">
        <f>_xlfn.XLOOKUP($C2425,'Cost Centers'!$A$2:$A$11,'Cost Centers'!$C$2:$C$11,"")</f>
        <v>Programs</v>
      </c>
      <c r="J2425" s="23">
        <f t="shared" si="149"/>
        <v>13049.999999999998</v>
      </c>
      <c r="K2425" s="113" t="s">
        <v>637</v>
      </c>
    </row>
    <row r="2426" spans="1:11" ht="15" customHeight="1">
      <c r="A2426" s="112">
        <v>45962</v>
      </c>
      <c r="B2426" s="113">
        <v>27</v>
      </c>
      <c r="C2426" s="18" t="s">
        <v>20</v>
      </c>
      <c r="D2426" s="113" t="str">
        <f>_xlfn.XLOOKUP($C2426,'Cost Centers'!$A$2:$A$11,'Cost Centers'!$B$2:$B$11,"")</f>
        <v>SE Asia</v>
      </c>
      <c r="E2426" s="113" t="s">
        <v>127</v>
      </c>
      <c r="F2426" s="113" t="str">
        <f>_xlfn.XLOOKUP(E2426,'Allocated Transactions'!D:D,'Allocated Transactions'!E:E,"")</f>
        <v>Indirect Cost Allocation</v>
      </c>
      <c r="G2426" s="113" t="s">
        <v>129</v>
      </c>
      <c r="H2426" s="113" t="s">
        <v>339</v>
      </c>
      <c r="I2426" s="113" t="str">
        <f>_xlfn.XLOOKUP($C2426,'Cost Centers'!$A$2:$A$11,'Cost Centers'!$C$2:$C$11,"")</f>
        <v>Programs</v>
      </c>
      <c r="J2426" s="23">
        <f t="shared" si="149"/>
        <v>12129.807692307691</v>
      </c>
      <c r="K2426" s="113" t="s">
        <v>637</v>
      </c>
    </row>
    <row r="2427" spans="1:11" ht="15" customHeight="1">
      <c r="A2427" s="112">
        <v>45992</v>
      </c>
      <c r="B2427" s="113">
        <v>28</v>
      </c>
      <c r="C2427" s="18" t="s">
        <v>12</v>
      </c>
      <c r="D2427" s="113" t="str">
        <f>_xlfn.XLOOKUP($C2427,'Cost Centers'!$A$2:$A$11,'Cost Centers'!$B$2:$B$11,"")</f>
        <v>Latin America</v>
      </c>
      <c r="E2427" s="113" t="s">
        <v>127</v>
      </c>
      <c r="F2427" s="113" t="str">
        <f>_xlfn.XLOOKUP(E2427,'Allocated Transactions'!D:D,'Allocated Transactions'!E:E,"")</f>
        <v>Indirect Cost Allocation</v>
      </c>
      <c r="G2427" s="113" t="s">
        <v>129</v>
      </c>
      <c r="H2427" s="113" t="s">
        <v>335</v>
      </c>
      <c r="I2427" s="113" t="str">
        <f>_xlfn.XLOOKUP($C2427,'Cost Centers'!$A$2:$A$11,'Cost Centers'!$C$2:$C$11,"")</f>
        <v>Programs</v>
      </c>
      <c r="J2427" s="23">
        <f t="shared" si="149"/>
        <v>11184.391534391534</v>
      </c>
      <c r="K2427" s="113" t="s">
        <v>637</v>
      </c>
    </row>
    <row r="2428" spans="1:11" ht="15" customHeight="1">
      <c r="A2428" s="112">
        <v>45992</v>
      </c>
      <c r="B2428" s="113">
        <v>28</v>
      </c>
      <c r="C2428" s="18" t="s">
        <v>14</v>
      </c>
      <c r="D2428" s="113" t="str">
        <f>_xlfn.XLOOKUP($C2428,'Cost Centers'!$A$2:$A$11,'Cost Centers'!$B$2:$B$11,"")</f>
        <v>MENA</v>
      </c>
      <c r="E2428" s="113" t="s">
        <v>127</v>
      </c>
      <c r="F2428" s="113" t="str">
        <f>_xlfn.XLOOKUP(E2428,'Allocated Transactions'!D:D,'Allocated Transactions'!E:E,"")</f>
        <v>Indirect Cost Allocation</v>
      </c>
      <c r="G2428" s="113" t="s">
        <v>129</v>
      </c>
      <c r="H2428" s="113" t="s">
        <v>336</v>
      </c>
      <c r="I2428" s="113" t="str">
        <f>_xlfn.XLOOKUP($C2428,'Cost Centers'!$A$2:$A$11,'Cost Centers'!$C$2:$C$11,"")</f>
        <v>Programs</v>
      </c>
      <c r="J2428" s="23">
        <f t="shared" si="149"/>
        <v>12144.246031746032</v>
      </c>
      <c r="K2428" s="113" t="s">
        <v>637</v>
      </c>
    </row>
    <row r="2429" spans="1:11" ht="15" customHeight="1">
      <c r="A2429" s="112">
        <v>45992</v>
      </c>
      <c r="B2429" s="113">
        <v>28</v>
      </c>
      <c r="C2429" s="18" t="s">
        <v>16</v>
      </c>
      <c r="D2429" s="113" t="str">
        <f>_xlfn.XLOOKUP($C2429,'Cost Centers'!$A$2:$A$11,'Cost Centers'!$B$2:$B$11,"")</f>
        <v>Sub-Saharan Africa</v>
      </c>
      <c r="E2429" s="113" t="s">
        <v>127</v>
      </c>
      <c r="F2429" s="113" t="str">
        <f>_xlfn.XLOOKUP(E2429,'Allocated Transactions'!D:D,'Allocated Transactions'!E:E,"")</f>
        <v>Indirect Cost Allocation</v>
      </c>
      <c r="G2429" s="113" t="s">
        <v>129</v>
      </c>
      <c r="H2429" s="113" t="s">
        <v>337</v>
      </c>
      <c r="I2429" s="113" t="str">
        <f>_xlfn.XLOOKUP($C2429,'Cost Centers'!$A$2:$A$11,'Cost Centers'!$C$2:$C$11,"")</f>
        <v>Programs</v>
      </c>
      <c r="J2429" s="23">
        <f t="shared" si="149"/>
        <v>8972.5529100529111</v>
      </c>
      <c r="K2429" s="113" t="s">
        <v>637</v>
      </c>
    </row>
    <row r="2430" spans="1:11" ht="15" customHeight="1">
      <c r="A2430" s="112">
        <v>45992</v>
      </c>
      <c r="B2430" s="113">
        <v>28</v>
      </c>
      <c r="C2430" s="18" t="s">
        <v>18</v>
      </c>
      <c r="D2430" s="113" t="str">
        <f>_xlfn.XLOOKUP($C2430,'Cost Centers'!$A$2:$A$11,'Cost Centers'!$B$2:$B$11,"")</f>
        <v>Europe</v>
      </c>
      <c r="E2430" s="113" t="s">
        <v>127</v>
      </c>
      <c r="F2430" s="113" t="str">
        <f>_xlfn.XLOOKUP(E2430,'Allocated Transactions'!D:D,'Allocated Transactions'!E:E,"")</f>
        <v>Indirect Cost Allocation</v>
      </c>
      <c r="G2430" s="113" t="s">
        <v>129</v>
      </c>
      <c r="H2430" s="113" t="s">
        <v>338</v>
      </c>
      <c r="I2430" s="113" t="str">
        <f>_xlfn.XLOOKUP($C2430,'Cost Centers'!$A$2:$A$11,'Cost Centers'!$C$2:$C$11,"")</f>
        <v>Programs</v>
      </c>
      <c r="J2430" s="23">
        <f t="shared" si="149"/>
        <v>17193.915343915345</v>
      </c>
      <c r="K2430" s="113" t="s">
        <v>637</v>
      </c>
    </row>
    <row r="2431" spans="1:11" ht="15" customHeight="1">
      <c r="A2431" s="112">
        <v>45992</v>
      </c>
      <c r="B2431" s="113">
        <v>28</v>
      </c>
      <c r="C2431" s="18" t="s">
        <v>20</v>
      </c>
      <c r="D2431" s="113" t="str">
        <f>_xlfn.XLOOKUP($C2431,'Cost Centers'!$A$2:$A$11,'Cost Centers'!$B$2:$B$11,"")</f>
        <v>SE Asia</v>
      </c>
      <c r="E2431" s="113" t="s">
        <v>127</v>
      </c>
      <c r="F2431" s="113" t="str">
        <f>_xlfn.XLOOKUP(E2431,'Allocated Transactions'!D:D,'Allocated Transactions'!E:E,"")</f>
        <v>Indirect Cost Allocation</v>
      </c>
      <c r="G2431" s="113" t="s">
        <v>129</v>
      </c>
      <c r="H2431" s="113" t="s">
        <v>339</v>
      </c>
      <c r="I2431" s="113" t="str">
        <f>_xlfn.XLOOKUP($C2431,'Cost Centers'!$A$2:$A$11,'Cost Centers'!$C$2:$C$11,"")</f>
        <v>Programs</v>
      </c>
      <c r="J2431" s="23">
        <f t="shared" si="149"/>
        <v>13604.89417989418</v>
      </c>
      <c r="K2431" s="113" t="s">
        <v>637</v>
      </c>
    </row>
    <row r="2432" spans="1:11" ht="15" customHeight="1">
      <c r="A2432" s="112">
        <v>46023</v>
      </c>
      <c r="B2432" s="113">
        <v>29</v>
      </c>
      <c r="C2432" s="18" t="s">
        <v>12</v>
      </c>
      <c r="D2432" s="113" t="str">
        <f>_xlfn.XLOOKUP($C2432,'Cost Centers'!$A$2:$A$11,'Cost Centers'!$B$2:$B$11,"")</f>
        <v>Latin America</v>
      </c>
      <c r="E2432" s="113" t="s">
        <v>127</v>
      </c>
      <c r="F2432" s="113" t="str">
        <f>_xlfn.XLOOKUP(E2432,'Allocated Transactions'!D:D,'Allocated Transactions'!E:E,"")</f>
        <v>Indirect Cost Allocation</v>
      </c>
      <c r="G2432" s="113" t="s">
        <v>129</v>
      </c>
      <c r="H2432" s="113" t="s">
        <v>335</v>
      </c>
      <c r="I2432" s="113" t="str">
        <f>_xlfn.XLOOKUP($C2432,'Cost Centers'!$A$2:$A$11,'Cost Centers'!$C$2:$C$11,"")</f>
        <v>Programs</v>
      </c>
      <c r="J2432" s="23">
        <f t="shared" si="149"/>
        <v>12483.73454782043</v>
      </c>
      <c r="K2432" s="113" t="s">
        <v>637</v>
      </c>
    </row>
    <row r="2433" spans="1:11" ht="15" customHeight="1">
      <c r="A2433" s="112">
        <v>46023</v>
      </c>
      <c r="B2433" s="113">
        <v>29</v>
      </c>
      <c r="C2433" s="18" t="s">
        <v>14</v>
      </c>
      <c r="D2433" s="113" t="str">
        <f>_xlfn.XLOOKUP($C2433,'Cost Centers'!$A$2:$A$11,'Cost Centers'!$B$2:$B$11,"")</f>
        <v>MENA</v>
      </c>
      <c r="E2433" s="113" t="s">
        <v>127</v>
      </c>
      <c r="F2433" s="113" t="str">
        <f>_xlfn.XLOOKUP(E2433,'Allocated Transactions'!D:D,'Allocated Transactions'!E:E,"")</f>
        <v>Indirect Cost Allocation</v>
      </c>
      <c r="G2433" s="113" t="s">
        <v>129</v>
      </c>
      <c r="H2433" s="113" t="s">
        <v>336</v>
      </c>
      <c r="I2433" s="113" t="str">
        <f>_xlfn.XLOOKUP($C2433,'Cost Centers'!$A$2:$A$11,'Cost Centers'!$C$2:$C$11,"")</f>
        <v>Programs</v>
      </c>
      <c r="J2433" s="23">
        <f t="shared" si="149"/>
        <v>12687.052700065062</v>
      </c>
      <c r="K2433" s="113" t="s">
        <v>637</v>
      </c>
    </row>
    <row r="2434" spans="1:11" ht="15" customHeight="1">
      <c r="A2434" s="112">
        <v>46023</v>
      </c>
      <c r="B2434" s="113">
        <v>29</v>
      </c>
      <c r="C2434" s="18" t="s">
        <v>16</v>
      </c>
      <c r="D2434" s="113" t="str">
        <f>_xlfn.XLOOKUP($C2434,'Cost Centers'!$A$2:$A$11,'Cost Centers'!$B$2:$B$11,"")</f>
        <v>Sub-Saharan Africa</v>
      </c>
      <c r="E2434" s="113" t="s">
        <v>127</v>
      </c>
      <c r="F2434" s="113" t="str">
        <f>_xlfn.XLOOKUP(E2434,'Allocated Transactions'!D:D,'Allocated Transactions'!E:E,"")</f>
        <v>Indirect Cost Allocation</v>
      </c>
      <c r="G2434" s="113" t="s">
        <v>129</v>
      </c>
      <c r="H2434" s="113" t="s">
        <v>337</v>
      </c>
      <c r="I2434" s="113" t="str">
        <f>_xlfn.XLOOKUP($C2434,'Cost Centers'!$A$2:$A$11,'Cost Centers'!$C$2:$C$11,"")</f>
        <v>Programs</v>
      </c>
      <c r="J2434" s="23">
        <f t="shared" ref="J2434:J2461" si="150">-SUMIFS($J$2:$J$2401,$E$2:$E$2401,"5990",$H$2:$H$2401,$H2434,$A$2:$A$2401,$A2434)</f>
        <v>11385.816525699414</v>
      </c>
      <c r="K2434" s="113" t="s">
        <v>637</v>
      </c>
    </row>
    <row r="2435" spans="1:11" ht="15" customHeight="1">
      <c r="A2435" s="112">
        <v>46023</v>
      </c>
      <c r="B2435" s="113">
        <v>29</v>
      </c>
      <c r="C2435" s="18" t="s">
        <v>18</v>
      </c>
      <c r="D2435" s="113" t="str">
        <f>_xlfn.XLOOKUP($C2435,'Cost Centers'!$A$2:$A$11,'Cost Centers'!$B$2:$B$11,"")</f>
        <v>Europe</v>
      </c>
      <c r="E2435" s="113" t="s">
        <v>127</v>
      </c>
      <c r="F2435" s="113" t="str">
        <f>_xlfn.XLOOKUP(E2435,'Allocated Transactions'!D:D,'Allocated Transactions'!E:E,"")</f>
        <v>Indirect Cost Allocation</v>
      </c>
      <c r="G2435" s="113" t="s">
        <v>129</v>
      </c>
      <c r="H2435" s="113" t="s">
        <v>338</v>
      </c>
      <c r="I2435" s="113" t="str">
        <f>_xlfn.XLOOKUP($C2435,'Cost Centers'!$A$2:$A$11,'Cost Centers'!$C$2:$C$11,"")</f>
        <v>Programs</v>
      </c>
      <c r="J2435" s="23">
        <f t="shared" si="150"/>
        <v>9596.6167859466477</v>
      </c>
      <c r="K2435" s="113" t="s">
        <v>637</v>
      </c>
    </row>
    <row r="2436" spans="1:11" ht="15" customHeight="1">
      <c r="A2436" s="112">
        <v>46023</v>
      </c>
      <c r="B2436" s="113">
        <v>29</v>
      </c>
      <c r="C2436" s="18" t="s">
        <v>20</v>
      </c>
      <c r="D2436" s="113" t="str">
        <f>_xlfn.XLOOKUP($C2436,'Cost Centers'!$A$2:$A$11,'Cost Centers'!$B$2:$B$11,"")</f>
        <v>SE Asia</v>
      </c>
      <c r="E2436" s="113" t="s">
        <v>127</v>
      </c>
      <c r="F2436" s="113" t="str">
        <f>_xlfn.XLOOKUP(E2436,'Allocated Transactions'!D:D,'Allocated Transactions'!E:E,"")</f>
        <v>Indirect Cost Allocation</v>
      </c>
      <c r="G2436" s="113" t="s">
        <v>129</v>
      </c>
      <c r="H2436" s="113" t="s">
        <v>339</v>
      </c>
      <c r="I2436" s="113" t="str">
        <f>_xlfn.XLOOKUP($C2436,'Cost Centers'!$A$2:$A$11,'Cost Centers'!$C$2:$C$11,"")</f>
        <v>Programs</v>
      </c>
      <c r="J2436" s="23">
        <f t="shared" si="150"/>
        <v>16346.779440468443</v>
      </c>
      <c r="K2436" s="113" t="s">
        <v>637</v>
      </c>
    </row>
    <row r="2437" spans="1:11" ht="15" customHeight="1">
      <c r="A2437" s="112">
        <v>46054</v>
      </c>
      <c r="B2437" s="113">
        <v>18</v>
      </c>
      <c r="C2437" s="18" t="s">
        <v>12</v>
      </c>
      <c r="D2437" s="113" t="str">
        <f>_xlfn.XLOOKUP($C2437,'Cost Centers'!$A$2:$A$11,'Cost Centers'!$B$2:$B$11,"")</f>
        <v>Latin America</v>
      </c>
      <c r="E2437" s="113" t="s">
        <v>127</v>
      </c>
      <c r="F2437" s="113" t="str">
        <f>_xlfn.XLOOKUP(E2437,'Allocated Transactions'!D:D,'Allocated Transactions'!E:E,"")</f>
        <v>Indirect Cost Allocation</v>
      </c>
      <c r="G2437" s="113" t="s">
        <v>129</v>
      </c>
      <c r="H2437" s="113" t="s">
        <v>335</v>
      </c>
      <c r="I2437" s="113" t="str">
        <f>_xlfn.XLOOKUP($C2437,'Cost Centers'!$A$2:$A$11,'Cost Centers'!$C$2:$C$11,"")</f>
        <v>Programs</v>
      </c>
      <c r="J2437" s="23">
        <f t="shared" si="150"/>
        <v>11844.349540078845</v>
      </c>
      <c r="K2437" s="113" t="s">
        <v>637</v>
      </c>
    </row>
    <row r="2438" spans="1:11" ht="15" customHeight="1">
      <c r="A2438" s="112">
        <v>46054</v>
      </c>
      <c r="B2438" s="113">
        <v>18</v>
      </c>
      <c r="C2438" s="18" t="s">
        <v>14</v>
      </c>
      <c r="D2438" s="113" t="str">
        <f>_xlfn.XLOOKUP($C2438,'Cost Centers'!$A$2:$A$11,'Cost Centers'!$B$2:$B$11,"")</f>
        <v>MENA</v>
      </c>
      <c r="E2438" s="113" t="s">
        <v>127</v>
      </c>
      <c r="F2438" s="113" t="str">
        <f>_xlfn.XLOOKUP(E2438,'Allocated Transactions'!D:D,'Allocated Transactions'!E:E,"")</f>
        <v>Indirect Cost Allocation</v>
      </c>
      <c r="G2438" s="113" t="s">
        <v>129</v>
      </c>
      <c r="H2438" s="113" t="s">
        <v>336</v>
      </c>
      <c r="I2438" s="113" t="str">
        <f>_xlfn.XLOOKUP($C2438,'Cost Centers'!$A$2:$A$11,'Cost Centers'!$C$2:$C$11,"")</f>
        <v>Programs</v>
      </c>
      <c r="J2438" s="23">
        <f t="shared" si="150"/>
        <v>14648.4888304862</v>
      </c>
      <c r="K2438" s="113" t="s">
        <v>637</v>
      </c>
    </row>
    <row r="2439" spans="1:11" ht="15" customHeight="1">
      <c r="A2439" s="112">
        <v>46054</v>
      </c>
      <c r="B2439" s="113">
        <v>18</v>
      </c>
      <c r="C2439" s="18" t="s">
        <v>16</v>
      </c>
      <c r="D2439" s="113" t="str">
        <f>_xlfn.XLOOKUP($C2439,'Cost Centers'!$A$2:$A$11,'Cost Centers'!$B$2:$B$11,"")</f>
        <v>Sub-Saharan Africa</v>
      </c>
      <c r="E2439" s="113" t="s">
        <v>127</v>
      </c>
      <c r="F2439" s="113" t="str">
        <f>_xlfn.XLOOKUP(E2439,'Allocated Transactions'!D:D,'Allocated Transactions'!E:E,"")</f>
        <v>Indirect Cost Allocation</v>
      </c>
      <c r="G2439" s="113" t="s">
        <v>129</v>
      </c>
      <c r="H2439" s="113" t="s">
        <v>337</v>
      </c>
      <c r="I2439" s="113" t="str">
        <f>_xlfn.XLOOKUP($C2439,'Cost Centers'!$A$2:$A$11,'Cost Centers'!$C$2:$C$11,"")</f>
        <v>Programs</v>
      </c>
      <c r="J2439" s="23">
        <f t="shared" si="150"/>
        <v>9416.8856767411289</v>
      </c>
      <c r="K2439" s="113" t="s">
        <v>637</v>
      </c>
    </row>
    <row r="2440" spans="1:11" ht="15" customHeight="1">
      <c r="A2440" s="112">
        <v>46054</v>
      </c>
      <c r="B2440" s="113">
        <v>18</v>
      </c>
      <c r="C2440" s="18" t="s">
        <v>18</v>
      </c>
      <c r="D2440" s="113" t="str">
        <f>_xlfn.XLOOKUP($C2440,'Cost Centers'!$A$2:$A$11,'Cost Centers'!$B$2:$B$11,"")</f>
        <v>Europe</v>
      </c>
      <c r="E2440" s="113" t="s">
        <v>127</v>
      </c>
      <c r="F2440" s="113" t="str">
        <f>_xlfn.XLOOKUP(E2440,'Allocated Transactions'!D:D,'Allocated Transactions'!E:E,"")</f>
        <v>Indirect Cost Allocation</v>
      </c>
      <c r="G2440" s="113" t="s">
        <v>129</v>
      </c>
      <c r="H2440" s="113" t="s">
        <v>338</v>
      </c>
      <c r="I2440" s="113" t="str">
        <f>_xlfn.XLOOKUP($C2440,'Cost Centers'!$A$2:$A$11,'Cost Centers'!$C$2:$C$11,"")</f>
        <v>Programs</v>
      </c>
      <c r="J2440" s="23">
        <f t="shared" si="150"/>
        <v>14104.402102496715</v>
      </c>
      <c r="K2440" s="113" t="s">
        <v>637</v>
      </c>
    </row>
    <row r="2441" spans="1:11" ht="15" customHeight="1">
      <c r="A2441" s="112">
        <v>46054</v>
      </c>
      <c r="B2441" s="113">
        <v>18</v>
      </c>
      <c r="C2441" s="18" t="s">
        <v>20</v>
      </c>
      <c r="D2441" s="113" t="str">
        <f>_xlfn.XLOOKUP($C2441,'Cost Centers'!$A$2:$A$11,'Cost Centers'!$B$2:$B$11,"")</f>
        <v>SE Asia</v>
      </c>
      <c r="E2441" s="113" t="s">
        <v>127</v>
      </c>
      <c r="F2441" s="113" t="str">
        <f>_xlfn.XLOOKUP(E2441,'Allocated Transactions'!D:D,'Allocated Transactions'!E:E,"")</f>
        <v>Indirect Cost Allocation</v>
      </c>
      <c r="G2441" s="113" t="s">
        <v>129</v>
      </c>
      <c r="H2441" s="113" t="s">
        <v>339</v>
      </c>
      <c r="I2441" s="113" t="str">
        <f>_xlfn.XLOOKUP($C2441,'Cost Centers'!$A$2:$A$11,'Cost Centers'!$C$2:$C$11,"")</f>
        <v>Programs</v>
      </c>
      <c r="J2441" s="23">
        <f t="shared" si="150"/>
        <v>13685.873850197109</v>
      </c>
      <c r="K2441" s="113" t="s">
        <v>637</v>
      </c>
    </row>
    <row r="2442" spans="1:11" ht="15" customHeight="1">
      <c r="A2442" s="112">
        <v>46082</v>
      </c>
      <c r="B2442" s="113">
        <v>30</v>
      </c>
      <c r="C2442" s="18" t="s">
        <v>12</v>
      </c>
      <c r="D2442" s="113" t="str">
        <f>_xlfn.XLOOKUP($C2442,'Cost Centers'!$A$2:$A$11,'Cost Centers'!$B$2:$B$11,"")</f>
        <v>Latin America</v>
      </c>
      <c r="E2442" s="113" t="s">
        <v>127</v>
      </c>
      <c r="F2442" s="113" t="str">
        <f>_xlfn.XLOOKUP(E2442,'Allocated Transactions'!D:D,'Allocated Transactions'!E:E,"")</f>
        <v>Indirect Cost Allocation</v>
      </c>
      <c r="G2442" s="113" t="s">
        <v>129</v>
      </c>
      <c r="H2442" s="113" t="s">
        <v>335</v>
      </c>
      <c r="I2442" s="113" t="str">
        <f>_xlfn.XLOOKUP($C2442,'Cost Centers'!$A$2:$A$11,'Cost Centers'!$C$2:$C$11,"")</f>
        <v>Programs</v>
      </c>
      <c r="J2442" s="23">
        <f t="shared" si="150"/>
        <v>9780.5364940736144</v>
      </c>
      <c r="K2442" s="113" t="s">
        <v>637</v>
      </c>
    </row>
    <row r="2443" spans="1:11" ht="15" customHeight="1">
      <c r="A2443" s="112">
        <v>46082</v>
      </c>
      <c r="B2443" s="113">
        <v>30</v>
      </c>
      <c r="C2443" s="18" t="s">
        <v>14</v>
      </c>
      <c r="D2443" s="113" t="str">
        <f>_xlfn.XLOOKUP($C2443,'Cost Centers'!$A$2:$A$11,'Cost Centers'!$B$2:$B$11,"")</f>
        <v>MENA</v>
      </c>
      <c r="E2443" s="113" t="s">
        <v>127</v>
      </c>
      <c r="F2443" s="113" t="str">
        <f>_xlfn.XLOOKUP(E2443,'Allocated Transactions'!D:D,'Allocated Transactions'!E:E,"")</f>
        <v>Indirect Cost Allocation</v>
      </c>
      <c r="G2443" s="113" t="s">
        <v>129</v>
      </c>
      <c r="H2443" s="113" t="s">
        <v>336</v>
      </c>
      <c r="I2443" s="113" t="str">
        <f>_xlfn.XLOOKUP($C2443,'Cost Centers'!$A$2:$A$11,'Cost Centers'!$C$2:$C$11,"")</f>
        <v>Programs</v>
      </c>
      <c r="J2443" s="23">
        <f t="shared" si="150"/>
        <v>11192.88833437305</v>
      </c>
      <c r="K2443" s="113" t="s">
        <v>637</v>
      </c>
    </row>
    <row r="2444" spans="1:11" ht="15" customHeight="1">
      <c r="A2444" s="112">
        <v>46082</v>
      </c>
      <c r="B2444" s="113">
        <v>30</v>
      </c>
      <c r="C2444" s="18" t="s">
        <v>16</v>
      </c>
      <c r="D2444" s="113" t="str">
        <f>_xlfn.XLOOKUP($C2444,'Cost Centers'!$A$2:$A$11,'Cost Centers'!$B$2:$B$11,"")</f>
        <v>Sub-Saharan Africa</v>
      </c>
      <c r="E2444" s="113" t="s">
        <v>127</v>
      </c>
      <c r="F2444" s="113" t="str">
        <f>_xlfn.XLOOKUP(E2444,'Allocated Transactions'!D:D,'Allocated Transactions'!E:E,"")</f>
        <v>Indirect Cost Allocation</v>
      </c>
      <c r="G2444" s="113" t="s">
        <v>129</v>
      </c>
      <c r="H2444" s="113" t="s">
        <v>337</v>
      </c>
      <c r="I2444" s="113" t="str">
        <f>_xlfn.XLOOKUP($C2444,'Cost Centers'!$A$2:$A$11,'Cost Centers'!$C$2:$C$11,"")</f>
        <v>Programs</v>
      </c>
      <c r="J2444" s="23">
        <f t="shared" si="150"/>
        <v>12252.152214597629</v>
      </c>
      <c r="K2444" s="113" t="s">
        <v>637</v>
      </c>
    </row>
    <row r="2445" spans="1:11" ht="15" customHeight="1">
      <c r="A2445" s="112">
        <v>46082</v>
      </c>
      <c r="B2445" s="113">
        <v>30</v>
      </c>
      <c r="C2445" s="18" t="s">
        <v>18</v>
      </c>
      <c r="D2445" s="113" t="str">
        <f>_xlfn.XLOOKUP($C2445,'Cost Centers'!$A$2:$A$11,'Cost Centers'!$B$2:$B$11,"")</f>
        <v>Europe</v>
      </c>
      <c r="E2445" s="113" t="s">
        <v>127</v>
      </c>
      <c r="F2445" s="113" t="str">
        <f>_xlfn.XLOOKUP(E2445,'Allocated Transactions'!D:D,'Allocated Transactions'!E:E,"")</f>
        <v>Indirect Cost Allocation</v>
      </c>
      <c r="G2445" s="113" t="s">
        <v>129</v>
      </c>
      <c r="H2445" s="113" t="s">
        <v>338</v>
      </c>
      <c r="I2445" s="113" t="str">
        <f>_xlfn.XLOOKUP($C2445,'Cost Centers'!$A$2:$A$11,'Cost Centers'!$C$2:$C$11,"")</f>
        <v>Programs</v>
      </c>
      <c r="J2445" s="23">
        <f t="shared" si="150"/>
        <v>10557.330006238304</v>
      </c>
      <c r="K2445" s="113" t="s">
        <v>637</v>
      </c>
    </row>
    <row r="2446" spans="1:11" ht="15" customHeight="1">
      <c r="A2446" s="112">
        <v>46082</v>
      </c>
      <c r="B2446" s="113">
        <v>30</v>
      </c>
      <c r="C2446" s="18" t="s">
        <v>20</v>
      </c>
      <c r="D2446" s="113" t="str">
        <f>_xlfn.XLOOKUP($C2446,'Cost Centers'!$A$2:$A$11,'Cost Centers'!$B$2:$B$11,"")</f>
        <v>SE Asia</v>
      </c>
      <c r="E2446" s="113" t="s">
        <v>127</v>
      </c>
      <c r="F2446" s="113" t="str">
        <f>_xlfn.XLOOKUP(E2446,'Allocated Transactions'!D:D,'Allocated Transactions'!E:E,"")</f>
        <v>Indirect Cost Allocation</v>
      </c>
      <c r="G2446" s="113" t="s">
        <v>129</v>
      </c>
      <c r="H2446" s="113" t="s">
        <v>339</v>
      </c>
      <c r="I2446" s="113" t="str">
        <f>_xlfn.XLOOKUP($C2446,'Cost Centers'!$A$2:$A$11,'Cost Centers'!$C$2:$C$11,"")</f>
        <v>Programs</v>
      </c>
      <c r="J2446" s="23">
        <f t="shared" si="150"/>
        <v>12817.092950717404</v>
      </c>
      <c r="K2446" s="113" t="s">
        <v>637</v>
      </c>
    </row>
    <row r="2447" spans="1:11" ht="15" customHeight="1">
      <c r="A2447" s="112">
        <v>46113</v>
      </c>
      <c r="B2447" s="113">
        <v>31</v>
      </c>
      <c r="C2447" s="18" t="s">
        <v>12</v>
      </c>
      <c r="D2447" s="113" t="str">
        <f>_xlfn.XLOOKUP($C2447,'Cost Centers'!$A$2:$A$11,'Cost Centers'!$B$2:$B$11,"")</f>
        <v>Latin America</v>
      </c>
      <c r="E2447" s="113" t="s">
        <v>127</v>
      </c>
      <c r="F2447" s="113" t="str">
        <f>_xlfn.XLOOKUP(E2447,'Allocated Transactions'!D:D,'Allocated Transactions'!E:E,"")</f>
        <v>Indirect Cost Allocation</v>
      </c>
      <c r="G2447" s="113" t="s">
        <v>129</v>
      </c>
      <c r="H2447" s="113" t="s">
        <v>335</v>
      </c>
      <c r="I2447" s="113" t="str">
        <f>_xlfn.XLOOKUP($C2447,'Cost Centers'!$A$2:$A$11,'Cost Centers'!$C$2:$C$11,"")</f>
        <v>Programs</v>
      </c>
      <c r="J2447" s="23">
        <f t="shared" si="150"/>
        <v>9918.5765983112178</v>
      </c>
      <c r="K2447" s="113" t="s">
        <v>637</v>
      </c>
    </row>
    <row r="2448" spans="1:11" ht="15" customHeight="1">
      <c r="A2448" s="112">
        <v>46113</v>
      </c>
      <c r="B2448" s="113">
        <v>31</v>
      </c>
      <c r="C2448" s="18" t="s">
        <v>14</v>
      </c>
      <c r="D2448" s="113" t="str">
        <f>_xlfn.XLOOKUP($C2448,'Cost Centers'!$A$2:$A$11,'Cost Centers'!$B$2:$B$11,"")</f>
        <v>MENA</v>
      </c>
      <c r="E2448" s="113" t="s">
        <v>127</v>
      </c>
      <c r="F2448" s="113" t="str">
        <f>_xlfn.XLOOKUP(E2448,'Allocated Transactions'!D:D,'Allocated Transactions'!E:E,"")</f>
        <v>Indirect Cost Allocation</v>
      </c>
      <c r="G2448" s="113" t="s">
        <v>129</v>
      </c>
      <c r="H2448" s="113" t="s">
        <v>336</v>
      </c>
      <c r="I2448" s="113" t="str">
        <f>_xlfn.XLOOKUP($C2448,'Cost Centers'!$A$2:$A$11,'Cost Centers'!$C$2:$C$11,"")</f>
        <v>Programs</v>
      </c>
      <c r="J2448" s="23">
        <f t="shared" si="150"/>
        <v>15085.946924004827</v>
      </c>
      <c r="K2448" s="113" t="s">
        <v>637</v>
      </c>
    </row>
    <row r="2449" spans="1:11" ht="15" customHeight="1">
      <c r="A2449" s="112">
        <v>46113</v>
      </c>
      <c r="B2449" s="113">
        <v>31</v>
      </c>
      <c r="C2449" s="18" t="s">
        <v>16</v>
      </c>
      <c r="D2449" s="113" t="str">
        <f>_xlfn.XLOOKUP($C2449,'Cost Centers'!$A$2:$A$11,'Cost Centers'!$B$2:$B$11,"")</f>
        <v>Sub-Saharan Africa</v>
      </c>
      <c r="E2449" s="113" t="s">
        <v>127</v>
      </c>
      <c r="F2449" s="113" t="str">
        <f>_xlfn.XLOOKUP(E2449,'Allocated Transactions'!D:D,'Allocated Transactions'!E:E,"")</f>
        <v>Indirect Cost Allocation</v>
      </c>
      <c r="G2449" s="113" t="s">
        <v>129</v>
      </c>
      <c r="H2449" s="113" t="s">
        <v>337</v>
      </c>
      <c r="I2449" s="113" t="str">
        <f>_xlfn.XLOOKUP($C2449,'Cost Centers'!$A$2:$A$11,'Cost Centers'!$C$2:$C$11,"")</f>
        <v>Programs</v>
      </c>
      <c r="J2449" s="23">
        <f t="shared" si="150"/>
        <v>7074.788902291918</v>
      </c>
      <c r="K2449" s="113" t="s">
        <v>637</v>
      </c>
    </row>
    <row r="2450" spans="1:11" ht="15" customHeight="1">
      <c r="A2450" s="112">
        <v>46113</v>
      </c>
      <c r="B2450" s="113">
        <v>31</v>
      </c>
      <c r="C2450" s="18" t="s">
        <v>18</v>
      </c>
      <c r="D2450" s="113" t="str">
        <f>_xlfn.XLOOKUP($C2450,'Cost Centers'!$A$2:$A$11,'Cost Centers'!$B$2:$B$11,"")</f>
        <v>Europe</v>
      </c>
      <c r="E2450" s="113" t="s">
        <v>127</v>
      </c>
      <c r="F2450" s="113" t="str">
        <f>_xlfn.XLOOKUP(E2450,'Allocated Transactions'!D:D,'Allocated Transactions'!E:E,"")</f>
        <v>Indirect Cost Allocation</v>
      </c>
      <c r="G2450" s="113" t="s">
        <v>129</v>
      </c>
      <c r="H2450" s="113" t="s">
        <v>338</v>
      </c>
      <c r="I2450" s="113" t="str">
        <f>_xlfn.XLOOKUP($C2450,'Cost Centers'!$A$2:$A$11,'Cost Centers'!$C$2:$C$11,"")</f>
        <v>Programs</v>
      </c>
      <c r="J2450" s="23">
        <f t="shared" si="150"/>
        <v>12762.364294330519</v>
      </c>
      <c r="K2450" s="113" t="s">
        <v>637</v>
      </c>
    </row>
    <row r="2451" spans="1:11" ht="15" customHeight="1">
      <c r="A2451" s="112">
        <v>46113</v>
      </c>
      <c r="B2451" s="113">
        <v>31</v>
      </c>
      <c r="C2451" s="18" t="s">
        <v>20</v>
      </c>
      <c r="D2451" s="113" t="str">
        <f>_xlfn.XLOOKUP($C2451,'Cost Centers'!$A$2:$A$11,'Cost Centers'!$B$2:$B$11,"")</f>
        <v>SE Asia</v>
      </c>
      <c r="E2451" s="113" t="s">
        <v>127</v>
      </c>
      <c r="F2451" s="113" t="str">
        <f>_xlfn.XLOOKUP(E2451,'Allocated Transactions'!D:D,'Allocated Transactions'!E:E,"")</f>
        <v>Indirect Cost Allocation</v>
      </c>
      <c r="G2451" s="113" t="s">
        <v>129</v>
      </c>
      <c r="H2451" s="113" t="s">
        <v>339</v>
      </c>
      <c r="I2451" s="113" t="str">
        <f>_xlfn.XLOOKUP($C2451,'Cost Centers'!$A$2:$A$11,'Cost Centers'!$C$2:$C$11,"")</f>
        <v>Programs</v>
      </c>
      <c r="J2451" s="23">
        <f t="shared" si="150"/>
        <v>12658.323281061519</v>
      </c>
      <c r="K2451" s="113" t="s">
        <v>637</v>
      </c>
    </row>
    <row r="2452" spans="1:11" ht="15" customHeight="1">
      <c r="A2452" s="112">
        <v>46143</v>
      </c>
      <c r="B2452" s="113">
        <v>32</v>
      </c>
      <c r="C2452" s="18" t="s">
        <v>12</v>
      </c>
      <c r="D2452" s="113" t="str">
        <f>_xlfn.XLOOKUP($C2452,'Cost Centers'!$A$2:$A$11,'Cost Centers'!$B$2:$B$11,"")</f>
        <v>Latin America</v>
      </c>
      <c r="E2452" s="113" t="s">
        <v>127</v>
      </c>
      <c r="F2452" s="113" t="str">
        <f>_xlfn.XLOOKUP(E2452,'Allocated Transactions'!D:D,'Allocated Transactions'!E:E,"")</f>
        <v>Indirect Cost Allocation</v>
      </c>
      <c r="G2452" s="113" t="s">
        <v>129</v>
      </c>
      <c r="H2452" s="113" t="s">
        <v>335</v>
      </c>
      <c r="I2452" s="113" t="str">
        <f>_xlfn.XLOOKUP($C2452,'Cost Centers'!$A$2:$A$11,'Cost Centers'!$C$2:$C$11,"")</f>
        <v>Programs</v>
      </c>
      <c r="J2452" s="23">
        <f t="shared" si="150"/>
        <v>11420.689655172413</v>
      </c>
      <c r="K2452" s="113" t="s">
        <v>637</v>
      </c>
    </row>
    <row r="2453" spans="1:11" ht="15" customHeight="1">
      <c r="A2453" s="112">
        <v>46143</v>
      </c>
      <c r="B2453" s="113">
        <v>32</v>
      </c>
      <c r="C2453" s="18" t="s">
        <v>14</v>
      </c>
      <c r="D2453" s="113" t="str">
        <f>_xlfn.XLOOKUP($C2453,'Cost Centers'!$A$2:$A$11,'Cost Centers'!$B$2:$B$11,"")</f>
        <v>MENA</v>
      </c>
      <c r="E2453" s="113" t="s">
        <v>127</v>
      </c>
      <c r="F2453" s="113" t="str">
        <f>_xlfn.XLOOKUP(E2453,'Allocated Transactions'!D:D,'Allocated Transactions'!E:E,"")</f>
        <v>Indirect Cost Allocation</v>
      </c>
      <c r="G2453" s="113" t="s">
        <v>129</v>
      </c>
      <c r="H2453" s="113" t="s">
        <v>336</v>
      </c>
      <c r="I2453" s="113" t="str">
        <f>_xlfn.XLOOKUP($C2453,'Cost Centers'!$A$2:$A$11,'Cost Centers'!$C$2:$C$11,"")</f>
        <v>Programs</v>
      </c>
      <c r="J2453" s="23">
        <f t="shared" si="150"/>
        <v>13241.379310344828</v>
      </c>
      <c r="K2453" s="113" t="s">
        <v>637</v>
      </c>
    </row>
    <row r="2454" spans="1:11" ht="15" customHeight="1">
      <c r="A2454" s="112">
        <v>46143</v>
      </c>
      <c r="B2454" s="113">
        <v>32</v>
      </c>
      <c r="C2454" s="18" t="s">
        <v>16</v>
      </c>
      <c r="D2454" s="113" t="str">
        <f>_xlfn.XLOOKUP($C2454,'Cost Centers'!$A$2:$A$11,'Cost Centers'!$B$2:$B$11,"")</f>
        <v>Sub-Saharan Africa</v>
      </c>
      <c r="E2454" s="113" t="s">
        <v>127</v>
      </c>
      <c r="F2454" s="113" t="str">
        <f>_xlfn.XLOOKUP(E2454,'Allocated Transactions'!D:D,'Allocated Transactions'!E:E,"")</f>
        <v>Indirect Cost Allocation</v>
      </c>
      <c r="G2454" s="113" t="s">
        <v>129</v>
      </c>
      <c r="H2454" s="113" t="s">
        <v>337</v>
      </c>
      <c r="I2454" s="113" t="str">
        <f>_xlfn.XLOOKUP($C2454,'Cost Centers'!$A$2:$A$11,'Cost Centers'!$C$2:$C$11,"")</f>
        <v>Programs</v>
      </c>
      <c r="J2454" s="23">
        <f t="shared" si="150"/>
        <v>5420.689655172413</v>
      </c>
      <c r="K2454" s="113" t="s">
        <v>637</v>
      </c>
    </row>
    <row r="2455" spans="1:11" ht="15" customHeight="1">
      <c r="A2455" s="112">
        <v>46143</v>
      </c>
      <c r="B2455" s="113">
        <v>32</v>
      </c>
      <c r="C2455" s="18" t="s">
        <v>18</v>
      </c>
      <c r="D2455" s="113" t="str">
        <f>_xlfn.XLOOKUP($C2455,'Cost Centers'!$A$2:$A$11,'Cost Centers'!$B$2:$B$11,"")</f>
        <v>Europe</v>
      </c>
      <c r="E2455" s="113" t="s">
        <v>127</v>
      </c>
      <c r="F2455" s="113" t="str">
        <f>_xlfn.XLOOKUP(E2455,'Allocated Transactions'!D:D,'Allocated Transactions'!E:E,"")</f>
        <v>Indirect Cost Allocation</v>
      </c>
      <c r="G2455" s="113" t="s">
        <v>129</v>
      </c>
      <c r="H2455" s="113" t="s">
        <v>338</v>
      </c>
      <c r="I2455" s="113" t="str">
        <f>_xlfn.XLOOKUP($C2455,'Cost Centers'!$A$2:$A$11,'Cost Centers'!$C$2:$C$11,"")</f>
        <v>Programs</v>
      </c>
      <c r="J2455" s="23">
        <f t="shared" si="150"/>
        <v>11917.241379310344</v>
      </c>
      <c r="K2455" s="113" t="s">
        <v>637</v>
      </c>
    </row>
    <row r="2456" spans="1:11" ht="15" customHeight="1">
      <c r="A2456" s="112">
        <v>46143</v>
      </c>
      <c r="B2456" s="113">
        <v>32</v>
      </c>
      <c r="C2456" s="18" t="s">
        <v>20</v>
      </c>
      <c r="D2456" s="113" t="str">
        <f>_xlfn.XLOOKUP($C2456,'Cost Centers'!$A$2:$A$11,'Cost Centers'!$B$2:$B$11,"")</f>
        <v>SE Asia</v>
      </c>
      <c r="E2456" s="113" t="s">
        <v>127</v>
      </c>
      <c r="F2456" s="113" t="str">
        <f>_xlfn.XLOOKUP(E2456,'Allocated Transactions'!D:D,'Allocated Transactions'!E:E,"")</f>
        <v>Indirect Cost Allocation</v>
      </c>
      <c r="G2456" s="113" t="s">
        <v>129</v>
      </c>
      <c r="H2456" s="113" t="s">
        <v>339</v>
      </c>
      <c r="I2456" s="113" t="str">
        <f>_xlfn.XLOOKUP($C2456,'Cost Centers'!$A$2:$A$11,'Cost Centers'!$C$2:$C$11,"")</f>
        <v>Programs</v>
      </c>
      <c r="J2456" s="23">
        <f t="shared" si="150"/>
        <v>16800</v>
      </c>
      <c r="K2456" s="113" t="s">
        <v>637</v>
      </c>
    </row>
    <row r="2457" spans="1:11" ht="15" customHeight="1">
      <c r="A2457" s="112">
        <v>46174</v>
      </c>
      <c r="B2457" s="113">
        <v>33</v>
      </c>
      <c r="C2457" s="18" t="s">
        <v>12</v>
      </c>
      <c r="D2457" s="113" t="str">
        <f>_xlfn.XLOOKUP($C2457,'Cost Centers'!$A$2:$A$11,'Cost Centers'!$B$2:$B$11,"")</f>
        <v>Latin America</v>
      </c>
      <c r="E2457" s="113" t="s">
        <v>127</v>
      </c>
      <c r="F2457" s="113" t="str">
        <f>_xlfn.XLOOKUP(E2457,'Allocated Transactions'!D:D,'Allocated Transactions'!E:E,"")</f>
        <v>Indirect Cost Allocation</v>
      </c>
      <c r="G2457" s="113" t="s">
        <v>129</v>
      </c>
      <c r="H2457" s="113" t="s">
        <v>335</v>
      </c>
      <c r="I2457" s="113" t="str">
        <f>_xlfn.XLOOKUP($C2457,'Cost Centers'!$A$2:$A$11,'Cost Centers'!$C$2:$C$11,"")</f>
        <v>Programs</v>
      </c>
      <c r="J2457" s="23">
        <f t="shared" si="150"/>
        <v>10738.215384615385</v>
      </c>
      <c r="K2457" s="113" t="s">
        <v>637</v>
      </c>
    </row>
    <row r="2458" spans="1:11" ht="15" customHeight="1">
      <c r="A2458" s="112">
        <v>46174</v>
      </c>
      <c r="B2458" s="113">
        <v>33</v>
      </c>
      <c r="C2458" s="18" t="s">
        <v>14</v>
      </c>
      <c r="D2458" s="113" t="str">
        <f>_xlfn.XLOOKUP($C2458,'Cost Centers'!$A$2:$A$11,'Cost Centers'!$B$2:$B$11,"")</f>
        <v>MENA</v>
      </c>
      <c r="E2458" s="113" t="s">
        <v>127</v>
      </c>
      <c r="F2458" s="113" t="str">
        <f>_xlfn.XLOOKUP(E2458,'Allocated Transactions'!D:D,'Allocated Transactions'!E:E,"")</f>
        <v>Indirect Cost Allocation</v>
      </c>
      <c r="G2458" s="113" t="s">
        <v>129</v>
      </c>
      <c r="H2458" s="113" t="s">
        <v>336</v>
      </c>
      <c r="I2458" s="113" t="str">
        <f>_xlfn.XLOOKUP($C2458,'Cost Centers'!$A$2:$A$11,'Cost Centers'!$C$2:$C$11,"")</f>
        <v>Programs</v>
      </c>
      <c r="J2458" s="23">
        <f t="shared" si="150"/>
        <v>11972.923076923078</v>
      </c>
      <c r="K2458" s="113" t="s">
        <v>637</v>
      </c>
    </row>
    <row r="2459" spans="1:11" ht="15" customHeight="1">
      <c r="A2459" s="112">
        <v>46174</v>
      </c>
      <c r="B2459" s="113">
        <v>33</v>
      </c>
      <c r="C2459" s="18" t="s">
        <v>16</v>
      </c>
      <c r="D2459" s="113" t="str">
        <f>_xlfn.XLOOKUP($C2459,'Cost Centers'!$A$2:$A$11,'Cost Centers'!$B$2:$B$11,"")</f>
        <v>Sub-Saharan Africa</v>
      </c>
      <c r="E2459" s="113" t="s">
        <v>127</v>
      </c>
      <c r="F2459" s="113" t="str">
        <f>_xlfn.XLOOKUP(E2459,'Allocated Transactions'!D:D,'Allocated Transactions'!E:E,"")</f>
        <v>Indirect Cost Allocation</v>
      </c>
      <c r="G2459" s="113" t="s">
        <v>129</v>
      </c>
      <c r="H2459" s="113" t="s">
        <v>337</v>
      </c>
      <c r="I2459" s="113" t="str">
        <f>_xlfn.XLOOKUP($C2459,'Cost Centers'!$A$2:$A$11,'Cost Centers'!$C$2:$C$11,"")</f>
        <v>Programs</v>
      </c>
      <c r="J2459" s="23">
        <f t="shared" si="150"/>
        <v>6398.0307692307688</v>
      </c>
      <c r="K2459" s="113" t="s">
        <v>637</v>
      </c>
    </row>
    <row r="2460" spans="1:11" ht="15" customHeight="1">
      <c r="A2460" s="112">
        <v>46174</v>
      </c>
      <c r="B2460" s="113">
        <v>33</v>
      </c>
      <c r="C2460" s="18" t="s">
        <v>18</v>
      </c>
      <c r="D2460" s="113" t="str">
        <f>_xlfn.XLOOKUP($C2460,'Cost Centers'!$A$2:$A$11,'Cost Centers'!$B$2:$B$11,"")</f>
        <v>Europe</v>
      </c>
      <c r="E2460" s="113" t="s">
        <v>127</v>
      </c>
      <c r="F2460" s="113" t="str">
        <f>_xlfn.XLOOKUP(E2460,'Allocated Transactions'!D:D,'Allocated Transactions'!E:E,"")</f>
        <v>Indirect Cost Allocation</v>
      </c>
      <c r="G2460" s="113" t="s">
        <v>129</v>
      </c>
      <c r="H2460" s="113" t="s">
        <v>338</v>
      </c>
      <c r="I2460" s="113" t="str">
        <f>_xlfn.XLOOKUP($C2460,'Cost Centers'!$A$2:$A$11,'Cost Centers'!$C$2:$C$11,"")</f>
        <v>Programs</v>
      </c>
      <c r="J2460" s="23">
        <f t="shared" si="150"/>
        <v>17809.723076923074</v>
      </c>
      <c r="K2460" s="113" t="s">
        <v>637</v>
      </c>
    </row>
    <row r="2461" spans="1:11" ht="15" customHeight="1">
      <c r="A2461" s="112">
        <v>46174</v>
      </c>
      <c r="B2461" s="113">
        <v>33</v>
      </c>
      <c r="C2461" s="18" t="s">
        <v>20</v>
      </c>
      <c r="D2461" s="113" t="str">
        <f>_xlfn.XLOOKUP($C2461,'Cost Centers'!$A$2:$A$11,'Cost Centers'!$B$2:$B$11,"")</f>
        <v>SE Asia</v>
      </c>
      <c r="E2461" s="113" t="s">
        <v>127</v>
      </c>
      <c r="F2461" s="113" t="str">
        <f>_xlfn.XLOOKUP(E2461,'Allocated Transactions'!D:D,'Allocated Transactions'!E:E,"")</f>
        <v>Indirect Cost Allocation</v>
      </c>
      <c r="G2461" s="113" t="s">
        <v>129</v>
      </c>
      <c r="H2461" s="113" t="s">
        <v>339</v>
      </c>
      <c r="I2461" s="113" t="str">
        <f>_xlfn.XLOOKUP($C2461,'Cost Centers'!$A$2:$A$11,'Cost Centers'!$C$2:$C$11,"")</f>
        <v>Programs</v>
      </c>
      <c r="J2461" s="23">
        <f t="shared" si="150"/>
        <v>13881.107692307693</v>
      </c>
      <c r="K2461" s="113" t="s">
        <v>637</v>
      </c>
    </row>
    <row r="2462" spans="1:11">
      <c r="A2462" s="112">
        <v>45839</v>
      </c>
      <c r="B2462" s="14">
        <v>34</v>
      </c>
      <c r="C2462" s="14" t="s">
        <v>12</v>
      </c>
      <c r="D2462" s="14" t="s">
        <v>13</v>
      </c>
      <c r="E2462" s="14" t="s">
        <v>86</v>
      </c>
      <c r="F2462" s="14" t="s">
        <v>87</v>
      </c>
      <c r="G2462" s="14" t="s">
        <v>85</v>
      </c>
      <c r="H2462" s="14" t="s">
        <v>730</v>
      </c>
      <c r="I2462" s="14" t="s">
        <v>133</v>
      </c>
      <c r="J2462" s="60">
        <v>71400</v>
      </c>
      <c r="K2462" s="14" t="s">
        <v>637</v>
      </c>
    </row>
    <row r="2463" spans="1:11">
      <c r="A2463" s="112">
        <v>45870</v>
      </c>
      <c r="B2463" s="14">
        <v>34</v>
      </c>
      <c r="C2463" s="14" t="s">
        <v>12</v>
      </c>
      <c r="D2463" s="14" t="s">
        <v>13</v>
      </c>
      <c r="E2463" s="14" t="s">
        <v>86</v>
      </c>
      <c r="F2463" s="14" t="s">
        <v>87</v>
      </c>
      <c r="G2463" s="14" t="s">
        <v>85</v>
      </c>
      <c r="H2463" s="14" t="s">
        <v>730</v>
      </c>
      <c r="I2463" s="14" t="s">
        <v>133</v>
      </c>
      <c r="J2463" s="60">
        <v>64260</v>
      </c>
      <c r="K2463" s="14" t="s">
        <v>637</v>
      </c>
    </row>
    <row r="2464" spans="1:11">
      <c r="A2464" s="112">
        <v>45901</v>
      </c>
      <c r="B2464" s="14">
        <v>34</v>
      </c>
      <c r="C2464" s="14" t="s">
        <v>12</v>
      </c>
      <c r="D2464" s="14" t="s">
        <v>13</v>
      </c>
      <c r="E2464" s="14" t="s">
        <v>86</v>
      </c>
      <c r="F2464" s="14" t="s">
        <v>87</v>
      </c>
      <c r="G2464" s="14" t="s">
        <v>85</v>
      </c>
      <c r="H2464" s="14" t="s">
        <v>730</v>
      </c>
      <c r="I2464" s="14" t="s">
        <v>133</v>
      </c>
      <c r="J2464" s="60">
        <v>53550</v>
      </c>
      <c r="K2464" s="14" t="s">
        <v>637</v>
      </c>
    </row>
    <row r="2465" spans="1:11">
      <c r="A2465" s="112">
        <v>45931</v>
      </c>
      <c r="B2465" s="14">
        <v>34</v>
      </c>
      <c r="C2465" s="14" t="s">
        <v>12</v>
      </c>
      <c r="D2465" s="14" t="s">
        <v>13</v>
      </c>
      <c r="E2465" s="14" t="s">
        <v>86</v>
      </c>
      <c r="F2465" s="14" t="s">
        <v>87</v>
      </c>
      <c r="G2465" s="14" t="s">
        <v>85</v>
      </c>
      <c r="H2465" s="14" t="s">
        <v>730</v>
      </c>
      <c r="I2465" s="14" t="s">
        <v>133</v>
      </c>
      <c r="J2465" s="60">
        <v>42840</v>
      </c>
      <c r="K2465" s="14" t="s">
        <v>637</v>
      </c>
    </row>
    <row r="2466" spans="1:11">
      <c r="A2466" s="112">
        <v>45962</v>
      </c>
      <c r="B2466" s="14">
        <v>34</v>
      </c>
      <c r="C2466" s="14" t="s">
        <v>12</v>
      </c>
      <c r="D2466" s="14" t="s">
        <v>13</v>
      </c>
      <c r="E2466" s="14" t="s">
        <v>86</v>
      </c>
      <c r="F2466" s="14" t="s">
        <v>87</v>
      </c>
      <c r="G2466" s="14" t="s">
        <v>85</v>
      </c>
      <c r="H2466" s="14" t="s">
        <v>730</v>
      </c>
      <c r="I2466" s="14" t="s">
        <v>133</v>
      </c>
      <c r="J2466" s="60">
        <v>35700</v>
      </c>
      <c r="K2466" s="14" t="s">
        <v>637</v>
      </c>
    </row>
    <row r="2467" spans="1:11">
      <c r="A2467" s="112">
        <v>45992</v>
      </c>
      <c r="B2467" s="14">
        <v>34</v>
      </c>
      <c r="C2467" s="14" t="s">
        <v>12</v>
      </c>
      <c r="D2467" s="14" t="s">
        <v>13</v>
      </c>
      <c r="E2467" s="14" t="s">
        <v>86</v>
      </c>
      <c r="F2467" s="14" t="s">
        <v>87</v>
      </c>
      <c r="G2467" s="14" t="s">
        <v>85</v>
      </c>
      <c r="H2467" s="14" t="s">
        <v>730</v>
      </c>
      <c r="I2467" s="14" t="s">
        <v>133</v>
      </c>
      <c r="J2467" s="60">
        <v>28560</v>
      </c>
      <c r="K2467" s="14" t="s">
        <v>637</v>
      </c>
    </row>
    <row r="2468" spans="1:11">
      <c r="A2468" s="112">
        <v>46023</v>
      </c>
      <c r="B2468" s="14">
        <v>34</v>
      </c>
      <c r="C2468" s="14" t="s">
        <v>12</v>
      </c>
      <c r="D2468" s="14" t="s">
        <v>13</v>
      </c>
      <c r="E2468" s="14" t="s">
        <v>86</v>
      </c>
      <c r="F2468" s="14" t="s">
        <v>87</v>
      </c>
      <c r="G2468" s="14" t="s">
        <v>85</v>
      </c>
      <c r="H2468" s="14" t="s">
        <v>730</v>
      </c>
      <c r="I2468" s="14" t="s">
        <v>133</v>
      </c>
      <c r="J2468" s="60">
        <v>24990</v>
      </c>
      <c r="K2468" s="14" t="s">
        <v>637</v>
      </c>
    </row>
    <row r="2469" spans="1:11">
      <c r="A2469" s="112">
        <v>46054</v>
      </c>
      <c r="B2469" s="14">
        <v>34</v>
      </c>
      <c r="C2469" s="14" t="s">
        <v>12</v>
      </c>
      <c r="D2469" s="14" t="s">
        <v>13</v>
      </c>
      <c r="E2469" s="14" t="s">
        <v>86</v>
      </c>
      <c r="F2469" s="14" t="s">
        <v>87</v>
      </c>
      <c r="G2469" s="14" t="s">
        <v>85</v>
      </c>
      <c r="H2469" s="14" t="s">
        <v>730</v>
      </c>
      <c r="I2469" s="14" t="s">
        <v>133</v>
      </c>
      <c r="J2469" s="60">
        <v>17850</v>
      </c>
      <c r="K2469" s="14" t="s">
        <v>637</v>
      </c>
    </row>
    <row r="2470" spans="1:11">
      <c r="A2470" s="112">
        <v>46082</v>
      </c>
      <c r="B2470" s="14">
        <v>34</v>
      </c>
      <c r="C2470" s="14" t="s">
        <v>12</v>
      </c>
      <c r="D2470" s="14" t="s">
        <v>13</v>
      </c>
      <c r="E2470" s="14" t="s">
        <v>86</v>
      </c>
      <c r="F2470" s="14" t="s">
        <v>87</v>
      </c>
      <c r="G2470" s="14" t="s">
        <v>85</v>
      </c>
      <c r="H2470" s="14" t="s">
        <v>730</v>
      </c>
      <c r="I2470" s="14" t="s">
        <v>133</v>
      </c>
      <c r="J2470" s="60">
        <v>10710</v>
      </c>
      <c r="K2470" s="14" t="s">
        <v>637</v>
      </c>
    </row>
    <row r="2471" spans="1:11">
      <c r="A2471" s="112">
        <v>46113</v>
      </c>
      <c r="B2471" s="14">
        <v>34</v>
      </c>
      <c r="C2471" s="14" t="s">
        <v>12</v>
      </c>
      <c r="D2471" s="14" t="s">
        <v>13</v>
      </c>
      <c r="E2471" s="14" t="s">
        <v>86</v>
      </c>
      <c r="F2471" s="14" t="s">
        <v>87</v>
      </c>
      <c r="G2471" s="14" t="s">
        <v>85</v>
      </c>
      <c r="H2471" s="14" t="s">
        <v>730</v>
      </c>
      <c r="I2471" s="14" t="s">
        <v>133</v>
      </c>
      <c r="J2471" s="60">
        <v>7140</v>
      </c>
      <c r="K2471" s="14" t="s">
        <v>637</v>
      </c>
    </row>
    <row r="2472" spans="1:11">
      <c r="A2472" s="112">
        <v>45901</v>
      </c>
      <c r="B2472" s="14">
        <v>35</v>
      </c>
      <c r="C2472" s="14" t="s">
        <v>12</v>
      </c>
      <c r="D2472" s="14" t="s">
        <v>13</v>
      </c>
      <c r="E2472" s="14" t="s">
        <v>88</v>
      </c>
      <c r="F2472" s="14" t="s">
        <v>89</v>
      </c>
      <c r="G2472" s="14" t="s">
        <v>85</v>
      </c>
      <c r="H2472" s="14" t="s">
        <v>731</v>
      </c>
      <c r="I2472" s="14" t="s">
        <v>133</v>
      </c>
      <c r="J2472" s="60">
        <v>18000</v>
      </c>
      <c r="K2472" s="14" t="s">
        <v>637</v>
      </c>
    </row>
    <row r="2473" spans="1:11">
      <c r="A2473" s="112">
        <v>45931</v>
      </c>
      <c r="B2473" s="14">
        <v>35</v>
      </c>
      <c r="C2473" s="14" t="s">
        <v>12</v>
      </c>
      <c r="D2473" s="14" t="s">
        <v>13</v>
      </c>
      <c r="E2473" s="14" t="s">
        <v>88</v>
      </c>
      <c r="F2473" s="14" t="s">
        <v>89</v>
      </c>
      <c r="G2473" s="14" t="s">
        <v>85</v>
      </c>
      <c r="H2473" s="14" t="s">
        <v>731</v>
      </c>
      <c r="I2473" s="14" t="s">
        <v>133</v>
      </c>
      <c r="J2473" s="60">
        <v>16200</v>
      </c>
      <c r="K2473" s="14" t="s">
        <v>637</v>
      </c>
    </row>
    <row r="2474" spans="1:11">
      <c r="A2474" s="112">
        <v>45962</v>
      </c>
      <c r="B2474" s="14">
        <v>35</v>
      </c>
      <c r="C2474" s="14" t="s">
        <v>12</v>
      </c>
      <c r="D2474" s="14" t="s">
        <v>13</v>
      </c>
      <c r="E2474" s="14" t="s">
        <v>88</v>
      </c>
      <c r="F2474" s="14" t="s">
        <v>89</v>
      </c>
      <c r="G2474" s="14" t="s">
        <v>85</v>
      </c>
      <c r="H2474" s="14" t="s">
        <v>731</v>
      </c>
      <c r="I2474" s="14" t="s">
        <v>133</v>
      </c>
      <c r="J2474" s="60">
        <v>13500</v>
      </c>
      <c r="K2474" s="14" t="s">
        <v>637</v>
      </c>
    </row>
    <row r="2475" spans="1:11">
      <c r="A2475" s="112">
        <v>45992</v>
      </c>
      <c r="B2475" s="14">
        <v>35</v>
      </c>
      <c r="C2475" s="14" t="s">
        <v>12</v>
      </c>
      <c r="D2475" s="14" t="s">
        <v>13</v>
      </c>
      <c r="E2475" s="14" t="s">
        <v>88</v>
      </c>
      <c r="F2475" s="14" t="s">
        <v>89</v>
      </c>
      <c r="G2475" s="14" t="s">
        <v>85</v>
      </c>
      <c r="H2475" s="14" t="s">
        <v>731</v>
      </c>
      <c r="I2475" s="14" t="s">
        <v>133</v>
      </c>
      <c r="J2475" s="60">
        <v>10800</v>
      </c>
      <c r="K2475" s="14" t="s">
        <v>637</v>
      </c>
    </row>
    <row r="2476" spans="1:11">
      <c r="A2476" s="112">
        <v>46023</v>
      </c>
      <c r="B2476" s="14">
        <v>35</v>
      </c>
      <c r="C2476" s="14" t="s">
        <v>12</v>
      </c>
      <c r="D2476" s="14" t="s">
        <v>13</v>
      </c>
      <c r="E2476" s="14" t="s">
        <v>88</v>
      </c>
      <c r="F2476" s="14" t="s">
        <v>89</v>
      </c>
      <c r="G2476" s="14" t="s">
        <v>85</v>
      </c>
      <c r="H2476" s="14" t="s">
        <v>731</v>
      </c>
      <c r="I2476" s="14" t="s">
        <v>133</v>
      </c>
      <c r="J2476" s="60">
        <v>9000</v>
      </c>
      <c r="K2476" s="14" t="s">
        <v>637</v>
      </c>
    </row>
    <row r="2477" spans="1:11">
      <c r="A2477" s="112">
        <v>46054</v>
      </c>
      <c r="B2477" s="14">
        <v>35</v>
      </c>
      <c r="C2477" s="14" t="s">
        <v>12</v>
      </c>
      <c r="D2477" s="14" t="s">
        <v>13</v>
      </c>
      <c r="E2477" s="14" t="s">
        <v>88</v>
      </c>
      <c r="F2477" s="14" t="s">
        <v>89</v>
      </c>
      <c r="G2477" s="14" t="s">
        <v>85</v>
      </c>
      <c r="H2477" s="14" t="s">
        <v>731</v>
      </c>
      <c r="I2477" s="14" t="s">
        <v>133</v>
      </c>
      <c r="J2477" s="60">
        <v>7200</v>
      </c>
      <c r="K2477" s="14" t="s">
        <v>637</v>
      </c>
    </row>
    <row r="2478" spans="1:11">
      <c r="A2478" s="112">
        <v>46082</v>
      </c>
      <c r="B2478" s="14">
        <v>35</v>
      </c>
      <c r="C2478" s="14" t="s">
        <v>12</v>
      </c>
      <c r="D2478" s="14" t="s">
        <v>13</v>
      </c>
      <c r="E2478" s="14" t="s">
        <v>88</v>
      </c>
      <c r="F2478" s="14" t="s">
        <v>89</v>
      </c>
      <c r="G2478" s="14" t="s">
        <v>85</v>
      </c>
      <c r="H2478" s="14" t="s">
        <v>731</v>
      </c>
      <c r="I2478" s="14" t="s">
        <v>133</v>
      </c>
      <c r="J2478" s="60">
        <v>6300</v>
      </c>
      <c r="K2478" s="14" t="s">
        <v>637</v>
      </c>
    </row>
    <row r="2479" spans="1:11">
      <c r="A2479" s="112">
        <v>46113</v>
      </c>
      <c r="B2479" s="14">
        <v>35</v>
      </c>
      <c r="C2479" s="14" t="s">
        <v>12</v>
      </c>
      <c r="D2479" s="14" t="s">
        <v>13</v>
      </c>
      <c r="E2479" s="14" t="s">
        <v>88</v>
      </c>
      <c r="F2479" s="14" t="s">
        <v>89</v>
      </c>
      <c r="G2479" s="14" t="s">
        <v>85</v>
      </c>
      <c r="H2479" s="14" t="s">
        <v>731</v>
      </c>
      <c r="I2479" s="14" t="s">
        <v>133</v>
      </c>
      <c r="J2479" s="60">
        <v>4500</v>
      </c>
      <c r="K2479" s="14" t="s">
        <v>637</v>
      </c>
    </row>
    <row r="2480" spans="1:11">
      <c r="A2480" s="112">
        <v>46143</v>
      </c>
      <c r="B2480" s="14">
        <v>35</v>
      </c>
      <c r="C2480" s="14" t="s">
        <v>12</v>
      </c>
      <c r="D2480" s="14" t="s">
        <v>13</v>
      </c>
      <c r="E2480" s="14" t="s">
        <v>88</v>
      </c>
      <c r="F2480" s="14" t="s">
        <v>89</v>
      </c>
      <c r="G2480" s="14" t="s">
        <v>85</v>
      </c>
      <c r="H2480" s="14" t="s">
        <v>731</v>
      </c>
      <c r="I2480" s="14" t="s">
        <v>133</v>
      </c>
      <c r="J2480" s="60">
        <v>2700</v>
      </c>
      <c r="K2480" s="14" t="s">
        <v>637</v>
      </c>
    </row>
    <row r="2481" spans="1:11">
      <c r="A2481" s="112">
        <v>46174</v>
      </c>
      <c r="B2481" s="14">
        <v>35</v>
      </c>
      <c r="C2481" s="14" t="s">
        <v>12</v>
      </c>
      <c r="D2481" s="14" t="s">
        <v>13</v>
      </c>
      <c r="E2481" s="14" t="s">
        <v>88</v>
      </c>
      <c r="F2481" s="14" t="s">
        <v>89</v>
      </c>
      <c r="G2481" s="14" t="s">
        <v>85</v>
      </c>
      <c r="H2481" s="14" t="s">
        <v>731</v>
      </c>
      <c r="I2481" s="14" t="s">
        <v>133</v>
      </c>
      <c r="J2481" s="60">
        <v>1800</v>
      </c>
      <c r="K2481" s="14" t="s">
        <v>637</v>
      </c>
    </row>
    <row r="2482" spans="1:11">
      <c r="A2482" s="112">
        <v>45870</v>
      </c>
      <c r="B2482" s="14">
        <v>36</v>
      </c>
      <c r="C2482" s="14" t="s">
        <v>14</v>
      </c>
      <c r="D2482" s="14" t="s">
        <v>15</v>
      </c>
      <c r="E2482" s="14" t="s">
        <v>86</v>
      </c>
      <c r="F2482" s="14" t="s">
        <v>87</v>
      </c>
      <c r="G2482" s="14" t="s">
        <v>85</v>
      </c>
      <c r="H2482" s="14" t="s">
        <v>732</v>
      </c>
      <c r="I2482" s="14" t="s">
        <v>133</v>
      </c>
      <c r="J2482" s="60">
        <v>53200</v>
      </c>
      <c r="K2482" s="14" t="s">
        <v>637</v>
      </c>
    </row>
    <row r="2483" spans="1:11">
      <c r="A2483" s="112">
        <v>45901</v>
      </c>
      <c r="B2483" s="14">
        <v>36</v>
      </c>
      <c r="C2483" s="14" t="s">
        <v>14</v>
      </c>
      <c r="D2483" s="14" t="s">
        <v>15</v>
      </c>
      <c r="E2483" s="14" t="s">
        <v>86</v>
      </c>
      <c r="F2483" s="14" t="s">
        <v>87</v>
      </c>
      <c r="G2483" s="14" t="s">
        <v>85</v>
      </c>
      <c r="H2483" s="14" t="s">
        <v>732</v>
      </c>
      <c r="I2483" s="14" t="s">
        <v>133</v>
      </c>
      <c r="J2483" s="60">
        <v>47880</v>
      </c>
      <c r="K2483" s="14" t="s">
        <v>637</v>
      </c>
    </row>
    <row r="2484" spans="1:11">
      <c r="A2484" s="112">
        <v>45931</v>
      </c>
      <c r="B2484" s="14">
        <v>36</v>
      </c>
      <c r="C2484" s="14" t="s">
        <v>14</v>
      </c>
      <c r="D2484" s="14" t="s">
        <v>15</v>
      </c>
      <c r="E2484" s="14" t="s">
        <v>86</v>
      </c>
      <c r="F2484" s="14" t="s">
        <v>87</v>
      </c>
      <c r="G2484" s="14" t="s">
        <v>85</v>
      </c>
      <c r="H2484" s="14" t="s">
        <v>732</v>
      </c>
      <c r="I2484" s="14" t="s">
        <v>133</v>
      </c>
      <c r="J2484" s="60">
        <v>39900</v>
      </c>
      <c r="K2484" s="14" t="s">
        <v>637</v>
      </c>
    </row>
    <row r="2485" spans="1:11">
      <c r="A2485" s="112">
        <v>45962</v>
      </c>
      <c r="B2485" s="14">
        <v>36</v>
      </c>
      <c r="C2485" s="14" t="s">
        <v>14</v>
      </c>
      <c r="D2485" s="14" t="s">
        <v>15</v>
      </c>
      <c r="E2485" s="14" t="s">
        <v>86</v>
      </c>
      <c r="F2485" s="14" t="s">
        <v>87</v>
      </c>
      <c r="G2485" s="14" t="s">
        <v>85</v>
      </c>
      <c r="H2485" s="14" t="s">
        <v>732</v>
      </c>
      <c r="I2485" s="14" t="s">
        <v>133</v>
      </c>
      <c r="J2485" s="60">
        <v>31920</v>
      </c>
      <c r="K2485" s="14" t="s">
        <v>637</v>
      </c>
    </row>
    <row r="2486" spans="1:11">
      <c r="A2486" s="112">
        <v>45992</v>
      </c>
      <c r="B2486" s="14">
        <v>36</v>
      </c>
      <c r="C2486" s="14" t="s">
        <v>14</v>
      </c>
      <c r="D2486" s="14" t="s">
        <v>15</v>
      </c>
      <c r="E2486" s="14" t="s">
        <v>86</v>
      </c>
      <c r="F2486" s="14" t="s">
        <v>87</v>
      </c>
      <c r="G2486" s="14" t="s">
        <v>85</v>
      </c>
      <c r="H2486" s="14" t="s">
        <v>732</v>
      </c>
      <c r="I2486" s="14" t="s">
        <v>133</v>
      </c>
      <c r="J2486" s="60">
        <v>26600</v>
      </c>
      <c r="K2486" s="14" t="s">
        <v>637</v>
      </c>
    </row>
    <row r="2487" spans="1:11">
      <c r="A2487" s="112">
        <v>46023</v>
      </c>
      <c r="B2487" s="14">
        <v>36</v>
      </c>
      <c r="C2487" s="14" t="s">
        <v>14</v>
      </c>
      <c r="D2487" s="14" t="s">
        <v>15</v>
      </c>
      <c r="E2487" s="14" t="s">
        <v>86</v>
      </c>
      <c r="F2487" s="14" t="s">
        <v>87</v>
      </c>
      <c r="G2487" s="14" t="s">
        <v>85</v>
      </c>
      <c r="H2487" s="14" t="s">
        <v>732</v>
      </c>
      <c r="I2487" s="14" t="s">
        <v>133</v>
      </c>
      <c r="J2487" s="60">
        <v>21280</v>
      </c>
      <c r="K2487" s="14" t="s">
        <v>637</v>
      </c>
    </row>
    <row r="2488" spans="1:11">
      <c r="A2488" s="112">
        <v>46054</v>
      </c>
      <c r="B2488" s="14">
        <v>36</v>
      </c>
      <c r="C2488" s="14" t="s">
        <v>14</v>
      </c>
      <c r="D2488" s="14" t="s">
        <v>15</v>
      </c>
      <c r="E2488" s="14" t="s">
        <v>86</v>
      </c>
      <c r="F2488" s="14" t="s">
        <v>87</v>
      </c>
      <c r="G2488" s="14" t="s">
        <v>85</v>
      </c>
      <c r="H2488" s="14" t="s">
        <v>732</v>
      </c>
      <c r="I2488" s="14" t="s">
        <v>133</v>
      </c>
      <c r="J2488" s="60">
        <v>18620</v>
      </c>
      <c r="K2488" s="14" t="s">
        <v>637</v>
      </c>
    </row>
    <row r="2489" spans="1:11">
      <c r="A2489" s="112">
        <v>46082</v>
      </c>
      <c r="B2489" s="14">
        <v>36</v>
      </c>
      <c r="C2489" s="14" t="s">
        <v>14</v>
      </c>
      <c r="D2489" s="14" t="s">
        <v>15</v>
      </c>
      <c r="E2489" s="14" t="s">
        <v>86</v>
      </c>
      <c r="F2489" s="14" t="s">
        <v>87</v>
      </c>
      <c r="G2489" s="14" t="s">
        <v>85</v>
      </c>
      <c r="H2489" s="14" t="s">
        <v>732</v>
      </c>
      <c r="I2489" s="14" t="s">
        <v>133</v>
      </c>
      <c r="J2489" s="60">
        <v>13300</v>
      </c>
      <c r="K2489" s="14" t="s">
        <v>637</v>
      </c>
    </row>
    <row r="2490" spans="1:11">
      <c r="A2490" s="112">
        <v>46113</v>
      </c>
      <c r="B2490" s="14">
        <v>36</v>
      </c>
      <c r="C2490" s="14" t="s">
        <v>14</v>
      </c>
      <c r="D2490" s="14" t="s">
        <v>15</v>
      </c>
      <c r="E2490" s="14" t="s">
        <v>86</v>
      </c>
      <c r="F2490" s="14" t="s">
        <v>87</v>
      </c>
      <c r="G2490" s="14" t="s">
        <v>85</v>
      </c>
      <c r="H2490" s="14" t="s">
        <v>732</v>
      </c>
      <c r="I2490" s="14" t="s">
        <v>133</v>
      </c>
      <c r="J2490" s="60">
        <v>7980</v>
      </c>
      <c r="K2490" s="14" t="s">
        <v>637</v>
      </c>
    </row>
    <row r="2491" spans="1:11">
      <c r="A2491" s="112">
        <v>46143</v>
      </c>
      <c r="B2491" s="14">
        <v>36</v>
      </c>
      <c r="C2491" s="14" t="s">
        <v>14</v>
      </c>
      <c r="D2491" s="14" t="s">
        <v>15</v>
      </c>
      <c r="E2491" s="14" t="s">
        <v>86</v>
      </c>
      <c r="F2491" s="14" t="s">
        <v>87</v>
      </c>
      <c r="G2491" s="14" t="s">
        <v>85</v>
      </c>
      <c r="H2491" s="14" t="s">
        <v>732</v>
      </c>
      <c r="I2491" s="14" t="s">
        <v>133</v>
      </c>
      <c r="J2491" s="60">
        <v>5320</v>
      </c>
      <c r="K2491" s="14" t="s">
        <v>637</v>
      </c>
    </row>
    <row r="2492" spans="1:11">
      <c r="A2492" s="112">
        <v>45962</v>
      </c>
      <c r="B2492" s="14">
        <v>37</v>
      </c>
      <c r="C2492" s="14" t="s">
        <v>14</v>
      </c>
      <c r="D2492" s="14" t="s">
        <v>15</v>
      </c>
      <c r="E2492" s="14" t="s">
        <v>88</v>
      </c>
      <c r="F2492" s="14" t="s">
        <v>89</v>
      </c>
      <c r="G2492" s="14" t="s">
        <v>85</v>
      </c>
      <c r="H2492" s="14" t="s">
        <v>733</v>
      </c>
      <c r="I2492" s="14" t="s">
        <v>133</v>
      </c>
      <c r="J2492" s="60">
        <v>11875</v>
      </c>
      <c r="K2492" s="14" t="s">
        <v>637</v>
      </c>
    </row>
    <row r="2493" spans="1:11">
      <c r="A2493" s="112">
        <v>45992</v>
      </c>
      <c r="B2493" s="14">
        <v>37</v>
      </c>
      <c r="C2493" s="14" t="s">
        <v>14</v>
      </c>
      <c r="D2493" s="14" t="s">
        <v>15</v>
      </c>
      <c r="E2493" s="14" t="s">
        <v>88</v>
      </c>
      <c r="F2493" s="14" t="s">
        <v>89</v>
      </c>
      <c r="G2493" s="14" t="s">
        <v>85</v>
      </c>
      <c r="H2493" s="14" t="s">
        <v>733</v>
      </c>
      <c r="I2493" s="14" t="s">
        <v>133</v>
      </c>
      <c r="J2493" s="60">
        <v>8550</v>
      </c>
      <c r="K2493" s="14" t="s">
        <v>637</v>
      </c>
    </row>
    <row r="2494" spans="1:11">
      <c r="A2494" s="112">
        <v>46023</v>
      </c>
      <c r="B2494" s="14">
        <v>37</v>
      </c>
      <c r="C2494" s="14" t="s">
        <v>14</v>
      </c>
      <c r="D2494" s="14" t="s">
        <v>15</v>
      </c>
      <c r="E2494" s="14" t="s">
        <v>88</v>
      </c>
      <c r="F2494" s="14" t="s">
        <v>89</v>
      </c>
      <c r="G2494" s="14" t="s">
        <v>85</v>
      </c>
      <c r="H2494" s="14" t="s">
        <v>733</v>
      </c>
      <c r="I2494" s="14" t="s">
        <v>133</v>
      </c>
      <c r="J2494" s="60">
        <v>7125</v>
      </c>
      <c r="K2494" s="14" t="s">
        <v>637</v>
      </c>
    </row>
    <row r="2495" spans="1:11">
      <c r="A2495" s="112">
        <v>46054</v>
      </c>
      <c r="B2495" s="14">
        <v>37</v>
      </c>
      <c r="C2495" s="14" t="s">
        <v>14</v>
      </c>
      <c r="D2495" s="14" t="s">
        <v>15</v>
      </c>
      <c r="E2495" s="14" t="s">
        <v>88</v>
      </c>
      <c r="F2495" s="14" t="s">
        <v>89</v>
      </c>
      <c r="G2495" s="14" t="s">
        <v>85</v>
      </c>
      <c r="H2495" s="14" t="s">
        <v>733</v>
      </c>
      <c r="I2495" s="14" t="s">
        <v>133</v>
      </c>
      <c r="J2495" s="60">
        <v>5700</v>
      </c>
      <c r="K2495" s="14" t="s">
        <v>637</v>
      </c>
    </row>
    <row r="2496" spans="1:11">
      <c r="A2496" s="112">
        <v>46082</v>
      </c>
      <c r="B2496" s="14">
        <v>37</v>
      </c>
      <c r="C2496" s="14" t="s">
        <v>14</v>
      </c>
      <c r="D2496" s="14" t="s">
        <v>15</v>
      </c>
      <c r="E2496" s="14" t="s">
        <v>88</v>
      </c>
      <c r="F2496" s="14" t="s">
        <v>89</v>
      </c>
      <c r="G2496" s="14" t="s">
        <v>85</v>
      </c>
      <c r="H2496" s="14" t="s">
        <v>733</v>
      </c>
      <c r="I2496" s="14" t="s">
        <v>133</v>
      </c>
      <c r="J2496" s="60">
        <v>4750</v>
      </c>
      <c r="K2496" s="14" t="s">
        <v>637</v>
      </c>
    </row>
    <row r="2497" spans="1:11">
      <c r="A2497" s="112">
        <v>46113</v>
      </c>
      <c r="B2497" s="14">
        <v>37</v>
      </c>
      <c r="C2497" s="14" t="s">
        <v>14</v>
      </c>
      <c r="D2497" s="14" t="s">
        <v>15</v>
      </c>
      <c r="E2497" s="14" t="s">
        <v>88</v>
      </c>
      <c r="F2497" s="14" t="s">
        <v>89</v>
      </c>
      <c r="G2497" s="14" t="s">
        <v>85</v>
      </c>
      <c r="H2497" s="14" t="s">
        <v>733</v>
      </c>
      <c r="I2497" s="14" t="s">
        <v>133</v>
      </c>
      <c r="J2497" s="60">
        <v>3800</v>
      </c>
      <c r="K2497" s="14" t="s">
        <v>637</v>
      </c>
    </row>
    <row r="2498" spans="1:11">
      <c r="A2498" s="112">
        <v>46143</v>
      </c>
      <c r="B2498" s="14">
        <v>37</v>
      </c>
      <c r="C2498" s="14" t="s">
        <v>14</v>
      </c>
      <c r="D2498" s="14" t="s">
        <v>15</v>
      </c>
      <c r="E2498" s="14" t="s">
        <v>88</v>
      </c>
      <c r="F2498" s="14" t="s">
        <v>89</v>
      </c>
      <c r="G2498" s="14" t="s">
        <v>85</v>
      </c>
      <c r="H2498" s="14" t="s">
        <v>733</v>
      </c>
      <c r="I2498" s="14" t="s">
        <v>133</v>
      </c>
      <c r="J2498" s="60">
        <v>3325</v>
      </c>
      <c r="K2498" s="14" t="s">
        <v>637</v>
      </c>
    </row>
    <row r="2499" spans="1:11">
      <c r="A2499" s="112">
        <v>46174</v>
      </c>
      <c r="B2499" s="14">
        <v>37</v>
      </c>
      <c r="C2499" s="14" t="s">
        <v>14</v>
      </c>
      <c r="D2499" s="14" t="s">
        <v>15</v>
      </c>
      <c r="E2499" s="14" t="s">
        <v>88</v>
      </c>
      <c r="F2499" s="14" t="s">
        <v>89</v>
      </c>
      <c r="G2499" s="14" t="s">
        <v>85</v>
      </c>
      <c r="H2499" s="14" t="s">
        <v>733</v>
      </c>
      <c r="I2499" s="14" t="s">
        <v>133</v>
      </c>
      <c r="J2499" s="60">
        <v>2375</v>
      </c>
      <c r="K2499" s="14" t="s">
        <v>637</v>
      </c>
    </row>
    <row r="2500" spans="1:11">
      <c r="A2500" s="112">
        <v>45839</v>
      </c>
      <c r="B2500" s="14">
        <v>38</v>
      </c>
      <c r="C2500" s="14" t="s">
        <v>16</v>
      </c>
      <c r="D2500" s="14" t="s">
        <v>17</v>
      </c>
      <c r="E2500" s="14" t="s">
        <v>86</v>
      </c>
      <c r="F2500" s="14" t="s">
        <v>87</v>
      </c>
      <c r="G2500" s="14" t="s">
        <v>85</v>
      </c>
      <c r="H2500" s="14" t="s">
        <v>734</v>
      </c>
      <c r="I2500" s="14" t="s">
        <v>133</v>
      </c>
      <c r="J2500" s="60">
        <v>49600</v>
      </c>
      <c r="K2500" s="14" t="s">
        <v>637</v>
      </c>
    </row>
    <row r="2501" spans="1:11">
      <c r="A2501" s="112">
        <v>45870</v>
      </c>
      <c r="B2501" s="14">
        <v>38</v>
      </c>
      <c r="C2501" s="14" t="s">
        <v>16</v>
      </c>
      <c r="D2501" s="14" t="s">
        <v>17</v>
      </c>
      <c r="E2501" s="14" t="s">
        <v>86</v>
      </c>
      <c r="F2501" s="14" t="s">
        <v>87</v>
      </c>
      <c r="G2501" s="14" t="s">
        <v>85</v>
      </c>
      <c r="H2501" s="14" t="s">
        <v>734</v>
      </c>
      <c r="I2501" s="14" t="s">
        <v>133</v>
      </c>
      <c r="J2501" s="60">
        <v>44640</v>
      </c>
      <c r="K2501" s="14" t="s">
        <v>637</v>
      </c>
    </row>
    <row r="2502" spans="1:11">
      <c r="A2502" s="112">
        <v>45901</v>
      </c>
      <c r="B2502" s="14">
        <v>38</v>
      </c>
      <c r="C2502" s="14" t="s">
        <v>16</v>
      </c>
      <c r="D2502" s="14" t="s">
        <v>17</v>
      </c>
      <c r="E2502" s="14" t="s">
        <v>86</v>
      </c>
      <c r="F2502" s="14" t="s">
        <v>87</v>
      </c>
      <c r="G2502" s="14" t="s">
        <v>85</v>
      </c>
      <c r="H2502" s="14" t="s">
        <v>734</v>
      </c>
      <c r="I2502" s="14" t="s">
        <v>133</v>
      </c>
      <c r="J2502" s="60">
        <v>37200</v>
      </c>
      <c r="K2502" s="14" t="s">
        <v>637</v>
      </c>
    </row>
    <row r="2503" spans="1:11">
      <c r="A2503" s="112">
        <v>45931</v>
      </c>
      <c r="B2503" s="14">
        <v>38</v>
      </c>
      <c r="C2503" s="14" t="s">
        <v>16</v>
      </c>
      <c r="D2503" s="14" t="s">
        <v>17</v>
      </c>
      <c r="E2503" s="14" t="s">
        <v>86</v>
      </c>
      <c r="F2503" s="14" t="s">
        <v>87</v>
      </c>
      <c r="G2503" s="14" t="s">
        <v>85</v>
      </c>
      <c r="H2503" s="14" t="s">
        <v>734</v>
      </c>
      <c r="I2503" s="14" t="s">
        <v>133</v>
      </c>
      <c r="J2503" s="60">
        <v>29760</v>
      </c>
      <c r="K2503" s="14" t="s">
        <v>637</v>
      </c>
    </row>
    <row r="2504" spans="1:11">
      <c r="A2504" s="112">
        <v>45962</v>
      </c>
      <c r="B2504" s="14">
        <v>38</v>
      </c>
      <c r="C2504" s="14" t="s">
        <v>16</v>
      </c>
      <c r="D2504" s="14" t="s">
        <v>17</v>
      </c>
      <c r="E2504" s="14" t="s">
        <v>86</v>
      </c>
      <c r="F2504" s="14" t="s">
        <v>87</v>
      </c>
      <c r="G2504" s="14" t="s">
        <v>85</v>
      </c>
      <c r="H2504" s="14" t="s">
        <v>734</v>
      </c>
      <c r="I2504" s="14" t="s">
        <v>133</v>
      </c>
      <c r="J2504" s="60">
        <v>24800</v>
      </c>
      <c r="K2504" s="14" t="s">
        <v>637</v>
      </c>
    </row>
    <row r="2505" spans="1:11">
      <c r="A2505" s="112">
        <v>45992</v>
      </c>
      <c r="B2505" s="14">
        <v>38</v>
      </c>
      <c r="C2505" s="14" t="s">
        <v>16</v>
      </c>
      <c r="D2505" s="14" t="s">
        <v>17</v>
      </c>
      <c r="E2505" s="14" t="s">
        <v>86</v>
      </c>
      <c r="F2505" s="14" t="s">
        <v>87</v>
      </c>
      <c r="G2505" s="14" t="s">
        <v>85</v>
      </c>
      <c r="H2505" s="14" t="s">
        <v>734</v>
      </c>
      <c r="I2505" s="14" t="s">
        <v>133</v>
      </c>
      <c r="J2505" s="60">
        <v>19840</v>
      </c>
      <c r="K2505" s="14" t="s">
        <v>637</v>
      </c>
    </row>
    <row r="2506" spans="1:11">
      <c r="A2506" s="112">
        <v>46023</v>
      </c>
      <c r="B2506" s="14">
        <v>38</v>
      </c>
      <c r="C2506" s="14" t="s">
        <v>16</v>
      </c>
      <c r="D2506" s="14" t="s">
        <v>17</v>
      </c>
      <c r="E2506" s="14" t="s">
        <v>86</v>
      </c>
      <c r="F2506" s="14" t="s">
        <v>87</v>
      </c>
      <c r="G2506" s="14" t="s">
        <v>85</v>
      </c>
      <c r="H2506" s="14" t="s">
        <v>734</v>
      </c>
      <c r="I2506" s="14" t="s">
        <v>133</v>
      </c>
      <c r="J2506" s="60">
        <v>17360</v>
      </c>
      <c r="K2506" s="14" t="s">
        <v>637</v>
      </c>
    </row>
    <row r="2507" spans="1:11">
      <c r="A2507" s="112">
        <v>46054</v>
      </c>
      <c r="B2507" s="14">
        <v>38</v>
      </c>
      <c r="C2507" s="14" t="s">
        <v>16</v>
      </c>
      <c r="D2507" s="14" t="s">
        <v>17</v>
      </c>
      <c r="E2507" s="14" t="s">
        <v>86</v>
      </c>
      <c r="F2507" s="14" t="s">
        <v>87</v>
      </c>
      <c r="G2507" s="14" t="s">
        <v>85</v>
      </c>
      <c r="H2507" s="14" t="s">
        <v>734</v>
      </c>
      <c r="I2507" s="14" t="s">
        <v>133</v>
      </c>
      <c r="J2507" s="60">
        <v>12400</v>
      </c>
      <c r="K2507" s="14" t="s">
        <v>637</v>
      </c>
    </row>
    <row r="2508" spans="1:11">
      <c r="A2508" s="112">
        <v>46082</v>
      </c>
      <c r="B2508" s="14">
        <v>38</v>
      </c>
      <c r="C2508" s="14" t="s">
        <v>16</v>
      </c>
      <c r="D2508" s="14" t="s">
        <v>17</v>
      </c>
      <c r="E2508" s="14" t="s">
        <v>86</v>
      </c>
      <c r="F2508" s="14" t="s">
        <v>87</v>
      </c>
      <c r="G2508" s="14" t="s">
        <v>85</v>
      </c>
      <c r="H2508" s="14" t="s">
        <v>734</v>
      </c>
      <c r="I2508" s="14" t="s">
        <v>133</v>
      </c>
      <c r="J2508" s="60">
        <v>7440</v>
      </c>
      <c r="K2508" s="14" t="s">
        <v>637</v>
      </c>
    </row>
    <row r="2509" spans="1:11">
      <c r="A2509" s="112">
        <v>46113</v>
      </c>
      <c r="B2509" s="14">
        <v>38</v>
      </c>
      <c r="C2509" s="14" t="s">
        <v>16</v>
      </c>
      <c r="D2509" s="14" t="s">
        <v>17</v>
      </c>
      <c r="E2509" s="14" t="s">
        <v>86</v>
      </c>
      <c r="F2509" s="14" t="s">
        <v>87</v>
      </c>
      <c r="G2509" s="14" t="s">
        <v>85</v>
      </c>
      <c r="H2509" s="14" t="s">
        <v>734</v>
      </c>
      <c r="I2509" s="14" t="s">
        <v>133</v>
      </c>
      <c r="J2509" s="60">
        <v>4960</v>
      </c>
      <c r="K2509" s="14" t="s">
        <v>637</v>
      </c>
    </row>
    <row r="2510" spans="1:11">
      <c r="A2510" s="112">
        <v>45931</v>
      </c>
      <c r="B2510" s="14">
        <v>39</v>
      </c>
      <c r="C2510" s="14" t="s">
        <v>16</v>
      </c>
      <c r="D2510" s="14" t="s">
        <v>17</v>
      </c>
      <c r="E2510" s="14" t="s">
        <v>88</v>
      </c>
      <c r="F2510" s="14" t="s">
        <v>89</v>
      </c>
      <c r="G2510" s="14" t="s">
        <v>85</v>
      </c>
      <c r="H2510" s="14" t="s">
        <v>735</v>
      </c>
      <c r="I2510" s="14" t="s">
        <v>133</v>
      </c>
      <c r="J2510" s="60">
        <v>31460</v>
      </c>
      <c r="K2510" s="14" t="s">
        <v>637</v>
      </c>
    </row>
    <row r="2511" spans="1:11">
      <c r="A2511" s="112">
        <v>45962</v>
      </c>
      <c r="B2511" s="14">
        <v>39</v>
      </c>
      <c r="C2511" s="14" t="s">
        <v>16</v>
      </c>
      <c r="D2511" s="14" t="s">
        <v>17</v>
      </c>
      <c r="E2511" s="14" t="s">
        <v>88</v>
      </c>
      <c r="F2511" s="14" t="s">
        <v>89</v>
      </c>
      <c r="G2511" s="14" t="s">
        <v>85</v>
      </c>
      <c r="H2511" s="14" t="s">
        <v>735</v>
      </c>
      <c r="I2511" s="14" t="s">
        <v>133</v>
      </c>
      <c r="J2511" s="60">
        <v>25740</v>
      </c>
      <c r="K2511" s="14" t="s">
        <v>637</v>
      </c>
    </row>
    <row r="2512" spans="1:11">
      <c r="A2512" s="112">
        <v>45992</v>
      </c>
      <c r="B2512" s="14">
        <v>39</v>
      </c>
      <c r="C2512" s="14" t="s">
        <v>16</v>
      </c>
      <c r="D2512" s="14" t="s">
        <v>17</v>
      </c>
      <c r="E2512" s="14" t="s">
        <v>88</v>
      </c>
      <c r="F2512" s="14" t="s">
        <v>89</v>
      </c>
      <c r="G2512" s="14" t="s">
        <v>85</v>
      </c>
      <c r="H2512" s="14" t="s">
        <v>735</v>
      </c>
      <c r="I2512" s="14" t="s">
        <v>133</v>
      </c>
      <c r="J2512" s="60">
        <v>21450</v>
      </c>
      <c r="K2512" s="14" t="s">
        <v>637</v>
      </c>
    </row>
    <row r="2513" spans="1:11">
      <c r="A2513" s="112">
        <v>46023</v>
      </c>
      <c r="B2513" s="14">
        <v>39</v>
      </c>
      <c r="C2513" s="14" t="s">
        <v>16</v>
      </c>
      <c r="D2513" s="14" t="s">
        <v>17</v>
      </c>
      <c r="E2513" s="14" t="s">
        <v>88</v>
      </c>
      <c r="F2513" s="14" t="s">
        <v>89</v>
      </c>
      <c r="G2513" s="14" t="s">
        <v>85</v>
      </c>
      <c r="H2513" s="14" t="s">
        <v>735</v>
      </c>
      <c r="I2513" s="14" t="s">
        <v>133</v>
      </c>
      <c r="J2513" s="60">
        <v>17160</v>
      </c>
      <c r="K2513" s="14" t="s">
        <v>637</v>
      </c>
    </row>
    <row r="2514" spans="1:11">
      <c r="A2514" s="112">
        <v>46054</v>
      </c>
      <c r="B2514" s="14">
        <v>39</v>
      </c>
      <c r="C2514" s="14" t="s">
        <v>16</v>
      </c>
      <c r="D2514" s="14" t="s">
        <v>17</v>
      </c>
      <c r="E2514" s="14" t="s">
        <v>88</v>
      </c>
      <c r="F2514" s="14" t="s">
        <v>89</v>
      </c>
      <c r="G2514" s="14" t="s">
        <v>85</v>
      </c>
      <c r="H2514" s="14" t="s">
        <v>735</v>
      </c>
      <c r="I2514" s="14" t="s">
        <v>133</v>
      </c>
      <c r="J2514" s="60">
        <v>14300</v>
      </c>
      <c r="K2514" s="14" t="s">
        <v>637</v>
      </c>
    </row>
    <row r="2515" spans="1:11">
      <c r="A2515" s="112">
        <v>46082</v>
      </c>
      <c r="B2515" s="14">
        <v>39</v>
      </c>
      <c r="C2515" s="14" t="s">
        <v>16</v>
      </c>
      <c r="D2515" s="14" t="s">
        <v>17</v>
      </c>
      <c r="E2515" s="14" t="s">
        <v>88</v>
      </c>
      <c r="F2515" s="14" t="s">
        <v>89</v>
      </c>
      <c r="G2515" s="14" t="s">
        <v>85</v>
      </c>
      <c r="H2515" s="14" t="s">
        <v>735</v>
      </c>
      <c r="I2515" s="14" t="s">
        <v>133</v>
      </c>
      <c r="J2515" s="60">
        <v>11440</v>
      </c>
      <c r="K2515" s="14" t="s">
        <v>637</v>
      </c>
    </row>
    <row r="2516" spans="1:11">
      <c r="A2516" s="112">
        <v>46113</v>
      </c>
      <c r="B2516" s="14">
        <v>39</v>
      </c>
      <c r="C2516" s="14" t="s">
        <v>16</v>
      </c>
      <c r="D2516" s="14" t="s">
        <v>17</v>
      </c>
      <c r="E2516" s="14" t="s">
        <v>88</v>
      </c>
      <c r="F2516" s="14" t="s">
        <v>89</v>
      </c>
      <c r="G2516" s="14" t="s">
        <v>85</v>
      </c>
      <c r="H2516" s="14" t="s">
        <v>735</v>
      </c>
      <c r="I2516" s="14" t="s">
        <v>133</v>
      </c>
      <c r="J2516" s="60">
        <v>10010</v>
      </c>
      <c r="K2516" s="14" t="s">
        <v>637</v>
      </c>
    </row>
    <row r="2517" spans="1:11">
      <c r="A2517" s="112">
        <v>46143</v>
      </c>
      <c r="B2517" s="14">
        <v>39</v>
      </c>
      <c r="C2517" s="14" t="s">
        <v>16</v>
      </c>
      <c r="D2517" s="14" t="s">
        <v>17</v>
      </c>
      <c r="E2517" s="14" t="s">
        <v>88</v>
      </c>
      <c r="F2517" s="14" t="s">
        <v>89</v>
      </c>
      <c r="G2517" s="14" t="s">
        <v>85</v>
      </c>
      <c r="H2517" s="14" t="s">
        <v>735</v>
      </c>
      <c r="I2517" s="14" t="s">
        <v>133</v>
      </c>
      <c r="J2517" s="60">
        <v>7150</v>
      </c>
      <c r="K2517" s="14" t="s">
        <v>637</v>
      </c>
    </row>
    <row r="2518" spans="1:11">
      <c r="A2518" s="112">
        <v>46174</v>
      </c>
      <c r="B2518" s="14">
        <v>39</v>
      </c>
      <c r="C2518" s="14" t="s">
        <v>16</v>
      </c>
      <c r="D2518" s="14" t="s">
        <v>17</v>
      </c>
      <c r="E2518" s="14" t="s">
        <v>88</v>
      </c>
      <c r="F2518" s="14" t="s">
        <v>89</v>
      </c>
      <c r="G2518" s="14" t="s">
        <v>85</v>
      </c>
      <c r="H2518" s="14" t="s">
        <v>735</v>
      </c>
      <c r="I2518" s="14" t="s">
        <v>133</v>
      </c>
      <c r="J2518" s="60">
        <v>4290</v>
      </c>
      <c r="K2518" s="14" t="s">
        <v>637</v>
      </c>
    </row>
    <row r="2519" spans="1:11">
      <c r="A2519" s="112">
        <v>45839</v>
      </c>
      <c r="B2519" s="14">
        <v>40</v>
      </c>
      <c r="C2519" s="14" t="s">
        <v>18</v>
      </c>
      <c r="D2519" s="14" t="s">
        <v>19</v>
      </c>
      <c r="E2519" s="14" t="s">
        <v>86</v>
      </c>
      <c r="F2519" s="14" t="s">
        <v>87</v>
      </c>
      <c r="G2519" s="14" t="s">
        <v>85</v>
      </c>
      <c r="H2519" s="14" t="s">
        <v>736</v>
      </c>
      <c r="I2519" s="14" t="s">
        <v>133</v>
      </c>
      <c r="J2519" s="60">
        <v>51000</v>
      </c>
      <c r="K2519" s="14" t="s">
        <v>637</v>
      </c>
    </row>
    <row r="2520" spans="1:11">
      <c r="A2520" s="112">
        <v>45870</v>
      </c>
      <c r="B2520" s="14">
        <v>40</v>
      </c>
      <c r="C2520" s="14" t="s">
        <v>18</v>
      </c>
      <c r="D2520" s="14" t="s">
        <v>19</v>
      </c>
      <c r="E2520" s="14" t="s">
        <v>86</v>
      </c>
      <c r="F2520" s="14" t="s">
        <v>87</v>
      </c>
      <c r="G2520" s="14" t="s">
        <v>85</v>
      </c>
      <c r="H2520" s="14" t="s">
        <v>736</v>
      </c>
      <c r="I2520" s="14" t="s">
        <v>133</v>
      </c>
      <c r="J2520" s="60">
        <v>45900</v>
      </c>
      <c r="K2520" s="14" t="s">
        <v>637</v>
      </c>
    </row>
    <row r="2521" spans="1:11">
      <c r="A2521" s="112">
        <v>45901</v>
      </c>
      <c r="B2521" s="14">
        <v>40</v>
      </c>
      <c r="C2521" s="14" t="s">
        <v>18</v>
      </c>
      <c r="D2521" s="14" t="s">
        <v>19</v>
      </c>
      <c r="E2521" s="14" t="s">
        <v>86</v>
      </c>
      <c r="F2521" s="14" t="s">
        <v>87</v>
      </c>
      <c r="G2521" s="14" t="s">
        <v>85</v>
      </c>
      <c r="H2521" s="14" t="s">
        <v>736</v>
      </c>
      <c r="I2521" s="14" t="s">
        <v>133</v>
      </c>
      <c r="J2521" s="60">
        <v>38250</v>
      </c>
      <c r="K2521" s="14" t="s">
        <v>637</v>
      </c>
    </row>
    <row r="2522" spans="1:11">
      <c r="A2522" s="112">
        <v>45931</v>
      </c>
      <c r="B2522" s="14">
        <v>40</v>
      </c>
      <c r="C2522" s="14" t="s">
        <v>18</v>
      </c>
      <c r="D2522" s="14" t="s">
        <v>19</v>
      </c>
      <c r="E2522" s="14" t="s">
        <v>86</v>
      </c>
      <c r="F2522" s="14" t="s">
        <v>87</v>
      </c>
      <c r="G2522" s="14" t="s">
        <v>85</v>
      </c>
      <c r="H2522" s="14" t="s">
        <v>736</v>
      </c>
      <c r="I2522" s="14" t="s">
        <v>133</v>
      </c>
      <c r="J2522" s="60">
        <v>30600</v>
      </c>
      <c r="K2522" s="14" t="s">
        <v>637</v>
      </c>
    </row>
    <row r="2523" spans="1:11">
      <c r="A2523" s="112">
        <v>45962</v>
      </c>
      <c r="B2523" s="14">
        <v>40</v>
      </c>
      <c r="C2523" s="14" t="s">
        <v>18</v>
      </c>
      <c r="D2523" s="14" t="s">
        <v>19</v>
      </c>
      <c r="E2523" s="14" t="s">
        <v>86</v>
      </c>
      <c r="F2523" s="14" t="s">
        <v>87</v>
      </c>
      <c r="G2523" s="14" t="s">
        <v>85</v>
      </c>
      <c r="H2523" s="14" t="s">
        <v>736</v>
      </c>
      <c r="I2523" s="14" t="s">
        <v>133</v>
      </c>
      <c r="J2523" s="60">
        <v>25500</v>
      </c>
      <c r="K2523" s="14" t="s">
        <v>637</v>
      </c>
    </row>
    <row r="2524" spans="1:11">
      <c r="A2524" s="112">
        <v>45992</v>
      </c>
      <c r="B2524" s="14">
        <v>40</v>
      </c>
      <c r="C2524" s="14" t="s">
        <v>18</v>
      </c>
      <c r="D2524" s="14" t="s">
        <v>19</v>
      </c>
      <c r="E2524" s="14" t="s">
        <v>86</v>
      </c>
      <c r="F2524" s="14" t="s">
        <v>87</v>
      </c>
      <c r="G2524" s="14" t="s">
        <v>85</v>
      </c>
      <c r="H2524" s="14" t="s">
        <v>736</v>
      </c>
      <c r="I2524" s="14" t="s">
        <v>133</v>
      </c>
      <c r="J2524" s="60">
        <v>20400</v>
      </c>
      <c r="K2524" s="14" t="s">
        <v>637</v>
      </c>
    </row>
    <row r="2525" spans="1:11">
      <c r="A2525" s="112">
        <v>46023</v>
      </c>
      <c r="B2525" s="14">
        <v>40</v>
      </c>
      <c r="C2525" s="14" t="s">
        <v>18</v>
      </c>
      <c r="D2525" s="14" t="s">
        <v>19</v>
      </c>
      <c r="E2525" s="14" t="s">
        <v>86</v>
      </c>
      <c r="F2525" s="14" t="s">
        <v>87</v>
      </c>
      <c r="G2525" s="14" t="s">
        <v>85</v>
      </c>
      <c r="H2525" s="14" t="s">
        <v>736</v>
      </c>
      <c r="I2525" s="14" t="s">
        <v>133</v>
      </c>
      <c r="J2525" s="60">
        <v>17850</v>
      </c>
      <c r="K2525" s="14" t="s">
        <v>637</v>
      </c>
    </row>
    <row r="2526" spans="1:11">
      <c r="A2526" s="112">
        <v>46054</v>
      </c>
      <c r="B2526" s="14">
        <v>40</v>
      </c>
      <c r="C2526" s="14" t="s">
        <v>18</v>
      </c>
      <c r="D2526" s="14" t="s">
        <v>19</v>
      </c>
      <c r="E2526" s="14" t="s">
        <v>86</v>
      </c>
      <c r="F2526" s="14" t="s">
        <v>87</v>
      </c>
      <c r="G2526" s="14" t="s">
        <v>85</v>
      </c>
      <c r="H2526" s="14" t="s">
        <v>736</v>
      </c>
      <c r="I2526" s="14" t="s">
        <v>133</v>
      </c>
      <c r="J2526" s="60">
        <v>12750</v>
      </c>
      <c r="K2526" s="14" t="s">
        <v>637</v>
      </c>
    </row>
    <row r="2527" spans="1:11">
      <c r="A2527" s="112">
        <v>46082</v>
      </c>
      <c r="B2527" s="14">
        <v>40</v>
      </c>
      <c r="C2527" s="14" t="s">
        <v>18</v>
      </c>
      <c r="D2527" s="14" t="s">
        <v>19</v>
      </c>
      <c r="E2527" s="14" t="s">
        <v>86</v>
      </c>
      <c r="F2527" s="14" t="s">
        <v>87</v>
      </c>
      <c r="G2527" s="14" t="s">
        <v>85</v>
      </c>
      <c r="H2527" s="14" t="s">
        <v>736</v>
      </c>
      <c r="I2527" s="14" t="s">
        <v>133</v>
      </c>
      <c r="J2527" s="60">
        <v>7650</v>
      </c>
      <c r="K2527" s="14" t="s">
        <v>637</v>
      </c>
    </row>
    <row r="2528" spans="1:11">
      <c r="A2528" s="112">
        <v>46113</v>
      </c>
      <c r="B2528" s="14">
        <v>40</v>
      </c>
      <c r="C2528" s="14" t="s">
        <v>18</v>
      </c>
      <c r="D2528" s="14" t="s">
        <v>19</v>
      </c>
      <c r="E2528" s="14" t="s">
        <v>86</v>
      </c>
      <c r="F2528" s="14" t="s">
        <v>87</v>
      </c>
      <c r="G2528" s="14" t="s">
        <v>85</v>
      </c>
      <c r="H2528" s="14" t="s">
        <v>736</v>
      </c>
      <c r="I2528" s="14" t="s">
        <v>133</v>
      </c>
      <c r="J2528" s="60">
        <v>5100</v>
      </c>
      <c r="K2528" s="14" t="s">
        <v>637</v>
      </c>
    </row>
    <row r="2529" spans="1:11">
      <c r="A2529" s="112">
        <v>45992</v>
      </c>
      <c r="B2529" s="14">
        <v>41</v>
      </c>
      <c r="C2529" s="14" t="s">
        <v>18</v>
      </c>
      <c r="D2529" s="14" t="s">
        <v>19</v>
      </c>
      <c r="E2529" s="14" t="s">
        <v>88</v>
      </c>
      <c r="F2529" s="14" t="s">
        <v>89</v>
      </c>
      <c r="G2529" s="14" t="s">
        <v>85</v>
      </c>
      <c r="H2529" s="14" t="s">
        <v>737</v>
      </c>
      <c r="I2529" s="14" t="s">
        <v>133</v>
      </c>
      <c r="J2529" s="60">
        <v>18150</v>
      </c>
      <c r="K2529" s="14" t="s">
        <v>637</v>
      </c>
    </row>
    <row r="2530" spans="1:11">
      <c r="A2530" s="112">
        <v>46023</v>
      </c>
      <c r="B2530" s="14">
        <v>41</v>
      </c>
      <c r="C2530" s="14" t="s">
        <v>18</v>
      </c>
      <c r="D2530" s="14" t="s">
        <v>19</v>
      </c>
      <c r="E2530" s="14" t="s">
        <v>88</v>
      </c>
      <c r="F2530" s="14" t="s">
        <v>89</v>
      </c>
      <c r="G2530" s="14" t="s">
        <v>85</v>
      </c>
      <c r="H2530" s="14" t="s">
        <v>737</v>
      </c>
      <c r="I2530" s="14" t="s">
        <v>133</v>
      </c>
      <c r="J2530" s="60">
        <v>10890</v>
      </c>
      <c r="K2530" s="14" t="s">
        <v>637</v>
      </c>
    </row>
    <row r="2531" spans="1:11">
      <c r="A2531" s="112">
        <v>46054</v>
      </c>
      <c r="B2531" s="14">
        <v>41</v>
      </c>
      <c r="C2531" s="14" t="s">
        <v>18</v>
      </c>
      <c r="D2531" s="14" t="s">
        <v>19</v>
      </c>
      <c r="E2531" s="14" t="s">
        <v>88</v>
      </c>
      <c r="F2531" s="14" t="s">
        <v>89</v>
      </c>
      <c r="G2531" s="14" t="s">
        <v>85</v>
      </c>
      <c r="H2531" s="14" t="s">
        <v>737</v>
      </c>
      <c r="I2531" s="14" t="s">
        <v>133</v>
      </c>
      <c r="J2531" s="60">
        <v>9075</v>
      </c>
      <c r="K2531" s="14" t="s">
        <v>637</v>
      </c>
    </row>
    <row r="2532" spans="1:11">
      <c r="A2532" s="112">
        <v>46082</v>
      </c>
      <c r="B2532" s="14">
        <v>41</v>
      </c>
      <c r="C2532" s="14" t="s">
        <v>18</v>
      </c>
      <c r="D2532" s="14" t="s">
        <v>19</v>
      </c>
      <c r="E2532" s="14" t="s">
        <v>88</v>
      </c>
      <c r="F2532" s="14" t="s">
        <v>89</v>
      </c>
      <c r="G2532" s="14" t="s">
        <v>85</v>
      </c>
      <c r="H2532" s="14" t="s">
        <v>737</v>
      </c>
      <c r="I2532" s="14" t="s">
        <v>133</v>
      </c>
      <c r="J2532" s="60">
        <v>7260</v>
      </c>
      <c r="K2532" s="14" t="s">
        <v>637</v>
      </c>
    </row>
    <row r="2533" spans="1:11">
      <c r="A2533" s="112">
        <v>46113</v>
      </c>
      <c r="B2533" s="14">
        <v>41</v>
      </c>
      <c r="C2533" s="14" t="s">
        <v>18</v>
      </c>
      <c r="D2533" s="14" t="s">
        <v>19</v>
      </c>
      <c r="E2533" s="14" t="s">
        <v>88</v>
      </c>
      <c r="F2533" s="14" t="s">
        <v>89</v>
      </c>
      <c r="G2533" s="14" t="s">
        <v>85</v>
      </c>
      <c r="H2533" s="14" t="s">
        <v>737</v>
      </c>
      <c r="I2533" s="14" t="s">
        <v>133</v>
      </c>
      <c r="J2533" s="60">
        <v>6050</v>
      </c>
      <c r="K2533" s="14" t="s">
        <v>637</v>
      </c>
    </row>
    <row r="2534" spans="1:11">
      <c r="A2534" s="112">
        <v>46143</v>
      </c>
      <c r="B2534" s="14">
        <v>41</v>
      </c>
      <c r="C2534" s="14" t="s">
        <v>18</v>
      </c>
      <c r="D2534" s="14" t="s">
        <v>19</v>
      </c>
      <c r="E2534" s="14" t="s">
        <v>88</v>
      </c>
      <c r="F2534" s="14" t="s">
        <v>89</v>
      </c>
      <c r="G2534" s="14" t="s">
        <v>85</v>
      </c>
      <c r="H2534" s="14" t="s">
        <v>737</v>
      </c>
      <c r="I2534" s="14" t="s">
        <v>133</v>
      </c>
      <c r="J2534" s="60">
        <v>4840</v>
      </c>
      <c r="K2534" s="14" t="s">
        <v>637</v>
      </c>
    </row>
    <row r="2535" spans="1:11">
      <c r="A2535" s="112">
        <v>46174</v>
      </c>
      <c r="B2535" s="14">
        <v>41</v>
      </c>
      <c r="C2535" s="14" t="s">
        <v>18</v>
      </c>
      <c r="D2535" s="14" t="s">
        <v>19</v>
      </c>
      <c r="E2535" s="14" t="s">
        <v>88</v>
      </c>
      <c r="F2535" s="14" t="s">
        <v>89</v>
      </c>
      <c r="G2535" s="14" t="s">
        <v>85</v>
      </c>
      <c r="H2535" s="14" t="s">
        <v>737</v>
      </c>
      <c r="I2535" s="14" t="s">
        <v>133</v>
      </c>
      <c r="J2535" s="60">
        <v>4235</v>
      </c>
      <c r="K2535" s="14" t="s">
        <v>637</v>
      </c>
    </row>
    <row r="2536" spans="1:11">
      <c r="A2536" s="112">
        <v>45839</v>
      </c>
      <c r="B2536" s="14">
        <v>42</v>
      </c>
      <c r="C2536" s="14" t="s">
        <v>20</v>
      </c>
      <c r="D2536" s="14" t="s">
        <v>21</v>
      </c>
      <c r="E2536" s="14" t="s">
        <v>86</v>
      </c>
      <c r="F2536" s="14" t="s">
        <v>87</v>
      </c>
      <c r="G2536" s="14" t="s">
        <v>85</v>
      </c>
      <c r="H2536" s="14" t="s">
        <v>738</v>
      </c>
      <c r="I2536" s="14" t="s">
        <v>133</v>
      </c>
      <c r="J2536" s="60">
        <v>57600</v>
      </c>
      <c r="K2536" s="14" t="s">
        <v>637</v>
      </c>
    </row>
    <row r="2537" spans="1:11">
      <c r="A2537" s="112">
        <v>45870</v>
      </c>
      <c r="B2537" s="14">
        <v>42</v>
      </c>
      <c r="C2537" s="14" t="s">
        <v>20</v>
      </c>
      <c r="D2537" s="14" t="s">
        <v>21</v>
      </c>
      <c r="E2537" s="14" t="s">
        <v>86</v>
      </c>
      <c r="F2537" s="14" t="s">
        <v>87</v>
      </c>
      <c r="G2537" s="14" t="s">
        <v>85</v>
      </c>
      <c r="H2537" s="14" t="s">
        <v>738</v>
      </c>
      <c r="I2537" s="14" t="s">
        <v>133</v>
      </c>
      <c r="J2537" s="60">
        <v>51840</v>
      </c>
      <c r="K2537" s="14" t="s">
        <v>637</v>
      </c>
    </row>
    <row r="2538" spans="1:11">
      <c r="A2538" s="112">
        <v>45901</v>
      </c>
      <c r="B2538" s="14">
        <v>42</v>
      </c>
      <c r="C2538" s="14" t="s">
        <v>20</v>
      </c>
      <c r="D2538" s="14" t="s">
        <v>21</v>
      </c>
      <c r="E2538" s="14" t="s">
        <v>86</v>
      </c>
      <c r="F2538" s="14" t="s">
        <v>87</v>
      </c>
      <c r="G2538" s="14" t="s">
        <v>85</v>
      </c>
      <c r="H2538" s="14" t="s">
        <v>738</v>
      </c>
      <c r="I2538" s="14" t="s">
        <v>133</v>
      </c>
      <c r="J2538" s="60">
        <v>43200</v>
      </c>
      <c r="K2538" s="14" t="s">
        <v>637</v>
      </c>
    </row>
    <row r="2539" spans="1:11">
      <c r="A2539" s="112">
        <v>45931</v>
      </c>
      <c r="B2539" s="14">
        <v>42</v>
      </c>
      <c r="C2539" s="14" t="s">
        <v>20</v>
      </c>
      <c r="D2539" s="14" t="s">
        <v>21</v>
      </c>
      <c r="E2539" s="14" t="s">
        <v>86</v>
      </c>
      <c r="F2539" s="14" t="s">
        <v>87</v>
      </c>
      <c r="G2539" s="14" t="s">
        <v>85</v>
      </c>
      <c r="H2539" s="14" t="s">
        <v>738</v>
      </c>
      <c r="I2539" s="14" t="s">
        <v>133</v>
      </c>
      <c r="J2539" s="60">
        <v>34560</v>
      </c>
      <c r="K2539" s="14" t="s">
        <v>637</v>
      </c>
    </row>
    <row r="2540" spans="1:11">
      <c r="A2540" s="112">
        <v>45962</v>
      </c>
      <c r="B2540" s="14">
        <v>42</v>
      </c>
      <c r="C2540" s="14" t="s">
        <v>20</v>
      </c>
      <c r="D2540" s="14" t="s">
        <v>21</v>
      </c>
      <c r="E2540" s="14" t="s">
        <v>86</v>
      </c>
      <c r="F2540" s="14" t="s">
        <v>87</v>
      </c>
      <c r="G2540" s="14" t="s">
        <v>85</v>
      </c>
      <c r="H2540" s="14" t="s">
        <v>738</v>
      </c>
      <c r="I2540" s="14" t="s">
        <v>133</v>
      </c>
      <c r="J2540" s="60">
        <v>28800</v>
      </c>
      <c r="K2540" s="14" t="s">
        <v>637</v>
      </c>
    </row>
    <row r="2541" spans="1:11">
      <c r="A2541" s="112">
        <v>45992</v>
      </c>
      <c r="B2541" s="14">
        <v>42</v>
      </c>
      <c r="C2541" s="14" t="s">
        <v>20</v>
      </c>
      <c r="D2541" s="14" t="s">
        <v>21</v>
      </c>
      <c r="E2541" s="14" t="s">
        <v>86</v>
      </c>
      <c r="F2541" s="14" t="s">
        <v>87</v>
      </c>
      <c r="G2541" s="14" t="s">
        <v>85</v>
      </c>
      <c r="H2541" s="14" t="s">
        <v>738</v>
      </c>
      <c r="I2541" s="14" t="s">
        <v>133</v>
      </c>
      <c r="J2541" s="60">
        <v>23040</v>
      </c>
      <c r="K2541" s="14" t="s">
        <v>637</v>
      </c>
    </row>
    <row r="2542" spans="1:11">
      <c r="A2542" s="112">
        <v>46023</v>
      </c>
      <c r="B2542" s="14">
        <v>42</v>
      </c>
      <c r="C2542" s="14" t="s">
        <v>20</v>
      </c>
      <c r="D2542" s="14" t="s">
        <v>21</v>
      </c>
      <c r="E2542" s="14" t="s">
        <v>86</v>
      </c>
      <c r="F2542" s="14" t="s">
        <v>87</v>
      </c>
      <c r="G2542" s="14" t="s">
        <v>85</v>
      </c>
      <c r="H2542" s="14" t="s">
        <v>738</v>
      </c>
      <c r="I2542" s="14" t="s">
        <v>133</v>
      </c>
      <c r="J2542" s="60">
        <v>20160</v>
      </c>
      <c r="K2542" s="14" t="s">
        <v>637</v>
      </c>
    </row>
    <row r="2543" spans="1:11">
      <c r="A2543" s="112">
        <v>46054</v>
      </c>
      <c r="B2543" s="14">
        <v>42</v>
      </c>
      <c r="C2543" s="14" t="s">
        <v>20</v>
      </c>
      <c r="D2543" s="14" t="s">
        <v>21</v>
      </c>
      <c r="E2543" s="14" t="s">
        <v>86</v>
      </c>
      <c r="F2543" s="14" t="s">
        <v>87</v>
      </c>
      <c r="G2543" s="14" t="s">
        <v>85</v>
      </c>
      <c r="H2543" s="14" t="s">
        <v>738</v>
      </c>
      <c r="I2543" s="14" t="s">
        <v>133</v>
      </c>
      <c r="J2543" s="60">
        <v>14400</v>
      </c>
      <c r="K2543" s="14" t="s">
        <v>637</v>
      </c>
    </row>
    <row r="2544" spans="1:11">
      <c r="A2544" s="112">
        <v>46082</v>
      </c>
      <c r="B2544" s="14">
        <v>42</v>
      </c>
      <c r="C2544" s="14" t="s">
        <v>20</v>
      </c>
      <c r="D2544" s="14" t="s">
        <v>21</v>
      </c>
      <c r="E2544" s="14" t="s">
        <v>86</v>
      </c>
      <c r="F2544" s="14" t="s">
        <v>87</v>
      </c>
      <c r="G2544" s="14" t="s">
        <v>85</v>
      </c>
      <c r="H2544" s="14" t="s">
        <v>738</v>
      </c>
      <c r="I2544" s="14" t="s">
        <v>133</v>
      </c>
      <c r="J2544" s="60">
        <v>8640</v>
      </c>
      <c r="K2544" s="14" t="s">
        <v>637</v>
      </c>
    </row>
    <row r="2545" spans="1:11">
      <c r="A2545" s="112">
        <v>46113</v>
      </c>
      <c r="B2545" s="14">
        <v>42</v>
      </c>
      <c r="C2545" s="14" t="s">
        <v>20</v>
      </c>
      <c r="D2545" s="14" t="s">
        <v>21</v>
      </c>
      <c r="E2545" s="14" t="s">
        <v>86</v>
      </c>
      <c r="F2545" s="14" t="s">
        <v>87</v>
      </c>
      <c r="G2545" s="14" t="s">
        <v>85</v>
      </c>
      <c r="H2545" s="14" t="s">
        <v>738</v>
      </c>
      <c r="I2545" s="14" t="s">
        <v>133</v>
      </c>
      <c r="J2545" s="60">
        <v>5760</v>
      </c>
      <c r="K2545" s="14" t="s">
        <v>637</v>
      </c>
    </row>
    <row r="2546" spans="1:11">
      <c r="A2546" s="112">
        <v>46023</v>
      </c>
      <c r="B2546" s="14">
        <v>43</v>
      </c>
      <c r="C2546" s="14" t="s">
        <v>20</v>
      </c>
      <c r="D2546" s="14" t="s">
        <v>21</v>
      </c>
      <c r="E2546" s="14" t="s">
        <v>88</v>
      </c>
      <c r="F2546" s="14" t="s">
        <v>89</v>
      </c>
      <c r="G2546" s="14" t="s">
        <v>85</v>
      </c>
      <c r="H2546" s="14" t="s">
        <v>739</v>
      </c>
      <c r="I2546" s="14" t="s">
        <v>133</v>
      </c>
      <c r="J2546" s="60">
        <v>21645</v>
      </c>
      <c r="K2546" s="14" t="s">
        <v>637</v>
      </c>
    </row>
    <row r="2547" spans="1:11">
      <c r="A2547" s="112">
        <v>46054</v>
      </c>
      <c r="B2547" s="14">
        <v>43</v>
      </c>
      <c r="C2547" s="14" t="s">
        <v>20</v>
      </c>
      <c r="D2547" s="14" t="s">
        <v>21</v>
      </c>
      <c r="E2547" s="14" t="s">
        <v>88</v>
      </c>
      <c r="F2547" s="14" t="s">
        <v>89</v>
      </c>
      <c r="G2547" s="14" t="s">
        <v>85</v>
      </c>
      <c r="H2547" s="14" t="s">
        <v>739</v>
      </c>
      <c r="I2547" s="14" t="s">
        <v>133</v>
      </c>
      <c r="J2547" s="60">
        <v>10530</v>
      </c>
      <c r="K2547" s="14" t="s">
        <v>637</v>
      </c>
    </row>
    <row r="2548" spans="1:11">
      <c r="A2548" s="112">
        <v>46082</v>
      </c>
      <c r="B2548" s="14">
        <v>43</v>
      </c>
      <c r="C2548" s="14" t="s">
        <v>20</v>
      </c>
      <c r="D2548" s="14" t="s">
        <v>21</v>
      </c>
      <c r="E2548" s="14" t="s">
        <v>88</v>
      </c>
      <c r="F2548" s="14" t="s">
        <v>89</v>
      </c>
      <c r="G2548" s="14" t="s">
        <v>85</v>
      </c>
      <c r="H2548" s="14" t="s">
        <v>739</v>
      </c>
      <c r="I2548" s="14" t="s">
        <v>133</v>
      </c>
      <c r="J2548" s="60">
        <v>8775</v>
      </c>
      <c r="K2548" s="14" t="s">
        <v>637</v>
      </c>
    </row>
    <row r="2549" spans="1:11">
      <c r="A2549" s="112">
        <v>46113</v>
      </c>
      <c r="B2549" s="14">
        <v>43</v>
      </c>
      <c r="C2549" s="14" t="s">
        <v>20</v>
      </c>
      <c r="D2549" s="14" t="s">
        <v>21</v>
      </c>
      <c r="E2549" s="14" t="s">
        <v>88</v>
      </c>
      <c r="F2549" s="14" t="s">
        <v>89</v>
      </c>
      <c r="G2549" s="14" t="s">
        <v>85</v>
      </c>
      <c r="H2549" s="14" t="s">
        <v>739</v>
      </c>
      <c r="I2549" s="14" t="s">
        <v>133</v>
      </c>
      <c r="J2549" s="60">
        <v>7020</v>
      </c>
      <c r="K2549" s="14" t="s">
        <v>637</v>
      </c>
    </row>
    <row r="2550" spans="1:11">
      <c r="A2550" s="112">
        <v>46143</v>
      </c>
      <c r="B2550" s="14">
        <v>43</v>
      </c>
      <c r="C2550" s="14" t="s">
        <v>20</v>
      </c>
      <c r="D2550" s="14" t="s">
        <v>21</v>
      </c>
      <c r="E2550" s="14" t="s">
        <v>88</v>
      </c>
      <c r="F2550" s="14" t="s">
        <v>89</v>
      </c>
      <c r="G2550" s="14" t="s">
        <v>85</v>
      </c>
      <c r="H2550" s="14" t="s">
        <v>739</v>
      </c>
      <c r="I2550" s="14" t="s">
        <v>133</v>
      </c>
      <c r="J2550" s="60">
        <v>5850</v>
      </c>
      <c r="K2550" s="14" t="s">
        <v>637</v>
      </c>
    </row>
    <row r="2551" spans="1:11">
      <c r="A2551" s="112">
        <v>46174</v>
      </c>
      <c r="B2551" s="14">
        <v>43</v>
      </c>
      <c r="C2551" s="14" t="s">
        <v>20</v>
      </c>
      <c r="D2551" s="14" t="s">
        <v>21</v>
      </c>
      <c r="E2551" s="14" t="s">
        <v>88</v>
      </c>
      <c r="F2551" s="14" t="s">
        <v>89</v>
      </c>
      <c r="G2551" s="14" t="s">
        <v>85</v>
      </c>
      <c r="H2551" s="14" t="s">
        <v>739</v>
      </c>
      <c r="I2551" s="14" t="s">
        <v>133</v>
      </c>
      <c r="J2551" s="60">
        <v>4680</v>
      </c>
      <c r="K2551" s="14" t="s">
        <v>637</v>
      </c>
    </row>
    <row r="2552" spans="1:11">
      <c r="A2552" s="112">
        <v>46054</v>
      </c>
      <c r="B2552" s="14">
        <v>44</v>
      </c>
      <c r="C2552" s="14" t="s">
        <v>12</v>
      </c>
      <c r="D2552" s="14" t="s">
        <v>13</v>
      </c>
      <c r="E2552" s="14" t="s">
        <v>86</v>
      </c>
      <c r="F2552" s="14" t="s">
        <v>87</v>
      </c>
      <c r="G2552" s="14" t="s">
        <v>85</v>
      </c>
      <c r="H2552" s="14" t="s">
        <v>740</v>
      </c>
      <c r="I2552" s="14" t="s">
        <v>133</v>
      </c>
      <c r="J2552" s="60">
        <v>35100</v>
      </c>
      <c r="K2552" s="14" t="s">
        <v>637</v>
      </c>
    </row>
    <row r="2553" spans="1:11">
      <c r="A2553" s="112">
        <v>46082</v>
      </c>
      <c r="B2553" s="14">
        <v>44</v>
      </c>
      <c r="C2553" s="14" t="s">
        <v>12</v>
      </c>
      <c r="D2553" s="14" t="s">
        <v>13</v>
      </c>
      <c r="E2553" s="14" t="s">
        <v>86</v>
      </c>
      <c r="F2553" s="14" t="s">
        <v>87</v>
      </c>
      <c r="G2553" s="14" t="s">
        <v>85</v>
      </c>
      <c r="H2553" s="14" t="s">
        <v>740</v>
      </c>
      <c r="I2553" s="14" t="s">
        <v>133</v>
      </c>
      <c r="J2553" s="60">
        <v>14040</v>
      </c>
      <c r="K2553" s="14" t="s">
        <v>637</v>
      </c>
    </row>
    <row r="2554" spans="1:11">
      <c r="A2554" s="112">
        <v>46113</v>
      </c>
      <c r="B2554" s="14">
        <v>44</v>
      </c>
      <c r="C2554" s="14" t="s">
        <v>12</v>
      </c>
      <c r="D2554" s="14" t="s">
        <v>13</v>
      </c>
      <c r="E2554" s="14" t="s">
        <v>86</v>
      </c>
      <c r="F2554" s="14" t="s">
        <v>87</v>
      </c>
      <c r="G2554" s="14" t="s">
        <v>85</v>
      </c>
      <c r="H2554" s="14" t="s">
        <v>740</v>
      </c>
      <c r="I2554" s="14" t="s">
        <v>133</v>
      </c>
      <c r="J2554" s="60">
        <v>11700</v>
      </c>
      <c r="K2554" s="14" t="s">
        <v>637</v>
      </c>
    </row>
    <row r="2555" spans="1:11">
      <c r="A2555" s="112">
        <v>46143</v>
      </c>
      <c r="B2555" s="14">
        <v>44</v>
      </c>
      <c r="C2555" s="14" t="s">
        <v>12</v>
      </c>
      <c r="D2555" s="14" t="s">
        <v>13</v>
      </c>
      <c r="E2555" s="14" t="s">
        <v>86</v>
      </c>
      <c r="F2555" s="14" t="s">
        <v>87</v>
      </c>
      <c r="G2555" s="14" t="s">
        <v>85</v>
      </c>
      <c r="H2555" s="14" t="s">
        <v>740</v>
      </c>
      <c r="I2555" s="14" t="s">
        <v>133</v>
      </c>
      <c r="J2555" s="60">
        <v>9360</v>
      </c>
      <c r="K2555" s="14" t="s">
        <v>637</v>
      </c>
    </row>
    <row r="2556" spans="1:11">
      <c r="A2556" s="112">
        <v>46174</v>
      </c>
      <c r="B2556" s="14">
        <v>44</v>
      </c>
      <c r="C2556" s="14" t="s">
        <v>12</v>
      </c>
      <c r="D2556" s="14" t="s">
        <v>13</v>
      </c>
      <c r="E2556" s="14" t="s">
        <v>86</v>
      </c>
      <c r="F2556" s="14" t="s">
        <v>87</v>
      </c>
      <c r="G2556" s="14" t="s">
        <v>85</v>
      </c>
      <c r="H2556" s="14" t="s">
        <v>740</v>
      </c>
      <c r="I2556" s="14" t="s">
        <v>133</v>
      </c>
      <c r="J2556" s="60">
        <v>7800</v>
      </c>
      <c r="K2556" s="14" t="s">
        <v>637</v>
      </c>
    </row>
    <row r="2557" spans="1:11">
      <c r="A2557" s="112">
        <v>46082</v>
      </c>
      <c r="B2557" s="14">
        <v>45</v>
      </c>
      <c r="C2557" s="14" t="s">
        <v>20</v>
      </c>
      <c r="D2557" s="14" t="s">
        <v>21</v>
      </c>
      <c r="E2557" s="14" t="s">
        <v>88</v>
      </c>
      <c r="F2557" s="14" t="s">
        <v>89</v>
      </c>
      <c r="G2557" s="14" t="s">
        <v>85</v>
      </c>
      <c r="H2557" s="14" t="s">
        <v>741</v>
      </c>
      <c r="I2557" s="14" t="s">
        <v>133</v>
      </c>
      <c r="J2557" s="60">
        <v>11687.5</v>
      </c>
      <c r="K2557" s="14" t="s">
        <v>637</v>
      </c>
    </row>
    <row r="2558" spans="1:11">
      <c r="A2558" s="112">
        <v>46113</v>
      </c>
      <c r="B2558" s="14">
        <v>45</v>
      </c>
      <c r="C2558" s="14" t="s">
        <v>20</v>
      </c>
      <c r="D2558" s="14" t="s">
        <v>21</v>
      </c>
      <c r="E2558" s="14" t="s">
        <v>88</v>
      </c>
      <c r="F2558" s="14" t="s">
        <v>89</v>
      </c>
      <c r="G2558" s="14" t="s">
        <v>85</v>
      </c>
      <c r="H2558" s="14" t="s">
        <v>741</v>
      </c>
      <c r="I2558" s="14" t="s">
        <v>133</v>
      </c>
      <c r="J2558" s="60">
        <v>3825</v>
      </c>
      <c r="K2558" s="14" t="s">
        <v>637</v>
      </c>
    </row>
    <row r="2559" spans="1:11">
      <c r="A2559" s="112">
        <v>46143</v>
      </c>
      <c r="B2559" s="14">
        <v>45</v>
      </c>
      <c r="C2559" s="14" t="s">
        <v>20</v>
      </c>
      <c r="D2559" s="14" t="s">
        <v>21</v>
      </c>
      <c r="E2559" s="14" t="s">
        <v>88</v>
      </c>
      <c r="F2559" s="14" t="s">
        <v>89</v>
      </c>
      <c r="G2559" s="14" t="s">
        <v>85</v>
      </c>
      <c r="H2559" s="14" t="s">
        <v>741</v>
      </c>
      <c r="I2559" s="14" t="s">
        <v>133</v>
      </c>
      <c r="J2559" s="60">
        <v>3187.5</v>
      </c>
      <c r="K2559" s="14" t="s">
        <v>637</v>
      </c>
    </row>
    <row r="2560" spans="1:11">
      <c r="A2560" s="112">
        <v>46174</v>
      </c>
      <c r="B2560" s="14">
        <v>45</v>
      </c>
      <c r="C2560" s="14" t="s">
        <v>20</v>
      </c>
      <c r="D2560" s="14" t="s">
        <v>21</v>
      </c>
      <c r="E2560" s="14" t="s">
        <v>88</v>
      </c>
      <c r="F2560" s="14" t="s">
        <v>89</v>
      </c>
      <c r="G2560" s="14" t="s">
        <v>85</v>
      </c>
      <c r="H2560" s="14" t="s">
        <v>741</v>
      </c>
      <c r="I2560" s="14" t="s">
        <v>133</v>
      </c>
      <c r="J2560" s="60">
        <v>2550</v>
      </c>
      <c r="K2560" s="14" t="s">
        <v>637</v>
      </c>
    </row>
    <row r="2561" spans="1:11">
      <c r="A2561" s="112">
        <v>45839</v>
      </c>
      <c r="B2561" s="14">
        <v>46</v>
      </c>
      <c r="C2561" s="14" t="s">
        <v>12</v>
      </c>
      <c r="D2561" s="14" t="s">
        <v>13</v>
      </c>
      <c r="E2561" s="14" t="s">
        <v>83</v>
      </c>
      <c r="F2561" s="14" t="s">
        <v>84</v>
      </c>
      <c r="G2561" s="14" t="s">
        <v>85</v>
      </c>
      <c r="H2561" s="14" t="s">
        <v>352</v>
      </c>
      <c r="I2561" s="14" t="s">
        <v>133</v>
      </c>
      <c r="J2561" s="60">
        <v>27796.65</v>
      </c>
      <c r="K2561" s="14" t="s">
        <v>637</v>
      </c>
    </row>
    <row r="2562" spans="1:11">
      <c r="A2562" s="112">
        <v>45839</v>
      </c>
      <c r="B2562" s="14">
        <v>46</v>
      </c>
      <c r="C2562" s="14" t="s">
        <v>14</v>
      </c>
      <c r="D2562" s="14" t="s">
        <v>15</v>
      </c>
      <c r="E2562" s="14" t="s">
        <v>83</v>
      </c>
      <c r="F2562" s="14" t="s">
        <v>84</v>
      </c>
      <c r="G2562" s="14" t="s">
        <v>85</v>
      </c>
      <c r="H2562" s="14" t="s">
        <v>352</v>
      </c>
      <c r="I2562" s="14" t="s">
        <v>133</v>
      </c>
      <c r="J2562" s="60">
        <v>27796.63</v>
      </c>
      <c r="K2562" s="14" t="s">
        <v>637</v>
      </c>
    </row>
    <row r="2563" spans="1:11">
      <c r="A2563" s="112">
        <v>45839</v>
      </c>
      <c r="B2563" s="14">
        <v>46</v>
      </c>
      <c r="C2563" s="14" t="s">
        <v>16</v>
      </c>
      <c r="D2563" s="14" t="s">
        <v>17</v>
      </c>
      <c r="E2563" s="14" t="s">
        <v>83</v>
      </c>
      <c r="F2563" s="14" t="s">
        <v>84</v>
      </c>
      <c r="G2563" s="14" t="s">
        <v>85</v>
      </c>
      <c r="H2563" s="14" t="s">
        <v>352</v>
      </c>
      <c r="I2563" s="14" t="s">
        <v>133</v>
      </c>
      <c r="J2563" s="60">
        <v>27796.63</v>
      </c>
      <c r="K2563" s="14" t="s">
        <v>637</v>
      </c>
    </row>
    <row r="2564" spans="1:11">
      <c r="A2564" s="112">
        <v>45839</v>
      </c>
      <c r="B2564" s="14">
        <v>46</v>
      </c>
      <c r="C2564" s="14" t="s">
        <v>18</v>
      </c>
      <c r="D2564" s="14" t="s">
        <v>19</v>
      </c>
      <c r="E2564" s="14" t="s">
        <v>83</v>
      </c>
      <c r="F2564" s="14" t="s">
        <v>84</v>
      </c>
      <c r="G2564" s="14" t="s">
        <v>85</v>
      </c>
      <c r="H2564" s="14" t="s">
        <v>352</v>
      </c>
      <c r="I2564" s="14" t="s">
        <v>133</v>
      </c>
      <c r="J2564" s="60">
        <v>27796.63</v>
      </c>
      <c r="K2564" s="14" t="s">
        <v>637</v>
      </c>
    </row>
    <row r="2565" spans="1:11">
      <c r="A2565" s="112">
        <v>45839</v>
      </c>
      <c r="B2565" s="14">
        <v>46</v>
      </c>
      <c r="C2565" s="14" t="s">
        <v>20</v>
      </c>
      <c r="D2565" s="14" t="s">
        <v>21</v>
      </c>
      <c r="E2565" s="14" t="s">
        <v>83</v>
      </c>
      <c r="F2565" s="14" t="s">
        <v>84</v>
      </c>
      <c r="G2565" s="14" t="s">
        <v>85</v>
      </c>
      <c r="H2565" s="14" t="s">
        <v>352</v>
      </c>
      <c r="I2565" s="14" t="s">
        <v>133</v>
      </c>
      <c r="J2565" s="60">
        <v>27796.63</v>
      </c>
      <c r="K2565" s="14" t="s">
        <v>637</v>
      </c>
    </row>
    <row r="2566" spans="1:11">
      <c r="A2566" s="112">
        <v>45870</v>
      </c>
      <c r="B2566" s="14">
        <v>47</v>
      </c>
      <c r="C2566" s="14" t="s">
        <v>12</v>
      </c>
      <c r="D2566" s="14" t="s">
        <v>13</v>
      </c>
      <c r="E2566" s="14" t="s">
        <v>83</v>
      </c>
      <c r="F2566" s="14" t="s">
        <v>84</v>
      </c>
      <c r="G2566" s="14" t="s">
        <v>85</v>
      </c>
      <c r="H2566" s="14" t="s">
        <v>352</v>
      </c>
      <c r="I2566" s="14" t="s">
        <v>133</v>
      </c>
      <c r="J2566" s="60">
        <v>27830.06</v>
      </c>
      <c r="K2566" s="14" t="s">
        <v>637</v>
      </c>
    </row>
    <row r="2567" spans="1:11">
      <c r="A2567" s="112">
        <v>45870</v>
      </c>
      <c r="B2567" s="14">
        <v>47</v>
      </c>
      <c r="C2567" s="14" t="s">
        <v>14</v>
      </c>
      <c r="D2567" s="14" t="s">
        <v>15</v>
      </c>
      <c r="E2567" s="14" t="s">
        <v>83</v>
      </c>
      <c r="F2567" s="14" t="s">
        <v>84</v>
      </c>
      <c r="G2567" s="14" t="s">
        <v>85</v>
      </c>
      <c r="H2567" s="14" t="s">
        <v>352</v>
      </c>
      <c r="I2567" s="14" t="s">
        <v>133</v>
      </c>
      <c r="J2567" s="60">
        <v>27830.04</v>
      </c>
      <c r="K2567" s="14" t="s">
        <v>637</v>
      </c>
    </row>
    <row r="2568" spans="1:11">
      <c r="A2568" s="112">
        <v>45870</v>
      </c>
      <c r="B2568" s="14">
        <v>47</v>
      </c>
      <c r="C2568" s="14" t="s">
        <v>16</v>
      </c>
      <c r="D2568" s="14" t="s">
        <v>17</v>
      </c>
      <c r="E2568" s="14" t="s">
        <v>83</v>
      </c>
      <c r="F2568" s="14" t="s">
        <v>84</v>
      </c>
      <c r="G2568" s="14" t="s">
        <v>85</v>
      </c>
      <c r="H2568" s="14" t="s">
        <v>352</v>
      </c>
      <c r="I2568" s="14" t="s">
        <v>133</v>
      </c>
      <c r="J2568" s="60">
        <v>27830.04</v>
      </c>
      <c r="K2568" s="14" t="s">
        <v>637</v>
      </c>
    </row>
    <row r="2569" spans="1:11">
      <c r="A2569" s="112">
        <v>45870</v>
      </c>
      <c r="B2569" s="14">
        <v>47</v>
      </c>
      <c r="C2569" s="14" t="s">
        <v>18</v>
      </c>
      <c r="D2569" s="14" t="s">
        <v>19</v>
      </c>
      <c r="E2569" s="14" t="s">
        <v>83</v>
      </c>
      <c r="F2569" s="14" t="s">
        <v>84</v>
      </c>
      <c r="G2569" s="14" t="s">
        <v>85</v>
      </c>
      <c r="H2569" s="14" t="s">
        <v>352</v>
      </c>
      <c r="I2569" s="14" t="s">
        <v>133</v>
      </c>
      <c r="J2569" s="60">
        <v>27830.04</v>
      </c>
      <c r="K2569" s="14" t="s">
        <v>637</v>
      </c>
    </row>
    <row r="2570" spans="1:11">
      <c r="A2570" s="112">
        <v>45870</v>
      </c>
      <c r="B2570" s="14">
        <v>47</v>
      </c>
      <c r="C2570" s="14" t="s">
        <v>20</v>
      </c>
      <c r="D2570" s="14" t="s">
        <v>21</v>
      </c>
      <c r="E2570" s="14" t="s">
        <v>83</v>
      </c>
      <c r="F2570" s="14" t="s">
        <v>84</v>
      </c>
      <c r="G2570" s="14" t="s">
        <v>85</v>
      </c>
      <c r="H2570" s="14" t="s">
        <v>352</v>
      </c>
      <c r="I2570" s="14" t="s">
        <v>133</v>
      </c>
      <c r="J2570" s="60">
        <v>27830.04</v>
      </c>
      <c r="K2570" s="14" t="s">
        <v>637</v>
      </c>
    </row>
    <row r="2571" spans="1:11">
      <c r="A2571" s="112">
        <v>45901</v>
      </c>
      <c r="B2571" s="14">
        <v>48</v>
      </c>
      <c r="C2571" s="14" t="s">
        <v>12</v>
      </c>
      <c r="D2571" s="14" t="s">
        <v>13</v>
      </c>
      <c r="E2571" s="14" t="s">
        <v>83</v>
      </c>
      <c r="F2571" s="14" t="s">
        <v>84</v>
      </c>
      <c r="G2571" s="14" t="s">
        <v>85</v>
      </c>
      <c r="H2571" s="14" t="s">
        <v>352</v>
      </c>
      <c r="I2571" s="14" t="s">
        <v>133</v>
      </c>
      <c r="J2571" s="60">
        <v>28565.03</v>
      </c>
      <c r="K2571" s="14" t="s">
        <v>637</v>
      </c>
    </row>
    <row r="2572" spans="1:11">
      <c r="A2572" s="112">
        <v>45901</v>
      </c>
      <c r="B2572" s="14">
        <v>48</v>
      </c>
      <c r="C2572" s="14" t="s">
        <v>14</v>
      </c>
      <c r="D2572" s="14" t="s">
        <v>15</v>
      </c>
      <c r="E2572" s="14" t="s">
        <v>83</v>
      </c>
      <c r="F2572" s="14" t="s">
        <v>84</v>
      </c>
      <c r="G2572" s="14" t="s">
        <v>85</v>
      </c>
      <c r="H2572" s="14" t="s">
        <v>352</v>
      </c>
      <c r="I2572" s="14" t="s">
        <v>133</v>
      </c>
      <c r="J2572" s="60">
        <v>28565.040000000001</v>
      </c>
      <c r="K2572" s="14" t="s">
        <v>637</v>
      </c>
    </row>
    <row r="2573" spans="1:11">
      <c r="A2573" s="112">
        <v>45901</v>
      </c>
      <c r="B2573" s="14">
        <v>48</v>
      </c>
      <c r="C2573" s="14" t="s">
        <v>16</v>
      </c>
      <c r="D2573" s="14" t="s">
        <v>17</v>
      </c>
      <c r="E2573" s="14" t="s">
        <v>83</v>
      </c>
      <c r="F2573" s="14" t="s">
        <v>84</v>
      </c>
      <c r="G2573" s="14" t="s">
        <v>85</v>
      </c>
      <c r="H2573" s="14" t="s">
        <v>352</v>
      </c>
      <c r="I2573" s="14" t="s">
        <v>133</v>
      </c>
      <c r="J2573" s="60">
        <v>28565.040000000001</v>
      </c>
      <c r="K2573" s="14" t="s">
        <v>637</v>
      </c>
    </row>
    <row r="2574" spans="1:11">
      <c r="A2574" s="112">
        <v>45901</v>
      </c>
      <c r="B2574" s="14">
        <v>48</v>
      </c>
      <c r="C2574" s="14" t="s">
        <v>18</v>
      </c>
      <c r="D2574" s="14" t="s">
        <v>19</v>
      </c>
      <c r="E2574" s="14" t="s">
        <v>83</v>
      </c>
      <c r="F2574" s="14" t="s">
        <v>84</v>
      </c>
      <c r="G2574" s="14" t="s">
        <v>85</v>
      </c>
      <c r="H2574" s="14" t="s">
        <v>352</v>
      </c>
      <c r="I2574" s="14" t="s">
        <v>133</v>
      </c>
      <c r="J2574" s="60">
        <v>28565.040000000001</v>
      </c>
      <c r="K2574" s="14" t="s">
        <v>637</v>
      </c>
    </row>
    <row r="2575" spans="1:11">
      <c r="A2575" s="112">
        <v>45901</v>
      </c>
      <c r="B2575" s="14">
        <v>48</v>
      </c>
      <c r="C2575" s="14" t="s">
        <v>20</v>
      </c>
      <c r="D2575" s="14" t="s">
        <v>21</v>
      </c>
      <c r="E2575" s="14" t="s">
        <v>83</v>
      </c>
      <c r="F2575" s="14" t="s">
        <v>84</v>
      </c>
      <c r="G2575" s="14" t="s">
        <v>85</v>
      </c>
      <c r="H2575" s="14" t="s">
        <v>352</v>
      </c>
      <c r="I2575" s="14" t="s">
        <v>133</v>
      </c>
      <c r="J2575" s="60">
        <v>28565.040000000001</v>
      </c>
      <c r="K2575" s="14" t="s">
        <v>637</v>
      </c>
    </row>
    <row r="2576" spans="1:11">
      <c r="A2576" s="112">
        <v>45931</v>
      </c>
      <c r="B2576" s="14">
        <v>49</v>
      </c>
      <c r="C2576" s="14" t="s">
        <v>12</v>
      </c>
      <c r="D2576" s="14" t="s">
        <v>13</v>
      </c>
      <c r="E2576" s="14" t="s">
        <v>83</v>
      </c>
      <c r="F2576" s="14" t="s">
        <v>84</v>
      </c>
      <c r="G2576" s="14" t="s">
        <v>85</v>
      </c>
      <c r="H2576" s="14" t="s">
        <v>352</v>
      </c>
      <c r="I2576" s="14" t="s">
        <v>133</v>
      </c>
      <c r="J2576" s="60">
        <v>21064.81</v>
      </c>
      <c r="K2576" s="14" t="s">
        <v>637</v>
      </c>
    </row>
    <row r="2577" spans="1:11">
      <c r="A2577" s="112">
        <v>45931</v>
      </c>
      <c r="B2577" s="14">
        <v>49</v>
      </c>
      <c r="C2577" s="14" t="s">
        <v>14</v>
      </c>
      <c r="D2577" s="14" t="s">
        <v>15</v>
      </c>
      <c r="E2577" s="14" t="s">
        <v>83</v>
      </c>
      <c r="F2577" s="14" t="s">
        <v>84</v>
      </c>
      <c r="G2577" s="14" t="s">
        <v>85</v>
      </c>
      <c r="H2577" s="14" t="s">
        <v>352</v>
      </c>
      <c r="I2577" s="14" t="s">
        <v>133</v>
      </c>
      <c r="J2577" s="60">
        <v>21064.83</v>
      </c>
      <c r="K2577" s="14" t="s">
        <v>637</v>
      </c>
    </row>
    <row r="2578" spans="1:11">
      <c r="A2578" s="112">
        <v>45931</v>
      </c>
      <c r="B2578" s="14">
        <v>49</v>
      </c>
      <c r="C2578" s="14" t="s">
        <v>16</v>
      </c>
      <c r="D2578" s="14" t="s">
        <v>17</v>
      </c>
      <c r="E2578" s="14" t="s">
        <v>83</v>
      </c>
      <c r="F2578" s="14" t="s">
        <v>84</v>
      </c>
      <c r="G2578" s="14" t="s">
        <v>85</v>
      </c>
      <c r="H2578" s="14" t="s">
        <v>352</v>
      </c>
      <c r="I2578" s="14" t="s">
        <v>133</v>
      </c>
      <c r="J2578" s="60">
        <v>21064.83</v>
      </c>
      <c r="K2578" s="14" t="s">
        <v>637</v>
      </c>
    </row>
    <row r="2579" spans="1:11">
      <c r="A2579" s="112">
        <v>45931</v>
      </c>
      <c r="B2579" s="14">
        <v>49</v>
      </c>
      <c r="C2579" s="14" t="s">
        <v>18</v>
      </c>
      <c r="D2579" s="14" t="s">
        <v>19</v>
      </c>
      <c r="E2579" s="14" t="s">
        <v>83</v>
      </c>
      <c r="F2579" s="14" t="s">
        <v>84</v>
      </c>
      <c r="G2579" s="14" t="s">
        <v>85</v>
      </c>
      <c r="H2579" s="14" t="s">
        <v>352</v>
      </c>
      <c r="I2579" s="14" t="s">
        <v>133</v>
      </c>
      <c r="J2579" s="60">
        <v>21064.83</v>
      </c>
      <c r="K2579" s="14" t="s">
        <v>637</v>
      </c>
    </row>
    <row r="2580" spans="1:11">
      <c r="A2580" s="112">
        <v>45931</v>
      </c>
      <c r="B2580" s="14">
        <v>49</v>
      </c>
      <c r="C2580" s="14" t="s">
        <v>20</v>
      </c>
      <c r="D2580" s="14" t="s">
        <v>21</v>
      </c>
      <c r="E2580" s="14" t="s">
        <v>83</v>
      </c>
      <c r="F2580" s="14" t="s">
        <v>84</v>
      </c>
      <c r="G2580" s="14" t="s">
        <v>85</v>
      </c>
      <c r="H2580" s="14" t="s">
        <v>352</v>
      </c>
      <c r="I2580" s="14" t="s">
        <v>133</v>
      </c>
      <c r="J2580" s="60">
        <v>21064.83</v>
      </c>
      <c r="K2580" s="14" t="s">
        <v>637</v>
      </c>
    </row>
    <row r="2581" spans="1:11">
      <c r="A2581" s="112">
        <v>45962</v>
      </c>
      <c r="B2581" s="14">
        <v>50</v>
      </c>
      <c r="C2581" s="14" t="s">
        <v>12</v>
      </c>
      <c r="D2581" s="14" t="s">
        <v>13</v>
      </c>
      <c r="E2581" s="14" t="s">
        <v>83</v>
      </c>
      <c r="F2581" s="14" t="s">
        <v>84</v>
      </c>
      <c r="G2581" s="14" t="s">
        <v>85</v>
      </c>
      <c r="H2581" s="14" t="s">
        <v>352</v>
      </c>
      <c r="I2581" s="14" t="s">
        <v>133</v>
      </c>
      <c r="J2581" s="60">
        <v>27014.34</v>
      </c>
      <c r="K2581" s="14" t="s">
        <v>637</v>
      </c>
    </row>
    <row r="2582" spans="1:11">
      <c r="A2582" s="112">
        <v>45962</v>
      </c>
      <c r="B2582" s="14">
        <v>50</v>
      </c>
      <c r="C2582" s="14" t="s">
        <v>14</v>
      </c>
      <c r="D2582" s="14" t="s">
        <v>15</v>
      </c>
      <c r="E2582" s="14" t="s">
        <v>83</v>
      </c>
      <c r="F2582" s="14" t="s">
        <v>84</v>
      </c>
      <c r="G2582" s="14" t="s">
        <v>85</v>
      </c>
      <c r="H2582" s="14" t="s">
        <v>352</v>
      </c>
      <c r="I2582" s="14" t="s">
        <v>133</v>
      </c>
      <c r="J2582" s="60">
        <v>27014.34</v>
      </c>
      <c r="K2582" s="14" t="s">
        <v>637</v>
      </c>
    </row>
    <row r="2583" spans="1:11">
      <c r="A2583" s="112">
        <v>45962</v>
      </c>
      <c r="B2583" s="14">
        <v>50</v>
      </c>
      <c r="C2583" s="14" t="s">
        <v>16</v>
      </c>
      <c r="D2583" s="14" t="s">
        <v>17</v>
      </c>
      <c r="E2583" s="14" t="s">
        <v>83</v>
      </c>
      <c r="F2583" s="14" t="s">
        <v>84</v>
      </c>
      <c r="G2583" s="14" t="s">
        <v>85</v>
      </c>
      <c r="H2583" s="14" t="s">
        <v>352</v>
      </c>
      <c r="I2583" s="14" t="s">
        <v>133</v>
      </c>
      <c r="J2583" s="60">
        <v>27014.34</v>
      </c>
      <c r="K2583" s="14" t="s">
        <v>637</v>
      </c>
    </row>
    <row r="2584" spans="1:11">
      <c r="A2584" s="112">
        <v>45962</v>
      </c>
      <c r="B2584" s="14">
        <v>50</v>
      </c>
      <c r="C2584" s="14" t="s">
        <v>18</v>
      </c>
      <c r="D2584" s="14" t="s">
        <v>19</v>
      </c>
      <c r="E2584" s="14" t="s">
        <v>83</v>
      </c>
      <c r="F2584" s="14" t="s">
        <v>84</v>
      </c>
      <c r="G2584" s="14" t="s">
        <v>85</v>
      </c>
      <c r="H2584" s="14" t="s">
        <v>352</v>
      </c>
      <c r="I2584" s="14" t="s">
        <v>133</v>
      </c>
      <c r="J2584" s="60">
        <v>27014.34</v>
      </c>
      <c r="K2584" s="14" t="s">
        <v>637</v>
      </c>
    </row>
    <row r="2585" spans="1:11">
      <c r="A2585" s="112">
        <v>45962</v>
      </c>
      <c r="B2585" s="14">
        <v>50</v>
      </c>
      <c r="C2585" s="14" t="s">
        <v>20</v>
      </c>
      <c r="D2585" s="14" t="s">
        <v>21</v>
      </c>
      <c r="E2585" s="14" t="s">
        <v>83</v>
      </c>
      <c r="F2585" s="14" t="s">
        <v>84</v>
      </c>
      <c r="G2585" s="14" t="s">
        <v>85</v>
      </c>
      <c r="H2585" s="14" t="s">
        <v>352</v>
      </c>
      <c r="I2585" s="14" t="s">
        <v>133</v>
      </c>
      <c r="J2585" s="60">
        <v>27014.34</v>
      </c>
      <c r="K2585" s="14" t="s">
        <v>637</v>
      </c>
    </row>
    <row r="2586" spans="1:11">
      <c r="A2586" s="112">
        <v>45992</v>
      </c>
      <c r="B2586" s="14">
        <v>51</v>
      </c>
      <c r="C2586" s="14" t="s">
        <v>12</v>
      </c>
      <c r="D2586" s="14" t="s">
        <v>13</v>
      </c>
      <c r="E2586" s="14" t="s">
        <v>83</v>
      </c>
      <c r="F2586" s="14" t="s">
        <v>84</v>
      </c>
      <c r="G2586" s="14" t="s">
        <v>85</v>
      </c>
      <c r="H2586" s="14" t="s">
        <v>352</v>
      </c>
      <c r="I2586" s="14" t="s">
        <v>133</v>
      </c>
      <c r="J2586" s="60">
        <v>29557.32</v>
      </c>
      <c r="K2586" s="14" t="s">
        <v>637</v>
      </c>
    </row>
    <row r="2587" spans="1:11">
      <c r="A2587" s="112">
        <v>45992</v>
      </c>
      <c r="B2587" s="14">
        <v>51</v>
      </c>
      <c r="C2587" s="14" t="s">
        <v>14</v>
      </c>
      <c r="D2587" s="14" t="s">
        <v>15</v>
      </c>
      <c r="E2587" s="14" t="s">
        <v>83</v>
      </c>
      <c r="F2587" s="14" t="s">
        <v>84</v>
      </c>
      <c r="G2587" s="14" t="s">
        <v>85</v>
      </c>
      <c r="H2587" s="14" t="s">
        <v>352</v>
      </c>
      <c r="I2587" s="14" t="s">
        <v>133</v>
      </c>
      <c r="J2587" s="60">
        <v>29557.34</v>
      </c>
      <c r="K2587" s="14" t="s">
        <v>637</v>
      </c>
    </row>
    <row r="2588" spans="1:11">
      <c r="A2588" s="112">
        <v>45992</v>
      </c>
      <c r="B2588" s="14">
        <v>51</v>
      </c>
      <c r="C2588" s="14" t="s">
        <v>16</v>
      </c>
      <c r="D2588" s="14" t="s">
        <v>17</v>
      </c>
      <c r="E2588" s="14" t="s">
        <v>83</v>
      </c>
      <c r="F2588" s="14" t="s">
        <v>84</v>
      </c>
      <c r="G2588" s="14" t="s">
        <v>85</v>
      </c>
      <c r="H2588" s="14" t="s">
        <v>352</v>
      </c>
      <c r="I2588" s="14" t="s">
        <v>133</v>
      </c>
      <c r="J2588" s="60">
        <v>29557.34</v>
      </c>
      <c r="K2588" s="14" t="s">
        <v>637</v>
      </c>
    </row>
    <row r="2589" spans="1:11">
      <c r="A2589" s="112">
        <v>45992</v>
      </c>
      <c r="B2589" s="14">
        <v>51</v>
      </c>
      <c r="C2589" s="14" t="s">
        <v>18</v>
      </c>
      <c r="D2589" s="14" t="s">
        <v>19</v>
      </c>
      <c r="E2589" s="14" t="s">
        <v>83</v>
      </c>
      <c r="F2589" s="14" t="s">
        <v>84</v>
      </c>
      <c r="G2589" s="14" t="s">
        <v>85</v>
      </c>
      <c r="H2589" s="14" t="s">
        <v>352</v>
      </c>
      <c r="I2589" s="14" t="s">
        <v>133</v>
      </c>
      <c r="J2589" s="60">
        <v>29557.34</v>
      </c>
      <c r="K2589" s="14" t="s">
        <v>637</v>
      </c>
    </row>
    <row r="2590" spans="1:11">
      <c r="A2590" s="112">
        <v>45992</v>
      </c>
      <c r="B2590" s="14">
        <v>51</v>
      </c>
      <c r="C2590" s="14" t="s">
        <v>20</v>
      </c>
      <c r="D2590" s="14" t="s">
        <v>21</v>
      </c>
      <c r="E2590" s="14" t="s">
        <v>83</v>
      </c>
      <c r="F2590" s="14" t="s">
        <v>84</v>
      </c>
      <c r="G2590" s="14" t="s">
        <v>85</v>
      </c>
      <c r="H2590" s="14" t="s">
        <v>352</v>
      </c>
      <c r="I2590" s="14" t="s">
        <v>133</v>
      </c>
      <c r="J2590" s="60">
        <v>29557.34</v>
      </c>
      <c r="K2590" s="14" t="s">
        <v>637</v>
      </c>
    </row>
    <row r="2591" spans="1:11">
      <c r="A2591" s="112">
        <v>46023</v>
      </c>
      <c r="B2591" s="14">
        <v>52</v>
      </c>
      <c r="C2591" s="14" t="s">
        <v>12</v>
      </c>
      <c r="D2591" s="14" t="s">
        <v>13</v>
      </c>
      <c r="E2591" s="14" t="s">
        <v>83</v>
      </c>
      <c r="F2591" s="14" t="s">
        <v>84</v>
      </c>
      <c r="G2591" s="14" t="s">
        <v>85</v>
      </c>
      <c r="H2591" s="14" t="s">
        <v>352</v>
      </c>
      <c r="I2591" s="14" t="s">
        <v>133</v>
      </c>
      <c r="J2591" s="60">
        <v>21941.48</v>
      </c>
      <c r="K2591" s="14" t="s">
        <v>637</v>
      </c>
    </row>
    <row r="2592" spans="1:11">
      <c r="A2592" s="112">
        <v>46023</v>
      </c>
      <c r="B2592" s="14">
        <v>52</v>
      </c>
      <c r="C2592" s="14" t="s">
        <v>14</v>
      </c>
      <c r="D2592" s="14" t="s">
        <v>15</v>
      </c>
      <c r="E2592" s="14" t="s">
        <v>83</v>
      </c>
      <c r="F2592" s="14" t="s">
        <v>84</v>
      </c>
      <c r="G2592" s="14" t="s">
        <v>85</v>
      </c>
      <c r="H2592" s="14" t="s">
        <v>352</v>
      </c>
      <c r="I2592" s="14" t="s">
        <v>133</v>
      </c>
      <c r="J2592" s="60">
        <v>21941.49</v>
      </c>
      <c r="K2592" s="14" t="s">
        <v>637</v>
      </c>
    </row>
    <row r="2593" spans="1:11">
      <c r="A2593" s="112">
        <v>46023</v>
      </c>
      <c r="B2593" s="14">
        <v>52</v>
      </c>
      <c r="C2593" s="14" t="s">
        <v>16</v>
      </c>
      <c r="D2593" s="14" t="s">
        <v>17</v>
      </c>
      <c r="E2593" s="14" t="s">
        <v>83</v>
      </c>
      <c r="F2593" s="14" t="s">
        <v>84</v>
      </c>
      <c r="G2593" s="14" t="s">
        <v>85</v>
      </c>
      <c r="H2593" s="14" t="s">
        <v>352</v>
      </c>
      <c r="I2593" s="14" t="s">
        <v>133</v>
      </c>
      <c r="J2593" s="60">
        <v>21941.49</v>
      </c>
      <c r="K2593" s="14" t="s">
        <v>637</v>
      </c>
    </row>
    <row r="2594" spans="1:11">
      <c r="A2594" s="112">
        <v>46023</v>
      </c>
      <c r="B2594" s="14">
        <v>52</v>
      </c>
      <c r="C2594" s="14" t="s">
        <v>18</v>
      </c>
      <c r="D2594" s="14" t="s">
        <v>19</v>
      </c>
      <c r="E2594" s="14" t="s">
        <v>83</v>
      </c>
      <c r="F2594" s="14" t="s">
        <v>84</v>
      </c>
      <c r="G2594" s="14" t="s">
        <v>85</v>
      </c>
      <c r="H2594" s="14" t="s">
        <v>352</v>
      </c>
      <c r="I2594" s="14" t="s">
        <v>133</v>
      </c>
      <c r="J2594" s="60">
        <v>21941.49</v>
      </c>
      <c r="K2594" s="14" t="s">
        <v>637</v>
      </c>
    </row>
    <row r="2595" spans="1:11">
      <c r="A2595" s="112">
        <v>46023</v>
      </c>
      <c r="B2595" s="14">
        <v>52</v>
      </c>
      <c r="C2595" s="14" t="s">
        <v>20</v>
      </c>
      <c r="D2595" s="14" t="s">
        <v>21</v>
      </c>
      <c r="E2595" s="14" t="s">
        <v>83</v>
      </c>
      <c r="F2595" s="14" t="s">
        <v>84</v>
      </c>
      <c r="G2595" s="14" t="s">
        <v>85</v>
      </c>
      <c r="H2595" s="14" t="s">
        <v>352</v>
      </c>
      <c r="I2595" s="14" t="s">
        <v>133</v>
      </c>
      <c r="J2595" s="60">
        <v>21941.49</v>
      </c>
      <c r="K2595" s="14" t="s">
        <v>637</v>
      </c>
    </row>
    <row r="2596" spans="1:11">
      <c r="A2596" s="112">
        <v>46054</v>
      </c>
      <c r="B2596" s="14">
        <v>53</v>
      </c>
      <c r="C2596" s="14" t="s">
        <v>12</v>
      </c>
      <c r="D2596" s="14" t="s">
        <v>13</v>
      </c>
      <c r="E2596" s="14" t="s">
        <v>83</v>
      </c>
      <c r="F2596" s="14" t="s">
        <v>84</v>
      </c>
      <c r="G2596" s="14" t="s">
        <v>85</v>
      </c>
      <c r="H2596" s="14" t="s">
        <v>352</v>
      </c>
      <c r="I2596" s="14" t="s">
        <v>133</v>
      </c>
      <c r="J2596" s="60">
        <v>30080.41</v>
      </c>
      <c r="K2596" s="14" t="s">
        <v>637</v>
      </c>
    </row>
    <row r="2597" spans="1:11">
      <c r="A2597" s="112">
        <v>46054</v>
      </c>
      <c r="B2597" s="14">
        <v>53</v>
      </c>
      <c r="C2597" s="14" t="s">
        <v>14</v>
      </c>
      <c r="D2597" s="14" t="s">
        <v>15</v>
      </c>
      <c r="E2597" s="14" t="s">
        <v>83</v>
      </c>
      <c r="F2597" s="14" t="s">
        <v>84</v>
      </c>
      <c r="G2597" s="14" t="s">
        <v>85</v>
      </c>
      <c r="H2597" s="14" t="s">
        <v>352</v>
      </c>
      <c r="I2597" s="14" t="s">
        <v>133</v>
      </c>
      <c r="J2597" s="60">
        <v>30080.400000000001</v>
      </c>
      <c r="K2597" s="14" t="s">
        <v>637</v>
      </c>
    </row>
    <row r="2598" spans="1:11">
      <c r="A2598" s="112">
        <v>46054</v>
      </c>
      <c r="B2598" s="14">
        <v>53</v>
      </c>
      <c r="C2598" s="14" t="s">
        <v>16</v>
      </c>
      <c r="D2598" s="14" t="s">
        <v>17</v>
      </c>
      <c r="E2598" s="14" t="s">
        <v>83</v>
      </c>
      <c r="F2598" s="14" t="s">
        <v>84</v>
      </c>
      <c r="G2598" s="14" t="s">
        <v>85</v>
      </c>
      <c r="H2598" s="14" t="s">
        <v>352</v>
      </c>
      <c r="I2598" s="14" t="s">
        <v>133</v>
      </c>
      <c r="J2598" s="60">
        <v>30080.400000000001</v>
      </c>
      <c r="K2598" s="14" t="s">
        <v>637</v>
      </c>
    </row>
    <row r="2599" spans="1:11">
      <c r="A2599" s="112">
        <v>46054</v>
      </c>
      <c r="B2599" s="14">
        <v>53</v>
      </c>
      <c r="C2599" s="14" t="s">
        <v>18</v>
      </c>
      <c r="D2599" s="14" t="s">
        <v>19</v>
      </c>
      <c r="E2599" s="14" t="s">
        <v>83</v>
      </c>
      <c r="F2599" s="14" t="s">
        <v>84</v>
      </c>
      <c r="G2599" s="14" t="s">
        <v>85</v>
      </c>
      <c r="H2599" s="14" t="s">
        <v>352</v>
      </c>
      <c r="I2599" s="14" t="s">
        <v>133</v>
      </c>
      <c r="J2599" s="60">
        <v>30080.400000000001</v>
      </c>
      <c r="K2599" s="14" t="s">
        <v>637</v>
      </c>
    </row>
    <row r="2600" spans="1:11">
      <c r="A2600" s="112">
        <v>46054</v>
      </c>
      <c r="B2600" s="14">
        <v>53</v>
      </c>
      <c r="C2600" s="14" t="s">
        <v>20</v>
      </c>
      <c r="D2600" s="14" t="s">
        <v>21</v>
      </c>
      <c r="E2600" s="14" t="s">
        <v>83</v>
      </c>
      <c r="F2600" s="14" t="s">
        <v>84</v>
      </c>
      <c r="G2600" s="14" t="s">
        <v>85</v>
      </c>
      <c r="H2600" s="14" t="s">
        <v>352</v>
      </c>
      <c r="I2600" s="14" t="s">
        <v>133</v>
      </c>
      <c r="J2600" s="60">
        <v>30080.400000000001</v>
      </c>
      <c r="K2600" s="14" t="s">
        <v>637</v>
      </c>
    </row>
    <row r="2601" spans="1:11">
      <c r="A2601" s="112">
        <v>46082</v>
      </c>
      <c r="B2601" s="14">
        <v>54</v>
      </c>
      <c r="C2601" s="14" t="s">
        <v>12</v>
      </c>
      <c r="D2601" s="14" t="s">
        <v>13</v>
      </c>
      <c r="E2601" s="14" t="s">
        <v>83</v>
      </c>
      <c r="F2601" s="14" t="s">
        <v>84</v>
      </c>
      <c r="G2601" s="14" t="s">
        <v>85</v>
      </c>
      <c r="H2601" s="14" t="s">
        <v>352</v>
      </c>
      <c r="I2601" s="14" t="s">
        <v>133</v>
      </c>
      <c r="J2601" s="60">
        <v>22172.86</v>
      </c>
      <c r="K2601" s="14" t="s">
        <v>637</v>
      </c>
    </row>
    <row r="2602" spans="1:11">
      <c r="A2602" s="112">
        <v>46082</v>
      </c>
      <c r="B2602" s="14">
        <v>54</v>
      </c>
      <c r="C2602" s="14" t="s">
        <v>14</v>
      </c>
      <c r="D2602" s="14" t="s">
        <v>15</v>
      </c>
      <c r="E2602" s="14" t="s">
        <v>83</v>
      </c>
      <c r="F2602" s="14" t="s">
        <v>84</v>
      </c>
      <c r="G2602" s="14" t="s">
        <v>85</v>
      </c>
      <c r="H2602" s="14" t="s">
        <v>352</v>
      </c>
      <c r="I2602" s="14" t="s">
        <v>133</v>
      </c>
      <c r="J2602" s="60">
        <v>22172.86</v>
      </c>
      <c r="K2602" s="14" t="s">
        <v>637</v>
      </c>
    </row>
    <row r="2603" spans="1:11">
      <c r="A2603" s="112">
        <v>46082</v>
      </c>
      <c r="B2603" s="14">
        <v>54</v>
      </c>
      <c r="C2603" s="14" t="s">
        <v>16</v>
      </c>
      <c r="D2603" s="14" t="s">
        <v>17</v>
      </c>
      <c r="E2603" s="14" t="s">
        <v>83</v>
      </c>
      <c r="F2603" s="14" t="s">
        <v>84</v>
      </c>
      <c r="G2603" s="14" t="s">
        <v>85</v>
      </c>
      <c r="H2603" s="14" t="s">
        <v>352</v>
      </c>
      <c r="I2603" s="14" t="s">
        <v>133</v>
      </c>
      <c r="J2603" s="60">
        <v>22172.86</v>
      </c>
      <c r="K2603" s="14" t="s">
        <v>637</v>
      </c>
    </row>
    <row r="2604" spans="1:11">
      <c r="A2604" s="112">
        <v>46082</v>
      </c>
      <c r="B2604" s="14">
        <v>54</v>
      </c>
      <c r="C2604" s="14" t="s">
        <v>18</v>
      </c>
      <c r="D2604" s="14" t="s">
        <v>19</v>
      </c>
      <c r="E2604" s="14" t="s">
        <v>83</v>
      </c>
      <c r="F2604" s="14" t="s">
        <v>84</v>
      </c>
      <c r="G2604" s="14" t="s">
        <v>85</v>
      </c>
      <c r="H2604" s="14" t="s">
        <v>352</v>
      </c>
      <c r="I2604" s="14" t="s">
        <v>133</v>
      </c>
      <c r="J2604" s="60">
        <v>22172.86</v>
      </c>
      <c r="K2604" s="14" t="s">
        <v>637</v>
      </c>
    </row>
    <row r="2605" spans="1:11">
      <c r="A2605" s="112">
        <v>46082</v>
      </c>
      <c r="B2605" s="14">
        <v>54</v>
      </c>
      <c r="C2605" s="14" t="s">
        <v>20</v>
      </c>
      <c r="D2605" s="14" t="s">
        <v>21</v>
      </c>
      <c r="E2605" s="14" t="s">
        <v>83</v>
      </c>
      <c r="F2605" s="14" t="s">
        <v>84</v>
      </c>
      <c r="G2605" s="14" t="s">
        <v>85</v>
      </c>
      <c r="H2605" s="14" t="s">
        <v>352</v>
      </c>
      <c r="I2605" s="14" t="s">
        <v>133</v>
      </c>
      <c r="J2605" s="60">
        <v>22172.86</v>
      </c>
      <c r="K2605" s="14" t="s">
        <v>637</v>
      </c>
    </row>
    <row r="2606" spans="1:11">
      <c r="A2606" s="112">
        <v>46113</v>
      </c>
      <c r="B2606" s="14">
        <v>55</v>
      </c>
      <c r="C2606" s="14" t="s">
        <v>12</v>
      </c>
      <c r="D2606" s="14" t="s">
        <v>13</v>
      </c>
      <c r="E2606" s="14" t="s">
        <v>83</v>
      </c>
      <c r="F2606" s="14" t="s">
        <v>84</v>
      </c>
      <c r="G2606" s="14" t="s">
        <v>85</v>
      </c>
      <c r="H2606" s="14" t="s">
        <v>352</v>
      </c>
      <c r="I2606" s="14" t="s">
        <v>133</v>
      </c>
      <c r="J2606" s="60">
        <v>22681.81</v>
      </c>
      <c r="K2606" s="14" t="s">
        <v>637</v>
      </c>
    </row>
    <row r="2607" spans="1:11">
      <c r="A2607" s="112">
        <v>46113</v>
      </c>
      <c r="B2607" s="14">
        <v>55</v>
      </c>
      <c r="C2607" s="14" t="s">
        <v>14</v>
      </c>
      <c r="D2607" s="14" t="s">
        <v>15</v>
      </c>
      <c r="E2607" s="14" t="s">
        <v>83</v>
      </c>
      <c r="F2607" s="14" t="s">
        <v>84</v>
      </c>
      <c r="G2607" s="14" t="s">
        <v>85</v>
      </c>
      <c r="H2607" s="14" t="s">
        <v>352</v>
      </c>
      <c r="I2607" s="14" t="s">
        <v>133</v>
      </c>
      <c r="J2607" s="60">
        <v>22681.83</v>
      </c>
      <c r="K2607" s="14" t="s">
        <v>637</v>
      </c>
    </row>
    <row r="2608" spans="1:11">
      <c r="A2608" s="112">
        <v>46113</v>
      </c>
      <c r="B2608" s="14">
        <v>55</v>
      </c>
      <c r="C2608" s="14" t="s">
        <v>16</v>
      </c>
      <c r="D2608" s="14" t="s">
        <v>17</v>
      </c>
      <c r="E2608" s="14" t="s">
        <v>83</v>
      </c>
      <c r="F2608" s="14" t="s">
        <v>84</v>
      </c>
      <c r="G2608" s="14" t="s">
        <v>85</v>
      </c>
      <c r="H2608" s="14" t="s">
        <v>352</v>
      </c>
      <c r="I2608" s="14" t="s">
        <v>133</v>
      </c>
      <c r="J2608" s="60">
        <v>22681.83</v>
      </c>
      <c r="K2608" s="14" t="s">
        <v>637</v>
      </c>
    </row>
    <row r="2609" spans="1:11">
      <c r="A2609" s="112">
        <v>46113</v>
      </c>
      <c r="B2609" s="14">
        <v>55</v>
      </c>
      <c r="C2609" s="14" t="s">
        <v>18</v>
      </c>
      <c r="D2609" s="14" t="s">
        <v>19</v>
      </c>
      <c r="E2609" s="14" t="s">
        <v>83</v>
      </c>
      <c r="F2609" s="14" t="s">
        <v>84</v>
      </c>
      <c r="G2609" s="14" t="s">
        <v>85</v>
      </c>
      <c r="H2609" s="14" t="s">
        <v>352</v>
      </c>
      <c r="I2609" s="14" t="s">
        <v>133</v>
      </c>
      <c r="J2609" s="60">
        <v>22681.83</v>
      </c>
      <c r="K2609" s="14" t="s">
        <v>637</v>
      </c>
    </row>
    <row r="2610" spans="1:11">
      <c r="A2610" s="112">
        <v>46113</v>
      </c>
      <c r="B2610" s="14">
        <v>55</v>
      </c>
      <c r="C2610" s="14" t="s">
        <v>20</v>
      </c>
      <c r="D2610" s="14" t="s">
        <v>21</v>
      </c>
      <c r="E2610" s="14" t="s">
        <v>83</v>
      </c>
      <c r="F2610" s="14" t="s">
        <v>84</v>
      </c>
      <c r="G2610" s="14" t="s">
        <v>85</v>
      </c>
      <c r="H2610" s="14" t="s">
        <v>352</v>
      </c>
      <c r="I2610" s="14" t="s">
        <v>133</v>
      </c>
      <c r="J2610" s="60">
        <v>22681.83</v>
      </c>
      <c r="K2610" s="14" t="s">
        <v>637</v>
      </c>
    </row>
    <row r="2611" spans="1:11">
      <c r="A2611" s="112">
        <v>46143</v>
      </c>
      <c r="B2611" s="14">
        <v>56</v>
      </c>
      <c r="C2611" s="14" t="s">
        <v>12</v>
      </c>
      <c r="D2611" s="14" t="s">
        <v>13</v>
      </c>
      <c r="E2611" s="14" t="s">
        <v>83</v>
      </c>
      <c r="F2611" s="14" t="s">
        <v>84</v>
      </c>
      <c r="G2611" s="14" t="s">
        <v>85</v>
      </c>
      <c r="H2611" s="14" t="s">
        <v>352</v>
      </c>
      <c r="I2611" s="14" t="s">
        <v>133</v>
      </c>
      <c r="J2611" s="60">
        <v>25910.5</v>
      </c>
      <c r="K2611" s="14" t="s">
        <v>637</v>
      </c>
    </row>
    <row r="2612" spans="1:11">
      <c r="A2612" s="112">
        <v>46143</v>
      </c>
      <c r="B2612" s="14">
        <v>56</v>
      </c>
      <c r="C2612" s="14" t="s">
        <v>14</v>
      </c>
      <c r="D2612" s="14" t="s">
        <v>15</v>
      </c>
      <c r="E2612" s="14" t="s">
        <v>83</v>
      </c>
      <c r="F2612" s="14" t="s">
        <v>84</v>
      </c>
      <c r="G2612" s="14" t="s">
        <v>85</v>
      </c>
      <c r="H2612" s="14" t="s">
        <v>352</v>
      </c>
      <c r="I2612" s="14" t="s">
        <v>133</v>
      </c>
      <c r="J2612" s="60">
        <v>25910.5</v>
      </c>
      <c r="K2612" s="14" t="s">
        <v>637</v>
      </c>
    </row>
    <row r="2613" spans="1:11">
      <c r="A2613" s="112">
        <v>46143</v>
      </c>
      <c r="B2613" s="14">
        <v>56</v>
      </c>
      <c r="C2613" s="14" t="s">
        <v>16</v>
      </c>
      <c r="D2613" s="14" t="s">
        <v>17</v>
      </c>
      <c r="E2613" s="14" t="s">
        <v>83</v>
      </c>
      <c r="F2613" s="14" t="s">
        <v>84</v>
      </c>
      <c r="G2613" s="14" t="s">
        <v>85</v>
      </c>
      <c r="H2613" s="14" t="s">
        <v>352</v>
      </c>
      <c r="I2613" s="14" t="s">
        <v>133</v>
      </c>
      <c r="J2613" s="60">
        <v>25910.5</v>
      </c>
      <c r="K2613" s="14" t="s">
        <v>637</v>
      </c>
    </row>
    <row r="2614" spans="1:11">
      <c r="A2614" s="112">
        <v>46143</v>
      </c>
      <c r="B2614" s="14">
        <v>56</v>
      </c>
      <c r="C2614" s="14" t="s">
        <v>18</v>
      </c>
      <c r="D2614" s="14" t="s">
        <v>19</v>
      </c>
      <c r="E2614" s="14" t="s">
        <v>83</v>
      </c>
      <c r="F2614" s="14" t="s">
        <v>84</v>
      </c>
      <c r="G2614" s="14" t="s">
        <v>85</v>
      </c>
      <c r="H2614" s="14" t="s">
        <v>352</v>
      </c>
      <c r="I2614" s="14" t="s">
        <v>133</v>
      </c>
      <c r="J2614" s="60">
        <v>25910.5</v>
      </c>
      <c r="K2614" s="14" t="s">
        <v>637</v>
      </c>
    </row>
    <row r="2615" spans="1:11">
      <c r="A2615" s="112">
        <v>46143</v>
      </c>
      <c r="B2615" s="14">
        <v>56</v>
      </c>
      <c r="C2615" s="14" t="s">
        <v>20</v>
      </c>
      <c r="D2615" s="14" t="s">
        <v>21</v>
      </c>
      <c r="E2615" s="14" t="s">
        <v>83</v>
      </c>
      <c r="F2615" s="14" t="s">
        <v>84</v>
      </c>
      <c r="G2615" s="14" t="s">
        <v>85</v>
      </c>
      <c r="H2615" s="14" t="s">
        <v>352</v>
      </c>
      <c r="I2615" s="14" t="s">
        <v>133</v>
      </c>
      <c r="J2615" s="60">
        <v>25910.5</v>
      </c>
      <c r="K2615" s="14" t="s">
        <v>637</v>
      </c>
    </row>
    <row r="2616" spans="1:11">
      <c r="A2616" s="112">
        <v>46174</v>
      </c>
      <c r="B2616" s="14">
        <v>57</v>
      </c>
      <c r="C2616" s="14" t="s">
        <v>12</v>
      </c>
      <c r="D2616" s="14" t="s">
        <v>13</v>
      </c>
      <c r="E2616" s="14" t="s">
        <v>83</v>
      </c>
      <c r="F2616" s="14" t="s">
        <v>84</v>
      </c>
      <c r="G2616" s="14" t="s">
        <v>85</v>
      </c>
      <c r="H2616" s="14" t="s">
        <v>352</v>
      </c>
      <c r="I2616" s="14" t="s">
        <v>133</v>
      </c>
      <c r="J2616" s="60">
        <v>26256.799999999999</v>
      </c>
      <c r="K2616" s="14" t="s">
        <v>637</v>
      </c>
    </row>
    <row r="2617" spans="1:11">
      <c r="A2617" s="112">
        <v>46174</v>
      </c>
      <c r="B2617" s="14">
        <v>57</v>
      </c>
      <c r="C2617" s="14" t="s">
        <v>14</v>
      </c>
      <c r="D2617" s="14" t="s">
        <v>15</v>
      </c>
      <c r="E2617" s="14" t="s">
        <v>83</v>
      </c>
      <c r="F2617" s="14" t="s">
        <v>84</v>
      </c>
      <c r="G2617" s="14" t="s">
        <v>85</v>
      </c>
      <c r="H2617" s="14" t="s">
        <v>352</v>
      </c>
      <c r="I2617" s="14" t="s">
        <v>133</v>
      </c>
      <c r="J2617" s="60">
        <v>26256.79</v>
      </c>
      <c r="K2617" s="14" t="s">
        <v>637</v>
      </c>
    </row>
    <row r="2618" spans="1:11">
      <c r="A2618" s="112">
        <v>46174</v>
      </c>
      <c r="B2618" s="14">
        <v>57</v>
      </c>
      <c r="C2618" s="14" t="s">
        <v>16</v>
      </c>
      <c r="D2618" s="14" t="s">
        <v>17</v>
      </c>
      <c r="E2618" s="14" t="s">
        <v>83</v>
      </c>
      <c r="F2618" s="14" t="s">
        <v>84</v>
      </c>
      <c r="G2618" s="14" t="s">
        <v>85</v>
      </c>
      <c r="H2618" s="14" t="s">
        <v>352</v>
      </c>
      <c r="I2618" s="14" t="s">
        <v>133</v>
      </c>
      <c r="J2618" s="60">
        <v>26256.79</v>
      </c>
      <c r="K2618" s="14" t="s">
        <v>637</v>
      </c>
    </row>
    <row r="2619" spans="1:11">
      <c r="A2619" s="112">
        <v>46174</v>
      </c>
      <c r="B2619" s="14">
        <v>57</v>
      </c>
      <c r="C2619" s="14" t="s">
        <v>18</v>
      </c>
      <c r="D2619" s="14" t="s">
        <v>19</v>
      </c>
      <c r="E2619" s="14" t="s">
        <v>83</v>
      </c>
      <c r="F2619" s="14" t="s">
        <v>84</v>
      </c>
      <c r="G2619" s="14" t="s">
        <v>85</v>
      </c>
      <c r="H2619" s="14" t="s">
        <v>352</v>
      </c>
      <c r="I2619" s="14" t="s">
        <v>133</v>
      </c>
      <c r="J2619" s="60">
        <v>26256.79</v>
      </c>
      <c r="K2619" s="14" t="s">
        <v>637</v>
      </c>
    </row>
    <row r="2620" spans="1:11">
      <c r="A2620" s="112">
        <v>46174</v>
      </c>
      <c r="B2620" s="14">
        <v>57</v>
      </c>
      <c r="C2620" s="14" t="s">
        <v>20</v>
      </c>
      <c r="D2620" s="14" t="s">
        <v>21</v>
      </c>
      <c r="E2620" s="14" t="s">
        <v>83</v>
      </c>
      <c r="F2620" s="14" t="s">
        <v>84</v>
      </c>
      <c r="G2620" s="14" t="s">
        <v>85</v>
      </c>
      <c r="H2620" s="14" t="s">
        <v>352</v>
      </c>
      <c r="I2620" s="14" t="s">
        <v>133</v>
      </c>
      <c r="J2620" s="60">
        <v>26256.79</v>
      </c>
      <c r="K2620" s="14" t="s">
        <v>637</v>
      </c>
    </row>
    <row r="2621" spans="1:11">
      <c r="A2621" s="112">
        <v>45839</v>
      </c>
      <c r="B2621" s="14">
        <v>58</v>
      </c>
      <c r="C2621" s="14" t="s">
        <v>12</v>
      </c>
      <c r="D2621" s="14" t="s">
        <v>13</v>
      </c>
      <c r="E2621" s="14" t="s">
        <v>90</v>
      </c>
      <c r="F2621" s="14" t="s">
        <v>91</v>
      </c>
      <c r="G2621" s="14" t="s">
        <v>85</v>
      </c>
      <c r="H2621" s="14" t="s">
        <v>352</v>
      </c>
      <c r="I2621" s="14" t="s">
        <v>133</v>
      </c>
      <c r="J2621" s="60">
        <v>11912.85</v>
      </c>
      <c r="K2621" s="14" t="s">
        <v>637</v>
      </c>
    </row>
    <row r="2622" spans="1:11">
      <c r="A2622" s="112">
        <v>45839</v>
      </c>
      <c r="B2622" s="14">
        <v>58</v>
      </c>
      <c r="C2622" s="14" t="s">
        <v>14</v>
      </c>
      <c r="D2622" s="14" t="s">
        <v>15</v>
      </c>
      <c r="E2622" s="14" t="s">
        <v>90</v>
      </c>
      <c r="F2622" s="14" t="s">
        <v>91</v>
      </c>
      <c r="G2622" s="14" t="s">
        <v>85</v>
      </c>
      <c r="H2622" s="14" t="s">
        <v>352</v>
      </c>
      <c r="I2622" s="14" t="s">
        <v>133</v>
      </c>
      <c r="J2622" s="60">
        <v>11912.84</v>
      </c>
      <c r="K2622" s="14" t="s">
        <v>637</v>
      </c>
    </row>
    <row r="2623" spans="1:11">
      <c r="A2623" s="112">
        <v>45839</v>
      </c>
      <c r="B2623" s="14">
        <v>58</v>
      </c>
      <c r="C2623" s="14" t="s">
        <v>16</v>
      </c>
      <c r="D2623" s="14" t="s">
        <v>17</v>
      </c>
      <c r="E2623" s="14" t="s">
        <v>90</v>
      </c>
      <c r="F2623" s="14" t="s">
        <v>91</v>
      </c>
      <c r="G2623" s="14" t="s">
        <v>85</v>
      </c>
      <c r="H2623" s="14" t="s">
        <v>352</v>
      </c>
      <c r="I2623" s="14" t="s">
        <v>133</v>
      </c>
      <c r="J2623" s="60">
        <v>11912.84</v>
      </c>
      <c r="K2623" s="14" t="s">
        <v>637</v>
      </c>
    </row>
    <row r="2624" spans="1:11">
      <c r="A2624" s="112">
        <v>45839</v>
      </c>
      <c r="B2624" s="14">
        <v>58</v>
      </c>
      <c r="C2624" s="14" t="s">
        <v>18</v>
      </c>
      <c r="D2624" s="14" t="s">
        <v>19</v>
      </c>
      <c r="E2624" s="14" t="s">
        <v>90</v>
      </c>
      <c r="F2624" s="14" t="s">
        <v>91</v>
      </c>
      <c r="G2624" s="14" t="s">
        <v>85</v>
      </c>
      <c r="H2624" s="14" t="s">
        <v>352</v>
      </c>
      <c r="I2624" s="14" t="s">
        <v>133</v>
      </c>
      <c r="J2624" s="60">
        <v>11912.84</v>
      </c>
      <c r="K2624" s="14" t="s">
        <v>637</v>
      </c>
    </row>
    <row r="2625" spans="1:11">
      <c r="A2625" s="112">
        <v>45839</v>
      </c>
      <c r="B2625" s="14">
        <v>58</v>
      </c>
      <c r="C2625" s="14" t="s">
        <v>20</v>
      </c>
      <c r="D2625" s="14" t="s">
        <v>21</v>
      </c>
      <c r="E2625" s="14" t="s">
        <v>90</v>
      </c>
      <c r="F2625" s="14" t="s">
        <v>91</v>
      </c>
      <c r="G2625" s="14" t="s">
        <v>85</v>
      </c>
      <c r="H2625" s="14" t="s">
        <v>352</v>
      </c>
      <c r="I2625" s="14" t="s">
        <v>133</v>
      </c>
      <c r="J2625" s="60">
        <v>11912.84</v>
      </c>
      <c r="K2625" s="14" t="s">
        <v>637</v>
      </c>
    </row>
    <row r="2626" spans="1:11">
      <c r="A2626" s="112">
        <v>45870</v>
      </c>
      <c r="B2626" s="14">
        <v>59</v>
      </c>
      <c r="C2626" s="14" t="s">
        <v>12</v>
      </c>
      <c r="D2626" s="14" t="s">
        <v>13</v>
      </c>
      <c r="E2626" s="14" t="s">
        <v>90</v>
      </c>
      <c r="F2626" s="14" t="s">
        <v>91</v>
      </c>
      <c r="G2626" s="14" t="s">
        <v>85</v>
      </c>
      <c r="H2626" s="14" t="s">
        <v>352</v>
      </c>
      <c r="I2626" s="14" t="s">
        <v>133</v>
      </c>
      <c r="J2626" s="60">
        <v>11927.17</v>
      </c>
      <c r="K2626" s="14" t="s">
        <v>637</v>
      </c>
    </row>
    <row r="2627" spans="1:11">
      <c r="A2627" s="112">
        <v>45870</v>
      </c>
      <c r="B2627" s="14">
        <v>59</v>
      </c>
      <c r="C2627" s="14" t="s">
        <v>14</v>
      </c>
      <c r="D2627" s="14" t="s">
        <v>15</v>
      </c>
      <c r="E2627" s="14" t="s">
        <v>90</v>
      </c>
      <c r="F2627" s="14" t="s">
        <v>91</v>
      </c>
      <c r="G2627" s="14" t="s">
        <v>85</v>
      </c>
      <c r="H2627" s="14" t="s">
        <v>352</v>
      </c>
      <c r="I2627" s="14" t="s">
        <v>133</v>
      </c>
      <c r="J2627" s="60">
        <v>11927.16</v>
      </c>
      <c r="K2627" s="14" t="s">
        <v>637</v>
      </c>
    </row>
    <row r="2628" spans="1:11">
      <c r="A2628" s="112">
        <v>45870</v>
      </c>
      <c r="B2628" s="14">
        <v>59</v>
      </c>
      <c r="C2628" s="14" t="s">
        <v>16</v>
      </c>
      <c r="D2628" s="14" t="s">
        <v>17</v>
      </c>
      <c r="E2628" s="14" t="s">
        <v>90</v>
      </c>
      <c r="F2628" s="14" t="s">
        <v>91</v>
      </c>
      <c r="G2628" s="14" t="s">
        <v>85</v>
      </c>
      <c r="H2628" s="14" t="s">
        <v>352</v>
      </c>
      <c r="I2628" s="14" t="s">
        <v>133</v>
      </c>
      <c r="J2628" s="60">
        <v>11927.16</v>
      </c>
      <c r="K2628" s="14" t="s">
        <v>637</v>
      </c>
    </row>
    <row r="2629" spans="1:11">
      <c r="A2629" s="112">
        <v>45870</v>
      </c>
      <c r="B2629" s="14">
        <v>59</v>
      </c>
      <c r="C2629" s="14" t="s">
        <v>18</v>
      </c>
      <c r="D2629" s="14" t="s">
        <v>19</v>
      </c>
      <c r="E2629" s="14" t="s">
        <v>90</v>
      </c>
      <c r="F2629" s="14" t="s">
        <v>91</v>
      </c>
      <c r="G2629" s="14" t="s">
        <v>85</v>
      </c>
      <c r="H2629" s="14" t="s">
        <v>352</v>
      </c>
      <c r="I2629" s="14" t="s">
        <v>133</v>
      </c>
      <c r="J2629" s="60">
        <v>11927.16</v>
      </c>
      <c r="K2629" s="14" t="s">
        <v>637</v>
      </c>
    </row>
    <row r="2630" spans="1:11">
      <c r="A2630" s="112">
        <v>45870</v>
      </c>
      <c r="B2630" s="14">
        <v>59</v>
      </c>
      <c r="C2630" s="14" t="s">
        <v>20</v>
      </c>
      <c r="D2630" s="14" t="s">
        <v>21</v>
      </c>
      <c r="E2630" s="14" t="s">
        <v>90</v>
      </c>
      <c r="F2630" s="14" t="s">
        <v>91</v>
      </c>
      <c r="G2630" s="14" t="s">
        <v>85</v>
      </c>
      <c r="H2630" s="14" t="s">
        <v>352</v>
      </c>
      <c r="I2630" s="14" t="s">
        <v>133</v>
      </c>
      <c r="J2630" s="60">
        <v>11927.16</v>
      </c>
      <c r="K2630" s="14" t="s">
        <v>637</v>
      </c>
    </row>
    <row r="2631" spans="1:11">
      <c r="A2631" s="112">
        <v>45901</v>
      </c>
      <c r="B2631" s="14">
        <v>60</v>
      </c>
      <c r="C2631" s="14" t="s">
        <v>12</v>
      </c>
      <c r="D2631" s="14" t="s">
        <v>13</v>
      </c>
      <c r="E2631" s="14" t="s">
        <v>90</v>
      </c>
      <c r="F2631" s="14" t="s">
        <v>91</v>
      </c>
      <c r="G2631" s="14" t="s">
        <v>85</v>
      </c>
      <c r="H2631" s="14" t="s">
        <v>352</v>
      </c>
      <c r="I2631" s="14" t="s">
        <v>133</v>
      </c>
      <c r="J2631" s="60">
        <v>12242.16</v>
      </c>
      <c r="K2631" s="14" t="s">
        <v>637</v>
      </c>
    </row>
    <row r="2632" spans="1:11">
      <c r="A2632" s="112">
        <v>45901</v>
      </c>
      <c r="B2632" s="14">
        <v>60</v>
      </c>
      <c r="C2632" s="14" t="s">
        <v>14</v>
      </c>
      <c r="D2632" s="14" t="s">
        <v>15</v>
      </c>
      <c r="E2632" s="14" t="s">
        <v>90</v>
      </c>
      <c r="F2632" s="14" t="s">
        <v>91</v>
      </c>
      <c r="G2632" s="14" t="s">
        <v>85</v>
      </c>
      <c r="H2632" s="14" t="s">
        <v>352</v>
      </c>
      <c r="I2632" s="14" t="s">
        <v>133</v>
      </c>
      <c r="J2632" s="60">
        <v>12242.16</v>
      </c>
      <c r="K2632" s="14" t="s">
        <v>637</v>
      </c>
    </row>
    <row r="2633" spans="1:11">
      <c r="A2633" s="112">
        <v>45901</v>
      </c>
      <c r="B2633" s="14">
        <v>60</v>
      </c>
      <c r="C2633" s="14" t="s">
        <v>16</v>
      </c>
      <c r="D2633" s="14" t="s">
        <v>17</v>
      </c>
      <c r="E2633" s="14" t="s">
        <v>90</v>
      </c>
      <c r="F2633" s="14" t="s">
        <v>91</v>
      </c>
      <c r="G2633" s="14" t="s">
        <v>85</v>
      </c>
      <c r="H2633" s="14" t="s">
        <v>352</v>
      </c>
      <c r="I2633" s="14" t="s">
        <v>133</v>
      </c>
      <c r="J2633" s="60">
        <v>12242.16</v>
      </c>
      <c r="K2633" s="14" t="s">
        <v>637</v>
      </c>
    </row>
    <row r="2634" spans="1:11">
      <c r="A2634" s="112">
        <v>45901</v>
      </c>
      <c r="B2634" s="14">
        <v>60</v>
      </c>
      <c r="C2634" s="14" t="s">
        <v>18</v>
      </c>
      <c r="D2634" s="14" t="s">
        <v>19</v>
      </c>
      <c r="E2634" s="14" t="s">
        <v>90</v>
      </c>
      <c r="F2634" s="14" t="s">
        <v>91</v>
      </c>
      <c r="G2634" s="14" t="s">
        <v>85</v>
      </c>
      <c r="H2634" s="14" t="s">
        <v>352</v>
      </c>
      <c r="I2634" s="14" t="s">
        <v>133</v>
      </c>
      <c r="J2634" s="60">
        <v>12242.16</v>
      </c>
      <c r="K2634" s="14" t="s">
        <v>637</v>
      </c>
    </row>
    <row r="2635" spans="1:11">
      <c r="A2635" s="112">
        <v>45901</v>
      </c>
      <c r="B2635" s="14">
        <v>60</v>
      </c>
      <c r="C2635" s="14" t="s">
        <v>20</v>
      </c>
      <c r="D2635" s="14" t="s">
        <v>21</v>
      </c>
      <c r="E2635" s="14" t="s">
        <v>90</v>
      </c>
      <c r="F2635" s="14" t="s">
        <v>91</v>
      </c>
      <c r="G2635" s="14" t="s">
        <v>85</v>
      </c>
      <c r="H2635" s="14" t="s">
        <v>352</v>
      </c>
      <c r="I2635" s="14" t="s">
        <v>133</v>
      </c>
      <c r="J2635" s="60">
        <v>12242.16</v>
      </c>
      <c r="K2635" s="14" t="s">
        <v>637</v>
      </c>
    </row>
    <row r="2636" spans="1:11">
      <c r="A2636" s="112">
        <v>45931</v>
      </c>
      <c r="B2636" s="14">
        <v>61</v>
      </c>
      <c r="C2636" s="14" t="s">
        <v>12</v>
      </c>
      <c r="D2636" s="14" t="s">
        <v>13</v>
      </c>
      <c r="E2636" s="14" t="s">
        <v>90</v>
      </c>
      <c r="F2636" s="14" t="s">
        <v>91</v>
      </c>
      <c r="G2636" s="14" t="s">
        <v>85</v>
      </c>
      <c r="H2636" s="14" t="s">
        <v>352</v>
      </c>
      <c r="I2636" s="14" t="s">
        <v>133</v>
      </c>
      <c r="J2636" s="60">
        <v>9027.7900000000009</v>
      </c>
      <c r="K2636" s="14" t="s">
        <v>637</v>
      </c>
    </row>
    <row r="2637" spans="1:11">
      <c r="A2637" s="112">
        <v>45931</v>
      </c>
      <c r="B2637" s="14">
        <v>61</v>
      </c>
      <c r="C2637" s="14" t="s">
        <v>14</v>
      </c>
      <c r="D2637" s="14" t="s">
        <v>15</v>
      </c>
      <c r="E2637" s="14" t="s">
        <v>90</v>
      </c>
      <c r="F2637" s="14" t="s">
        <v>91</v>
      </c>
      <c r="G2637" s="14" t="s">
        <v>85</v>
      </c>
      <c r="H2637" s="14" t="s">
        <v>352</v>
      </c>
      <c r="I2637" s="14" t="s">
        <v>133</v>
      </c>
      <c r="J2637" s="60">
        <v>9027.7800000000007</v>
      </c>
      <c r="K2637" s="14" t="s">
        <v>637</v>
      </c>
    </row>
    <row r="2638" spans="1:11">
      <c r="A2638" s="112">
        <v>45931</v>
      </c>
      <c r="B2638" s="14">
        <v>61</v>
      </c>
      <c r="C2638" s="14" t="s">
        <v>16</v>
      </c>
      <c r="D2638" s="14" t="s">
        <v>17</v>
      </c>
      <c r="E2638" s="14" t="s">
        <v>90</v>
      </c>
      <c r="F2638" s="14" t="s">
        <v>91</v>
      </c>
      <c r="G2638" s="14" t="s">
        <v>85</v>
      </c>
      <c r="H2638" s="14" t="s">
        <v>352</v>
      </c>
      <c r="I2638" s="14" t="s">
        <v>133</v>
      </c>
      <c r="J2638" s="60">
        <v>9027.7800000000007</v>
      </c>
      <c r="K2638" s="14" t="s">
        <v>637</v>
      </c>
    </row>
    <row r="2639" spans="1:11">
      <c r="A2639" s="112">
        <v>45931</v>
      </c>
      <c r="B2639" s="14">
        <v>61</v>
      </c>
      <c r="C2639" s="14" t="s">
        <v>18</v>
      </c>
      <c r="D2639" s="14" t="s">
        <v>19</v>
      </c>
      <c r="E2639" s="14" t="s">
        <v>90</v>
      </c>
      <c r="F2639" s="14" t="s">
        <v>91</v>
      </c>
      <c r="G2639" s="14" t="s">
        <v>85</v>
      </c>
      <c r="H2639" s="14" t="s">
        <v>352</v>
      </c>
      <c r="I2639" s="14" t="s">
        <v>133</v>
      </c>
      <c r="J2639" s="60">
        <v>9027.7800000000007</v>
      </c>
      <c r="K2639" s="14" t="s">
        <v>637</v>
      </c>
    </row>
    <row r="2640" spans="1:11">
      <c r="A2640" s="112">
        <v>45931</v>
      </c>
      <c r="B2640" s="14">
        <v>61</v>
      </c>
      <c r="C2640" s="14" t="s">
        <v>20</v>
      </c>
      <c r="D2640" s="14" t="s">
        <v>21</v>
      </c>
      <c r="E2640" s="14" t="s">
        <v>90</v>
      </c>
      <c r="F2640" s="14" t="s">
        <v>91</v>
      </c>
      <c r="G2640" s="14" t="s">
        <v>85</v>
      </c>
      <c r="H2640" s="14" t="s">
        <v>352</v>
      </c>
      <c r="I2640" s="14" t="s">
        <v>133</v>
      </c>
      <c r="J2640" s="60">
        <v>9027.7800000000007</v>
      </c>
      <c r="K2640" s="14" t="s">
        <v>637</v>
      </c>
    </row>
    <row r="2641" spans="1:11">
      <c r="A2641" s="112">
        <v>45962</v>
      </c>
      <c r="B2641" s="14">
        <v>62</v>
      </c>
      <c r="C2641" s="14" t="s">
        <v>12</v>
      </c>
      <c r="D2641" s="14" t="s">
        <v>13</v>
      </c>
      <c r="E2641" s="14" t="s">
        <v>90</v>
      </c>
      <c r="F2641" s="14" t="s">
        <v>91</v>
      </c>
      <c r="G2641" s="14" t="s">
        <v>85</v>
      </c>
      <c r="H2641" s="14" t="s">
        <v>352</v>
      </c>
      <c r="I2641" s="14" t="s">
        <v>133</v>
      </c>
      <c r="J2641" s="60">
        <v>11577.59</v>
      </c>
      <c r="K2641" s="14" t="s">
        <v>637</v>
      </c>
    </row>
    <row r="2642" spans="1:11">
      <c r="A2642" s="112">
        <v>45962</v>
      </c>
      <c r="B2642" s="14">
        <v>62</v>
      </c>
      <c r="C2642" s="14" t="s">
        <v>14</v>
      </c>
      <c r="D2642" s="14" t="s">
        <v>15</v>
      </c>
      <c r="E2642" s="14" t="s">
        <v>90</v>
      </c>
      <c r="F2642" s="14" t="s">
        <v>91</v>
      </c>
      <c r="G2642" s="14" t="s">
        <v>85</v>
      </c>
      <c r="H2642" s="14" t="s">
        <v>352</v>
      </c>
      <c r="I2642" s="14" t="s">
        <v>133</v>
      </c>
      <c r="J2642" s="60">
        <v>11577.57</v>
      </c>
      <c r="K2642" s="14" t="s">
        <v>637</v>
      </c>
    </row>
    <row r="2643" spans="1:11">
      <c r="A2643" s="112">
        <v>45962</v>
      </c>
      <c r="B2643" s="14">
        <v>62</v>
      </c>
      <c r="C2643" s="14" t="s">
        <v>16</v>
      </c>
      <c r="D2643" s="14" t="s">
        <v>17</v>
      </c>
      <c r="E2643" s="14" t="s">
        <v>90</v>
      </c>
      <c r="F2643" s="14" t="s">
        <v>91</v>
      </c>
      <c r="G2643" s="14" t="s">
        <v>85</v>
      </c>
      <c r="H2643" s="14" t="s">
        <v>352</v>
      </c>
      <c r="I2643" s="14" t="s">
        <v>133</v>
      </c>
      <c r="J2643" s="60">
        <v>11577.57</v>
      </c>
      <c r="K2643" s="14" t="s">
        <v>637</v>
      </c>
    </row>
    <row r="2644" spans="1:11">
      <c r="A2644" s="112">
        <v>45962</v>
      </c>
      <c r="B2644" s="14">
        <v>62</v>
      </c>
      <c r="C2644" s="14" t="s">
        <v>18</v>
      </c>
      <c r="D2644" s="14" t="s">
        <v>19</v>
      </c>
      <c r="E2644" s="14" t="s">
        <v>90</v>
      </c>
      <c r="F2644" s="14" t="s">
        <v>91</v>
      </c>
      <c r="G2644" s="14" t="s">
        <v>85</v>
      </c>
      <c r="H2644" s="14" t="s">
        <v>352</v>
      </c>
      <c r="I2644" s="14" t="s">
        <v>133</v>
      </c>
      <c r="J2644" s="60">
        <v>11577.57</v>
      </c>
      <c r="K2644" s="14" t="s">
        <v>637</v>
      </c>
    </row>
    <row r="2645" spans="1:11">
      <c r="A2645" s="112">
        <v>45962</v>
      </c>
      <c r="B2645" s="14">
        <v>62</v>
      </c>
      <c r="C2645" s="14" t="s">
        <v>20</v>
      </c>
      <c r="D2645" s="14" t="s">
        <v>21</v>
      </c>
      <c r="E2645" s="14" t="s">
        <v>90</v>
      </c>
      <c r="F2645" s="14" t="s">
        <v>91</v>
      </c>
      <c r="G2645" s="14" t="s">
        <v>85</v>
      </c>
      <c r="H2645" s="14" t="s">
        <v>352</v>
      </c>
      <c r="I2645" s="14" t="s">
        <v>133</v>
      </c>
      <c r="J2645" s="60">
        <v>11577.57</v>
      </c>
      <c r="K2645" s="14" t="s">
        <v>637</v>
      </c>
    </row>
    <row r="2646" spans="1:11">
      <c r="A2646" s="112">
        <v>45992</v>
      </c>
      <c r="B2646" s="14">
        <v>63</v>
      </c>
      <c r="C2646" s="14" t="s">
        <v>12</v>
      </c>
      <c r="D2646" s="14" t="s">
        <v>13</v>
      </c>
      <c r="E2646" s="14" t="s">
        <v>90</v>
      </c>
      <c r="F2646" s="14" t="s">
        <v>91</v>
      </c>
      <c r="G2646" s="14" t="s">
        <v>85</v>
      </c>
      <c r="H2646" s="14" t="s">
        <v>352</v>
      </c>
      <c r="I2646" s="14" t="s">
        <v>133</v>
      </c>
      <c r="J2646" s="60">
        <v>12667.42</v>
      </c>
      <c r="K2646" s="14" t="s">
        <v>637</v>
      </c>
    </row>
    <row r="2647" spans="1:11">
      <c r="A2647" s="112">
        <v>45992</v>
      </c>
      <c r="B2647" s="14">
        <v>63</v>
      </c>
      <c r="C2647" s="14" t="s">
        <v>14</v>
      </c>
      <c r="D2647" s="14" t="s">
        <v>15</v>
      </c>
      <c r="E2647" s="14" t="s">
        <v>90</v>
      </c>
      <c r="F2647" s="14" t="s">
        <v>91</v>
      </c>
      <c r="G2647" s="14" t="s">
        <v>85</v>
      </c>
      <c r="H2647" s="14" t="s">
        <v>352</v>
      </c>
      <c r="I2647" s="14" t="s">
        <v>133</v>
      </c>
      <c r="J2647" s="60">
        <v>12667.43</v>
      </c>
      <c r="K2647" s="14" t="s">
        <v>637</v>
      </c>
    </row>
    <row r="2648" spans="1:11">
      <c r="A2648" s="112">
        <v>45992</v>
      </c>
      <c r="B2648" s="14">
        <v>63</v>
      </c>
      <c r="C2648" s="14" t="s">
        <v>16</v>
      </c>
      <c r="D2648" s="14" t="s">
        <v>17</v>
      </c>
      <c r="E2648" s="14" t="s">
        <v>90</v>
      </c>
      <c r="F2648" s="14" t="s">
        <v>91</v>
      </c>
      <c r="G2648" s="14" t="s">
        <v>85</v>
      </c>
      <c r="H2648" s="14" t="s">
        <v>352</v>
      </c>
      <c r="I2648" s="14" t="s">
        <v>133</v>
      </c>
      <c r="J2648" s="60">
        <v>12667.43</v>
      </c>
      <c r="K2648" s="14" t="s">
        <v>637</v>
      </c>
    </row>
    <row r="2649" spans="1:11">
      <c r="A2649" s="112">
        <v>45992</v>
      </c>
      <c r="B2649" s="14">
        <v>63</v>
      </c>
      <c r="C2649" s="14" t="s">
        <v>18</v>
      </c>
      <c r="D2649" s="14" t="s">
        <v>19</v>
      </c>
      <c r="E2649" s="14" t="s">
        <v>90</v>
      </c>
      <c r="F2649" s="14" t="s">
        <v>91</v>
      </c>
      <c r="G2649" s="14" t="s">
        <v>85</v>
      </c>
      <c r="H2649" s="14" t="s">
        <v>352</v>
      </c>
      <c r="I2649" s="14" t="s">
        <v>133</v>
      </c>
      <c r="J2649" s="60">
        <v>12667.43</v>
      </c>
      <c r="K2649" s="14" t="s">
        <v>637</v>
      </c>
    </row>
    <row r="2650" spans="1:11">
      <c r="A2650" s="112">
        <v>45992</v>
      </c>
      <c r="B2650" s="14">
        <v>63</v>
      </c>
      <c r="C2650" s="14" t="s">
        <v>20</v>
      </c>
      <c r="D2650" s="14" t="s">
        <v>21</v>
      </c>
      <c r="E2650" s="14" t="s">
        <v>90</v>
      </c>
      <c r="F2650" s="14" t="s">
        <v>91</v>
      </c>
      <c r="G2650" s="14" t="s">
        <v>85</v>
      </c>
      <c r="H2650" s="14" t="s">
        <v>352</v>
      </c>
      <c r="I2650" s="14" t="s">
        <v>133</v>
      </c>
      <c r="J2650" s="60">
        <v>12667.43</v>
      </c>
      <c r="K2650" s="14" t="s">
        <v>637</v>
      </c>
    </row>
    <row r="2651" spans="1:11">
      <c r="A2651" s="112">
        <v>46023</v>
      </c>
      <c r="B2651" s="14">
        <v>64</v>
      </c>
      <c r="C2651" s="14" t="s">
        <v>12</v>
      </c>
      <c r="D2651" s="14" t="s">
        <v>13</v>
      </c>
      <c r="E2651" s="14" t="s">
        <v>90</v>
      </c>
      <c r="F2651" s="14" t="s">
        <v>91</v>
      </c>
      <c r="G2651" s="14" t="s">
        <v>85</v>
      </c>
      <c r="H2651" s="14" t="s">
        <v>352</v>
      </c>
      <c r="I2651" s="14" t="s">
        <v>133</v>
      </c>
      <c r="J2651" s="60">
        <v>9403.48</v>
      </c>
      <c r="K2651" s="14" t="s">
        <v>637</v>
      </c>
    </row>
    <row r="2652" spans="1:11">
      <c r="A2652" s="112">
        <v>46023</v>
      </c>
      <c r="B2652" s="14">
        <v>64</v>
      </c>
      <c r="C2652" s="14" t="s">
        <v>14</v>
      </c>
      <c r="D2652" s="14" t="s">
        <v>15</v>
      </c>
      <c r="E2652" s="14" t="s">
        <v>90</v>
      </c>
      <c r="F2652" s="14" t="s">
        <v>91</v>
      </c>
      <c r="G2652" s="14" t="s">
        <v>85</v>
      </c>
      <c r="H2652" s="14" t="s">
        <v>352</v>
      </c>
      <c r="I2652" s="14" t="s">
        <v>133</v>
      </c>
      <c r="J2652" s="60">
        <v>9403.5</v>
      </c>
      <c r="K2652" s="14" t="s">
        <v>637</v>
      </c>
    </row>
    <row r="2653" spans="1:11">
      <c r="A2653" s="112">
        <v>46023</v>
      </c>
      <c r="B2653" s="14">
        <v>64</v>
      </c>
      <c r="C2653" s="14" t="s">
        <v>16</v>
      </c>
      <c r="D2653" s="14" t="s">
        <v>17</v>
      </c>
      <c r="E2653" s="14" t="s">
        <v>90</v>
      </c>
      <c r="F2653" s="14" t="s">
        <v>91</v>
      </c>
      <c r="G2653" s="14" t="s">
        <v>85</v>
      </c>
      <c r="H2653" s="14" t="s">
        <v>352</v>
      </c>
      <c r="I2653" s="14" t="s">
        <v>133</v>
      </c>
      <c r="J2653" s="60">
        <v>9403.5</v>
      </c>
      <c r="K2653" s="14" t="s">
        <v>637</v>
      </c>
    </row>
    <row r="2654" spans="1:11">
      <c r="A2654" s="112">
        <v>46023</v>
      </c>
      <c r="B2654" s="14">
        <v>64</v>
      </c>
      <c r="C2654" s="14" t="s">
        <v>18</v>
      </c>
      <c r="D2654" s="14" t="s">
        <v>19</v>
      </c>
      <c r="E2654" s="14" t="s">
        <v>90</v>
      </c>
      <c r="F2654" s="14" t="s">
        <v>91</v>
      </c>
      <c r="G2654" s="14" t="s">
        <v>85</v>
      </c>
      <c r="H2654" s="14" t="s">
        <v>352</v>
      </c>
      <c r="I2654" s="14" t="s">
        <v>133</v>
      </c>
      <c r="J2654" s="60">
        <v>9403.5</v>
      </c>
      <c r="K2654" s="14" t="s">
        <v>637</v>
      </c>
    </row>
    <row r="2655" spans="1:11">
      <c r="A2655" s="112">
        <v>46023</v>
      </c>
      <c r="B2655" s="14">
        <v>64</v>
      </c>
      <c r="C2655" s="14" t="s">
        <v>20</v>
      </c>
      <c r="D2655" s="14" t="s">
        <v>21</v>
      </c>
      <c r="E2655" s="14" t="s">
        <v>90</v>
      </c>
      <c r="F2655" s="14" t="s">
        <v>91</v>
      </c>
      <c r="G2655" s="14" t="s">
        <v>85</v>
      </c>
      <c r="H2655" s="14" t="s">
        <v>352</v>
      </c>
      <c r="I2655" s="14" t="s">
        <v>133</v>
      </c>
      <c r="J2655" s="60">
        <v>9403.5</v>
      </c>
      <c r="K2655" s="14" t="s">
        <v>637</v>
      </c>
    </row>
    <row r="2656" spans="1:11">
      <c r="A2656" s="112">
        <v>46054</v>
      </c>
      <c r="B2656" s="14">
        <v>65</v>
      </c>
      <c r="C2656" s="14" t="s">
        <v>12</v>
      </c>
      <c r="D2656" s="14" t="s">
        <v>13</v>
      </c>
      <c r="E2656" s="14" t="s">
        <v>90</v>
      </c>
      <c r="F2656" s="14" t="s">
        <v>91</v>
      </c>
      <c r="G2656" s="14" t="s">
        <v>85</v>
      </c>
      <c r="H2656" s="14" t="s">
        <v>352</v>
      </c>
      <c r="I2656" s="14" t="s">
        <v>133</v>
      </c>
      <c r="J2656" s="60">
        <v>12891.61</v>
      </c>
      <c r="K2656" s="14" t="s">
        <v>637</v>
      </c>
    </row>
    <row r="2657" spans="1:11">
      <c r="A2657" s="112">
        <v>46054</v>
      </c>
      <c r="B2657" s="14">
        <v>65</v>
      </c>
      <c r="C2657" s="14" t="s">
        <v>14</v>
      </c>
      <c r="D2657" s="14" t="s">
        <v>15</v>
      </c>
      <c r="E2657" s="14" t="s">
        <v>90</v>
      </c>
      <c r="F2657" s="14" t="s">
        <v>91</v>
      </c>
      <c r="G2657" s="14" t="s">
        <v>85</v>
      </c>
      <c r="H2657" s="14" t="s">
        <v>352</v>
      </c>
      <c r="I2657" s="14" t="s">
        <v>133</v>
      </c>
      <c r="J2657" s="60">
        <v>12891.6</v>
      </c>
      <c r="K2657" s="14" t="s">
        <v>637</v>
      </c>
    </row>
    <row r="2658" spans="1:11">
      <c r="A2658" s="112">
        <v>46054</v>
      </c>
      <c r="B2658" s="14">
        <v>65</v>
      </c>
      <c r="C2658" s="14" t="s">
        <v>16</v>
      </c>
      <c r="D2658" s="14" t="s">
        <v>17</v>
      </c>
      <c r="E2658" s="14" t="s">
        <v>90</v>
      </c>
      <c r="F2658" s="14" t="s">
        <v>91</v>
      </c>
      <c r="G2658" s="14" t="s">
        <v>85</v>
      </c>
      <c r="H2658" s="14" t="s">
        <v>352</v>
      </c>
      <c r="I2658" s="14" t="s">
        <v>133</v>
      </c>
      <c r="J2658" s="60">
        <v>12891.6</v>
      </c>
      <c r="K2658" s="14" t="s">
        <v>637</v>
      </c>
    </row>
    <row r="2659" spans="1:11">
      <c r="A2659" s="112">
        <v>46054</v>
      </c>
      <c r="B2659" s="14">
        <v>65</v>
      </c>
      <c r="C2659" s="14" t="s">
        <v>18</v>
      </c>
      <c r="D2659" s="14" t="s">
        <v>19</v>
      </c>
      <c r="E2659" s="14" t="s">
        <v>90</v>
      </c>
      <c r="F2659" s="14" t="s">
        <v>91</v>
      </c>
      <c r="G2659" s="14" t="s">
        <v>85</v>
      </c>
      <c r="H2659" s="14" t="s">
        <v>352</v>
      </c>
      <c r="I2659" s="14" t="s">
        <v>133</v>
      </c>
      <c r="J2659" s="60">
        <v>12891.6</v>
      </c>
      <c r="K2659" s="14" t="s">
        <v>637</v>
      </c>
    </row>
    <row r="2660" spans="1:11">
      <c r="A2660" s="112">
        <v>46054</v>
      </c>
      <c r="B2660" s="14">
        <v>65</v>
      </c>
      <c r="C2660" s="14" t="s">
        <v>20</v>
      </c>
      <c r="D2660" s="14" t="s">
        <v>21</v>
      </c>
      <c r="E2660" s="14" t="s">
        <v>90</v>
      </c>
      <c r="F2660" s="14" t="s">
        <v>91</v>
      </c>
      <c r="G2660" s="14" t="s">
        <v>85</v>
      </c>
      <c r="H2660" s="14" t="s">
        <v>352</v>
      </c>
      <c r="I2660" s="14" t="s">
        <v>133</v>
      </c>
      <c r="J2660" s="60">
        <v>12891.6</v>
      </c>
      <c r="K2660" s="14" t="s">
        <v>637</v>
      </c>
    </row>
    <row r="2661" spans="1:11">
      <c r="A2661" s="112">
        <v>46082</v>
      </c>
      <c r="B2661" s="14">
        <v>66</v>
      </c>
      <c r="C2661" s="14" t="s">
        <v>12</v>
      </c>
      <c r="D2661" s="14" t="s">
        <v>13</v>
      </c>
      <c r="E2661" s="14" t="s">
        <v>90</v>
      </c>
      <c r="F2661" s="14" t="s">
        <v>91</v>
      </c>
      <c r="G2661" s="14" t="s">
        <v>85</v>
      </c>
      <c r="H2661" s="14" t="s">
        <v>352</v>
      </c>
      <c r="I2661" s="14" t="s">
        <v>133</v>
      </c>
      <c r="J2661" s="60">
        <v>9502.67</v>
      </c>
      <c r="K2661" s="14" t="s">
        <v>637</v>
      </c>
    </row>
    <row r="2662" spans="1:11">
      <c r="A2662" s="112">
        <v>46082</v>
      </c>
      <c r="B2662" s="14">
        <v>66</v>
      </c>
      <c r="C2662" s="14" t="s">
        <v>14</v>
      </c>
      <c r="D2662" s="14" t="s">
        <v>15</v>
      </c>
      <c r="E2662" s="14" t="s">
        <v>90</v>
      </c>
      <c r="F2662" s="14" t="s">
        <v>91</v>
      </c>
      <c r="G2662" s="14" t="s">
        <v>85</v>
      </c>
      <c r="H2662" s="14" t="s">
        <v>352</v>
      </c>
      <c r="I2662" s="14" t="s">
        <v>133</v>
      </c>
      <c r="J2662" s="60">
        <v>9502.65</v>
      </c>
      <c r="K2662" s="14" t="s">
        <v>637</v>
      </c>
    </row>
    <row r="2663" spans="1:11">
      <c r="A2663" s="112">
        <v>46082</v>
      </c>
      <c r="B2663" s="14">
        <v>66</v>
      </c>
      <c r="C2663" s="14" t="s">
        <v>16</v>
      </c>
      <c r="D2663" s="14" t="s">
        <v>17</v>
      </c>
      <c r="E2663" s="14" t="s">
        <v>90</v>
      </c>
      <c r="F2663" s="14" t="s">
        <v>91</v>
      </c>
      <c r="G2663" s="14" t="s">
        <v>85</v>
      </c>
      <c r="H2663" s="14" t="s">
        <v>352</v>
      </c>
      <c r="I2663" s="14" t="s">
        <v>133</v>
      </c>
      <c r="J2663" s="60">
        <v>9502.65</v>
      </c>
      <c r="K2663" s="14" t="s">
        <v>637</v>
      </c>
    </row>
    <row r="2664" spans="1:11">
      <c r="A2664" s="112">
        <v>46082</v>
      </c>
      <c r="B2664" s="14">
        <v>66</v>
      </c>
      <c r="C2664" s="14" t="s">
        <v>18</v>
      </c>
      <c r="D2664" s="14" t="s">
        <v>19</v>
      </c>
      <c r="E2664" s="14" t="s">
        <v>90</v>
      </c>
      <c r="F2664" s="14" t="s">
        <v>91</v>
      </c>
      <c r="G2664" s="14" t="s">
        <v>85</v>
      </c>
      <c r="H2664" s="14" t="s">
        <v>352</v>
      </c>
      <c r="I2664" s="14" t="s">
        <v>133</v>
      </c>
      <c r="J2664" s="60">
        <v>9502.65</v>
      </c>
      <c r="K2664" s="14" t="s">
        <v>637</v>
      </c>
    </row>
    <row r="2665" spans="1:11">
      <c r="A2665" s="112">
        <v>46082</v>
      </c>
      <c r="B2665" s="14">
        <v>66</v>
      </c>
      <c r="C2665" s="14" t="s">
        <v>20</v>
      </c>
      <c r="D2665" s="14" t="s">
        <v>21</v>
      </c>
      <c r="E2665" s="14" t="s">
        <v>90</v>
      </c>
      <c r="F2665" s="14" t="s">
        <v>91</v>
      </c>
      <c r="G2665" s="14" t="s">
        <v>85</v>
      </c>
      <c r="H2665" s="14" t="s">
        <v>352</v>
      </c>
      <c r="I2665" s="14" t="s">
        <v>133</v>
      </c>
      <c r="J2665" s="60">
        <v>9502.65</v>
      </c>
      <c r="K2665" s="14" t="s">
        <v>637</v>
      </c>
    </row>
    <row r="2666" spans="1:11">
      <c r="A2666" s="112">
        <v>46113</v>
      </c>
      <c r="B2666" s="14">
        <v>67</v>
      </c>
      <c r="C2666" s="14" t="s">
        <v>12</v>
      </c>
      <c r="D2666" s="14" t="s">
        <v>13</v>
      </c>
      <c r="E2666" s="14" t="s">
        <v>90</v>
      </c>
      <c r="F2666" s="14" t="s">
        <v>91</v>
      </c>
      <c r="G2666" s="14" t="s">
        <v>85</v>
      </c>
      <c r="H2666" s="14" t="s">
        <v>352</v>
      </c>
      <c r="I2666" s="14" t="s">
        <v>133</v>
      </c>
      <c r="J2666" s="60">
        <v>9720.7900000000009</v>
      </c>
      <c r="K2666" s="14" t="s">
        <v>637</v>
      </c>
    </row>
    <row r="2667" spans="1:11">
      <c r="A2667" s="112">
        <v>46113</v>
      </c>
      <c r="B2667" s="14">
        <v>67</v>
      </c>
      <c r="C2667" s="14" t="s">
        <v>14</v>
      </c>
      <c r="D2667" s="14" t="s">
        <v>15</v>
      </c>
      <c r="E2667" s="14" t="s">
        <v>90</v>
      </c>
      <c r="F2667" s="14" t="s">
        <v>91</v>
      </c>
      <c r="G2667" s="14" t="s">
        <v>85</v>
      </c>
      <c r="H2667" s="14" t="s">
        <v>352</v>
      </c>
      <c r="I2667" s="14" t="s">
        <v>133</v>
      </c>
      <c r="J2667" s="60">
        <v>9720.7800000000007</v>
      </c>
      <c r="K2667" s="14" t="s">
        <v>637</v>
      </c>
    </row>
    <row r="2668" spans="1:11">
      <c r="A2668" s="112">
        <v>46113</v>
      </c>
      <c r="B2668" s="14">
        <v>67</v>
      </c>
      <c r="C2668" s="14" t="s">
        <v>16</v>
      </c>
      <c r="D2668" s="14" t="s">
        <v>17</v>
      </c>
      <c r="E2668" s="14" t="s">
        <v>90</v>
      </c>
      <c r="F2668" s="14" t="s">
        <v>91</v>
      </c>
      <c r="G2668" s="14" t="s">
        <v>85</v>
      </c>
      <c r="H2668" s="14" t="s">
        <v>352</v>
      </c>
      <c r="I2668" s="14" t="s">
        <v>133</v>
      </c>
      <c r="J2668" s="60">
        <v>9720.7800000000007</v>
      </c>
      <c r="K2668" s="14" t="s">
        <v>637</v>
      </c>
    </row>
    <row r="2669" spans="1:11">
      <c r="A2669" s="112">
        <v>46113</v>
      </c>
      <c r="B2669" s="14">
        <v>67</v>
      </c>
      <c r="C2669" s="14" t="s">
        <v>18</v>
      </c>
      <c r="D2669" s="14" t="s">
        <v>19</v>
      </c>
      <c r="E2669" s="14" t="s">
        <v>90</v>
      </c>
      <c r="F2669" s="14" t="s">
        <v>91</v>
      </c>
      <c r="G2669" s="14" t="s">
        <v>85</v>
      </c>
      <c r="H2669" s="14" t="s">
        <v>352</v>
      </c>
      <c r="I2669" s="14" t="s">
        <v>133</v>
      </c>
      <c r="J2669" s="60">
        <v>9720.7800000000007</v>
      </c>
      <c r="K2669" s="14" t="s">
        <v>637</v>
      </c>
    </row>
    <row r="2670" spans="1:11">
      <c r="A2670" s="112">
        <v>46113</v>
      </c>
      <c r="B2670" s="14">
        <v>67</v>
      </c>
      <c r="C2670" s="14" t="s">
        <v>20</v>
      </c>
      <c r="D2670" s="14" t="s">
        <v>21</v>
      </c>
      <c r="E2670" s="14" t="s">
        <v>90</v>
      </c>
      <c r="F2670" s="14" t="s">
        <v>91</v>
      </c>
      <c r="G2670" s="14" t="s">
        <v>85</v>
      </c>
      <c r="H2670" s="14" t="s">
        <v>352</v>
      </c>
      <c r="I2670" s="14" t="s">
        <v>133</v>
      </c>
      <c r="J2670" s="60">
        <v>9720.7800000000007</v>
      </c>
      <c r="K2670" s="14" t="s">
        <v>637</v>
      </c>
    </row>
    <row r="2671" spans="1:11">
      <c r="A2671" s="112">
        <v>46143</v>
      </c>
      <c r="B2671" s="14">
        <v>68</v>
      </c>
      <c r="C2671" s="14" t="s">
        <v>12</v>
      </c>
      <c r="D2671" s="14" t="s">
        <v>13</v>
      </c>
      <c r="E2671" s="14" t="s">
        <v>90</v>
      </c>
      <c r="F2671" s="14" t="s">
        <v>91</v>
      </c>
      <c r="G2671" s="14" t="s">
        <v>85</v>
      </c>
      <c r="H2671" s="14" t="s">
        <v>352</v>
      </c>
      <c r="I2671" s="14" t="s">
        <v>133</v>
      </c>
      <c r="J2671" s="60">
        <v>8854.5</v>
      </c>
      <c r="K2671" s="14" t="s">
        <v>637</v>
      </c>
    </row>
    <row r="2672" spans="1:11">
      <c r="A2672" s="112">
        <v>46143</v>
      </c>
      <c r="B2672" s="14">
        <v>68</v>
      </c>
      <c r="C2672" s="14" t="s">
        <v>14</v>
      </c>
      <c r="D2672" s="14" t="s">
        <v>15</v>
      </c>
      <c r="E2672" s="14" t="s">
        <v>90</v>
      </c>
      <c r="F2672" s="14" t="s">
        <v>91</v>
      </c>
      <c r="G2672" s="14" t="s">
        <v>85</v>
      </c>
      <c r="H2672" s="14" t="s">
        <v>352</v>
      </c>
      <c r="I2672" s="14" t="s">
        <v>133</v>
      </c>
      <c r="J2672" s="60">
        <v>8854.5</v>
      </c>
      <c r="K2672" s="14" t="s">
        <v>637</v>
      </c>
    </row>
    <row r="2673" spans="1:11">
      <c r="A2673" s="112">
        <v>46143</v>
      </c>
      <c r="B2673" s="14">
        <v>68</v>
      </c>
      <c r="C2673" s="14" t="s">
        <v>16</v>
      </c>
      <c r="D2673" s="14" t="s">
        <v>17</v>
      </c>
      <c r="E2673" s="14" t="s">
        <v>90</v>
      </c>
      <c r="F2673" s="14" t="s">
        <v>91</v>
      </c>
      <c r="G2673" s="14" t="s">
        <v>85</v>
      </c>
      <c r="H2673" s="14" t="s">
        <v>352</v>
      </c>
      <c r="I2673" s="14" t="s">
        <v>133</v>
      </c>
      <c r="J2673" s="60">
        <v>8854.5</v>
      </c>
      <c r="K2673" s="14" t="s">
        <v>637</v>
      </c>
    </row>
    <row r="2674" spans="1:11">
      <c r="A2674" s="112">
        <v>46143</v>
      </c>
      <c r="B2674" s="14">
        <v>68</v>
      </c>
      <c r="C2674" s="14" t="s">
        <v>18</v>
      </c>
      <c r="D2674" s="14" t="s">
        <v>19</v>
      </c>
      <c r="E2674" s="14" t="s">
        <v>90</v>
      </c>
      <c r="F2674" s="14" t="s">
        <v>91</v>
      </c>
      <c r="G2674" s="14" t="s">
        <v>85</v>
      </c>
      <c r="H2674" s="14" t="s">
        <v>352</v>
      </c>
      <c r="I2674" s="14" t="s">
        <v>133</v>
      </c>
      <c r="J2674" s="60">
        <v>8854.5</v>
      </c>
      <c r="K2674" s="14" t="s">
        <v>637</v>
      </c>
    </row>
    <row r="2675" spans="1:11">
      <c r="A2675" s="112">
        <v>46143</v>
      </c>
      <c r="B2675" s="14">
        <v>68</v>
      </c>
      <c r="C2675" s="14" t="s">
        <v>20</v>
      </c>
      <c r="D2675" s="14" t="s">
        <v>21</v>
      </c>
      <c r="E2675" s="14" t="s">
        <v>90</v>
      </c>
      <c r="F2675" s="14" t="s">
        <v>91</v>
      </c>
      <c r="G2675" s="14" t="s">
        <v>85</v>
      </c>
      <c r="H2675" s="14" t="s">
        <v>352</v>
      </c>
      <c r="I2675" s="14" t="s">
        <v>133</v>
      </c>
      <c r="J2675" s="60">
        <v>8854.5</v>
      </c>
      <c r="K2675" s="14" t="s">
        <v>637</v>
      </c>
    </row>
    <row r="2676" spans="1:11">
      <c r="A2676" s="112">
        <v>46174</v>
      </c>
      <c r="B2676" s="14">
        <v>69</v>
      </c>
      <c r="C2676" s="14" t="s">
        <v>12</v>
      </c>
      <c r="D2676" s="14" t="s">
        <v>13</v>
      </c>
      <c r="E2676" s="14" t="s">
        <v>90</v>
      </c>
      <c r="F2676" s="14" t="s">
        <v>91</v>
      </c>
      <c r="G2676" s="14" t="s">
        <v>85</v>
      </c>
      <c r="H2676" s="14" t="s">
        <v>352</v>
      </c>
      <c r="I2676" s="14" t="s">
        <v>133</v>
      </c>
      <c r="J2676" s="60">
        <v>11252.91</v>
      </c>
      <c r="K2676" s="14" t="s">
        <v>637</v>
      </c>
    </row>
    <row r="2677" spans="1:11">
      <c r="A2677" s="112">
        <v>46174</v>
      </c>
      <c r="B2677" s="14">
        <v>69</v>
      </c>
      <c r="C2677" s="14" t="s">
        <v>14</v>
      </c>
      <c r="D2677" s="14" t="s">
        <v>15</v>
      </c>
      <c r="E2677" s="14" t="s">
        <v>90</v>
      </c>
      <c r="F2677" s="14" t="s">
        <v>91</v>
      </c>
      <c r="G2677" s="14" t="s">
        <v>85</v>
      </c>
      <c r="H2677" s="14" t="s">
        <v>352</v>
      </c>
      <c r="I2677" s="14" t="s">
        <v>133</v>
      </c>
      <c r="J2677" s="60">
        <v>11252.91</v>
      </c>
      <c r="K2677" s="14" t="s">
        <v>637</v>
      </c>
    </row>
    <row r="2678" spans="1:11">
      <c r="A2678" s="112">
        <v>46174</v>
      </c>
      <c r="B2678" s="14">
        <v>69</v>
      </c>
      <c r="C2678" s="14" t="s">
        <v>16</v>
      </c>
      <c r="D2678" s="14" t="s">
        <v>17</v>
      </c>
      <c r="E2678" s="14" t="s">
        <v>90</v>
      </c>
      <c r="F2678" s="14" t="s">
        <v>91</v>
      </c>
      <c r="G2678" s="14" t="s">
        <v>85</v>
      </c>
      <c r="H2678" s="14" t="s">
        <v>352</v>
      </c>
      <c r="I2678" s="14" t="s">
        <v>133</v>
      </c>
      <c r="J2678" s="60">
        <v>11252.91</v>
      </c>
      <c r="K2678" s="14" t="s">
        <v>637</v>
      </c>
    </row>
    <row r="2679" spans="1:11">
      <c r="A2679" s="112">
        <v>46174</v>
      </c>
      <c r="B2679" s="14">
        <v>69</v>
      </c>
      <c r="C2679" s="14" t="s">
        <v>18</v>
      </c>
      <c r="D2679" s="14" t="s">
        <v>19</v>
      </c>
      <c r="E2679" s="14" t="s">
        <v>90</v>
      </c>
      <c r="F2679" s="14" t="s">
        <v>91</v>
      </c>
      <c r="G2679" s="14" t="s">
        <v>85</v>
      </c>
      <c r="H2679" s="14" t="s">
        <v>352</v>
      </c>
      <c r="I2679" s="14" t="s">
        <v>133</v>
      </c>
      <c r="J2679" s="60">
        <v>11252.91</v>
      </c>
      <c r="K2679" s="14" t="s">
        <v>637</v>
      </c>
    </row>
    <row r="2680" spans="1:11">
      <c r="A2680" s="112">
        <v>46174</v>
      </c>
      <c r="B2680" s="14">
        <v>69</v>
      </c>
      <c r="C2680" s="14" t="s">
        <v>20</v>
      </c>
      <c r="D2680" s="14" t="s">
        <v>21</v>
      </c>
      <c r="E2680" s="14" t="s">
        <v>90</v>
      </c>
      <c r="F2680" s="14" t="s">
        <v>91</v>
      </c>
      <c r="G2680" s="14" t="s">
        <v>85</v>
      </c>
      <c r="H2680" s="14" t="s">
        <v>352</v>
      </c>
      <c r="I2680" s="14" t="s">
        <v>133</v>
      </c>
      <c r="J2680" s="60">
        <v>11252.91</v>
      </c>
      <c r="K2680" s="14" t="s">
        <v>637</v>
      </c>
    </row>
    <row r="2681" spans="1:11">
      <c r="A2681" s="112">
        <v>46023</v>
      </c>
      <c r="B2681" s="14">
        <v>70</v>
      </c>
      <c r="C2681" s="14" t="s">
        <v>12</v>
      </c>
      <c r="D2681" s="14" t="s">
        <v>13</v>
      </c>
      <c r="E2681" s="14" t="s">
        <v>94</v>
      </c>
      <c r="F2681" s="14" t="s">
        <v>95</v>
      </c>
      <c r="G2681" s="14" t="s">
        <v>85</v>
      </c>
      <c r="H2681" s="14" t="s">
        <v>511</v>
      </c>
      <c r="I2681" s="14" t="s">
        <v>133</v>
      </c>
      <c r="J2681" s="60">
        <v>830.33</v>
      </c>
      <c r="K2681" s="14" t="s">
        <v>637</v>
      </c>
    </row>
    <row r="2682" spans="1:11">
      <c r="A2682" s="112">
        <v>46113</v>
      </c>
      <c r="B2682" s="14">
        <v>71</v>
      </c>
      <c r="C2682" s="14" t="s">
        <v>14</v>
      </c>
      <c r="D2682" s="14" t="s">
        <v>15</v>
      </c>
      <c r="E2682" s="14" t="s">
        <v>94</v>
      </c>
      <c r="F2682" s="14" t="s">
        <v>95</v>
      </c>
      <c r="G2682" s="14" t="s">
        <v>85</v>
      </c>
      <c r="H2682" s="14" t="s">
        <v>511</v>
      </c>
      <c r="I2682" s="14" t="s">
        <v>133</v>
      </c>
      <c r="J2682" s="60">
        <v>1968.6</v>
      </c>
      <c r="K2682" s="14" t="s">
        <v>637</v>
      </c>
    </row>
    <row r="2683" spans="1:11">
      <c r="A2683" s="112">
        <v>46143</v>
      </c>
      <c r="B2683" s="14">
        <v>72</v>
      </c>
      <c r="C2683" s="14" t="s">
        <v>16</v>
      </c>
      <c r="D2683" s="14" t="s">
        <v>17</v>
      </c>
      <c r="E2683" s="14" t="s">
        <v>94</v>
      </c>
      <c r="F2683" s="14" t="s">
        <v>95</v>
      </c>
      <c r="G2683" s="14" t="s">
        <v>85</v>
      </c>
      <c r="H2683" s="14" t="s">
        <v>511</v>
      </c>
      <c r="I2683" s="14" t="s">
        <v>133</v>
      </c>
      <c r="J2683" s="60">
        <v>1412.53</v>
      </c>
      <c r="K2683" s="14" t="s">
        <v>637</v>
      </c>
    </row>
    <row r="2684" spans="1:11">
      <c r="A2684" s="112">
        <v>45839</v>
      </c>
      <c r="B2684" s="14">
        <v>73</v>
      </c>
      <c r="C2684" s="15" t="s">
        <v>46</v>
      </c>
      <c r="D2684" s="14" t="s">
        <v>132</v>
      </c>
      <c r="E2684" s="14" t="s">
        <v>92</v>
      </c>
      <c r="F2684" s="14" t="s">
        <v>93</v>
      </c>
      <c r="G2684" s="14" t="s">
        <v>85</v>
      </c>
      <c r="H2684" s="14" t="s">
        <v>511</v>
      </c>
      <c r="I2684" s="14" t="s">
        <v>131</v>
      </c>
      <c r="J2684" s="60">
        <v>850</v>
      </c>
      <c r="K2684" s="14" t="s">
        <v>637</v>
      </c>
    </row>
    <row r="2685" spans="1:11">
      <c r="A2685" s="112">
        <v>45870</v>
      </c>
      <c r="B2685" s="14">
        <v>73</v>
      </c>
      <c r="C2685" s="15" t="s">
        <v>46</v>
      </c>
      <c r="D2685" s="14" t="s">
        <v>132</v>
      </c>
      <c r="E2685" s="14" t="s">
        <v>92</v>
      </c>
      <c r="F2685" s="14" t="s">
        <v>93</v>
      </c>
      <c r="G2685" s="14" t="s">
        <v>85</v>
      </c>
      <c r="H2685" s="14" t="s">
        <v>511</v>
      </c>
      <c r="I2685" s="14" t="s">
        <v>131</v>
      </c>
      <c r="J2685" s="60">
        <v>850</v>
      </c>
      <c r="K2685" s="14" t="s">
        <v>637</v>
      </c>
    </row>
    <row r="2686" spans="1:11">
      <c r="A2686" s="112">
        <v>45901</v>
      </c>
      <c r="B2686" s="14">
        <v>73</v>
      </c>
      <c r="C2686" s="15" t="s">
        <v>46</v>
      </c>
      <c r="D2686" s="14" t="s">
        <v>132</v>
      </c>
      <c r="E2686" s="14" t="s">
        <v>92</v>
      </c>
      <c r="F2686" s="14" t="s">
        <v>93</v>
      </c>
      <c r="G2686" s="14" t="s">
        <v>85</v>
      </c>
      <c r="H2686" s="14" t="s">
        <v>511</v>
      </c>
      <c r="I2686" s="14" t="s">
        <v>131</v>
      </c>
      <c r="J2686" s="60">
        <v>850</v>
      </c>
      <c r="K2686" s="14" t="s">
        <v>637</v>
      </c>
    </row>
    <row r="2687" spans="1:11">
      <c r="A2687" s="112">
        <v>45931</v>
      </c>
      <c r="B2687" s="14">
        <v>73</v>
      </c>
      <c r="C2687" s="15" t="s">
        <v>46</v>
      </c>
      <c r="D2687" s="14" t="s">
        <v>132</v>
      </c>
      <c r="E2687" s="14" t="s">
        <v>92</v>
      </c>
      <c r="F2687" s="14" t="s">
        <v>93</v>
      </c>
      <c r="G2687" s="14" t="s">
        <v>85</v>
      </c>
      <c r="H2687" s="14" t="s">
        <v>511</v>
      </c>
      <c r="I2687" s="14" t="s">
        <v>131</v>
      </c>
      <c r="J2687" s="60">
        <v>850</v>
      </c>
      <c r="K2687" s="14" t="s">
        <v>637</v>
      </c>
    </row>
    <row r="2688" spans="1:11">
      <c r="A2688" s="112">
        <v>45962</v>
      </c>
      <c r="B2688" s="14">
        <v>73</v>
      </c>
      <c r="C2688" s="15" t="s">
        <v>46</v>
      </c>
      <c r="D2688" s="14" t="s">
        <v>132</v>
      </c>
      <c r="E2688" s="14" t="s">
        <v>92</v>
      </c>
      <c r="F2688" s="14" t="s">
        <v>93</v>
      </c>
      <c r="G2688" s="14" t="s">
        <v>85</v>
      </c>
      <c r="H2688" s="14" t="s">
        <v>511</v>
      </c>
      <c r="I2688" s="14" t="s">
        <v>131</v>
      </c>
      <c r="J2688" s="60">
        <v>850</v>
      </c>
      <c r="K2688" s="14" t="s">
        <v>637</v>
      </c>
    </row>
    <row r="2689" spans="1:11">
      <c r="A2689" s="112">
        <v>45992</v>
      </c>
      <c r="B2689" s="14">
        <v>73</v>
      </c>
      <c r="C2689" s="15" t="s">
        <v>46</v>
      </c>
      <c r="D2689" s="14" t="s">
        <v>132</v>
      </c>
      <c r="E2689" s="14" t="s">
        <v>92</v>
      </c>
      <c r="F2689" s="14" t="s">
        <v>93</v>
      </c>
      <c r="G2689" s="14" t="s">
        <v>85</v>
      </c>
      <c r="H2689" s="14" t="s">
        <v>511</v>
      </c>
      <c r="I2689" s="14" t="s">
        <v>131</v>
      </c>
      <c r="J2689" s="60">
        <v>850</v>
      </c>
      <c r="K2689" s="14" t="s">
        <v>637</v>
      </c>
    </row>
    <row r="2690" spans="1:11">
      <c r="A2690" s="112">
        <v>46023</v>
      </c>
      <c r="B2690" s="14">
        <v>73</v>
      </c>
      <c r="C2690" s="15" t="s">
        <v>46</v>
      </c>
      <c r="D2690" s="14" t="s">
        <v>132</v>
      </c>
      <c r="E2690" s="14" t="s">
        <v>92</v>
      </c>
      <c r="F2690" s="14" t="s">
        <v>93</v>
      </c>
      <c r="G2690" s="14" t="s">
        <v>85</v>
      </c>
      <c r="H2690" s="14" t="s">
        <v>511</v>
      </c>
      <c r="I2690" s="14" t="s">
        <v>131</v>
      </c>
      <c r="J2690" s="60">
        <v>850</v>
      </c>
      <c r="K2690" s="14" t="s">
        <v>637</v>
      </c>
    </row>
    <row r="2691" spans="1:11">
      <c r="A2691" s="112">
        <v>46054</v>
      </c>
      <c r="B2691" s="14">
        <v>73</v>
      </c>
      <c r="C2691" s="15" t="s">
        <v>46</v>
      </c>
      <c r="D2691" s="14" t="s">
        <v>132</v>
      </c>
      <c r="E2691" s="14" t="s">
        <v>92</v>
      </c>
      <c r="F2691" s="14" t="s">
        <v>93</v>
      </c>
      <c r="G2691" s="14" t="s">
        <v>85</v>
      </c>
      <c r="H2691" s="14" t="s">
        <v>511</v>
      </c>
      <c r="I2691" s="14" t="s">
        <v>131</v>
      </c>
      <c r="J2691" s="60">
        <v>850</v>
      </c>
      <c r="K2691" s="14" t="s">
        <v>637</v>
      </c>
    </row>
    <row r="2692" spans="1:11">
      <c r="A2692" s="112">
        <v>46082</v>
      </c>
      <c r="B2692" s="14">
        <v>73</v>
      </c>
      <c r="C2692" s="15" t="s">
        <v>46</v>
      </c>
      <c r="D2692" s="14" t="s">
        <v>132</v>
      </c>
      <c r="E2692" s="14" t="s">
        <v>92</v>
      </c>
      <c r="F2692" s="14" t="s">
        <v>93</v>
      </c>
      <c r="G2692" s="14" t="s">
        <v>85</v>
      </c>
      <c r="H2692" s="14" t="s">
        <v>511</v>
      </c>
      <c r="I2692" s="14" t="s">
        <v>131</v>
      </c>
      <c r="J2692" s="60">
        <v>850</v>
      </c>
      <c r="K2692" s="14" t="s">
        <v>637</v>
      </c>
    </row>
    <row r="2693" spans="1:11">
      <c r="A2693" s="112">
        <v>46113</v>
      </c>
      <c r="B2693" s="14">
        <v>73</v>
      </c>
      <c r="C2693" s="15" t="s">
        <v>46</v>
      </c>
      <c r="D2693" s="14" t="s">
        <v>132</v>
      </c>
      <c r="E2693" s="14" t="s">
        <v>92</v>
      </c>
      <c r="F2693" s="14" t="s">
        <v>93</v>
      </c>
      <c r="G2693" s="14" t="s">
        <v>85</v>
      </c>
      <c r="H2693" s="14" t="s">
        <v>511</v>
      </c>
      <c r="I2693" s="14" t="s">
        <v>131</v>
      </c>
      <c r="J2693" s="60">
        <v>850</v>
      </c>
      <c r="K2693" s="14" t="s">
        <v>637</v>
      </c>
    </row>
    <row r="2694" spans="1:11">
      <c r="A2694" s="112">
        <v>46143</v>
      </c>
      <c r="B2694" s="14">
        <v>73</v>
      </c>
      <c r="C2694" s="15" t="s">
        <v>46</v>
      </c>
      <c r="D2694" s="14" t="s">
        <v>132</v>
      </c>
      <c r="E2694" s="14" t="s">
        <v>92</v>
      </c>
      <c r="F2694" s="14" t="s">
        <v>93</v>
      </c>
      <c r="G2694" s="14" t="s">
        <v>85</v>
      </c>
      <c r="H2694" s="14" t="s">
        <v>511</v>
      </c>
      <c r="I2694" s="14" t="s">
        <v>131</v>
      </c>
      <c r="J2694" s="60">
        <v>850</v>
      </c>
      <c r="K2694" s="14" t="s">
        <v>637</v>
      </c>
    </row>
    <row r="2695" spans="1:11">
      <c r="A2695" s="112">
        <v>46174</v>
      </c>
      <c r="B2695" s="14">
        <v>73</v>
      </c>
      <c r="C2695" s="15" t="s">
        <v>46</v>
      </c>
      <c r="D2695" s="14" t="s">
        <v>132</v>
      </c>
      <c r="E2695" s="14" t="s">
        <v>92</v>
      </c>
      <c r="F2695" s="14" t="s">
        <v>93</v>
      </c>
      <c r="G2695" s="14" t="s">
        <v>85</v>
      </c>
      <c r="H2695" s="14" t="s">
        <v>511</v>
      </c>
      <c r="I2695" s="14" t="s">
        <v>131</v>
      </c>
      <c r="J2695" s="60">
        <v>850</v>
      </c>
      <c r="K2695" s="14" t="s">
        <v>637</v>
      </c>
    </row>
  </sheetData>
  <autoFilter ref="A1:K2461" xr:uid="{00000000-0009-0000-0000-00000D000000}">
    <sortState xmlns:xlrd2="http://schemas.microsoft.com/office/spreadsheetml/2017/richdata2" ref="A2:K2461">
      <sortCondition ref="A2:A2461"/>
    </sortState>
  </autoFilter>
  <phoneticPr fontId="6" type="noConversion"/>
  <conditionalFormatting sqref="E1:E1048576">
    <cfRule type="containsText" dxfId="1" priority="2" operator="containsText" text="5000">
      <formula>NOT(ISERROR(SEARCH("5000",E1)))</formula>
    </cfRule>
    <cfRule type="cellIs" dxfId="0" priority="3" operator="equal">
      <formula>5000</formula>
    </cfRule>
  </conditionalFormatting>
  <pageMargins left="0.7" right="0.7" top="0.75" bottom="0.75"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5099D-6507-6148-BEEE-BAD9321ADD42}">
  <dimension ref="A1:I18"/>
  <sheetViews>
    <sheetView showGridLines="0" workbookViewId="0">
      <pane xSplit="1" ySplit="5" topLeftCell="B6" activePane="bottomRight" state="frozen"/>
      <selection pane="topRight" activeCell="B1" sqref="B1"/>
      <selection pane="bottomLeft" activeCell="A6" sqref="A6"/>
      <selection pane="bottomRight" activeCell="J25" sqref="J25"/>
    </sheetView>
  </sheetViews>
  <sheetFormatPr baseColWidth="10" defaultColWidth="8.6640625" defaultRowHeight="15"/>
  <cols>
    <col min="1" max="1" width="12" style="12" customWidth="1"/>
    <col min="2" max="2" width="20" style="12" customWidth="1"/>
    <col min="3" max="3" width="12" style="12" customWidth="1"/>
    <col min="4" max="4" width="42" style="12" customWidth="1"/>
    <col min="5" max="5" width="14" style="12" customWidth="1"/>
    <col min="6" max="6" width="12" style="12" customWidth="1"/>
    <col min="7" max="7" width="16" style="12" customWidth="1"/>
    <col min="8" max="8" width="18" style="12" customWidth="1"/>
    <col min="9" max="9" width="16" style="12" customWidth="1"/>
    <col min="10" max="16384" width="8.6640625" style="12"/>
  </cols>
  <sheetData>
    <row r="1" spans="1:9" ht="18">
      <c r="A1" s="52" t="s">
        <v>729</v>
      </c>
    </row>
    <row r="2" spans="1:9" ht="15" customHeight="1">
      <c r="A2" s="53" t="s">
        <v>207</v>
      </c>
    </row>
    <row r="3" spans="1:9" ht="27.75" customHeight="1">
      <c r="A3" s="69" t="s">
        <v>707</v>
      </c>
      <c r="B3" s="69"/>
      <c r="C3" s="69"/>
      <c r="D3" s="69"/>
      <c r="E3" s="69"/>
      <c r="F3" s="69"/>
      <c r="G3" s="69"/>
      <c r="H3" s="69"/>
    </row>
    <row r="5" spans="1:9" ht="28">
      <c r="A5" s="56" t="s">
        <v>2</v>
      </c>
      <c r="B5" s="56" t="s">
        <v>3</v>
      </c>
      <c r="C5" s="56" t="s">
        <v>708</v>
      </c>
      <c r="D5" s="56" t="s">
        <v>709</v>
      </c>
      <c r="E5" s="56" t="s">
        <v>710</v>
      </c>
      <c r="F5" s="56" t="s">
        <v>711</v>
      </c>
      <c r="G5" s="56" t="s">
        <v>712</v>
      </c>
      <c r="H5" s="56" t="s">
        <v>713</v>
      </c>
      <c r="I5" s="56" t="s">
        <v>714</v>
      </c>
    </row>
    <row r="6" spans="1:9" ht="15" customHeight="1">
      <c r="A6" s="19" t="s">
        <v>12</v>
      </c>
      <c r="B6" s="14" t="s">
        <v>13</v>
      </c>
      <c r="C6" s="14" t="s">
        <v>715</v>
      </c>
      <c r="D6" s="14" t="s">
        <v>716</v>
      </c>
      <c r="E6" s="60">
        <v>420000</v>
      </c>
      <c r="F6" s="24">
        <v>0.85</v>
      </c>
      <c r="G6" s="60">
        <f t="shared" ref="G6:G17" si="0">E6*F6</f>
        <v>357000</v>
      </c>
      <c r="H6" s="112">
        <v>45839</v>
      </c>
      <c r="I6" s="112">
        <v>45839</v>
      </c>
    </row>
    <row r="7" spans="1:9" ht="15" customHeight="1">
      <c r="A7" s="19" t="s">
        <v>12</v>
      </c>
      <c r="B7" s="14" t="s">
        <v>13</v>
      </c>
      <c r="C7" s="14" t="s">
        <v>717</v>
      </c>
      <c r="D7" s="14" t="s">
        <v>718</v>
      </c>
      <c r="E7" s="60">
        <v>150000</v>
      </c>
      <c r="F7" s="24">
        <v>0.6</v>
      </c>
      <c r="G7" s="60">
        <f t="shared" si="0"/>
        <v>90000</v>
      </c>
      <c r="H7" s="112">
        <v>45901</v>
      </c>
      <c r="I7" s="112">
        <v>45901</v>
      </c>
    </row>
    <row r="8" spans="1:9" ht="15" customHeight="1">
      <c r="A8" s="19" t="s">
        <v>14</v>
      </c>
      <c r="B8" s="14" t="s">
        <v>15</v>
      </c>
      <c r="C8" s="14" t="s">
        <v>715</v>
      </c>
      <c r="D8" s="14" t="s">
        <v>719</v>
      </c>
      <c r="E8" s="60">
        <v>380000</v>
      </c>
      <c r="F8" s="24">
        <v>0.7</v>
      </c>
      <c r="G8" s="60">
        <f t="shared" si="0"/>
        <v>266000</v>
      </c>
      <c r="H8" s="112">
        <v>45870</v>
      </c>
      <c r="I8" s="112">
        <v>45870</v>
      </c>
    </row>
    <row r="9" spans="1:9" ht="15" customHeight="1">
      <c r="A9" s="19" t="s">
        <v>14</v>
      </c>
      <c r="B9" s="14" t="s">
        <v>15</v>
      </c>
      <c r="C9" s="14" t="s">
        <v>717</v>
      </c>
      <c r="D9" s="14" t="s">
        <v>720</v>
      </c>
      <c r="E9" s="60">
        <v>95000</v>
      </c>
      <c r="F9" s="24">
        <v>0.5</v>
      </c>
      <c r="G9" s="60">
        <f t="shared" si="0"/>
        <v>47500</v>
      </c>
      <c r="H9" s="112">
        <v>45962</v>
      </c>
      <c r="I9" s="112">
        <v>45962</v>
      </c>
    </row>
    <row r="10" spans="1:9" ht="15" customHeight="1">
      <c r="A10" s="19" t="s">
        <v>16</v>
      </c>
      <c r="B10" s="14" t="s">
        <v>17</v>
      </c>
      <c r="C10" s="14" t="s">
        <v>715</v>
      </c>
      <c r="D10" s="14" t="s">
        <v>721</v>
      </c>
      <c r="E10" s="60">
        <v>310000</v>
      </c>
      <c r="F10" s="24">
        <v>0.8</v>
      </c>
      <c r="G10" s="60">
        <f t="shared" si="0"/>
        <v>248000</v>
      </c>
      <c r="H10" s="112">
        <v>45839</v>
      </c>
      <c r="I10" s="112">
        <v>45839</v>
      </c>
    </row>
    <row r="11" spans="1:9" ht="15" customHeight="1">
      <c r="A11" s="19" t="s">
        <v>16</v>
      </c>
      <c r="B11" s="14" t="s">
        <v>17</v>
      </c>
      <c r="C11" s="14" t="s">
        <v>717</v>
      </c>
      <c r="D11" s="14" t="s">
        <v>722</v>
      </c>
      <c r="E11" s="60">
        <v>220000</v>
      </c>
      <c r="F11" s="24">
        <v>0.65</v>
      </c>
      <c r="G11" s="60">
        <f t="shared" si="0"/>
        <v>143000</v>
      </c>
      <c r="H11" s="112">
        <v>45931</v>
      </c>
      <c r="I11" s="112">
        <v>45931</v>
      </c>
    </row>
    <row r="12" spans="1:9" ht="15" customHeight="1">
      <c r="A12" s="19" t="s">
        <v>18</v>
      </c>
      <c r="B12" s="14" t="s">
        <v>19</v>
      </c>
      <c r="C12" s="14" t="s">
        <v>715</v>
      </c>
      <c r="D12" s="14" t="s">
        <v>723</v>
      </c>
      <c r="E12" s="60">
        <v>340000</v>
      </c>
      <c r="F12" s="24">
        <v>0.75</v>
      </c>
      <c r="G12" s="60">
        <f t="shared" si="0"/>
        <v>255000</v>
      </c>
      <c r="H12" s="112">
        <v>45839</v>
      </c>
      <c r="I12" s="112">
        <v>45839</v>
      </c>
    </row>
    <row r="13" spans="1:9" ht="15" customHeight="1">
      <c r="A13" s="19" t="s">
        <v>18</v>
      </c>
      <c r="B13" s="14" t="s">
        <v>19</v>
      </c>
      <c r="C13" s="14" t="s">
        <v>717</v>
      </c>
      <c r="D13" s="14" t="s">
        <v>724</v>
      </c>
      <c r="E13" s="60">
        <v>110000</v>
      </c>
      <c r="F13" s="24">
        <v>0.55000000000000004</v>
      </c>
      <c r="G13" s="60">
        <f t="shared" si="0"/>
        <v>60500.000000000007</v>
      </c>
      <c r="H13" s="112">
        <v>45992</v>
      </c>
      <c r="I13" s="112">
        <v>45992</v>
      </c>
    </row>
    <row r="14" spans="1:9" ht="15" customHeight="1">
      <c r="A14" s="19" t="s">
        <v>20</v>
      </c>
      <c r="B14" s="14" t="s">
        <v>21</v>
      </c>
      <c r="C14" s="14" t="s">
        <v>715</v>
      </c>
      <c r="D14" s="14" t="s">
        <v>725</v>
      </c>
      <c r="E14" s="60">
        <v>360000</v>
      </c>
      <c r="F14" s="24">
        <v>0.8</v>
      </c>
      <c r="G14" s="60">
        <f t="shared" si="0"/>
        <v>288000</v>
      </c>
      <c r="H14" s="112">
        <v>45839</v>
      </c>
      <c r="I14" s="112">
        <v>45839</v>
      </c>
    </row>
    <row r="15" spans="1:9" ht="15" customHeight="1">
      <c r="A15" s="19" t="s">
        <v>20</v>
      </c>
      <c r="B15" s="14" t="s">
        <v>21</v>
      </c>
      <c r="C15" s="14" t="s">
        <v>717</v>
      </c>
      <c r="D15" s="14" t="s">
        <v>726</v>
      </c>
      <c r="E15" s="60">
        <v>130000</v>
      </c>
      <c r="F15" s="24">
        <v>0.45</v>
      </c>
      <c r="G15" s="60">
        <f t="shared" si="0"/>
        <v>58500</v>
      </c>
      <c r="H15" s="112">
        <v>46023</v>
      </c>
      <c r="I15" s="112">
        <v>46023</v>
      </c>
    </row>
    <row r="16" spans="1:9" ht="15" customHeight="1">
      <c r="A16" s="19" t="s">
        <v>12</v>
      </c>
      <c r="B16" s="14" t="s">
        <v>13</v>
      </c>
      <c r="C16" s="14" t="s">
        <v>715</v>
      </c>
      <c r="D16" s="14" t="s">
        <v>727</v>
      </c>
      <c r="E16" s="60">
        <v>260000</v>
      </c>
      <c r="F16" s="24">
        <v>0.3</v>
      </c>
      <c r="G16" s="60">
        <f t="shared" si="0"/>
        <v>78000</v>
      </c>
      <c r="H16" s="112">
        <v>46054</v>
      </c>
      <c r="I16" s="112">
        <v>46054</v>
      </c>
    </row>
    <row r="17" spans="1:9" ht="15" customHeight="1">
      <c r="A17" s="19" t="s">
        <v>20</v>
      </c>
      <c r="B17" s="14" t="s">
        <v>21</v>
      </c>
      <c r="C17" s="14" t="s">
        <v>717</v>
      </c>
      <c r="D17" s="14" t="s">
        <v>728</v>
      </c>
      <c r="E17" s="60">
        <v>85000</v>
      </c>
      <c r="F17" s="24">
        <v>0.25</v>
      </c>
      <c r="G17" s="60">
        <f t="shared" si="0"/>
        <v>21250</v>
      </c>
      <c r="H17" s="112">
        <v>46082</v>
      </c>
      <c r="I17" s="112">
        <v>46082</v>
      </c>
    </row>
    <row r="18" spans="1:9" ht="15" customHeight="1">
      <c r="A18" s="46"/>
      <c r="B18" s="113"/>
      <c r="C18" s="113"/>
      <c r="D18" s="47" t="s">
        <v>22</v>
      </c>
      <c r="E18" s="114">
        <f>SUM(E6:E17)</f>
        <v>2860000</v>
      </c>
      <c r="F18" s="115"/>
      <c r="G18" s="114">
        <f>SUM(G6:G17)</f>
        <v>1912750</v>
      </c>
      <c r="H18" s="116"/>
      <c r="I18" s="116"/>
    </row>
  </sheetData>
  <mergeCells count="1">
    <mergeCell ref="A3:H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5949D-3CF5-4E45-84B9-38226E84F348}">
  <dimension ref="B2:O30"/>
  <sheetViews>
    <sheetView showGridLines="0" zoomScaleNormal="100" workbookViewId="0">
      <pane ySplit="7" topLeftCell="A8" activePane="bottomLeft" state="frozen"/>
      <selection sqref="A1:XFD1048576"/>
      <selection pane="bottomLeft"/>
    </sheetView>
  </sheetViews>
  <sheetFormatPr baseColWidth="10" defaultColWidth="8.6640625" defaultRowHeight="15"/>
  <cols>
    <col min="1" max="1" width="5.33203125" style="12" customWidth="1"/>
    <col min="2" max="2" width="10" style="12" customWidth="1"/>
    <col min="3" max="3" width="34" style="12" customWidth="1"/>
    <col min="4" max="4" width="20.83203125" style="12" bestFit="1" customWidth="1"/>
    <col min="5" max="5" width="12" style="12" customWidth="1"/>
    <col min="6" max="7" width="14" style="12" customWidth="1"/>
    <col min="8" max="8" width="16" style="12" customWidth="1"/>
    <col min="9" max="9" width="18" style="12" customWidth="1"/>
    <col min="10" max="10" width="16" style="12" customWidth="1"/>
    <col min="11" max="11" width="18" style="12" customWidth="1"/>
    <col min="12" max="12" width="16" style="12" customWidth="1"/>
    <col min="13" max="16384" width="8.6640625" style="12"/>
  </cols>
  <sheetData>
    <row r="2" spans="2:13" ht="18">
      <c r="B2" s="164" t="s">
        <v>786</v>
      </c>
    </row>
    <row r="3" spans="2:13" ht="18">
      <c r="B3" s="145" t="s">
        <v>747</v>
      </c>
    </row>
    <row r="4" spans="2:13">
      <c r="B4" s="53" t="s">
        <v>748</v>
      </c>
    </row>
    <row r="5" spans="2:13" ht="25.5" customHeight="1">
      <c r="B5" s="54" t="s">
        <v>782</v>
      </c>
      <c r="C5" s="55"/>
      <c r="D5" s="55"/>
      <c r="E5" s="55"/>
      <c r="F5" s="55"/>
      <c r="G5" s="55"/>
      <c r="H5" s="55"/>
      <c r="I5" s="55"/>
      <c r="J5" s="55"/>
      <c r="K5" s="55"/>
      <c r="L5" s="55"/>
      <c r="M5" s="55"/>
    </row>
    <row r="7" spans="2:13" ht="31.5" customHeight="1">
      <c r="B7" s="142" t="s">
        <v>749</v>
      </c>
      <c r="C7" s="142" t="s">
        <v>221</v>
      </c>
      <c r="D7" s="142" t="s">
        <v>750</v>
      </c>
      <c r="E7" s="142" t="s">
        <v>751</v>
      </c>
      <c r="F7" s="142" t="s">
        <v>752</v>
      </c>
      <c r="G7" s="142" t="s">
        <v>753</v>
      </c>
      <c r="H7" s="142" t="s">
        <v>754</v>
      </c>
      <c r="I7" s="142" t="s">
        <v>755</v>
      </c>
      <c r="J7" s="142" t="s">
        <v>756</v>
      </c>
      <c r="K7" s="142" t="s">
        <v>757</v>
      </c>
      <c r="L7" s="142" t="s">
        <v>758</v>
      </c>
    </row>
    <row r="8" spans="2:13">
      <c r="B8" s="19" t="s">
        <v>759</v>
      </c>
      <c r="C8" s="14" t="s">
        <v>760</v>
      </c>
      <c r="D8" s="14" t="s">
        <v>761</v>
      </c>
      <c r="E8" s="60">
        <v>22000</v>
      </c>
      <c r="F8" s="14">
        <v>5</v>
      </c>
      <c r="G8" s="112">
        <v>45108</v>
      </c>
      <c r="H8" s="60">
        <f>E8/F8/12</f>
        <v>366.66666666666669</v>
      </c>
      <c r="I8" s="60">
        <f t="shared" ref="I8:I14" si="0">MIN(E8, H8*((YEAR(DATE(2025,7,1))-YEAR(G8))*12+(MONTH(DATE(2025,7,1))-MONTH(G8))))</f>
        <v>8800</v>
      </c>
      <c r="J8" s="60">
        <f t="shared" ref="J8:J14" si="1">MIN(H8*12, E8-I8)</f>
        <v>4400</v>
      </c>
      <c r="K8" s="60">
        <f t="shared" ref="K8:K14" si="2">I8+J8</f>
        <v>13200</v>
      </c>
      <c r="L8" s="60">
        <f t="shared" ref="L8:L14" si="3">E8-K8</f>
        <v>8800</v>
      </c>
    </row>
    <row r="9" spans="2:13">
      <c r="B9" s="19" t="s">
        <v>762</v>
      </c>
      <c r="C9" s="14" t="s">
        <v>763</v>
      </c>
      <c r="D9" s="14" t="s">
        <v>761</v>
      </c>
      <c r="E9" s="60">
        <v>8000</v>
      </c>
      <c r="F9" s="14">
        <v>5</v>
      </c>
      <c r="G9" s="112">
        <v>45108</v>
      </c>
      <c r="H9" s="60">
        <f>E9/F9/12</f>
        <v>133.33333333333334</v>
      </c>
      <c r="I9" s="60">
        <f t="shared" si="0"/>
        <v>3200</v>
      </c>
      <c r="J9" s="60">
        <f t="shared" si="1"/>
        <v>1600</v>
      </c>
      <c r="K9" s="60">
        <f t="shared" si="2"/>
        <v>4800</v>
      </c>
      <c r="L9" s="60">
        <f t="shared" si="3"/>
        <v>3200</v>
      </c>
    </row>
    <row r="10" spans="2:13">
      <c r="B10" s="19" t="s">
        <v>764</v>
      </c>
      <c r="C10" s="14" t="s">
        <v>765</v>
      </c>
      <c r="D10" s="14" t="s">
        <v>766</v>
      </c>
      <c r="E10" s="60">
        <v>35000</v>
      </c>
      <c r="F10" s="14">
        <v>7</v>
      </c>
      <c r="G10" s="112">
        <v>44378</v>
      </c>
      <c r="H10" s="60">
        <f t="shared" ref="H8:H14" si="4">E10/F10/12</f>
        <v>416.66666666666669</v>
      </c>
      <c r="I10" s="60">
        <f t="shared" si="0"/>
        <v>20000</v>
      </c>
      <c r="J10" s="60">
        <f t="shared" si="1"/>
        <v>5000</v>
      </c>
      <c r="K10" s="60">
        <f t="shared" si="2"/>
        <v>25000</v>
      </c>
      <c r="L10" s="60">
        <f t="shared" si="3"/>
        <v>10000</v>
      </c>
    </row>
    <row r="11" spans="2:13">
      <c r="B11" s="19" t="s">
        <v>767</v>
      </c>
      <c r="C11" s="14" t="s">
        <v>768</v>
      </c>
      <c r="D11" s="14" t="s">
        <v>761</v>
      </c>
      <c r="E11" s="60">
        <v>24000</v>
      </c>
      <c r="F11" s="14">
        <v>3</v>
      </c>
      <c r="G11" s="112">
        <v>45292</v>
      </c>
      <c r="H11" s="60">
        <f t="shared" si="4"/>
        <v>666.66666666666663</v>
      </c>
      <c r="I11" s="60">
        <f t="shared" si="0"/>
        <v>12000</v>
      </c>
      <c r="J11" s="60">
        <f t="shared" si="1"/>
        <v>8000</v>
      </c>
      <c r="K11" s="60">
        <f t="shared" si="2"/>
        <v>20000</v>
      </c>
      <c r="L11" s="60">
        <f t="shared" si="3"/>
        <v>4000</v>
      </c>
    </row>
    <row r="12" spans="2:13">
      <c r="B12" s="19" t="s">
        <v>769</v>
      </c>
      <c r="C12" s="14" t="s">
        <v>770</v>
      </c>
      <c r="D12" s="14" t="s">
        <v>761</v>
      </c>
      <c r="E12" s="60">
        <v>18000</v>
      </c>
      <c r="F12" s="14">
        <v>3</v>
      </c>
      <c r="G12" s="112">
        <v>45474</v>
      </c>
      <c r="H12" s="60">
        <f t="shared" si="4"/>
        <v>500</v>
      </c>
      <c r="I12" s="60">
        <f t="shared" si="0"/>
        <v>6000</v>
      </c>
      <c r="J12" s="60">
        <f t="shared" si="1"/>
        <v>6000</v>
      </c>
      <c r="K12" s="60">
        <f t="shared" si="2"/>
        <v>12000</v>
      </c>
      <c r="L12" s="60">
        <f t="shared" si="3"/>
        <v>6000</v>
      </c>
    </row>
    <row r="13" spans="2:13">
      <c r="B13" s="19" t="s">
        <v>771</v>
      </c>
      <c r="C13" s="14" t="s">
        <v>772</v>
      </c>
      <c r="D13" s="14" t="s">
        <v>773</v>
      </c>
      <c r="E13" s="60">
        <v>6000</v>
      </c>
      <c r="F13" s="14">
        <v>5</v>
      </c>
      <c r="G13" s="112">
        <v>45108</v>
      </c>
      <c r="H13" s="60">
        <f t="shared" si="4"/>
        <v>100</v>
      </c>
      <c r="I13" s="60">
        <f t="shared" si="0"/>
        <v>2400</v>
      </c>
      <c r="J13" s="60">
        <f t="shared" si="1"/>
        <v>1200</v>
      </c>
      <c r="K13" s="60">
        <f t="shared" si="2"/>
        <v>3600</v>
      </c>
      <c r="L13" s="60">
        <f t="shared" si="3"/>
        <v>2400</v>
      </c>
    </row>
    <row r="14" spans="2:13">
      <c r="B14" s="19" t="s">
        <v>774</v>
      </c>
      <c r="C14" s="14" t="s">
        <v>775</v>
      </c>
      <c r="D14" s="14" t="s">
        <v>773</v>
      </c>
      <c r="E14" s="60">
        <v>32000</v>
      </c>
      <c r="F14" s="14">
        <v>10</v>
      </c>
      <c r="G14" s="112">
        <v>44743</v>
      </c>
      <c r="H14" s="60">
        <f t="shared" si="4"/>
        <v>266.66666666666669</v>
      </c>
      <c r="I14" s="60">
        <f t="shared" si="0"/>
        <v>9600</v>
      </c>
      <c r="J14" s="60">
        <f t="shared" si="1"/>
        <v>3200</v>
      </c>
      <c r="K14" s="60">
        <f t="shared" si="2"/>
        <v>12800</v>
      </c>
      <c r="L14" s="60">
        <f t="shared" si="3"/>
        <v>19200</v>
      </c>
    </row>
    <row r="15" spans="2:13">
      <c r="B15" s="19" t="s">
        <v>776</v>
      </c>
      <c r="C15" s="14" t="s">
        <v>777</v>
      </c>
      <c r="D15" s="14" t="s">
        <v>778</v>
      </c>
      <c r="E15" s="60">
        <v>18500</v>
      </c>
      <c r="F15" s="14" t="s">
        <v>779</v>
      </c>
      <c r="G15" s="112">
        <v>45915</v>
      </c>
      <c r="H15" s="60">
        <v>0</v>
      </c>
      <c r="I15" s="60">
        <v>0</v>
      </c>
      <c r="J15" s="60">
        <v>0</v>
      </c>
      <c r="K15" s="60">
        <v>0</v>
      </c>
      <c r="L15" s="60">
        <f>E15</f>
        <v>18500</v>
      </c>
    </row>
    <row r="16" spans="2:13">
      <c r="B16" s="46"/>
      <c r="C16" s="47" t="s">
        <v>22</v>
      </c>
      <c r="D16" s="113"/>
      <c r="E16" s="114">
        <f>SUM(E8:E15)</f>
        <v>163500</v>
      </c>
      <c r="F16" s="113"/>
      <c r="G16" s="116"/>
      <c r="H16" s="114">
        <f>SUM(H8:H15)</f>
        <v>2450</v>
      </c>
      <c r="I16" s="114">
        <f>SUM(I8:I15)</f>
        <v>62000</v>
      </c>
      <c r="J16" s="114">
        <f>SUM(J8:J15)</f>
        <v>29400</v>
      </c>
      <c r="K16" s="114">
        <f>SUM(K8:K15)</f>
        <v>91400</v>
      </c>
      <c r="L16" s="114">
        <f>SUM(L8:L15)</f>
        <v>72100</v>
      </c>
    </row>
    <row r="19" spans="2:15" ht="18">
      <c r="B19" s="145" t="s">
        <v>780</v>
      </c>
    </row>
    <row r="22" spans="2:15">
      <c r="B22" s="142" t="s">
        <v>749</v>
      </c>
      <c r="C22" s="142" t="s">
        <v>221</v>
      </c>
      <c r="D22" s="142" t="s">
        <v>208</v>
      </c>
      <c r="E22" s="142" t="s">
        <v>209</v>
      </c>
      <c r="F22" s="142" t="s">
        <v>210</v>
      </c>
      <c r="G22" s="142" t="s">
        <v>211</v>
      </c>
      <c r="H22" s="142" t="s">
        <v>212</v>
      </c>
      <c r="I22" s="142" t="s">
        <v>213</v>
      </c>
      <c r="J22" s="142" t="s">
        <v>214</v>
      </c>
      <c r="K22" s="142" t="s">
        <v>215</v>
      </c>
      <c r="L22" s="142" t="s">
        <v>216</v>
      </c>
      <c r="M22" s="142" t="s">
        <v>217</v>
      </c>
      <c r="N22" s="142" t="s">
        <v>218</v>
      </c>
      <c r="O22" s="142" t="s">
        <v>219</v>
      </c>
    </row>
    <row r="23" spans="2:15">
      <c r="B23" s="19" t="s">
        <v>759</v>
      </c>
      <c r="C23" s="14" t="s">
        <v>760</v>
      </c>
      <c r="D23" s="60">
        <f>'[1]Fixed Asset List'!$G$6</f>
        <v>366.66666666666703</v>
      </c>
      <c r="E23" s="60">
        <f>'[1]Fixed Asset List'!$G$6</f>
        <v>366.66666666666703</v>
      </c>
      <c r="F23" s="60">
        <f>'[1]Fixed Asset List'!$G$6</f>
        <v>366.66666666666703</v>
      </c>
      <c r="G23" s="60">
        <f>'[1]Fixed Asset List'!$G$6</f>
        <v>366.66666666666703</v>
      </c>
      <c r="H23" s="60">
        <f>'[1]Fixed Asset List'!$G$6</f>
        <v>366.66666666666703</v>
      </c>
      <c r="I23" s="60">
        <f>'[1]Fixed Asset List'!$G$6</f>
        <v>366.66666666666703</v>
      </c>
      <c r="J23" s="60">
        <f>'[1]Fixed Asset List'!$G$6</f>
        <v>366.66666666666703</v>
      </c>
      <c r="K23" s="60">
        <f>'[1]Fixed Asset List'!$G$6</f>
        <v>366.66666666666703</v>
      </c>
      <c r="L23" s="60">
        <f>'[1]Fixed Asset List'!$G$6</f>
        <v>366.66666666666703</v>
      </c>
      <c r="M23" s="60">
        <f>'[1]Fixed Asset List'!$G$6</f>
        <v>366.66666666666703</v>
      </c>
      <c r="N23" s="60">
        <f>'[1]Fixed Asset List'!$G$6</f>
        <v>366.66666666666703</v>
      </c>
      <c r="O23" s="60">
        <f>'[1]Fixed Asset List'!$G$6</f>
        <v>366.66666666666703</v>
      </c>
    </row>
    <row r="24" spans="2:15">
      <c r="B24" s="19" t="s">
        <v>762</v>
      </c>
      <c r="C24" s="14" t="s">
        <v>763</v>
      </c>
      <c r="D24" s="60">
        <f>'[1]Fixed Asset List'!$G$7</f>
        <v>133.333333333333</v>
      </c>
      <c r="E24" s="60">
        <f>'[1]Fixed Asset List'!$G$7</f>
        <v>133.333333333333</v>
      </c>
      <c r="F24" s="60">
        <f>'[1]Fixed Asset List'!$G$7</f>
        <v>133.333333333333</v>
      </c>
      <c r="G24" s="60">
        <f>'[1]Fixed Asset List'!$G$7</f>
        <v>133.333333333333</v>
      </c>
      <c r="H24" s="60">
        <f>'[1]Fixed Asset List'!$G$7</f>
        <v>133.333333333333</v>
      </c>
      <c r="I24" s="60">
        <f>'[1]Fixed Asset List'!$G$7</f>
        <v>133.333333333333</v>
      </c>
      <c r="J24" s="60">
        <f>'[1]Fixed Asset List'!$G$7</f>
        <v>133.333333333333</v>
      </c>
      <c r="K24" s="60">
        <f>'[1]Fixed Asset List'!$G$7</f>
        <v>133.333333333333</v>
      </c>
      <c r="L24" s="60">
        <f>'[1]Fixed Asset List'!$G$7</f>
        <v>133.333333333333</v>
      </c>
      <c r="M24" s="60">
        <f>'[1]Fixed Asset List'!$G$7</f>
        <v>133.333333333333</v>
      </c>
      <c r="N24" s="60">
        <f>'[1]Fixed Asset List'!$G$7</f>
        <v>133.333333333333</v>
      </c>
      <c r="O24" s="60">
        <f>'[1]Fixed Asset List'!$G$7</f>
        <v>133.333333333333</v>
      </c>
    </row>
    <row r="25" spans="2:15">
      <c r="B25" s="19" t="s">
        <v>764</v>
      </c>
      <c r="C25" s="14" t="s">
        <v>765</v>
      </c>
      <c r="D25" s="60">
        <f>'[1]Fixed Asset List'!$G$8</f>
        <v>416.66666666666703</v>
      </c>
      <c r="E25" s="60">
        <f>'[1]Fixed Asset List'!$G$8</f>
        <v>416.66666666666703</v>
      </c>
      <c r="F25" s="60">
        <f>'[1]Fixed Asset List'!$G$8</f>
        <v>416.66666666666703</v>
      </c>
      <c r="G25" s="60">
        <f>'[1]Fixed Asset List'!$G$8</f>
        <v>416.66666666666703</v>
      </c>
      <c r="H25" s="60">
        <f>'[1]Fixed Asset List'!$G$8</f>
        <v>416.66666666666703</v>
      </c>
      <c r="I25" s="60">
        <f>'[1]Fixed Asset List'!$G$8</f>
        <v>416.66666666666703</v>
      </c>
      <c r="J25" s="60">
        <f>'[1]Fixed Asset List'!$G$8</f>
        <v>416.66666666666703</v>
      </c>
      <c r="K25" s="60">
        <f>'[1]Fixed Asset List'!$G$8</f>
        <v>416.66666666666703</v>
      </c>
      <c r="L25" s="60">
        <f>'[1]Fixed Asset List'!$G$8</f>
        <v>416.66666666666703</v>
      </c>
      <c r="M25" s="60">
        <f>'[1]Fixed Asset List'!$G$8</f>
        <v>416.66666666666703</v>
      </c>
      <c r="N25" s="60">
        <f>'[1]Fixed Asset List'!$G$8</f>
        <v>416.66666666666703</v>
      </c>
      <c r="O25" s="60">
        <f>'[1]Fixed Asset List'!$G$8</f>
        <v>416.66666666666703</v>
      </c>
    </row>
    <row r="26" spans="2:15">
      <c r="B26" s="19" t="s">
        <v>767</v>
      </c>
      <c r="C26" s="14" t="s">
        <v>768</v>
      </c>
      <c r="D26" s="60">
        <f>'[1]Fixed Asset List'!$G$9</f>
        <v>666.66666666666697</v>
      </c>
      <c r="E26" s="60">
        <f>'[1]Fixed Asset List'!$G$9</f>
        <v>666.66666666666697</v>
      </c>
      <c r="F26" s="60">
        <f>'[1]Fixed Asset List'!$G$9</f>
        <v>666.66666666666697</v>
      </c>
      <c r="G26" s="60">
        <f>'[1]Fixed Asset List'!$G$9</f>
        <v>666.66666666666697</v>
      </c>
      <c r="H26" s="60">
        <f>'[1]Fixed Asset List'!$G$9</f>
        <v>666.66666666666697</v>
      </c>
      <c r="I26" s="60">
        <f>'[1]Fixed Asset List'!$G$9</f>
        <v>666.66666666666697</v>
      </c>
      <c r="J26" s="60">
        <f>'[1]Fixed Asset List'!$G$9</f>
        <v>666.66666666666697</v>
      </c>
      <c r="K26" s="60">
        <f>'[1]Fixed Asset List'!$G$9</f>
        <v>666.66666666666697</v>
      </c>
      <c r="L26" s="60">
        <f>'[1]Fixed Asset List'!$G$9</f>
        <v>666.66666666666697</v>
      </c>
      <c r="M26" s="60">
        <f>'[1]Fixed Asset List'!$G$9</f>
        <v>666.66666666666697</v>
      </c>
      <c r="N26" s="60">
        <f>'[1]Fixed Asset List'!$G$9</f>
        <v>666.66666666666697</v>
      </c>
      <c r="O26" s="60">
        <f>'[1]Fixed Asset List'!$G$9</f>
        <v>666.66666666666697</v>
      </c>
    </row>
    <row r="27" spans="2:15">
      <c r="B27" s="19" t="s">
        <v>769</v>
      </c>
      <c r="C27" s="14" t="s">
        <v>770</v>
      </c>
      <c r="D27" s="60">
        <f>'[1]Fixed Asset List'!$G$10</f>
        <v>500</v>
      </c>
      <c r="E27" s="60">
        <f>'[1]Fixed Asset List'!$G$10</f>
        <v>500</v>
      </c>
      <c r="F27" s="60">
        <f>'[1]Fixed Asset List'!$G$10</f>
        <v>500</v>
      </c>
      <c r="G27" s="60">
        <f>'[1]Fixed Asset List'!$G$10</f>
        <v>500</v>
      </c>
      <c r="H27" s="60">
        <f>'[1]Fixed Asset List'!$G$10</f>
        <v>500</v>
      </c>
      <c r="I27" s="60">
        <f>'[1]Fixed Asset List'!$G$10</f>
        <v>500</v>
      </c>
      <c r="J27" s="60">
        <f>'[1]Fixed Asset List'!$G$10</f>
        <v>500</v>
      </c>
      <c r="K27" s="60">
        <f>'[1]Fixed Asset List'!$G$10</f>
        <v>500</v>
      </c>
      <c r="L27" s="60">
        <f>'[1]Fixed Asset List'!$G$10</f>
        <v>500</v>
      </c>
      <c r="M27" s="60">
        <f>'[1]Fixed Asset List'!$G$10</f>
        <v>500</v>
      </c>
      <c r="N27" s="60">
        <f>'[1]Fixed Asset List'!$G$10</f>
        <v>500</v>
      </c>
      <c r="O27" s="60">
        <f>'[1]Fixed Asset List'!$G$10</f>
        <v>500</v>
      </c>
    </row>
    <row r="28" spans="2:15">
      <c r="B28" s="19" t="s">
        <v>771</v>
      </c>
      <c r="C28" s="14" t="s">
        <v>772</v>
      </c>
      <c r="D28" s="60">
        <f>'[1]Fixed Asset List'!$G$11</f>
        <v>100</v>
      </c>
      <c r="E28" s="60">
        <f>'[1]Fixed Asset List'!$G$11</f>
        <v>100</v>
      </c>
      <c r="F28" s="60">
        <f>'[1]Fixed Asset List'!$G$11</f>
        <v>100</v>
      </c>
      <c r="G28" s="60">
        <f>'[1]Fixed Asset List'!$G$11</f>
        <v>100</v>
      </c>
      <c r="H28" s="60">
        <f>'[1]Fixed Asset List'!$G$11</f>
        <v>100</v>
      </c>
      <c r="I28" s="60">
        <f>'[1]Fixed Asset List'!$G$11</f>
        <v>100</v>
      </c>
      <c r="J28" s="60">
        <f>'[1]Fixed Asset List'!$G$11</f>
        <v>100</v>
      </c>
      <c r="K28" s="60">
        <f>'[1]Fixed Asset List'!$G$11</f>
        <v>100</v>
      </c>
      <c r="L28" s="60">
        <f>'[1]Fixed Asset List'!$G$11</f>
        <v>100</v>
      </c>
      <c r="M28" s="60">
        <f>'[1]Fixed Asset List'!$G$11</f>
        <v>100</v>
      </c>
      <c r="N28" s="60">
        <f>'[1]Fixed Asset List'!$G$11</f>
        <v>100</v>
      </c>
      <c r="O28" s="60">
        <f>'[1]Fixed Asset List'!$G$11</f>
        <v>100</v>
      </c>
    </row>
    <row r="29" spans="2:15">
      <c r="B29" s="19" t="s">
        <v>774</v>
      </c>
      <c r="C29" s="14" t="s">
        <v>775</v>
      </c>
      <c r="D29" s="60">
        <f>'[1]Fixed Asset List'!$G$12</f>
        <v>266.66666666666703</v>
      </c>
      <c r="E29" s="60">
        <f>'[1]Fixed Asset List'!$G$12</f>
        <v>266.66666666666703</v>
      </c>
      <c r="F29" s="60">
        <f>'[1]Fixed Asset List'!$G$12</f>
        <v>266.66666666666703</v>
      </c>
      <c r="G29" s="60">
        <f>'[1]Fixed Asset List'!$G$12</f>
        <v>266.66666666666703</v>
      </c>
      <c r="H29" s="60">
        <f>'[1]Fixed Asset List'!$G$12</f>
        <v>266.66666666666703</v>
      </c>
      <c r="I29" s="60">
        <f>'[1]Fixed Asset List'!$G$12</f>
        <v>266.66666666666703</v>
      </c>
      <c r="J29" s="60">
        <f>'[1]Fixed Asset List'!$G$12</f>
        <v>266.66666666666703</v>
      </c>
      <c r="K29" s="60">
        <f>'[1]Fixed Asset List'!$G$12</f>
        <v>266.66666666666703</v>
      </c>
      <c r="L29" s="60">
        <f>'[1]Fixed Asset List'!$G$12</f>
        <v>266.66666666666703</v>
      </c>
      <c r="M29" s="60">
        <f>'[1]Fixed Asset List'!$G$12</f>
        <v>266.66666666666703</v>
      </c>
      <c r="N29" s="60">
        <f>'[1]Fixed Asset List'!$G$12</f>
        <v>266.66666666666703</v>
      </c>
      <c r="O29" s="60">
        <f>'[1]Fixed Asset List'!$G$12</f>
        <v>266.66666666666703</v>
      </c>
    </row>
    <row r="30" spans="2:15">
      <c r="B30" s="46"/>
      <c r="C30" s="47" t="s">
        <v>781</v>
      </c>
      <c r="D30" s="114">
        <f t="shared" ref="D30:O30" si="5">SUM(D23:D29)</f>
        <v>2450.0000000000009</v>
      </c>
      <c r="E30" s="114">
        <f t="shared" si="5"/>
        <v>2450.0000000000009</v>
      </c>
      <c r="F30" s="114">
        <f t="shared" si="5"/>
        <v>2450.0000000000009</v>
      </c>
      <c r="G30" s="114">
        <f t="shared" si="5"/>
        <v>2450.0000000000009</v>
      </c>
      <c r="H30" s="114">
        <f t="shared" si="5"/>
        <v>2450.0000000000009</v>
      </c>
      <c r="I30" s="114">
        <f t="shared" si="5"/>
        <v>2450.0000000000009</v>
      </c>
      <c r="J30" s="114">
        <f t="shared" si="5"/>
        <v>2450.0000000000009</v>
      </c>
      <c r="K30" s="114">
        <f t="shared" si="5"/>
        <v>2450.0000000000009</v>
      </c>
      <c r="L30" s="114">
        <f t="shared" si="5"/>
        <v>2450.0000000000009</v>
      </c>
      <c r="M30" s="114">
        <f t="shared" si="5"/>
        <v>2450.0000000000009</v>
      </c>
      <c r="N30" s="114">
        <f t="shared" si="5"/>
        <v>2450.0000000000009</v>
      </c>
      <c r="O30" s="114">
        <f t="shared" si="5"/>
        <v>2450.0000000000009</v>
      </c>
    </row>
  </sheetData>
  <pageMargins left="0.75" right="0.75" top="1" bottom="1"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20</vt:i4>
      </vt:variant>
      <vt:variant>
        <vt:lpstr>Named Ranges</vt:lpstr>
      </vt:variant>
      <vt:variant>
        <vt:i4>1</vt:i4>
      </vt:variant>
    </vt:vector>
  </HeadingPairs>
  <TitlesOfParts>
    <vt:vector size="21" baseType="lpstr">
      <vt:lpstr>Company Overview</vt:lpstr>
      <vt:lpstr>Chart of Accounts</vt:lpstr>
      <vt:lpstr>Cost Centers</vt:lpstr>
      <vt:lpstr>Variance by Department</vt:lpstr>
      <vt:lpstr>Variance by Program</vt:lpstr>
      <vt:lpstr>Statement of Activities</vt:lpstr>
      <vt:lpstr>Cash Flow Forecast</vt:lpstr>
      <vt:lpstr>Trial Balance</vt:lpstr>
      <vt:lpstr>Insurance Amortization</vt:lpstr>
      <vt:lpstr>Allocated Transactions</vt:lpstr>
      <vt:lpstr>Indirect Pool</vt:lpstr>
      <vt:lpstr>Revenue Allocation</vt:lpstr>
      <vt:lpstr>Personnel &amp; Rent Allocation</vt:lpstr>
      <vt:lpstr>Employee Headcount</vt:lpstr>
      <vt:lpstr>Salary Information</vt:lpstr>
      <vt:lpstr>PTO Accrual</vt:lpstr>
      <vt:lpstr>Indirect Pool - Budget</vt:lpstr>
      <vt:lpstr>Budget Data</vt:lpstr>
      <vt:lpstr>Revenue Pipeline</vt:lpstr>
      <vt:lpstr>Fixed Asset List</vt:lpstr>
      <vt:lpstr>'Cash Flow Forecast'!Print_Area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Dean McClure</cp:lastModifiedBy>
  <cp:revision>0</cp:revision>
  <dcterms:created xsi:type="dcterms:W3CDTF">2026-08-15T17:40:41Z</dcterms:created>
  <dcterms:modified xsi:type="dcterms:W3CDTF">2026-08-26T22:35:43Z</dcterms:modified>
  <dc:language>en-US</dc:language>
</cp:coreProperties>
</file>